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thers\10clubs_assessment\"/>
    </mc:Choice>
  </mc:AlternateContent>
  <xr:revisionPtr revIDLastSave="0" documentId="13_ncr:1_{069B7A51-0D9F-42B3-BB1C-FC20D439067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ssignment" sheetId="14" r:id="rId1"/>
    <sheet name="Data" sheetId="2" r:id="rId2"/>
    <sheet name="rough" sheetId="18" r:id="rId3"/>
    <sheet name="Dashboard" sheetId="17" r:id="rId4"/>
  </sheets>
  <definedNames>
    <definedName name="_xlnm._FilterDatabase" localSheetId="1" hidden="1">Data!$A$2:$DF$102</definedName>
    <definedName name="Apple">rough!$C$105:$C$108</definedName>
    <definedName name="ASP">rough!$A$251:$AH$351</definedName>
    <definedName name="example">#REF!</definedName>
    <definedName name="filter">rough!$A$117:$BM$166</definedName>
    <definedName name="Guava">rough!$D$105:$D$106</definedName>
    <definedName name="Lemon">rough!$E$105:$E$108</definedName>
    <definedName name="Mango">rough!$G$105:$G$108</definedName>
    <definedName name="Orange">rough!$F$105:$F$108</definedName>
    <definedName name="_xlnm.Print_Titles" localSheetId="2">rough!$251:$251</definedName>
    <definedName name="TsumG">rough!$D$112:$AH$112</definedName>
    <definedName name="TsumU">rough!$E$113:$AI$113</definedName>
    <definedName name="week1">Table1[[#All],[GMV 1]:[Units 7]]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Filter 11" guid="{9F7AC949-7395-43A1-BE8C-5A168D1AD54B}" maximized="1" windowWidth="0" windowHeight="0" activeSheetId="0"/>
    <customWorkbookView name="Filter 12" guid="{05FEC557-51C6-47D8-BF78-A3B430D054CA}" maximized="1" windowWidth="0" windowHeight="0" activeSheetId="0"/>
    <customWorkbookView name="Filter 13" guid="{7E302A77-6612-4525-8C85-9E3855AAECE3}" maximized="1" windowWidth="0" windowHeight="0" activeSheetId="0"/>
    <customWorkbookView name="Filter 14" guid="{F31FD0FE-72E9-4553-AFE9-797E5DBAFB89}" maximized="1" windowWidth="0" windowHeight="0" activeSheetId="0"/>
    <customWorkbookView name="Filter 15" guid="{989A2583-BCFB-4C97-A56A-031BFAAEB87F}" maximized="1" windowWidth="0" windowHeight="0" activeSheetId="0"/>
    <customWorkbookView name="Filter 16" guid="{ABB4C9FF-FC17-498A-962F-019931F4E75D}" maximized="1" windowWidth="0" windowHeight="0" activeSheetId="0"/>
    <customWorkbookView name="Filter 17" guid="{915EA89E-6C07-4DC4-A028-58EE2F9387D0}" maximized="1" windowWidth="0" windowHeight="0" activeSheetId="0"/>
    <customWorkbookView name="Filter 18" guid="{E4DA3BB9-C2E0-4509-ABDF-F53E2B8E8C07}" maximized="1" windowWidth="0" windowHeight="0" activeSheetId="0"/>
    <customWorkbookView name="Filter 20" guid="{B6902326-709F-426B-877D-60989469FA9B}" maximized="1" windowWidth="0" windowHeight="0" activeSheetId="0"/>
    <customWorkbookView name="Filter 8" guid="{166FB914-6C96-4847-9DCB-9A24E9C2439F}" maximized="1" windowWidth="0" windowHeight="0" activeSheetId="0"/>
    <customWorkbookView name="Shubham" guid="{EA6FE8EF-9F8D-4CC5-8CC0-79AD23356E77}" maximized="1" windowWidth="0" windowHeight="0" activeSheetId="0"/>
    <customWorkbookView name="Filter 9" guid="{537FFA52-A3BC-40D5-B9C3-ED8339040504}" maximized="1" windowWidth="0" windowHeight="0" activeSheetId="0"/>
    <customWorkbookView name="Filter 10" guid="{FA4975FA-0FFA-420E-AA82-8CFA50C43CCD}" maximized="1" windowWidth="0" windowHeight="0" activeSheetId="0"/>
    <customWorkbookView name="Filter 21" guid="{A9FAD067-E94B-4918-AB21-13AD52EED6B3}" maximized="1" windowWidth="0" windowHeight="0" activeSheetId="0"/>
    <customWorkbookView name="Filter 6" guid="{4C11E22A-DF8D-4566-A640-6FDC26D8E2A4}" maximized="1" windowWidth="0" windowHeight="0" activeSheetId="0"/>
    <customWorkbookView name="Filter 7" guid="{47B0368A-7138-4DA4-961E-E0B35ED1F9FC}" maximized="1" windowWidth="0" windowHeight="0" activeSheetId="0"/>
    <customWorkbookView name="Filter 4" guid="{9EC96D60-79EB-45DE-8605-7B9E67A0C4FE}" maximized="1" windowWidth="0" windowHeight="0" activeSheetId="0"/>
    <customWorkbookView name="Filter 5" guid="{E9D49E64-4288-4A4D-ABE0-221BFB49DA21}" maximized="1" windowWidth="0" windowHeight="0" activeSheetId="0"/>
    <customWorkbookView name="Filter 2" guid="{01481C5D-5D0F-4C04-BD26-D68098B09128}" maximized="1" windowWidth="0" windowHeight="0" activeSheetId="0"/>
    <customWorkbookView name="Filter 3" guid="{15AEABDB-A837-41B9-87B0-87E0EC95D325}" maximized="1" windowWidth="0" windowHeight="0" activeSheetId="0"/>
    <customWorkbookView name="Filter 1" guid="{E59A2530-F6D5-4A42-8955-8AC7E6EA0B71}" maximized="1" windowWidth="0" windowHeight="0" activeSheetId="0"/>
    <customWorkbookView name="Filter 19" guid="{9DAF5878-4DFA-4BFA-863D-E9C2CC650CD6}" maximized="1" windowWidth="0" windowHeight="0" activeSheetId="0"/>
    <customWorkbookView name="BECLINA" guid="{7C6B15BF-FB64-4AF5-93B6-1B78D07926F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8" i="17" l="1" a="1"/>
  <c r="O58" i="17" s="1"/>
  <c r="O59" i="17" a="1"/>
  <c r="O59" i="17" s="1"/>
  <c r="O50" i="17" a="1"/>
  <c r="O50" i="17" s="1"/>
  <c r="D50" i="17" a="1"/>
  <c r="D50" i="17" s="1"/>
  <c r="E50" i="17" a="1"/>
  <c r="E50" i="17" s="1"/>
  <c r="D51" i="17" a="1"/>
  <c r="D51" i="17" s="1"/>
  <c r="E51" i="17" a="1"/>
  <c r="E51" i="17" s="1"/>
  <c r="D52" i="17" a="1"/>
  <c r="D52" i="17" s="1"/>
  <c r="E52" i="17" a="1"/>
  <c r="E52" i="17" s="1"/>
  <c r="D53" i="17" a="1"/>
  <c r="D53" i="17" s="1"/>
  <c r="E53" i="17" a="1"/>
  <c r="E53" i="17" s="1"/>
  <c r="D54" i="17" a="1"/>
  <c r="D54" i="17" s="1"/>
  <c r="E54" i="17" a="1"/>
  <c r="E54" i="17" s="1"/>
  <c r="D55" i="17" a="1"/>
  <c r="D55" i="17" s="1"/>
  <c r="E55" i="17" a="1"/>
  <c r="E55" i="17" s="1"/>
  <c r="D56" i="17" a="1"/>
  <c r="D56" i="17" s="1"/>
  <c r="E56" i="17" a="1"/>
  <c r="E56" i="17" s="1"/>
  <c r="D57" i="17" a="1"/>
  <c r="D57" i="17" s="1"/>
  <c r="E57" i="17" a="1"/>
  <c r="E57" i="17" s="1"/>
  <c r="D58" i="17" a="1"/>
  <c r="D58" i="17" s="1"/>
  <c r="E58" i="17" a="1"/>
  <c r="E58" i="17" s="1"/>
  <c r="D59" i="17" a="1"/>
  <c r="D59" i="17" s="1"/>
  <c r="E59" i="17" a="1"/>
  <c r="E59" i="17" s="1"/>
  <c r="D60" i="17" a="1"/>
  <c r="D60" i="17" s="1"/>
  <c r="E60" i="17" a="1"/>
  <c r="E60" i="17" s="1"/>
  <c r="D61" i="17" a="1"/>
  <c r="D61" i="17" s="1"/>
  <c r="E61" i="17" a="1"/>
  <c r="E61" i="17" s="1"/>
  <c r="D62" i="17" a="1"/>
  <c r="D62" i="17" s="1"/>
  <c r="E62" i="17" a="1"/>
  <c r="E62" i="17" s="1"/>
  <c r="D63" i="17" a="1"/>
  <c r="D63" i="17" s="1"/>
  <c r="E63" i="17" a="1"/>
  <c r="E63" i="17" s="1"/>
  <c r="D64" i="17" a="1"/>
  <c r="D64" i="17" s="1"/>
  <c r="E64" i="17" a="1"/>
  <c r="E64" i="17" s="1"/>
  <c r="D65" i="17" a="1"/>
  <c r="D65" i="17" s="1"/>
  <c r="E65" i="17" a="1"/>
  <c r="E65" i="17" s="1"/>
  <c r="D66" i="17" a="1"/>
  <c r="D66" i="17" s="1"/>
  <c r="E66" i="17" a="1"/>
  <c r="E66" i="17" s="1"/>
  <c r="D67" i="17" a="1"/>
  <c r="D67" i="17" s="1"/>
  <c r="E67" i="17" a="1"/>
  <c r="E67" i="17" s="1"/>
  <c r="D68" i="17" a="1"/>
  <c r="D68" i="17" s="1"/>
  <c r="E68" i="17" a="1"/>
  <c r="E68" i="17" s="1"/>
  <c r="D69" i="17" a="1"/>
  <c r="D69" i="17" s="1"/>
  <c r="E69" i="17" a="1"/>
  <c r="E69" i="17" s="1"/>
  <c r="D70" i="17" a="1"/>
  <c r="D70" i="17" s="1"/>
  <c r="E70" i="17" a="1"/>
  <c r="E70" i="17" s="1"/>
  <c r="D71" i="17" a="1"/>
  <c r="D71" i="17" s="1"/>
  <c r="E71" i="17" a="1"/>
  <c r="E71" i="17" s="1"/>
  <c r="D72" i="17" a="1"/>
  <c r="D72" i="17" s="1"/>
  <c r="E72" i="17" a="1"/>
  <c r="E72" i="17" s="1"/>
  <c r="D73" i="17" a="1"/>
  <c r="D73" i="17" s="1"/>
  <c r="E73" i="17" a="1"/>
  <c r="E73" i="17" s="1"/>
  <c r="D74" i="17" a="1"/>
  <c r="D74" i="17" s="1"/>
  <c r="E74" i="17" a="1"/>
  <c r="E74" i="17" s="1"/>
  <c r="D75" i="17" a="1"/>
  <c r="D75" i="17" s="1"/>
  <c r="E75" i="17" a="1"/>
  <c r="E75" i="17" s="1"/>
  <c r="D76" i="17" a="1"/>
  <c r="D76" i="17" s="1"/>
  <c r="E76" i="17" a="1"/>
  <c r="E76" i="17" s="1"/>
  <c r="D77" i="17" a="1"/>
  <c r="D77" i="17" s="1"/>
  <c r="E77" i="17" a="1"/>
  <c r="E77" i="17" s="1"/>
  <c r="D78" i="17" a="1"/>
  <c r="D78" i="17" s="1"/>
  <c r="E78" i="17" a="1"/>
  <c r="E78" i="17" s="1"/>
  <c r="D79" i="17" a="1"/>
  <c r="D79" i="17" s="1"/>
  <c r="E79" i="17" a="1"/>
  <c r="E79" i="17" s="1"/>
  <c r="D80" i="17" a="1"/>
  <c r="D80" i="17" s="1"/>
  <c r="E80" i="17" a="1"/>
  <c r="E80" i="17" s="1"/>
  <c r="D81" i="17" a="1"/>
  <c r="D81" i="17" s="1"/>
  <c r="E81" i="17" a="1"/>
  <c r="E81" i="17" s="1"/>
  <c r="D82" i="17" a="1"/>
  <c r="D82" i="17" s="1"/>
  <c r="E82" i="17" a="1"/>
  <c r="E82" i="17" s="1"/>
  <c r="D83" i="17" a="1"/>
  <c r="D83" i="17" s="1"/>
  <c r="E83" i="17" a="1"/>
  <c r="E83" i="17" s="1"/>
  <c r="D84" i="17" a="1"/>
  <c r="D84" i="17" s="1"/>
  <c r="E84" i="17" a="1"/>
  <c r="E84" i="17" s="1"/>
  <c r="D85" i="17" a="1"/>
  <c r="D85" i="17" s="1"/>
  <c r="E85" i="17" a="1"/>
  <c r="E85" i="17" s="1"/>
  <c r="D86" i="17" a="1"/>
  <c r="D86" i="17" s="1"/>
  <c r="E86" i="17" a="1"/>
  <c r="E86" i="17" s="1"/>
  <c r="D87" i="17" a="1"/>
  <c r="D87" i="17" s="1"/>
  <c r="E87" i="17" a="1"/>
  <c r="E87" i="17" s="1"/>
  <c r="D88" i="17" a="1"/>
  <c r="D88" i="17" s="1"/>
  <c r="E88" i="17" a="1"/>
  <c r="E88" i="17" s="1"/>
  <c r="D89" i="17" a="1"/>
  <c r="D89" i="17" s="1"/>
  <c r="E89" i="17" a="1"/>
  <c r="E89" i="17" s="1"/>
  <c r="D90" i="17" a="1"/>
  <c r="D90" i="17" s="1"/>
  <c r="E90" i="17" a="1"/>
  <c r="E90" i="17" s="1"/>
  <c r="D91" i="17" a="1"/>
  <c r="D91" i="17" s="1"/>
  <c r="E91" i="17" a="1"/>
  <c r="E91" i="17" s="1"/>
  <c r="D92" i="17" a="1"/>
  <c r="D92" i="17" s="1"/>
  <c r="E92" i="17" a="1"/>
  <c r="E92" i="17" s="1"/>
  <c r="D93" i="17" a="1"/>
  <c r="D93" i="17" s="1"/>
  <c r="E93" i="17" a="1"/>
  <c r="E93" i="17" s="1"/>
  <c r="D94" i="17" a="1"/>
  <c r="D94" i="17" s="1"/>
  <c r="E94" i="17" a="1"/>
  <c r="E94" i="17" s="1"/>
  <c r="D95" i="17" a="1"/>
  <c r="D95" i="17" s="1"/>
  <c r="E95" i="17" a="1"/>
  <c r="E95" i="17" s="1"/>
  <c r="D96" i="17" a="1"/>
  <c r="D96" i="17" s="1"/>
  <c r="E96" i="17" a="1"/>
  <c r="E96" i="17" s="1"/>
  <c r="D97" i="17" a="1"/>
  <c r="D97" i="17" s="1"/>
  <c r="E97" i="17" a="1"/>
  <c r="E97" i="17" s="1"/>
  <c r="D98" i="17" a="1"/>
  <c r="D98" i="17" s="1"/>
  <c r="E98" i="17" a="1"/>
  <c r="E98" i="17" s="1"/>
  <c r="D99" i="17" a="1"/>
  <c r="D99" i="17" s="1"/>
  <c r="E99" i="17" a="1"/>
  <c r="E99" i="17" s="1"/>
  <c r="D100" i="17" a="1"/>
  <c r="D100" i="17" s="1"/>
  <c r="E100" i="17" a="1"/>
  <c r="E100" i="17" s="1"/>
  <c r="D101" i="17" a="1"/>
  <c r="D101" i="17" s="1"/>
  <c r="E101" i="17" a="1"/>
  <c r="E101" i="17" s="1"/>
  <c r="D102" i="17" a="1"/>
  <c r="D102" i="17" s="1"/>
  <c r="E102" i="17" a="1"/>
  <c r="E102" i="17" s="1"/>
  <c r="D103" i="17" a="1"/>
  <c r="D103" i="17" s="1"/>
  <c r="E103" i="17" a="1"/>
  <c r="E103" i="17" s="1"/>
  <c r="D104" i="17" a="1"/>
  <c r="D104" i="17" s="1"/>
  <c r="E104" i="17" a="1"/>
  <c r="E104" i="17" s="1"/>
  <c r="D105" i="17" a="1"/>
  <c r="D105" i="17" s="1"/>
  <c r="E105" i="17" a="1"/>
  <c r="E105" i="17" s="1"/>
  <c r="D106" i="17" a="1"/>
  <c r="D106" i="17" s="1"/>
  <c r="E106" i="17" a="1"/>
  <c r="E106" i="17" s="1"/>
  <c r="D107" i="17" a="1"/>
  <c r="D107" i="17" s="1"/>
  <c r="E107" i="17" a="1"/>
  <c r="E107" i="17" s="1"/>
  <c r="D108" i="17" a="1"/>
  <c r="D108" i="17" s="1"/>
  <c r="E108" i="17" a="1"/>
  <c r="E108" i="17" s="1"/>
  <c r="D109" i="17" a="1"/>
  <c r="D109" i="17" s="1"/>
  <c r="E109" i="17" a="1"/>
  <c r="E109" i="17" s="1"/>
  <c r="D110" i="17" a="1"/>
  <c r="D110" i="17" s="1"/>
  <c r="E110" i="17" a="1"/>
  <c r="E110" i="17" s="1"/>
  <c r="D111" i="17" a="1"/>
  <c r="D111" i="17" s="1"/>
  <c r="E111" i="17" a="1"/>
  <c r="E111" i="17" s="1"/>
  <c r="D112" i="17" a="1"/>
  <c r="D112" i="17" s="1"/>
  <c r="E112" i="17" a="1"/>
  <c r="E112" i="17" s="1"/>
  <c r="D113" i="17" a="1"/>
  <c r="D113" i="17" s="1"/>
  <c r="E113" i="17" a="1"/>
  <c r="E113" i="17" s="1"/>
  <c r="D114" i="17" a="1"/>
  <c r="D114" i="17" s="1"/>
  <c r="E114" i="17" a="1"/>
  <c r="E114" i="17" s="1"/>
  <c r="D115" i="17" a="1"/>
  <c r="D115" i="17" s="1"/>
  <c r="E115" i="17" a="1"/>
  <c r="E115" i="17" s="1"/>
  <c r="D116" i="17" a="1"/>
  <c r="D116" i="17" s="1"/>
  <c r="E116" i="17" a="1"/>
  <c r="E116" i="17" s="1"/>
  <c r="D117" i="17" a="1"/>
  <c r="D117" i="17" s="1"/>
  <c r="E117" i="17" a="1"/>
  <c r="E117" i="17" s="1"/>
  <c r="D118" i="17" a="1"/>
  <c r="D118" i="17" s="1"/>
  <c r="E118" i="17" a="1"/>
  <c r="E118" i="17" s="1"/>
  <c r="D119" i="17" a="1"/>
  <c r="D119" i="17" s="1"/>
  <c r="E119" i="17" a="1"/>
  <c r="E119" i="17" s="1"/>
  <c r="D120" i="17" a="1"/>
  <c r="D120" i="17" s="1"/>
  <c r="E120" i="17" a="1"/>
  <c r="E120" i="17" s="1"/>
  <c r="D121" i="17" a="1"/>
  <c r="D121" i="17" s="1"/>
  <c r="E121" i="17" a="1"/>
  <c r="E121" i="17" s="1"/>
  <c r="D122" i="17" a="1"/>
  <c r="D122" i="17" s="1"/>
  <c r="E122" i="17" a="1"/>
  <c r="E122" i="17" s="1"/>
  <c r="D123" i="17" a="1"/>
  <c r="D123" i="17" s="1"/>
  <c r="E123" i="17" a="1"/>
  <c r="E123" i="17" s="1"/>
  <c r="D124" i="17" a="1"/>
  <c r="D124" i="17" s="1"/>
  <c r="E124" i="17" a="1"/>
  <c r="E124" i="17" s="1"/>
  <c r="D125" i="17" a="1"/>
  <c r="D125" i="17" s="1"/>
  <c r="E125" i="17" a="1"/>
  <c r="E125" i="17" s="1"/>
  <c r="D126" i="17" a="1"/>
  <c r="D126" i="17" s="1"/>
  <c r="E126" i="17" a="1"/>
  <c r="E126" i="17" s="1"/>
  <c r="D127" i="17" a="1"/>
  <c r="D127" i="17" s="1"/>
  <c r="E127" i="17" a="1"/>
  <c r="E127" i="17" s="1"/>
  <c r="D128" i="17" a="1"/>
  <c r="D128" i="17" s="1"/>
  <c r="E128" i="17" a="1"/>
  <c r="E128" i="17" s="1"/>
  <c r="D129" i="17" a="1"/>
  <c r="D129" i="17" s="1"/>
  <c r="E129" i="17" a="1"/>
  <c r="E129" i="17" s="1"/>
  <c r="D130" i="17" a="1"/>
  <c r="D130" i="17" s="1"/>
  <c r="E130" i="17" a="1"/>
  <c r="E130" i="17" s="1"/>
  <c r="D131" i="17" a="1"/>
  <c r="D131" i="17" s="1"/>
  <c r="E131" i="17" a="1"/>
  <c r="E131" i="17" s="1"/>
  <c r="D132" i="17" a="1"/>
  <c r="D132" i="17" s="1"/>
  <c r="E132" i="17" a="1"/>
  <c r="E132" i="17" s="1"/>
  <c r="D133" i="17" a="1"/>
  <c r="D133" i="17" s="1"/>
  <c r="E133" i="17" a="1"/>
  <c r="E133" i="17" s="1"/>
  <c r="D134" i="17" a="1"/>
  <c r="D134" i="17" s="1"/>
  <c r="E134" i="17" a="1"/>
  <c r="E134" i="17" s="1"/>
  <c r="D135" i="17" a="1"/>
  <c r="D135" i="17" s="1"/>
  <c r="E135" i="17" a="1"/>
  <c r="E135" i="17" s="1"/>
  <c r="D136" i="17" a="1"/>
  <c r="D136" i="17" s="1"/>
  <c r="E136" i="17" a="1"/>
  <c r="E136" i="17" s="1"/>
  <c r="D137" i="17" a="1"/>
  <c r="D137" i="17" s="1"/>
  <c r="E137" i="17" a="1"/>
  <c r="E137" i="17" s="1"/>
  <c r="D138" i="17" a="1"/>
  <c r="D138" i="17" s="1"/>
  <c r="E138" i="17" a="1"/>
  <c r="E138" i="17" s="1"/>
  <c r="D139" i="17" a="1"/>
  <c r="D139" i="17" s="1"/>
  <c r="E139" i="17" a="1"/>
  <c r="E139" i="17" s="1"/>
  <c r="D140" i="17" a="1"/>
  <c r="D140" i="17" s="1"/>
  <c r="E140" i="17" a="1"/>
  <c r="E140" i="17" s="1"/>
  <c r="D141" i="17" a="1"/>
  <c r="D141" i="17" s="1"/>
  <c r="E141" i="17" a="1"/>
  <c r="E141" i="17" s="1"/>
  <c r="D142" i="17" a="1"/>
  <c r="D142" i="17" s="1"/>
  <c r="E142" i="17" a="1"/>
  <c r="E142" i="17" s="1"/>
  <c r="D143" i="17" a="1"/>
  <c r="D143" i="17" s="1"/>
  <c r="E143" i="17" a="1"/>
  <c r="E143" i="17" s="1"/>
  <c r="D144" i="17" a="1"/>
  <c r="D144" i="17" s="1"/>
  <c r="E144" i="17" a="1"/>
  <c r="E144" i="17" s="1"/>
  <c r="D145" i="17" a="1"/>
  <c r="D145" i="17" s="1"/>
  <c r="E145" i="17" a="1"/>
  <c r="E145" i="17" s="1"/>
  <c r="D146" i="17" a="1"/>
  <c r="D146" i="17" s="1"/>
  <c r="E146" i="17" a="1"/>
  <c r="E146" i="17" s="1"/>
  <c r="D47" i="17" a="1"/>
  <c r="D47" i="17" s="1"/>
  <c r="D48" i="17" a="1"/>
  <c r="D48" i="17" s="1"/>
  <c r="D49" i="17" a="1"/>
  <c r="D49" i="17" s="1"/>
  <c r="E48" i="17" a="1"/>
  <c r="E48" i="17" s="1"/>
  <c r="E49" i="17" a="1"/>
  <c r="E49" i="17" s="1"/>
  <c r="E47" i="17" a="1"/>
  <c r="E47" i="17" s="1"/>
  <c r="D218" i="17" a="1"/>
  <c r="D218" i="17" s="1"/>
  <c r="D219" i="17" a="1"/>
  <c r="D219" i="17" s="1"/>
  <c r="D220" i="17" a="1"/>
  <c r="D220" i="17" s="1"/>
  <c r="D221" i="17" a="1"/>
  <c r="D221" i="17" s="1"/>
  <c r="D222" i="17" a="1"/>
  <c r="D222" i="17" s="1"/>
  <c r="D223" i="17" a="1"/>
  <c r="D223" i="17" s="1"/>
  <c r="D224" i="17" a="1"/>
  <c r="D224" i="17" s="1"/>
  <c r="D225" i="17" a="1"/>
  <c r="D225" i="17" s="1"/>
  <c r="D226" i="17" a="1"/>
  <c r="D226" i="17" s="1"/>
  <c r="D227" i="17" a="1"/>
  <c r="D227" i="17" s="1"/>
  <c r="D228" i="17" a="1"/>
  <c r="D228" i="17" s="1"/>
  <c r="D229" i="17" a="1"/>
  <c r="D229" i="17" s="1"/>
  <c r="D230" i="17" a="1"/>
  <c r="D230" i="17" s="1"/>
  <c r="D231" i="17" a="1"/>
  <c r="D231" i="17" s="1"/>
  <c r="D232" i="17" a="1"/>
  <c r="D232" i="17" s="1"/>
  <c r="D233" i="17" a="1"/>
  <c r="D233" i="17" s="1"/>
  <c r="D234" i="17" a="1"/>
  <c r="D234" i="17" s="1"/>
  <c r="D235" i="17" a="1"/>
  <c r="D235" i="17" s="1"/>
  <c r="D236" i="17" a="1"/>
  <c r="D236" i="17" s="1"/>
  <c r="D237" i="17" a="1"/>
  <c r="D237" i="17" s="1"/>
  <c r="D238" i="17" a="1"/>
  <c r="D238" i="17" s="1"/>
  <c r="D239" i="17" a="1"/>
  <c r="D239" i="17" s="1"/>
  <c r="D240" i="17" a="1"/>
  <c r="D240" i="17" s="1"/>
  <c r="D241" i="17" a="1"/>
  <c r="D241" i="17" s="1"/>
  <c r="D242" i="17" a="1"/>
  <c r="D242" i="17" s="1"/>
  <c r="D243" i="17" a="1"/>
  <c r="D243" i="17" s="1"/>
  <c r="D244" i="17" a="1"/>
  <c r="D244" i="17" s="1"/>
  <c r="D245" i="17" a="1"/>
  <c r="D245" i="17" s="1"/>
  <c r="D246" i="17" a="1"/>
  <c r="D246" i="17" s="1"/>
  <c r="D247" i="17" a="1"/>
  <c r="D247" i="17" s="1"/>
  <c r="D248" i="17" a="1"/>
  <c r="D248" i="17" s="1"/>
  <c r="D249" i="17" a="1"/>
  <c r="D249" i="17" s="1"/>
  <c r="D250" i="17" a="1"/>
  <c r="D250" i="17" s="1"/>
  <c r="D251" i="17" a="1"/>
  <c r="D251" i="17" s="1"/>
  <c r="D252" i="17" a="1"/>
  <c r="D252" i="17" s="1"/>
  <c r="D253" i="17" a="1"/>
  <c r="D253" i="17" s="1"/>
  <c r="D254" i="17" a="1"/>
  <c r="D254" i="17" s="1"/>
  <c r="D255" i="17" a="1"/>
  <c r="D255" i="17" s="1"/>
  <c r="D256" i="17" a="1"/>
  <c r="D256" i="17" s="1"/>
  <c r="D257" i="17" a="1"/>
  <c r="D257" i="17" s="1"/>
  <c r="D258" i="17" a="1"/>
  <c r="D258" i="17" s="1"/>
  <c r="D259" i="17" a="1"/>
  <c r="D259" i="17" s="1"/>
  <c r="D260" i="17" a="1"/>
  <c r="D260" i="17" s="1"/>
  <c r="D261" i="17" a="1"/>
  <c r="D261" i="17" s="1"/>
  <c r="D262" i="17" a="1"/>
  <c r="D262" i="17" s="1"/>
  <c r="D263" i="17" a="1"/>
  <c r="D263" i="17" s="1"/>
  <c r="E218" i="17" a="1"/>
  <c r="E218" i="17" s="1"/>
  <c r="E219" i="17" a="1"/>
  <c r="E219" i="17" s="1"/>
  <c r="E220" i="17" a="1"/>
  <c r="E220" i="17" s="1"/>
  <c r="E221" i="17" a="1"/>
  <c r="E221" i="17" s="1"/>
  <c r="E222" i="17" a="1"/>
  <c r="E222" i="17" s="1"/>
  <c r="E223" i="17" a="1"/>
  <c r="E223" i="17" s="1"/>
  <c r="E224" i="17" a="1"/>
  <c r="E224" i="17" s="1"/>
  <c r="E225" i="17" a="1"/>
  <c r="E225" i="17" s="1"/>
  <c r="E226" i="17" a="1"/>
  <c r="E226" i="17" s="1"/>
  <c r="E227" i="17" a="1"/>
  <c r="E227" i="17" s="1"/>
  <c r="E228" i="17" a="1"/>
  <c r="E228" i="17" s="1"/>
  <c r="E229" i="17" a="1"/>
  <c r="E229" i="17" s="1"/>
  <c r="E230" i="17" a="1"/>
  <c r="E230" i="17" s="1"/>
  <c r="E231" i="17" a="1"/>
  <c r="E231" i="17" s="1"/>
  <c r="E232" i="17" a="1"/>
  <c r="E232" i="17" s="1"/>
  <c r="E233" i="17" a="1"/>
  <c r="E233" i="17" s="1"/>
  <c r="E234" i="17" a="1"/>
  <c r="E234" i="17" s="1"/>
  <c r="E235" i="17" a="1"/>
  <c r="E235" i="17" s="1"/>
  <c r="E236" i="17" a="1"/>
  <c r="E236" i="17" s="1"/>
  <c r="E237" i="17" a="1"/>
  <c r="E237" i="17" s="1"/>
  <c r="E238" i="17" a="1"/>
  <c r="E238" i="17" s="1"/>
  <c r="E239" i="17" a="1"/>
  <c r="E239" i="17" s="1"/>
  <c r="E240" i="17" a="1"/>
  <c r="E240" i="17" s="1"/>
  <c r="E241" i="17" a="1"/>
  <c r="E241" i="17" s="1"/>
  <c r="E242" i="17" a="1"/>
  <c r="E242" i="17" s="1"/>
  <c r="E243" i="17" a="1"/>
  <c r="E243" i="17" s="1"/>
  <c r="E244" i="17" a="1"/>
  <c r="E244" i="17" s="1"/>
  <c r="E245" i="17" a="1"/>
  <c r="E245" i="17" s="1"/>
  <c r="E246" i="17" a="1"/>
  <c r="E246" i="17" s="1"/>
  <c r="E247" i="17" a="1"/>
  <c r="E247" i="17" s="1"/>
  <c r="E248" i="17" a="1"/>
  <c r="E248" i="17" s="1"/>
  <c r="E249" i="17" a="1"/>
  <c r="E249" i="17" s="1"/>
  <c r="E250" i="17" a="1"/>
  <c r="E250" i="17" s="1"/>
  <c r="E251" i="17" a="1"/>
  <c r="E251" i="17" s="1"/>
  <c r="E252" i="17" a="1"/>
  <c r="E252" i="17" s="1"/>
  <c r="E253" i="17" a="1"/>
  <c r="E253" i="17" s="1"/>
  <c r="E254" i="17" a="1"/>
  <c r="E254" i="17" s="1"/>
  <c r="E255" i="17" a="1"/>
  <c r="E255" i="17" s="1"/>
  <c r="E256" i="17" a="1"/>
  <c r="E256" i="17" s="1"/>
  <c r="E257" i="17" a="1"/>
  <c r="E257" i="17" s="1"/>
  <c r="E258" i="17" a="1"/>
  <c r="E258" i="17" s="1"/>
  <c r="E259" i="17" a="1"/>
  <c r="E259" i="17" s="1"/>
  <c r="E260" i="17" a="1"/>
  <c r="E260" i="17" s="1"/>
  <c r="E261" i="17" a="1"/>
  <c r="E261" i="17" s="1"/>
  <c r="E262" i="17" a="1"/>
  <c r="E262" i="17" s="1"/>
  <c r="E263" i="17" a="1"/>
  <c r="E263" i="17" s="1"/>
  <c r="C218" i="17" a="1"/>
  <c r="C218" i="17" s="1"/>
  <c r="C219" i="17" a="1"/>
  <c r="C219" i="17" s="1"/>
  <c r="C220" i="17" a="1"/>
  <c r="C220" i="17" s="1"/>
  <c r="C221" i="17" a="1"/>
  <c r="C221" i="17" s="1"/>
  <c r="C222" i="17" a="1"/>
  <c r="C222" i="17" s="1"/>
  <c r="C223" i="17" a="1"/>
  <c r="C223" i="17" s="1"/>
  <c r="C224" i="17" a="1"/>
  <c r="C224" i="17" s="1"/>
  <c r="C225" i="17" a="1"/>
  <c r="C225" i="17" s="1"/>
  <c r="C226" i="17" a="1"/>
  <c r="C226" i="17" s="1"/>
  <c r="C227" i="17" a="1"/>
  <c r="C227" i="17" s="1"/>
  <c r="C228" i="17" a="1"/>
  <c r="C228" i="17" s="1"/>
  <c r="C229" i="17" a="1"/>
  <c r="C229" i="17" s="1"/>
  <c r="C230" i="17" a="1"/>
  <c r="C230" i="17" s="1"/>
  <c r="C231" i="17" a="1"/>
  <c r="C231" i="17" s="1"/>
  <c r="C232" i="17" a="1"/>
  <c r="C232" i="17" s="1"/>
  <c r="C233" i="17" a="1"/>
  <c r="C233" i="17" s="1"/>
  <c r="C234" i="17" a="1"/>
  <c r="C234" i="17" s="1"/>
  <c r="C235" i="17" a="1"/>
  <c r="C235" i="17" s="1"/>
  <c r="C236" i="17" a="1"/>
  <c r="C236" i="17" s="1"/>
  <c r="C237" i="17" a="1"/>
  <c r="C237" i="17" s="1"/>
  <c r="C238" i="17" a="1"/>
  <c r="C238" i="17" s="1"/>
  <c r="C239" i="17" a="1"/>
  <c r="C239" i="17" s="1"/>
  <c r="C240" i="17" a="1"/>
  <c r="C240" i="17" s="1"/>
  <c r="C241" i="17" a="1"/>
  <c r="C241" i="17" s="1"/>
  <c r="C242" i="17" a="1"/>
  <c r="C242" i="17" s="1"/>
  <c r="C243" i="17" a="1"/>
  <c r="C243" i="17" s="1"/>
  <c r="C244" i="17" a="1"/>
  <c r="C244" i="17" s="1"/>
  <c r="C245" i="17" a="1"/>
  <c r="C245" i="17" s="1"/>
  <c r="C246" i="17" a="1"/>
  <c r="C246" i="17" s="1"/>
  <c r="C247" i="17" a="1"/>
  <c r="C247" i="17" s="1"/>
  <c r="C248" i="17" a="1"/>
  <c r="C248" i="17" s="1"/>
  <c r="C249" i="17" a="1"/>
  <c r="C249" i="17" s="1"/>
  <c r="C250" i="17" a="1"/>
  <c r="C250" i="17" s="1"/>
  <c r="C251" i="17" a="1"/>
  <c r="C251" i="17" s="1"/>
  <c r="C252" i="17" a="1"/>
  <c r="C252" i="17" s="1"/>
  <c r="C253" i="17" a="1"/>
  <c r="C253" i="17" s="1"/>
  <c r="C254" i="17" a="1"/>
  <c r="C254" i="17" s="1"/>
  <c r="C255" i="17" a="1"/>
  <c r="C255" i="17" s="1"/>
  <c r="C256" i="17" a="1"/>
  <c r="C256" i="17" s="1"/>
  <c r="C257" i="17" a="1"/>
  <c r="C257" i="17" s="1"/>
  <c r="C258" i="17" a="1"/>
  <c r="C258" i="17" s="1"/>
  <c r="C259" i="17" a="1"/>
  <c r="C259" i="17" s="1"/>
  <c r="C260" i="17" a="1"/>
  <c r="C260" i="17" s="1"/>
  <c r="C261" i="17" a="1"/>
  <c r="C261" i="17" s="1"/>
  <c r="C262" i="17" a="1"/>
  <c r="C262" i="17" s="1"/>
  <c r="C263" i="17" a="1"/>
  <c r="C263" i="17" s="1"/>
  <c r="A218" i="17" a="1"/>
  <c r="A218" i="17" s="1"/>
  <c r="B218" i="17" a="1"/>
  <c r="B218" i="17" s="1"/>
  <c r="A219" i="17" a="1"/>
  <c r="A219" i="17" s="1"/>
  <c r="B219" i="17" a="1"/>
  <c r="B219" i="17" s="1"/>
  <c r="A220" i="17" a="1"/>
  <c r="A220" i="17" s="1"/>
  <c r="B220" i="17" a="1"/>
  <c r="B220" i="17" s="1"/>
  <c r="A221" i="17" a="1"/>
  <c r="A221" i="17" s="1"/>
  <c r="B221" i="17" a="1"/>
  <c r="B221" i="17" s="1"/>
  <c r="A222" i="17" a="1"/>
  <c r="A222" i="17" s="1"/>
  <c r="B222" i="17" a="1"/>
  <c r="B222" i="17" s="1"/>
  <c r="A223" i="17" a="1"/>
  <c r="A223" i="17" s="1"/>
  <c r="B223" i="17" a="1"/>
  <c r="B223" i="17" s="1"/>
  <c r="A224" i="17" a="1"/>
  <c r="A224" i="17" s="1"/>
  <c r="B224" i="17" a="1"/>
  <c r="B224" i="17" s="1"/>
  <c r="A225" i="17" a="1"/>
  <c r="A225" i="17" s="1"/>
  <c r="B225" i="17" a="1"/>
  <c r="B225" i="17" s="1"/>
  <c r="A226" i="17" a="1"/>
  <c r="A226" i="17" s="1"/>
  <c r="B226" i="17" a="1"/>
  <c r="B226" i="17" s="1"/>
  <c r="A227" i="17" a="1"/>
  <c r="A227" i="17" s="1"/>
  <c r="B227" i="17" a="1"/>
  <c r="B227" i="17" s="1"/>
  <c r="A228" i="17" a="1"/>
  <c r="A228" i="17" s="1"/>
  <c r="B228" i="17" a="1"/>
  <c r="B228" i="17" s="1"/>
  <c r="A229" i="17" a="1"/>
  <c r="A229" i="17" s="1"/>
  <c r="B229" i="17" a="1"/>
  <c r="B229" i="17" s="1"/>
  <c r="A230" i="17" a="1"/>
  <c r="A230" i="17" s="1"/>
  <c r="B230" i="17" a="1"/>
  <c r="B230" i="17" s="1"/>
  <c r="A231" i="17" a="1"/>
  <c r="A231" i="17" s="1"/>
  <c r="B231" i="17" a="1"/>
  <c r="B231" i="17" s="1"/>
  <c r="A232" i="17" a="1"/>
  <c r="A232" i="17" s="1"/>
  <c r="B232" i="17" a="1"/>
  <c r="B232" i="17" s="1"/>
  <c r="A233" i="17" a="1"/>
  <c r="A233" i="17" s="1"/>
  <c r="B233" i="17" a="1"/>
  <c r="B233" i="17" s="1"/>
  <c r="A234" i="17" a="1"/>
  <c r="A234" i="17" s="1"/>
  <c r="B234" i="17" a="1"/>
  <c r="B234" i="17" s="1"/>
  <c r="A235" i="17" a="1"/>
  <c r="A235" i="17" s="1"/>
  <c r="B235" i="17" a="1"/>
  <c r="B235" i="17" s="1"/>
  <c r="A236" i="17" a="1"/>
  <c r="A236" i="17" s="1"/>
  <c r="B236" i="17" a="1"/>
  <c r="B236" i="17" s="1"/>
  <c r="A237" i="17" a="1"/>
  <c r="A237" i="17" s="1"/>
  <c r="B237" i="17" a="1"/>
  <c r="B237" i="17" s="1"/>
  <c r="A238" i="17" a="1"/>
  <c r="A238" i="17" s="1"/>
  <c r="B238" i="17" a="1"/>
  <c r="B238" i="17" s="1"/>
  <c r="A239" i="17" a="1"/>
  <c r="A239" i="17" s="1"/>
  <c r="B239" i="17" a="1"/>
  <c r="B239" i="17" s="1"/>
  <c r="A240" i="17" a="1"/>
  <c r="A240" i="17" s="1"/>
  <c r="B240" i="17" a="1"/>
  <c r="B240" i="17" s="1"/>
  <c r="A241" i="17" a="1"/>
  <c r="A241" i="17" s="1"/>
  <c r="B241" i="17" a="1"/>
  <c r="B241" i="17" s="1"/>
  <c r="A242" i="17" a="1"/>
  <c r="A242" i="17" s="1"/>
  <c r="B242" i="17" a="1"/>
  <c r="B242" i="17" s="1"/>
  <c r="A243" i="17" a="1"/>
  <c r="A243" i="17" s="1"/>
  <c r="B243" i="17" a="1"/>
  <c r="B243" i="17" s="1"/>
  <c r="A244" i="17" a="1"/>
  <c r="A244" i="17" s="1"/>
  <c r="B244" i="17" a="1"/>
  <c r="B244" i="17" s="1"/>
  <c r="A245" i="17" a="1"/>
  <c r="A245" i="17" s="1"/>
  <c r="B245" i="17" a="1"/>
  <c r="B245" i="17" s="1"/>
  <c r="A246" i="17" a="1"/>
  <c r="A246" i="17" s="1"/>
  <c r="B246" i="17" a="1"/>
  <c r="B246" i="17" s="1"/>
  <c r="A247" i="17" a="1"/>
  <c r="A247" i="17" s="1"/>
  <c r="B247" i="17" a="1"/>
  <c r="B247" i="17" s="1"/>
  <c r="A248" i="17" a="1"/>
  <c r="A248" i="17" s="1"/>
  <c r="B248" i="17" a="1"/>
  <c r="B248" i="17" s="1"/>
  <c r="A249" i="17" a="1"/>
  <c r="A249" i="17" s="1"/>
  <c r="B249" i="17" a="1"/>
  <c r="B249" i="17" s="1"/>
  <c r="A250" i="17" a="1"/>
  <c r="A250" i="17" s="1"/>
  <c r="B250" i="17" a="1"/>
  <c r="B250" i="17" s="1"/>
  <c r="A251" i="17" a="1"/>
  <c r="A251" i="17" s="1"/>
  <c r="B251" i="17" a="1"/>
  <c r="B251" i="17" s="1"/>
  <c r="A252" i="17" a="1"/>
  <c r="A252" i="17" s="1"/>
  <c r="B252" i="17" a="1"/>
  <c r="B252" i="17" s="1"/>
  <c r="A253" i="17" a="1"/>
  <c r="A253" i="17" s="1"/>
  <c r="B253" i="17" a="1"/>
  <c r="B253" i="17" s="1"/>
  <c r="A254" i="17" a="1"/>
  <c r="A254" i="17" s="1"/>
  <c r="B254" i="17" a="1"/>
  <c r="B254" i="17" s="1"/>
  <c r="A255" i="17" a="1"/>
  <c r="A255" i="17" s="1"/>
  <c r="B255" i="17" a="1"/>
  <c r="B255" i="17" s="1"/>
  <c r="A256" i="17" a="1"/>
  <c r="A256" i="17" s="1"/>
  <c r="B256" i="17" a="1"/>
  <c r="B256" i="17" s="1"/>
  <c r="A257" i="17" a="1"/>
  <c r="A257" i="17" s="1"/>
  <c r="B257" i="17" a="1"/>
  <c r="B257" i="17" s="1"/>
  <c r="A258" i="17" a="1"/>
  <c r="A258" i="17" s="1"/>
  <c r="B258" i="17" a="1"/>
  <c r="B258" i="17" s="1"/>
  <c r="A259" i="17" a="1"/>
  <c r="A259" i="17" s="1"/>
  <c r="B259" i="17" a="1"/>
  <c r="B259" i="17" s="1"/>
  <c r="A260" i="17" a="1"/>
  <c r="A260" i="17" s="1"/>
  <c r="B260" i="17" a="1"/>
  <c r="B260" i="17" s="1"/>
  <c r="A261" i="17" a="1"/>
  <c r="A261" i="17" s="1"/>
  <c r="B261" i="17" a="1"/>
  <c r="B261" i="17" s="1"/>
  <c r="A262" i="17" a="1"/>
  <c r="A262" i="17" s="1"/>
  <c r="B262" i="17" a="1"/>
  <c r="B262" i="17" s="1"/>
  <c r="A263" i="17" a="1"/>
  <c r="A263" i="17" s="1"/>
  <c r="B263" i="17" a="1"/>
  <c r="B263" i="17" s="1"/>
  <c r="B146" i="17" a="1"/>
  <c r="B146" i="17" s="1"/>
  <c r="A118" i="18" a="1"/>
  <c r="A118" i="18" s="1"/>
  <c r="A47" i="17" a="1"/>
  <c r="A47" i="17" s="1"/>
  <c r="B47" i="17" a="1"/>
  <c r="B47" i="17" s="1"/>
  <c r="C47" i="17" a="1"/>
  <c r="C47" i="17" s="1"/>
  <c r="A48" i="17" a="1"/>
  <c r="A48" i="17" s="1"/>
  <c r="B48" i="17" a="1"/>
  <c r="B48" i="17" s="1"/>
  <c r="C48" i="17" a="1"/>
  <c r="C48" i="17" s="1"/>
  <c r="A49" i="17" a="1"/>
  <c r="A49" i="17" s="1"/>
  <c r="B49" i="17" a="1"/>
  <c r="B49" i="17" s="1"/>
  <c r="C49" i="17" a="1"/>
  <c r="C49" i="17" s="1"/>
  <c r="A50" i="17" a="1"/>
  <c r="A50" i="17" s="1"/>
  <c r="B50" i="17" a="1"/>
  <c r="B50" i="17" s="1"/>
  <c r="C50" i="17" a="1"/>
  <c r="C50" i="17" s="1"/>
  <c r="A51" i="17" a="1"/>
  <c r="A51" i="17" s="1"/>
  <c r="B51" i="17" a="1"/>
  <c r="B51" i="17" s="1"/>
  <c r="C51" i="17" a="1"/>
  <c r="C51" i="17" s="1"/>
  <c r="A52" i="17" a="1"/>
  <c r="A52" i="17" s="1"/>
  <c r="B52" i="17" a="1"/>
  <c r="B52" i="17" s="1"/>
  <c r="C52" i="17" a="1"/>
  <c r="C52" i="17" s="1"/>
  <c r="A53" i="17" a="1"/>
  <c r="A53" i="17" s="1"/>
  <c r="B53" i="17" a="1"/>
  <c r="B53" i="17" s="1"/>
  <c r="C53" i="17" a="1"/>
  <c r="C53" i="17" s="1"/>
  <c r="A54" i="17" a="1"/>
  <c r="A54" i="17" s="1"/>
  <c r="B54" i="17" a="1"/>
  <c r="B54" i="17" s="1"/>
  <c r="C54" i="17" a="1"/>
  <c r="C54" i="17" s="1"/>
  <c r="A55" i="17" a="1"/>
  <c r="A55" i="17" s="1"/>
  <c r="B55" i="17" a="1"/>
  <c r="B55" i="17" s="1"/>
  <c r="C55" i="17" a="1"/>
  <c r="C55" i="17" s="1"/>
  <c r="A56" i="17" a="1"/>
  <c r="A56" i="17" s="1"/>
  <c r="B56" i="17" a="1"/>
  <c r="B56" i="17" s="1"/>
  <c r="C56" i="17" a="1"/>
  <c r="C56" i="17" s="1"/>
  <c r="A57" i="17" a="1"/>
  <c r="A57" i="17" s="1"/>
  <c r="B57" i="17" a="1"/>
  <c r="B57" i="17" s="1"/>
  <c r="C57" i="17" a="1"/>
  <c r="C57" i="17" s="1"/>
  <c r="A58" i="17" a="1"/>
  <c r="A58" i="17" s="1"/>
  <c r="B58" i="17" a="1"/>
  <c r="B58" i="17" s="1"/>
  <c r="C58" i="17" a="1"/>
  <c r="C58" i="17" s="1"/>
  <c r="A59" i="17" a="1"/>
  <c r="A59" i="17" s="1"/>
  <c r="B59" i="17" a="1"/>
  <c r="B59" i="17" s="1"/>
  <c r="C59" i="17" a="1"/>
  <c r="C59" i="17" s="1"/>
  <c r="A60" i="17" a="1"/>
  <c r="A60" i="17" s="1"/>
  <c r="B60" i="17" a="1"/>
  <c r="B60" i="17" s="1"/>
  <c r="C60" i="17" a="1"/>
  <c r="C60" i="17" s="1"/>
  <c r="A61" i="17" a="1"/>
  <c r="A61" i="17" s="1"/>
  <c r="B61" i="17" a="1"/>
  <c r="B61" i="17" s="1"/>
  <c r="C61" i="17" a="1"/>
  <c r="C61" i="17" s="1"/>
  <c r="A62" i="17" a="1"/>
  <c r="A62" i="17" s="1"/>
  <c r="B62" i="17" a="1"/>
  <c r="B62" i="17" s="1"/>
  <c r="C62" i="17" a="1"/>
  <c r="C62" i="17" s="1"/>
  <c r="A63" i="17" a="1"/>
  <c r="A63" i="17" s="1"/>
  <c r="B63" i="17" a="1"/>
  <c r="B63" i="17" s="1"/>
  <c r="C63" i="17" a="1"/>
  <c r="C63" i="17" s="1"/>
  <c r="A64" i="17" a="1"/>
  <c r="A64" i="17" s="1"/>
  <c r="B64" i="17" a="1"/>
  <c r="B64" i="17" s="1"/>
  <c r="C64" i="17" a="1"/>
  <c r="C64" i="17" s="1"/>
  <c r="A65" i="17" a="1"/>
  <c r="A65" i="17" s="1"/>
  <c r="B65" i="17" a="1"/>
  <c r="B65" i="17" s="1"/>
  <c r="C65" i="17" a="1"/>
  <c r="C65" i="17" s="1"/>
  <c r="A66" i="17" a="1"/>
  <c r="A66" i="17" s="1"/>
  <c r="B66" i="17" a="1"/>
  <c r="B66" i="17" s="1"/>
  <c r="C66" i="17" a="1"/>
  <c r="C66" i="17" s="1"/>
  <c r="A67" i="17" a="1"/>
  <c r="A67" i="17" s="1"/>
  <c r="B67" i="17" a="1"/>
  <c r="B67" i="17" s="1"/>
  <c r="C67" i="17" a="1"/>
  <c r="C67" i="17" s="1"/>
  <c r="A68" i="17" a="1"/>
  <c r="A68" i="17" s="1"/>
  <c r="B68" i="17" a="1"/>
  <c r="B68" i="17" s="1"/>
  <c r="C68" i="17" a="1"/>
  <c r="C68" i="17" s="1"/>
  <c r="A69" i="17" a="1"/>
  <c r="A69" i="17" s="1"/>
  <c r="B69" i="17" a="1"/>
  <c r="B69" i="17" s="1"/>
  <c r="C69" i="17" a="1"/>
  <c r="C69" i="17" s="1"/>
  <c r="A70" i="17" a="1"/>
  <c r="A70" i="17" s="1"/>
  <c r="B70" i="17" a="1"/>
  <c r="B70" i="17" s="1"/>
  <c r="C70" i="17" a="1"/>
  <c r="C70" i="17" s="1"/>
  <c r="A71" i="17" a="1"/>
  <c r="A71" i="17" s="1"/>
  <c r="B71" i="17" a="1"/>
  <c r="B71" i="17" s="1"/>
  <c r="C71" i="17" a="1"/>
  <c r="C71" i="17" s="1"/>
  <c r="A72" i="17" a="1"/>
  <c r="A72" i="17" s="1"/>
  <c r="B72" i="17" a="1"/>
  <c r="B72" i="17" s="1"/>
  <c r="C72" i="17" a="1"/>
  <c r="C72" i="17" s="1"/>
  <c r="A73" i="17" a="1"/>
  <c r="A73" i="17" s="1"/>
  <c r="B73" i="17" a="1"/>
  <c r="B73" i="17" s="1"/>
  <c r="C73" i="17" a="1"/>
  <c r="C73" i="17" s="1"/>
  <c r="A74" i="17" a="1"/>
  <c r="A74" i="17" s="1"/>
  <c r="B74" i="17" a="1"/>
  <c r="B74" i="17" s="1"/>
  <c r="C74" i="17" a="1"/>
  <c r="C74" i="17" s="1"/>
  <c r="A75" i="17" a="1"/>
  <c r="A75" i="17" s="1"/>
  <c r="B75" i="17" a="1"/>
  <c r="B75" i="17" s="1"/>
  <c r="C75" i="17" a="1"/>
  <c r="C75" i="17" s="1"/>
  <c r="A76" i="17" a="1"/>
  <c r="A76" i="17" s="1"/>
  <c r="B76" i="17" a="1"/>
  <c r="B76" i="17" s="1"/>
  <c r="C76" i="17" a="1"/>
  <c r="C76" i="17" s="1"/>
  <c r="A77" i="17" a="1"/>
  <c r="A77" i="17" s="1"/>
  <c r="B77" i="17" a="1"/>
  <c r="B77" i="17" s="1"/>
  <c r="C77" i="17" a="1"/>
  <c r="C77" i="17" s="1"/>
  <c r="A78" i="17" a="1"/>
  <c r="A78" i="17" s="1"/>
  <c r="B78" i="17" a="1"/>
  <c r="B78" i="17" s="1"/>
  <c r="C78" i="17" a="1"/>
  <c r="C78" i="17" s="1"/>
  <c r="A79" i="17" a="1"/>
  <c r="A79" i="17" s="1"/>
  <c r="B79" i="17" a="1"/>
  <c r="B79" i="17" s="1"/>
  <c r="C79" i="17" a="1"/>
  <c r="C79" i="17" s="1"/>
  <c r="A80" i="17" a="1"/>
  <c r="A80" i="17" s="1"/>
  <c r="B80" i="17" a="1"/>
  <c r="B80" i="17" s="1"/>
  <c r="C80" i="17" a="1"/>
  <c r="C80" i="17" s="1"/>
  <c r="A81" i="17" a="1"/>
  <c r="A81" i="17" s="1"/>
  <c r="B81" i="17" a="1"/>
  <c r="B81" i="17" s="1"/>
  <c r="C81" i="17" a="1"/>
  <c r="C81" i="17" s="1"/>
  <c r="A82" i="17" a="1"/>
  <c r="A82" i="17" s="1"/>
  <c r="B82" i="17" a="1"/>
  <c r="B82" i="17" s="1"/>
  <c r="C82" i="17" a="1"/>
  <c r="C82" i="17" s="1"/>
  <c r="A83" i="17" a="1"/>
  <c r="A83" i="17" s="1"/>
  <c r="B83" i="17" a="1"/>
  <c r="B83" i="17" s="1"/>
  <c r="C83" i="17" a="1"/>
  <c r="C83" i="17" s="1"/>
  <c r="A84" i="17" a="1"/>
  <c r="A84" i="17" s="1"/>
  <c r="B84" i="17" a="1"/>
  <c r="B84" i="17" s="1"/>
  <c r="C84" i="17" a="1"/>
  <c r="C84" i="17" s="1"/>
  <c r="A85" i="17" a="1"/>
  <c r="A85" i="17" s="1"/>
  <c r="B85" i="17" a="1"/>
  <c r="B85" i="17" s="1"/>
  <c r="C85" i="17" a="1"/>
  <c r="C85" i="17" s="1"/>
  <c r="A86" i="17" a="1"/>
  <c r="A86" i="17" s="1"/>
  <c r="B86" i="17" a="1"/>
  <c r="B86" i="17" s="1"/>
  <c r="C86" i="17" a="1"/>
  <c r="C86" i="17" s="1"/>
  <c r="A87" i="17" a="1"/>
  <c r="A87" i="17" s="1"/>
  <c r="B87" i="17" a="1"/>
  <c r="B87" i="17" s="1"/>
  <c r="C87" i="17" a="1"/>
  <c r="C87" i="17" s="1"/>
  <c r="A88" i="17" a="1"/>
  <c r="A88" i="17" s="1"/>
  <c r="B88" i="17" a="1"/>
  <c r="B88" i="17" s="1"/>
  <c r="C88" i="17" a="1"/>
  <c r="C88" i="17" s="1"/>
  <c r="A89" i="17" a="1"/>
  <c r="A89" i="17" s="1"/>
  <c r="B89" i="17" a="1"/>
  <c r="B89" i="17" s="1"/>
  <c r="C89" i="17" a="1"/>
  <c r="C89" i="17" s="1"/>
  <c r="A90" i="17" a="1"/>
  <c r="A90" i="17" s="1"/>
  <c r="B90" i="17" a="1"/>
  <c r="B90" i="17" s="1"/>
  <c r="C90" i="17" a="1"/>
  <c r="C90" i="17" s="1"/>
  <c r="A91" i="17" a="1"/>
  <c r="A91" i="17" s="1"/>
  <c r="B91" i="17" a="1"/>
  <c r="B91" i="17" s="1"/>
  <c r="C91" i="17" a="1"/>
  <c r="C91" i="17" s="1"/>
  <c r="A92" i="17" a="1"/>
  <c r="A92" i="17" s="1"/>
  <c r="B92" i="17" a="1"/>
  <c r="B92" i="17" s="1"/>
  <c r="C92" i="17" a="1"/>
  <c r="C92" i="17" s="1"/>
  <c r="A93" i="17" a="1"/>
  <c r="A93" i="17" s="1"/>
  <c r="B93" i="17" a="1"/>
  <c r="B93" i="17" s="1"/>
  <c r="C93" i="17" a="1"/>
  <c r="C93" i="17" s="1"/>
  <c r="A94" i="17" a="1"/>
  <c r="A94" i="17" s="1"/>
  <c r="B94" i="17" a="1"/>
  <c r="B94" i="17" s="1"/>
  <c r="C94" i="17" a="1"/>
  <c r="C94" i="17" s="1"/>
  <c r="A95" i="17" a="1"/>
  <c r="A95" i="17" s="1"/>
  <c r="B95" i="17" a="1"/>
  <c r="B95" i="17" s="1"/>
  <c r="C95" i="17" a="1"/>
  <c r="C95" i="17" s="1"/>
  <c r="A96" i="17" a="1"/>
  <c r="A96" i="17" s="1"/>
  <c r="B96" i="17" a="1"/>
  <c r="B96" i="17" s="1"/>
  <c r="C96" i="17" a="1"/>
  <c r="C96" i="17" s="1"/>
  <c r="A97" i="17" a="1"/>
  <c r="A97" i="17" s="1"/>
  <c r="B97" i="17" a="1"/>
  <c r="B97" i="17" s="1"/>
  <c r="C97" i="17" a="1"/>
  <c r="C97" i="17" s="1"/>
  <c r="A98" i="17" a="1"/>
  <c r="A98" i="17" s="1"/>
  <c r="B98" i="17" a="1"/>
  <c r="B98" i="17" s="1"/>
  <c r="C98" i="17" a="1"/>
  <c r="C98" i="17" s="1"/>
  <c r="A99" i="17" a="1"/>
  <c r="A99" i="17" s="1"/>
  <c r="B99" i="17" a="1"/>
  <c r="B99" i="17" s="1"/>
  <c r="C99" i="17" a="1"/>
  <c r="C99" i="17" s="1"/>
  <c r="A100" i="17" a="1"/>
  <c r="A100" i="17" s="1"/>
  <c r="B100" i="17" a="1"/>
  <c r="B100" i="17" s="1"/>
  <c r="C100" i="17" a="1"/>
  <c r="C100" i="17" s="1"/>
  <c r="A101" i="17" a="1"/>
  <c r="A101" i="17" s="1"/>
  <c r="B101" i="17" a="1"/>
  <c r="B101" i="17" s="1"/>
  <c r="C101" i="17" a="1"/>
  <c r="C101" i="17" s="1"/>
  <c r="A102" i="17" a="1"/>
  <c r="A102" i="17" s="1"/>
  <c r="B102" i="17" a="1"/>
  <c r="B102" i="17" s="1"/>
  <c r="C102" i="17" a="1"/>
  <c r="C102" i="17" s="1"/>
  <c r="A103" i="17" a="1"/>
  <c r="A103" i="17" s="1"/>
  <c r="B103" i="17" a="1"/>
  <c r="B103" i="17" s="1"/>
  <c r="C103" i="17" a="1"/>
  <c r="C103" i="17" s="1"/>
  <c r="A104" i="17" a="1"/>
  <c r="A104" i="17" s="1"/>
  <c r="B104" i="17" a="1"/>
  <c r="B104" i="17" s="1"/>
  <c r="C104" i="17" a="1"/>
  <c r="C104" i="17" s="1"/>
  <c r="A105" i="17" a="1"/>
  <c r="A105" i="17" s="1"/>
  <c r="B105" i="17" a="1"/>
  <c r="B105" i="17" s="1"/>
  <c r="C105" i="17" a="1"/>
  <c r="C105" i="17" s="1"/>
  <c r="A106" i="17" a="1"/>
  <c r="A106" i="17" s="1"/>
  <c r="B106" i="17" a="1"/>
  <c r="B106" i="17" s="1"/>
  <c r="C106" i="17" a="1"/>
  <c r="C106" i="17" s="1"/>
  <c r="A107" i="17" a="1"/>
  <c r="A107" i="17" s="1"/>
  <c r="B107" i="17" a="1"/>
  <c r="B107" i="17" s="1"/>
  <c r="C107" i="17" a="1"/>
  <c r="C107" i="17" s="1"/>
  <c r="A108" i="17" a="1"/>
  <c r="A108" i="17" s="1"/>
  <c r="B108" i="17" a="1"/>
  <c r="B108" i="17" s="1"/>
  <c r="C108" i="17" a="1"/>
  <c r="C108" i="17" s="1"/>
  <c r="A109" i="17" a="1"/>
  <c r="A109" i="17" s="1"/>
  <c r="B109" i="17" a="1"/>
  <c r="B109" i="17" s="1"/>
  <c r="C109" i="17" a="1"/>
  <c r="C109" i="17" s="1"/>
  <c r="A110" i="17" a="1"/>
  <c r="A110" i="17" s="1"/>
  <c r="B110" i="17" a="1"/>
  <c r="B110" i="17" s="1"/>
  <c r="C110" i="17" a="1"/>
  <c r="C110" i="17" s="1"/>
  <c r="A111" i="17" a="1"/>
  <c r="A111" i="17" s="1"/>
  <c r="B111" i="17" a="1"/>
  <c r="B111" i="17" s="1"/>
  <c r="C111" i="17" a="1"/>
  <c r="C111" i="17" s="1"/>
  <c r="A112" i="17" a="1"/>
  <c r="A112" i="17" s="1"/>
  <c r="B112" i="17" a="1"/>
  <c r="B112" i="17" s="1"/>
  <c r="C112" i="17" a="1"/>
  <c r="C112" i="17" s="1"/>
  <c r="A113" i="17" a="1"/>
  <c r="A113" i="17" s="1"/>
  <c r="B113" i="17" a="1"/>
  <c r="B113" i="17" s="1"/>
  <c r="C113" i="17" a="1"/>
  <c r="C113" i="17" s="1"/>
  <c r="A114" i="17" a="1"/>
  <c r="A114" i="17" s="1"/>
  <c r="B114" i="17" a="1"/>
  <c r="B114" i="17" s="1"/>
  <c r="C114" i="17" a="1"/>
  <c r="C114" i="17" s="1"/>
  <c r="A115" i="17" a="1"/>
  <c r="A115" i="17" s="1"/>
  <c r="B115" i="17" a="1"/>
  <c r="B115" i="17" s="1"/>
  <c r="C115" i="17" a="1"/>
  <c r="C115" i="17" s="1"/>
  <c r="A116" i="17" a="1"/>
  <c r="A116" i="17" s="1"/>
  <c r="B116" i="17" a="1"/>
  <c r="B116" i="17" s="1"/>
  <c r="C116" i="17" a="1"/>
  <c r="C116" i="17" s="1"/>
  <c r="A117" i="17" a="1"/>
  <c r="A117" i="17" s="1"/>
  <c r="B117" i="17" a="1"/>
  <c r="B117" i="17" s="1"/>
  <c r="C117" i="17" a="1"/>
  <c r="C117" i="17" s="1"/>
  <c r="A118" i="17" a="1"/>
  <c r="A118" i="17" s="1"/>
  <c r="B118" i="17" a="1"/>
  <c r="B118" i="17" s="1"/>
  <c r="C118" i="17" a="1"/>
  <c r="C118" i="17" s="1"/>
  <c r="A119" i="17" a="1"/>
  <c r="A119" i="17" s="1"/>
  <c r="B119" i="17" a="1"/>
  <c r="B119" i="17" s="1"/>
  <c r="C119" i="17" a="1"/>
  <c r="C119" i="17" s="1"/>
  <c r="A120" i="17" a="1"/>
  <c r="A120" i="17" s="1"/>
  <c r="B120" i="17" a="1"/>
  <c r="B120" i="17" s="1"/>
  <c r="C120" i="17" a="1"/>
  <c r="C120" i="17" s="1"/>
  <c r="A121" i="17" a="1"/>
  <c r="A121" i="17" s="1"/>
  <c r="B121" i="17" a="1"/>
  <c r="B121" i="17" s="1"/>
  <c r="C121" i="17" a="1"/>
  <c r="C121" i="17" s="1"/>
  <c r="A122" i="17" a="1"/>
  <c r="A122" i="17" s="1"/>
  <c r="B122" i="17" a="1"/>
  <c r="B122" i="17" s="1"/>
  <c r="C122" i="17" a="1"/>
  <c r="C122" i="17" s="1"/>
  <c r="A123" i="17" a="1"/>
  <c r="A123" i="17" s="1"/>
  <c r="B123" i="17" a="1"/>
  <c r="B123" i="17" s="1"/>
  <c r="C123" i="17" a="1"/>
  <c r="C123" i="17" s="1"/>
  <c r="A124" i="17" a="1"/>
  <c r="A124" i="17" s="1"/>
  <c r="B124" i="17" a="1"/>
  <c r="B124" i="17" s="1"/>
  <c r="C124" i="17" a="1"/>
  <c r="C124" i="17" s="1"/>
  <c r="A125" i="17" a="1"/>
  <c r="A125" i="17" s="1"/>
  <c r="B125" i="17" a="1"/>
  <c r="B125" i="17" s="1"/>
  <c r="C125" i="17" a="1"/>
  <c r="C125" i="17" s="1"/>
  <c r="A126" i="17" a="1"/>
  <c r="A126" i="17" s="1"/>
  <c r="B126" i="17" a="1"/>
  <c r="B126" i="17" s="1"/>
  <c r="C126" i="17" a="1"/>
  <c r="C126" i="17" s="1"/>
  <c r="A127" i="17" a="1"/>
  <c r="A127" i="17" s="1"/>
  <c r="B127" i="17" a="1"/>
  <c r="B127" i="17" s="1"/>
  <c r="C127" i="17" a="1"/>
  <c r="C127" i="17" s="1"/>
  <c r="A128" i="17" a="1"/>
  <c r="A128" i="17" s="1"/>
  <c r="B128" i="17" a="1"/>
  <c r="B128" i="17" s="1"/>
  <c r="C128" i="17" a="1"/>
  <c r="C128" i="17" s="1"/>
  <c r="A129" i="17" a="1"/>
  <c r="A129" i="17" s="1"/>
  <c r="B129" i="17" a="1"/>
  <c r="B129" i="17" s="1"/>
  <c r="C129" i="17" a="1"/>
  <c r="C129" i="17" s="1"/>
  <c r="A130" i="17" a="1"/>
  <c r="A130" i="17" s="1"/>
  <c r="B130" i="17" a="1"/>
  <c r="B130" i="17" s="1"/>
  <c r="C130" i="17" a="1"/>
  <c r="C130" i="17" s="1"/>
  <c r="A131" i="17" a="1"/>
  <c r="A131" i="17" s="1"/>
  <c r="B131" i="17" a="1"/>
  <c r="B131" i="17" s="1"/>
  <c r="C131" i="17" a="1"/>
  <c r="C131" i="17" s="1"/>
  <c r="A132" i="17" a="1"/>
  <c r="A132" i="17" s="1"/>
  <c r="B132" i="17" a="1"/>
  <c r="B132" i="17" s="1"/>
  <c r="C132" i="17" a="1"/>
  <c r="C132" i="17" s="1"/>
  <c r="A133" i="17" a="1"/>
  <c r="A133" i="17" s="1"/>
  <c r="B133" i="17" a="1"/>
  <c r="B133" i="17" s="1"/>
  <c r="C133" i="17" a="1"/>
  <c r="C133" i="17" s="1"/>
  <c r="A134" i="17" a="1"/>
  <c r="A134" i="17" s="1"/>
  <c r="B134" i="17" a="1"/>
  <c r="B134" i="17" s="1"/>
  <c r="C134" i="17" a="1"/>
  <c r="C134" i="17" s="1"/>
  <c r="A135" i="17" a="1"/>
  <c r="A135" i="17" s="1"/>
  <c r="B135" i="17" a="1"/>
  <c r="B135" i="17" s="1"/>
  <c r="C135" i="17" a="1"/>
  <c r="C135" i="17" s="1"/>
  <c r="A136" i="17" a="1"/>
  <c r="A136" i="17" s="1"/>
  <c r="B136" i="17" a="1"/>
  <c r="B136" i="17" s="1"/>
  <c r="C136" i="17" a="1"/>
  <c r="C136" i="17" s="1"/>
  <c r="A137" i="17" a="1"/>
  <c r="A137" i="17" s="1"/>
  <c r="B137" i="17" a="1"/>
  <c r="B137" i="17" s="1"/>
  <c r="C137" i="17" a="1"/>
  <c r="C137" i="17" s="1"/>
  <c r="A138" i="17" a="1"/>
  <c r="A138" i="17" s="1"/>
  <c r="B138" i="17" a="1"/>
  <c r="B138" i="17" s="1"/>
  <c r="C138" i="17" a="1"/>
  <c r="C138" i="17" s="1"/>
  <c r="A139" i="17" a="1"/>
  <c r="A139" i="17" s="1"/>
  <c r="B139" i="17" a="1"/>
  <c r="B139" i="17" s="1"/>
  <c r="C139" i="17" a="1"/>
  <c r="C139" i="17" s="1"/>
  <c r="A140" i="17" a="1"/>
  <c r="A140" i="17" s="1"/>
  <c r="B140" i="17" a="1"/>
  <c r="B140" i="17" s="1"/>
  <c r="C140" i="17" a="1"/>
  <c r="C140" i="17" s="1"/>
  <c r="A141" i="17" a="1"/>
  <c r="A141" i="17" s="1"/>
  <c r="B141" i="17" a="1"/>
  <c r="B141" i="17" s="1"/>
  <c r="C141" i="17" a="1"/>
  <c r="C141" i="17" s="1"/>
  <c r="A142" i="17" a="1"/>
  <c r="A142" i="17" s="1"/>
  <c r="B142" i="17" a="1"/>
  <c r="B142" i="17" s="1"/>
  <c r="C142" i="17" a="1"/>
  <c r="C142" i="17" s="1"/>
  <c r="A143" i="17" a="1"/>
  <c r="A143" i="17" s="1"/>
  <c r="B143" i="17" a="1"/>
  <c r="B143" i="17" s="1"/>
  <c r="C143" i="17" a="1"/>
  <c r="C143" i="17" s="1"/>
  <c r="A144" i="17" a="1"/>
  <c r="A144" i="17" s="1"/>
  <c r="B144" i="17" a="1"/>
  <c r="B144" i="17" s="1"/>
  <c r="C144" i="17" a="1"/>
  <c r="C144" i="17" s="1"/>
  <c r="A145" i="17" a="1"/>
  <c r="A145" i="17" s="1"/>
  <c r="B145" i="17" a="1"/>
  <c r="B145" i="17" s="1"/>
  <c r="C145" i="17" a="1"/>
  <c r="C145" i="17" s="1"/>
  <c r="A146" i="17" a="1"/>
  <c r="A146" i="17" s="1"/>
  <c r="C146" i="17" a="1"/>
  <c r="C146" i="17" s="1"/>
  <c r="A671" i="18" a="1"/>
  <c r="A671" i="18" s="1"/>
  <c r="A672" i="18" a="1"/>
  <c r="A672" i="18" s="1"/>
  <c r="A673" i="18" a="1"/>
  <c r="A673" i="18" s="1"/>
  <c r="A674" i="18" a="1"/>
  <c r="A674" i="18"/>
  <c r="A675" i="18" a="1"/>
  <c r="A675" i="18" s="1"/>
  <c r="A676" i="18" a="1"/>
  <c r="A676" i="18" s="1"/>
  <c r="A677" i="18" a="1"/>
  <c r="A677" i="18" s="1"/>
  <c r="A678" i="18" a="1"/>
  <c r="A678" i="18"/>
  <c r="A679" i="18" a="1"/>
  <c r="A679" i="18" s="1"/>
  <c r="A680" i="18" a="1"/>
  <c r="A680" i="18" s="1"/>
  <c r="A681" i="18" a="1"/>
  <c r="A681" i="18" s="1"/>
  <c r="A682" i="18" a="1"/>
  <c r="A682" i="18"/>
  <c r="A683" i="18" a="1"/>
  <c r="A683" i="18" s="1"/>
  <c r="A684" i="18" a="1"/>
  <c r="A684" i="18" s="1"/>
  <c r="A685" i="18" a="1"/>
  <c r="A685" i="18" s="1"/>
  <c r="A686" i="18" a="1"/>
  <c r="A686" i="18"/>
  <c r="A687" i="18" a="1"/>
  <c r="A687" i="18" s="1"/>
  <c r="A688" i="18" a="1"/>
  <c r="A688" i="18" s="1"/>
  <c r="A689" i="18" a="1"/>
  <c r="A689" i="18" s="1"/>
  <c r="A690" i="18" a="1"/>
  <c r="A690" i="18"/>
  <c r="A691" i="18" a="1"/>
  <c r="A691" i="18" s="1"/>
  <c r="A692" i="18" a="1"/>
  <c r="A692" i="18" s="1"/>
  <c r="A693" i="18" a="1"/>
  <c r="A693" i="18" s="1"/>
  <c r="A694" i="18" a="1"/>
  <c r="A694" i="18"/>
  <c r="A695" i="18" a="1"/>
  <c r="A695" i="18" s="1"/>
  <c r="A696" i="18" a="1"/>
  <c r="A696" i="18" s="1"/>
  <c r="A697" i="18" a="1"/>
  <c r="A697" i="18" s="1"/>
  <c r="A698" i="18" a="1"/>
  <c r="A698" i="18"/>
  <c r="A699" i="18" a="1"/>
  <c r="A699" i="18" s="1"/>
  <c r="A700" i="18" a="1"/>
  <c r="A700" i="18" s="1"/>
  <c r="A701" i="18" a="1"/>
  <c r="A701" i="18" s="1"/>
  <c r="A702" i="18" a="1"/>
  <c r="A702" i="18"/>
  <c r="A703" i="18" a="1"/>
  <c r="A703" i="18" s="1"/>
  <c r="A704" i="18" a="1"/>
  <c r="A704" i="18" s="1"/>
  <c r="A705" i="18" a="1"/>
  <c r="A705" i="18" s="1"/>
  <c r="A706" i="18" a="1"/>
  <c r="A706" i="18"/>
  <c r="A707" i="18" a="1"/>
  <c r="A707" i="18" s="1"/>
  <c r="A708" i="18" a="1"/>
  <c r="A708" i="18" s="1"/>
  <c r="A709" i="18" a="1"/>
  <c r="A709" i="18" s="1"/>
  <c r="A710" i="18" a="1"/>
  <c r="A710" i="18"/>
  <c r="A711" i="18" a="1"/>
  <c r="A711" i="18" s="1"/>
  <c r="A712" i="18" a="1"/>
  <c r="A712" i="18" s="1"/>
  <c r="A713" i="18" a="1"/>
  <c r="A713" i="18" s="1"/>
  <c r="A714" i="18" a="1"/>
  <c r="A714" i="18"/>
  <c r="A715" i="18" a="1"/>
  <c r="A715" i="18" s="1"/>
  <c r="A716" i="18" a="1"/>
  <c r="A716" i="18" s="1"/>
  <c r="A717" i="18" a="1"/>
  <c r="A717" i="18" s="1"/>
  <c r="A718" i="18" a="1"/>
  <c r="A718" i="18"/>
  <c r="A719" i="18" a="1"/>
  <c r="A719" i="18" s="1"/>
  <c r="A720" i="18" a="1"/>
  <c r="A720" i="18" s="1"/>
  <c r="A721" i="18" a="1"/>
  <c r="A721" i="18" s="1"/>
  <c r="A722" i="18" a="1"/>
  <c r="A722" i="18"/>
  <c r="A723" i="18" a="1"/>
  <c r="A723" i="18" s="1"/>
  <c r="A724" i="18" a="1"/>
  <c r="A724" i="18" s="1"/>
  <c r="A725" i="18" a="1"/>
  <c r="A725" i="18" s="1"/>
  <c r="A726" i="18" a="1"/>
  <c r="A726" i="18"/>
  <c r="A727" i="18" a="1"/>
  <c r="A727" i="18" s="1"/>
  <c r="A728" i="18" a="1"/>
  <c r="A728" i="18" s="1"/>
  <c r="A729" i="18" a="1"/>
  <c r="A729" i="18" s="1"/>
  <c r="A730" i="18" a="1"/>
  <c r="A730" i="18"/>
  <c r="A731" i="18" a="1"/>
  <c r="A731" i="18" s="1"/>
  <c r="A732" i="18" a="1"/>
  <c r="A732" i="18" s="1"/>
  <c r="A733" i="18" a="1"/>
  <c r="A733" i="18" s="1"/>
  <c r="A734" i="18" a="1"/>
  <c r="A734" i="18"/>
  <c r="A735" i="18" a="1"/>
  <c r="A735" i="18" s="1"/>
  <c r="A736" i="18" a="1"/>
  <c r="A736" i="18" s="1"/>
  <c r="A737" i="18" a="1"/>
  <c r="A737" i="18" s="1"/>
  <c r="A738" i="18" a="1"/>
  <c r="A738" i="18"/>
  <c r="A739" i="18" a="1"/>
  <c r="A739" i="18" s="1"/>
  <c r="A740" i="18" a="1"/>
  <c r="A740" i="18" s="1"/>
  <c r="A741" i="18" a="1"/>
  <c r="A741" i="18" s="1"/>
  <c r="A742" i="18" a="1"/>
  <c r="A742" i="18"/>
  <c r="A743" i="18" a="1"/>
  <c r="A743" i="18" s="1"/>
  <c r="A744" i="18" a="1"/>
  <c r="A744" i="18" s="1"/>
  <c r="A745" i="18" a="1"/>
  <c r="A745" i="18" s="1"/>
  <c r="A746" i="18" a="1"/>
  <c r="A746" i="18"/>
  <c r="A747" i="18" a="1"/>
  <c r="A747" i="18" s="1"/>
  <c r="A748" i="18" a="1"/>
  <c r="A748" i="18" s="1"/>
  <c r="A749" i="18" a="1"/>
  <c r="A749" i="18" s="1"/>
  <c r="A750" i="18" a="1"/>
  <c r="A750" i="18"/>
  <c r="A751" i="18" a="1"/>
  <c r="A751" i="18" s="1"/>
  <c r="A752" i="18" a="1"/>
  <c r="A752" i="18" s="1"/>
  <c r="A753" i="18" a="1"/>
  <c r="A753" i="18" s="1"/>
  <c r="A754" i="18" a="1"/>
  <c r="A754" i="18"/>
  <c r="A755" i="18" a="1"/>
  <c r="A755" i="18" s="1"/>
  <c r="A756" i="18" a="1"/>
  <c r="A756" i="18" s="1"/>
  <c r="A757" i="18" a="1"/>
  <c r="A757" i="18" s="1"/>
  <c r="A758" i="18" a="1"/>
  <c r="A758" i="18"/>
  <c r="A759" i="18" a="1"/>
  <c r="A759" i="18" s="1"/>
  <c r="A760" i="18" a="1"/>
  <c r="A760" i="18" s="1"/>
  <c r="A761" i="18" a="1"/>
  <c r="A761" i="18" s="1"/>
  <c r="A762" i="18" a="1"/>
  <c r="A762" i="18"/>
  <c r="A763" i="18" a="1"/>
  <c r="A763" i="18" s="1"/>
  <c r="A764" i="18" a="1"/>
  <c r="A764" i="18" s="1"/>
  <c r="A765" i="18" a="1"/>
  <c r="A765" i="18" s="1"/>
  <c r="A766" i="18" a="1"/>
  <c r="A766" i="18"/>
  <c r="A767" i="18" a="1"/>
  <c r="A767" i="18" s="1"/>
  <c r="A768" i="18" a="1"/>
  <c r="A768" i="18" s="1"/>
  <c r="A769" i="18" a="1"/>
  <c r="A769" i="18" s="1"/>
  <c r="A770" i="18" a="1"/>
  <c r="A770" i="18"/>
  <c r="O45" i="17"/>
  <c r="E672" i="18" a="1"/>
  <c r="E672" i="18" s="1"/>
  <c r="E673" i="18" a="1"/>
  <c r="E673" i="18" s="1"/>
  <c r="E674" i="18" a="1"/>
  <c r="E674" i="18" s="1"/>
  <c r="E675" i="18" a="1"/>
  <c r="E675" i="18" s="1"/>
  <c r="E676" i="18" a="1"/>
  <c r="E676" i="18" s="1"/>
  <c r="E677" i="18" a="1"/>
  <c r="E677" i="18" s="1"/>
  <c r="E678" i="18" a="1"/>
  <c r="E678" i="18" s="1"/>
  <c r="E679" i="18" a="1"/>
  <c r="E679" i="18" s="1"/>
  <c r="E680" i="18" a="1"/>
  <c r="E680" i="18" s="1"/>
  <c r="E681" i="18" a="1"/>
  <c r="E681" i="18" s="1"/>
  <c r="E682" i="18" a="1"/>
  <c r="E682" i="18" s="1"/>
  <c r="E683" i="18" a="1"/>
  <c r="E683" i="18" s="1"/>
  <c r="E684" i="18" a="1"/>
  <c r="E684" i="18" s="1"/>
  <c r="E685" i="18" a="1"/>
  <c r="E685" i="18" s="1"/>
  <c r="E686" i="18" a="1"/>
  <c r="E686" i="18" s="1"/>
  <c r="E687" i="18" a="1"/>
  <c r="E687" i="18" s="1"/>
  <c r="E688" i="18" a="1"/>
  <c r="E688" i="18" s="1"/>
  <c r="E689" i="18" a="1"/>
  <c r="E689" i="18" s="1"/>
  <c r="E690" i="18" a="1"/>
  <c r="E690" i="18" s="1"/>
  <c r="E691" i="18" a="1"/>
  <c r="E691" i="18" s="1"/>
  <c r="E692" i="18" a="1"/>
  <c r="E692" i="18" s="1"/>
  <c r="E693" i="18" a="1"/>
  <c r="E693" i="18" s="1"/>
  <c r="E694" i="18" a="1"/>
  <c r="E694" i="18" s="1"/>
  <c r="E695" i="18" a="1"/>
  <c r="E695" i="18" s="1"/>
  <c r="E696" i="18" a="1"/>
  <c r="E696" i="18" s="1"/>
  <c r="E697" i="18" a="1"/>
  <c r="E697" i="18" s="1"/>
  <c r="E698" i="18" a="1"/>
  <c r="E698" i="18" s="1"/>
  <c r="E699" i="18" a="1"/>
  <c r="E699" i="18" s="1"/>
  <c r="E700" i="18" a="1"/>
  <c r="E700" i="18" s="1"/>
  <c r="E701" i="18" a="1"/>
  <c r="E701" i="18" s="1"/>
  <c r="E702" i="18" a="1"/>
  <c r="E702" i="18" s="1"/>
  <c r="E703" i="18" a="1"/>
  <c r="E703" i="18" s="1"/>
  <c r="E704" i="18" a="1"/>
  <c r="E704" i="18" s="1"/>
  <c r="E705" i="18" a="1"/>
  <c r="E705" i="18" s="1"/>
  <c r="E706" i="18" a="1"/>
  <c r="E706" i="18" s="1"/>
  <c r="E707" i="18" a="1"/>
  <c r="E707" i="18" s="1"/>
  <c r="E708" i="18" a="1"/>
  <c r="E708" i="18" s="1"/>
  <c r="E709" i="18" a="1"/>
  <c r="E709" i="18" s="1"/>
  <c r="E710" i="18" a="1"/>
  <c r="E710" i="18" s="1"/>
  <c r="E711" i="18" a="1"/>
  <c r="E711" i="18" s="1"/>
  <c r="E712" i="18" a="1"/>
  <c r="E712" i="18" s="1"/>
  <c r="E713" i="18" a="1"/>
  <c r="E713" i="18" s="1"/>
  <c r="E714" i="18" a="1"/>
  <c r="E714" i="18" s="1"/>
  <c r="E715" i="18" a="1"/>
  <c r="E715" i="18" s="1"/>
  <c r="E716" i="18" a="1"/>
  <c r="E716" i="18" s="1"/>
  <c r="E717" i="18" a="1"/>
  <c r="E717" i="18" s="1"/>
  <c r="E718" i="18" a="1"/>
  <c r="E718" i="18" s="1"/>
  <c r="E719" i="18" a="1"/>
  <c r="E719" i="18" s="1"/>
  <c r="E720" i="18" a="1"/>
  <c r="E720" i="18" s="1"/>
  <c r="E721" i="18" a="1"/>
  <c r="E721" i="18" s="1"/>
  <c r="E722" i="18" a="1"/>
  <c r="E722" i="18" s="1"/>
  <c r="E723" i="18" a="1"/>
  <c r="E723" i="18" s="1"/>
  <c r="E724" i="18" a="1"/>
  <c r="E724" i="18" s="1"/>
  <c r="E725" i="18" a="1"/>
  <c r="E725" i="18" s="1"/>
  <c r="E726" i="18" a="1"/>
  <c r="E726" i="18" s="1"/>
  <c r="E727" i="18" a="1"/>
  <c r="E727" i="18" s="1"/>
  <c r="E728" i="18" a="1"/>
  <c r="E728" i="18" s="1"/>
  <c r="E729" i="18" a="1"/>
  <c r="E729" i="18" s="1"/>
  <c r="E730" i="18" a="1"/>
  <c r="E730" i="18" s="1"/>
  <c r="E731" i="18" a="1"/>
  <c r="E731" i="18" s="1"/>
  <c r="E732" i="18" a="1"/>
  <c r="E732" i="18" s="1"/>
  <c r="E733" i="18" a="1"/>
  <c r="E733" i="18" s="1"/>
  <c r="E734" i="18" a="1"/>
  <c r="E734" i="18" s="1"/>
  <c r="E735" i="18" a="1"/>
  <c r="E735" i="18" s="1"/>
  <c r="E736" i="18" a="1"/>
  <c r="E736" i="18" s="1"/>
  <c r="E737" i="18" a="1"/>
  <c r="E737" i="18" s="1"/>
  <c r="E738" i="18" a="1"/>
  <c r="E738" i="18" s="1"/>
  <c r="E739" i="18" a="1"/>
  <c r="E739" i="18" s="1"/>
  <c r="E740" i="18" a="1"/>
  <c r="E740" i="18" s="1"/>
  <c r="E741" i="18" a="1"/>
  <c r="E741" i="18" s="1"/>
  <c r="E742" i="18" a="1"/>
  <c r="E742" i="18" s="1"/>
  <c r="E743" i="18" a="1"/>
  <c r="E743" i="18" s="1"/>
  <c r="E744" i="18" a="1"/>
  <c r="E744" i="18" s="1"/>
  <c r="E745" i="18" a="1"/>
  <c r="E745" i="18" s="1"/>
  <c r="E746" i="18" a="1"/>
  <c r="E746" i="18" s="1"/>
  <c r="E747" i="18" a="1"/>
  <c r="E747" i="18" s="1"/>
  <c r="E748" i="18" a="1"/>
  <c r="E748" i="18" s="1"/>
  <c r="E749" i="18" a="1"/>
  <c r="E749" i="18" s="1"/>
  <c r="E750" i="18" a="1"/>
  <c r="E750" i="18" s="1"/>
  <c r="E751" i="18" a="1"/>
  <c r="E751" i="18" s="1"/>
  <c r="E752" i="18" a="1"/>
  <c r="E752" i="18" s="1"/>
  <c r="E753" i="18" a="1"/>
  <c r="E753" i="18" s="1"/>
  <c r="E754" i="18" a="1"/>
  <c r="E754" i="18" s="1"/>
  <c r="E755" i="18" a="1"/>
  <c r="E755" i="18" s="1"/>
  <c r="E756" i="18" a="1"/>
  <c r="E756" i="18" s="1"/>
  <c r="E757" i="18" a="1"/>
  <c r="E757" i="18" s="1"/>
  <c r="E758" i="18" a="1"/>
  <c r="E758" i="18" s="1"/>
  <c r="E759" i="18" a="1"/>
  <c r="E759" i="18" s="1"/>
  <c r="E760" i="18" a="1"/>
  <c r="E760" i="18" s="1"/>
  <c r="E761" i="18" a="1"/>
  <c r="E761" i="18" s="1"/>
  <c r="E762" i="18" a="1"/>
  <c r="E762" i="18" s="1"/>
  <c r="E763" i="18" a="1"/>
  <c r="E763" i="18" s="1"/>
  <c r="E764" i="18" a="1"/>
  <c r="E764" i="18" s="1"/>
  <c r="E765" i="18" a="1"/>
  <c r="E765" i="18" s="1"/>
  <c r="E766" i="18" a="1"/>
  <c r="E766" i="18" s="1"/>
  <c r="E767" i="18" a="1"/>
  <c r="E767" i="18" s="1"/>
  <c r="E768" i="18" a="1"/>
  <c r="E768" i="18" s="1"/>
  <c r="E769" i="18" a="1"/>
  <c r="E769" i="18" s="1"/>
  <c r="E770" i="18" a="1"/>
  <c r="E770" i="18" s="1"/>
  <c r="E671" i="18" a="1"/>
  <c r="E671" i="18" s="1"/>
  <c r="D672" i="18" a="1"/>
  <c r="D672" i="18" s="1"/>
  <c r="D673" i="18" a="1"/>
  <c r="D673" i="18" s="1"/>
  <c r="D674" i="18" a="1"/>
  <c r="D674" i="18" s="1"/>
  <c r="D675" i="18" a="1"/>
  <c r="D675" i="18" s="1"/>
  <c r="D676" i="18" a="1"/>
  <c r="D676" i="18" s="1"/>
  <c r="D677" i="18" a="1"/>
  <c r="D677" i="18" s="1"/>
  <c r="D678" i="18" a="1"/>
  <c r="D678" i="18" s="1"/>
  <c r="D679" i="18" a="1"/>
  <c r="D679" i="18" s="1"/>
  <c r="D680" i="18" a="1"/>
  <c r="D680" i="18" s="1"/>
  <c r="D681" i="18" a="1"/>
  <c r="D681" i="18" s="1"/>
  <c r="D682" i="18" a="1"/>
  <c r="D682" i="18" s="1"/>
  <c r="D683" i="18" a="1"/>
  <c r="D683" i="18" s="1"/>
  <c r="D684" i="18" a="1"/>
  <c r="D684" i="18" s="1"/>
  <c r="D685" i="18" a="1"/>
  <c r="D685" i="18" s="1"/>
  <c r="D686" i="18" a="1"/>
  <c r="D686" i="18" s="1"/>
  <c r="D687" i="18" a="1"/>
  <c r="D687" i="18" s="1"/>
  <c r="D688" i="18" a="1"/>
  <c r="D688" i="18" s="1"/>
  <c r="D689" i="18" a="1"/>
  <c r="D689" i="18" s="1"/>
  <c r="D690" i="18" a="1"/>
  <c r="D690" i="18" s="1"/>
  <c r="D691" i="18" a="1"/>
  <c r="D691" i="18" s="1"/>
  <c r="D692" i="18" a="1"/>
  <c r="D692" i="18" s="1"/>
  <c r="D693" i="18" a="1"/>
  <c r="D693" i="18" s="1"/>
  <c r="D694" i="18" a="1"/>
  <c r="D694" i="18" s="1"/>
  <c r="D695" i="18" a="1"/>
  <c r="D695" i="18" s="1"/>
  <c r="D696" i="18" a="1"/>
  <c r="D696" i="18" s="1"/>
  <c r="D697" i="18" a="1"/>
  <c r="D697" i="18" s="1"/>
  <c r="D698" i="18" a="1"/>
  <c r="D698" i="18" s="1"/>
  <c r="D699" i="18" a="1"/>
  <c r="D699" i="18" s="1"/>
  <c r="D700" i="18" a="1"/>
  <c r="D700" i="18" s="1"/>
  <c r="D701" i="18" a="1"/>
  <c r="D701" i="18" s="1"/>
  <c r="D702" i="18" a="1"/>
  <c r="D702" i="18" s="1"/>
  <c r="D703" i="18" a="1"/>
  <c r="D703" i="18" s="1"/>
  <c r="D704" i="18" a="1"/>
  <c r="D704" i="18" s="1"/>
  <c r="D705" i="18" a="1"/>
  <c r="D705" i="18" s="1"/>
  <c r="D706" i="18" a="1"/>
  <c r="D706" i="18" s="1"/>
  <c r="D707" i="18" a="1"/>
  <c r="D707" i="18" s="1"/>
  <c r="D708" i="18" a="1"/>
  <c r="D708" i="18" s="1"/>
  <c r="D709" i="18" a="1"/>
  <c r="D709" i="18" s="1"/>
  <c r="D710" i="18" a="1"/>
  <c r="D710" i="18" s="1"/>
  <c r="D711" i="18" a="1"/>
  <c r="D711" i="18" s="1"/>
  <c r="D712" i="18" a="1"/>
  <c r="D712" i="18" s="1"/>
  <c r="D713" i="18" a="1"/>
  <c r="D713" i="18" s="1"/>
  <c r="D714" i="18" a="1"/>
  <c r="D714" i="18" s="1"/>
  <c r="D715" i="18" a="1"/>
  <c r="D715" i="18" s="1"/>
  <c r="D716" i="18" a="1"/>
  <c r="D716" i="18" s="1"/>
  <c r="D717" i="18" a="1"/>
  <c r="D717" i="18" s="1"/>
  <c r="D718" i="18" a="1"/>
  <c r="D718" i="18" s="1"/>
  <c r="D719" i="18" a="1"/>
  <c r="D719" i="18" s="1"/>
  <c r="D720" i="18" a="1"/>
  <c r="D720" i="18" s="1"/>
  <c r="D721" i="18" a="1"/>
  <c r="D721" i="18" s="1"/>
  <c r="D722" i="18" a="1"/>
  <c r="D722" i="18" s="1"/>
  <c r="D723" i="18" a="1"/>
  <c r="D723" i="18" s="1"/>
  <c r="D724" i="18" a="1"/>
  <c r="D724" i="18" s="1"/>
  <c r="D725" i="18" a="1"/>
  <c r="D725" i="18" s="1"/>
  <c r="D726" i="18" a="1"/>
  <c r="D726" i="18" s="1"/>
  <c r="D727" i="18" a="1"/>
  <c r="D727" i="18" s="1"/>
  <c r="D728" i="18" a="1"/>
  <c r="D728" i="18" s="1"/>
  <c r="D729" i="18" a="1"/>
  <c r="D729" i="18" s="1"/>
  <c r="D730" i="18" a="1"/>
  <c r="D730" i="18" s="1"/>
  <c r="D731" i="18" a="1"/>
  <c r="D731" i="18" s="1"/>
  <c r="D732" i="18" a="1"/>
  <c r="D732" i="18" s="1"/>
  <c r="D733" i="18" a="1"/>
  <c r="D733" i="18" s="1"/>
  <c r="D734" i="18" a="1"/>
  <c r="D734" i="18" s="1"/>
  <c r="D735" i="18" a="1"/>
  <c r="D735" i="18" s="1"/>
  <c r="D736" i="18" a="1"/>
  <c r="D736" i="18" s="1"/>
  <c r="D737" i="18" a="1"/>
  <c r="D737" i="18" s="1"/>
  <c r="D738" i="18" a="1"/>
  <c r="D738" i="18" s="1"/>
  <c r="D739" i="18" a="1"/>
  <c r="D739" i="18" s="1"/>
  <c r="D740" i="18" a="1"/>
  <c r="D740" i="18" s="1"/>
  <c r="D741" i="18" a="1"/>
  <c r="D741" i="18" s="1"/>
  <c r="D742" i="18" a="1"/>
  <c r="D742" i="18" s="1"/>
  <c r="D743" i="18" a="1"/>
  <c r="D743" i="18" s="1"/>
  <c r="D744" i="18" a="1"/>
  <c r="D744" i="18" s="1"/>
  <c r="D745" i="18" a="1"/>
  <c r="D745" i="18" s="1"/>
  <c r="D746" i="18" a="1"/>
  <c r="D746" i="18" s="1"/>
  <c r="D747" i="18" a="1"/>
  <c r="D747" i="18" s="1"/>
  <c r="D748" i="18" a="1"/>
  <c r="D748" i="18" s="1"/>
  <c r="D749" i="18" a="1"/>
  <c r="D749" i="18" s="1"/>
  <c r="D750" i="18" a="1"/>
  <c r="D750" i="18" s="1"/>
  <c r="D751" i="18" a="1"/>
  <c r="D751" i="18" s="1"/>
  <c r="D752" i="18" a="1"/>
  <c r="D752" i="18" s="1"/>
  <c r="D753" i="18" a="1"/>
  <c r="D753" i="18" s="1"/>
  <c r="D754" i="18" a="1"/>
  <c r="D754" i="18" s="1"/>
  <c r="D755" i="18" a="1"/>
  <c r="D755" i="18" s="1"/>
  <c r="D756" i="18" a="1"/>
  <c r="D756" i="18" s="1"/>
  <c r="D757" i="18" a="1"/>
  <c r="D757" i="18" s="1"/>
  <c r="D758" i="18" a="1"/>
  <c r="D758" i="18" s="1"/>
  <c r="D759" i="18" a="1"/>
  <c r="D759" i="18" s="1"/>
  <c r="D760" i="18" a="1"/>
  <c r="D760" i="18" s="1"/>
  <c r="D761" i="18" a="1"/>
  <c r="D761" i="18" s="1"/>
  <c r="D762" i="18" a="1"/>
  <c r="D762" i="18" s="1"/>
  <c r="D763" i="18" a="1"/>
  <c r="D763" i="18" s="1"/>
  <c r="D764" i="18" a="1"/>
  <c r="D764" i="18" s="1"/>
  <c r="D765" i="18" a="1"/>
  <c r="D765" i="18" s="1"/>
  <c r="D766" i="18" a="1"/>
  <c r="D766" i="18" s="1"/>
  <c r="D767" i="18" a="1"/>
  <c r="D767" i="18" s="1"/>
  <c r="D768" i="18" a="1"/>
  <c r="D768" i="18" s="1"/>
  <c r="D769" i="18" a="1"/>
  <c r="D769" i="18" s="1"/>
  <c r="D770" i="18" a="1"/>
  <c r="D770" i="18" s="1"/>
  <c r="D671" i="18" a="1"/>
  <c r="D671" i="18" s="1"/>
  <c r="B671" i="18" a="1"/>
  <c r="B671" i="18" s="1"/>
  <c r="C671" i="18" a="1"/>
  <c r="C671" i="18" s="1"/>
  <c r="B672" i="18" a="1"/>
  <c r="B672" i="18" s="1"/>
  <c r="C672" i="18" a="1"/>
  <c r="C672" i="18" s="1"/>
  <c r="B673" i="18" a="1"/>
  <c r="B673" i="18" s="1"/>
  <c r="C673" i="18" a="1"/>
  <c r="C673" i="18" s="1"/>
  <c r="B674" i="18" a="1"/>
  <c r="B674" i="18" s="1"/>
  <c r="C674" i="18" a="1"/>
  <c r="C674" i="18" s="1"/>
  <c r="B675" i="18" a="1"/>
  <c r="B675" i="18" s="1"/>
  <c r="C675" i="18" a="1"/>
  <c r="C675" i="18" s="1"/>
  <c r="B676" i="18" a="1"/>
  <c r="B676" i="18" s="1"/>
  <c r="C676" i="18" a="1"/>
  <c r="C676" i="18" s="1"/>
  <c r="B677" i="18" a="1"/>
  <c r="B677" i="18" s="1"/>
  <c r="C677" i="18" a="1"/>
  <c r="C677" i="18" s="1"/>
  <c r="B678" i="18" a="1"/>
  <c r="B678" i="18" s="1"/>
  <c r="C678" i="18" a="1"/>
  <c r="C678" i="18" s="1"/>
  <c r="B679" i="18" a="1"/>
  <c r="B679" i="18" s="1"/>
  <c r="C679" i="18" a="1"/>
  <c r="C679" i="18" s="1"/>
  <c r="B680" i="18" a="1"/>
  <c r="B680" i="18" s="1"/>
  <c r="C680" i="18" a="1"/>
  <c r="C680" i="18" s="1"/>
  <c r="B681" i="18" a="1"/>
  <c r="B681" i="18" s="1"/>
  <c r="C681" i="18" a="1"/>
  <c r="C681" i="18" s="1"/>
  <c r="B682" i="18" a="1"/>
  <c r="B682" i="18" s="1"/>
  <c r="C682" i="18" a="1"/>
  <c r="C682" i="18" s="1"/>
  <c r="B683" i="18" a="1"/>
  <c r="B683" i="18" s="1"/>
  <c r="C683" i="18" a="1"/>
  <c r="C683" i="18" s="1"/>
  <c r="B684" i="18" a="1"/>
  <c r="B684" i="18" s="1"/>
  <c r="C684" i="18" a="1"/>
  <c r="C684" i="18" s="1"/>
  <c r="B685" i="18" a="1"/>
  <c r="B685" i="18" s="1"/>
  <c r="C685" i="18" a="1"/>
  <c r="C685" i="18" s="1"/>
  <c r="B686" i="18" a="1"/>
  <c r="B686" i="18" s="1"/>
  <c r="C686" i="18" a="1"/>
  <c r="C686" i="18" s="1"/>
  <c r="B687" i="18" a="1"/>
  <c r="B687" i="18" s="1"/>
  <c r="C687" i="18" a="1"/>
  <c r="C687" i="18" s="1"/>
  <c r="B688" i="18" a="1"/>
  <c r="B688" i="18" s="1"/>
  <c r="C688" i="18" a="1"/>
  <c r="C688" i="18" s="1"/>
  <c r="B689" i="18" a="1"/>
  <c r="B689" i="18" s="1"/>
  <c r="C689" i="18" a="1"/>
  <c r="C689" i="18" s="1"/>
  <c r="B690" i="18" a="1"/>
  <c r="B690" i="18" s="1"/>
  <c r="C690" i="18" a="1"/>
  <c r="C690" i="18" s="1"/>
  <c r="B691" i="18" a="1"/>
  <c r="B691" i="18" s="1"/>
  <c r="C691" i="18" a="1"/>
  <c r="C691" i="18" s="1"/>
  <c r="B692" i="18" a="1"/>
  <c r="B692" i="18" s="1"/>
  <c r="C692" i="18" a="1"/>
  <c r="C692" i="18" s="1"/>
  <c r="B693" i="18" a="1"/>
  <c r="B693" i="18" s="1"/>
  <c r="C693" i="18" a="1"/>
  <c r="C693" i="18" s="1"/>
  <c r="B694" i="18" a="1"/>
  <c r="B694" i="18" s="1"/>
  <c r="C694" i="18" a="1"/>
  <c r="C694" i="18" s="1"/>
  <c r="B695" i="18" a="1"/>
  <c r="B695" i="18" s="1"/>
  <c r="C695" i="18" a="1"/>
  <c r="C695" i="18" s="1"/>
  <c r="B696" i="18" a="1"/>
  <c r="B696" i="18" s="1"/>
  <c r="C696" i="18" a="1"/>
  <c r="C696" i="18" s="1"/>
  <c r="B697" i="18" a="1"/>
  <c r="B697" i="18" s="1"/>
  <c r="C697" i="18" a="1"/>
  <c r="C697" i="18"/>
  <c r="B698" i="18" a="1"/>
  <c r="B698" i="18" s="1"/>
  <c r="C698" i="18" a="1"/>
  <c r="C698" i="18" s="1"/>
  <c r="B699" i="18" a="1"/>
  <c r="B699" i="18" s="1"/>
  <c r="C699" i="18" a="1"/>
  <c r="C699" i="18" s="1"/>
  <c r="B700" i="18" a="1"/>
  <c r="B700" i="18" s="1"/>
  <c r="C700" i="18" a="1"/>
  <c r="C700" i="18" s="1"/>
  <c r="B701" i="18" a="1"/>
  <c r="B701" i="18" s="1"/>
  <c r="C701" i="18" a="1"/>
  <c r="C701" i="18" s="1"/>
  <c r="B702" i="18" a="1"/>
  <c r="B702" i="18" s="1"/>
  <c r="C702" i="18" a="1"/>
  <c r="C702" i="18" s="1"/>
  <c r="B703" i="18" a="1"/>
  <c r="B703" i="18" s="1"/>
  <c r="C703" i="18" a="1"/>
  <c r="C703" i="18" s="1"/>
  <c r="B704" i="18" a="1"/>
  <c r="B704" i="18" s="1"/>
  <c r="C704" i="18" a="1"/>
  <c r="C704" i="18" s="1"/>
  <c r="B705" i="18" a="1"/>
  <c r="B705" i="18" s="1"/>
  <c r="C705" i="18" a="1"/>
  <c r="C705" i="18" s="1"/>
  <c r="B706" i="18" a="1"/>
  <c r="B706" i="18" s="1"/>
  <c r="C706" i="18" a="1"/>
  <c r="C706" i="18" s="1"/>
  <c r="B707" i="18" a="1"/>
  <c r="B707" i="18" s="1"/>
  <c r="C707" i="18" a="1"/>
  <c r="C707" i="18" s="1"/>
  <c r="B708" i="18" a="1"/>
  <c r="B708" i="18" s="1"/>
  <c r="C708" i="18" a="1"/>
  <c r="C708" i="18" s="1"/>
  <c r="B709" i="18" a="1"/>
  <c r="B709" i="18" s="1"/>
  <c r="C709" i="18" a="1"/>
  <c r="C709" i="18" s="1"/>
  <c r="B710" i="18" a="1"/>
  <c r="B710" i="18" s="1"/>
  <c r="C710" i="18" a="1"/>
  <c r="C710" i="18" s="1"/>
  <c r="B711" i="18" a="1"/>
  <c r="B711" i="18" s="1"/>
  <c r="C711" i="18" a="1"/>
  <c r="C711" i="18" s="1"/>
  <c r="B712" i="18" a="1"/>
  <c r="B712" i="18" s="1"/>
  <c r="C712" i="18" a="1"/>
  <c r="C712" i="18" s="1"/>
  <c r="B713" i="18" a="1"/>
  <c r="B713" i="18" s="1"/>
  <c r="C713" i="18" a="1"/>
  <c r="C713" i="18" s="1"/>
  <c r="B714" i="18" a="1"/>
  <c r="B714" i="18" s="1"/>
  <c r="C714" i="18" a="1"/>
  <c r="C714" i="18" s="1"/>
  <c r="B715" i="18" a="1"/>
  <c r="B715" i="18" s="1"/>
  <c r="C715" i="18" a="1"/>
  <c r="C715" i="18" s="1"/>
  <c r="B716" i="18" a="1"/>
  <c r="B716" i="18" s="1"/>
  <c r="C716" i="18" a="1"/>
  <c r="C716" i="18" s="1"/>
  <c r="B717" i="18" a="1"/>
  <c r="B717" i="18" s="1"/>
  <c r="C717" i="18" a="1"/>
  <c r="C717" i="18" s="1"/>
  <c r="B718" i="18" a="1"/>
  <c r="B718" i="18" s="1"/>
  <c r="C718" i="18" a="1"/>
  <c r="C718" i="18" s="1"/>
  <c r="B719" i="18" a="1"/>
  <c r="B719" i="18" s="1"/>
  <c r="C719" i="18" a="1"/>
  <c r="C719" i="18" s="1"/>
  <c r="B720" i="18" a="1"/>
  <c r="B720" i="18" s="1"/>
  <c r="C720" i="18" a="1"/>
  <c r="C720" i="18" s="1"/>
  <c r="B721" i="18" a="1"/>
  <c r="B721" i="18" s="1"/>
  <c r="C721" i="18" a="1"/>
  <c r="C721" i="18" s="1"/>
  <c r="B722" i="18" a="1"/>
  <c r="B722" i="18" s="1"/>
  <c r="C722" i="18" a="1"/>
  <c r="C722" i="18" s="1"/>
  <c r="B723" i="18" a="1"/>
  <c r="B723" i="18" s="1"/>
  <c r="C723" i="18" a="1"/>
  <c r="C723" i="18" s="1"/>
  <c r="B724" i="18" a="1"/>
  <c r="B724" i="18" s="1"/>
  <c r="C724" i="18" a="1"/>
  <c r="C724" i="18" s="1"/>
  <c r="B725" i="18" a="1"/>
  <c r="B725" i="18" s="1"/>
  <c r="C725" i="18" a="1"/>
  <c r="C725" i="18"/>
  <c r="B726" i="18" a="1"/>
  <c r="B726" i="18" s="1"/>
  <c r="C726" i="18" a="1"/>
  <c r="C726" i="18" s="1"/>
  <c r="B727" i="18" a="1"/>
  <c r="B727" i="18" s="1"/>
  <c r="C727" i="18" a="1"/>
  <c r="C727" i="18" s="1"/>
  <c r="B728" i="18" a="1"/>
  <c r="B728" i="18" s="1"/>
  <c r="C728" i="18" a="1"/>
  <c r="C728" i="18" s="1"/>
  <c r="B729" i="18" a="1"/>
  <c r="B729" i="18" s="1"/>
  <c r="C729" i="18" a="1"/>
  <c r="C729" i="18"/>
  <c r="B730" i="18" a="1"/>
  <c r="B730" i="18" s="1"/>
  <c r="C730" i="18" a="1"/>
  <c r="C730" i="18" s="1"/>
  <c r="B731" i="18" a="1"/>
  <c r="B731" i="18" s="1"/>
  <c r="C731" i="18" a="1"/>
  <c r="C731" i="18" s="1"/>
  <c r="B732" i="18" a="1"/>
  <c r="B732" i="18" s="1"/>
  <c r="C732" i="18" a="1"/>
  <c r="C732" i="18" s="1"/>
  <c r="B733" i="18" a="1"/>
  <c r="B733" i="18" s="1"/>
  <c r="C733" i="18" a="1"/>
  <c r="C733" i="18" s="1"/>
  <c r="B734" i="18" a="1"/>
  <c r="B734" i="18" s="1"/>
  <c r="C734" i="18" a="1"/>
  <c r="C734" i="18" s="1"/>
  <c r="B735" i="18" a="1"/>
  <c r="B735" i="18" s="1"/>
  <c r="C735" i="18" a="1"/>
  <c r="C735" i="18" s="1"/>
  <c r="B736" i="18" a="1"/>
  <c r="B736" i="18" s="1"/>
  <c r="C736" i="18" a="1"/>
  <c r="C736" i="18" s="1"/>
  <c r="B737" i="18" a="1"/>
  <c r="B737" i="18" s="1"/>
  <c r="C737" i="18" a="1"/>
  <c r="C737" i="18" s="1"/>
  <c r="B738" i="18" a="1"/>
  <c r="B738" i="18" s="1"/>
  <c r="C738" i="18" a="1"/>
  <c r="C738" i="18" s="1"/>
  <c r="B739" i="18" a="1"/>
  <c r="B739" i="18" s="1"/>
  <c r="C739" i="18" a="1"/>
  <c r="C739" i="18" s="1"/>
  <c r="B740" i="18" a="1"/>
  <c r="B740" i="18" s="1"/>
  <c r="C740" i="18" a="1"/>
  <c r="C740" i="18" s="1"/>
  <c r="B741" i="18" a="1"/>
  <c r="B741" i="18" s="1"/>
  <c r="C741" i="18" a="1"/>
  <c r="C741" i="18" s="1"/>
  <c r="B742" i="18" a="1"/>
  <c r="B742" i="18" s="1"/>
  <c r="C742" i="18" a="1"/>
  <c r="C742" i="18" s="1"/>
  <c r="B743" i="18" a="1"/>
  <c r="B743" i="18" s="1"/>
  <c r="C743" i="18" a="1"/>
  <c r="C743" i="18" s="1"/>
  <c r="B744" i="18" a="1"/>
  <c r="B744" i="18" s="1"/>
  <c r="C744" i="18" a="1"/>
  <c r="C744" i="18" s="1"/>
  <c r="B745" i="18" a="1"/>
  <c r="B745" i="18" s="1"/>
  <c r="C745" i="18" a="1"/>
  <c r="C745" i="18" s="1"/>
  <c r="B746" i="18" a="1"/>
  <c r="B746" i="18" s="1"/>
  <c r="C746" i="18" a="1"/>
  <c r="C746" i="18" s="1"/>
  <c r="B747" i="18" a="1"/>
  <c r="B747" i="18" s="1"/>
  <c r="C747" i="18" a="1"/>
  <c r="C747" i="18" s="1"/>
  <c r="B748" i="18" a="1"/>
  <c r="B748" i="18" s="1"/>
  <c r="C748" i="18" a="1"/>
  <c r="C748" i="18" s="1"/>
  <c r="B749" i="18" a="1"/>
  <c r="B749" i="18" s="1"/>
  <c r="C749" i="18" a="1"/>
  <c r="C749" i="18" s="1"/>
  <c r="B750" i="18" a="1"/>
  <c r="B750" i="18" s="1"/>
  <c r="C750" i="18" a="1"/>
  <c r="C750" i="18" s="1"/>
  <c r="B751" i="18" a="1"/>
  <c r="B751" i="18" s="1"/>
  <c r="C751" i="18" a="1"/>
  <c r="C751" i="18" s="1"/>
  <c r="B752" i="18" a="1"/>
  <c r="B752" i="18" s="1"/>
  <c r="C752" i="18" a="1"/>
  <c r="C752" i="18" s="1"/>
  <c r="B753" i="18" a="1"/>
  <c r="B753" i="18" s="1"/>
  <c r="C753" i="18" a="1"/>
  <c r="C753" i="18" s="1"/>
  <c r="B754" i="18" a="1"/>
  <c r="B754" i="18" s="1"/>
  <c r="C754" i="18" a="1"/>
  <c r="C754" i="18" s="1"/>
  <c r="B755" i="18" a="1"/>
  <c r="B755" i="18" s="1"/>
  <c r="C755" i="18" a="1"/>
  <c r="C755" i="18" s="1"/>
  <c r="B756" i="18" a="1"/>
  <c r="B756" i="18" s="1"/>
  <c r="C756" i="18" a="1"/>
  <c r="C756" i="18" s="1"/>
  <c r="B757" i="18" a="1"/>
  <c r="B757" i="18" s="1"/>
  <c r="C757" i="18" a="1"/>
  <c r="C757" i="18" s="1"/>
  <c r="B758" i="18" a="1"/>
  <c r="B758" i="18" s="1"/>
  <c r="C758" i="18" a="1"/>
  <c r="C758" i="18" s="1"/>
  <c r="B759" i="18" a="1"/>
  <c r="B759" i="18" s="1"/>
  <c r="C759" i="18" a="1"/>
  <c r="C759" i="18" s="1"/>
  <c r="B760" i="18" a="1"/>
  <c r="B760" i="18" s="1"/>
  <c r="C760" i="18" a="1"/>
  <c r="C760" i="18" s="1"/>
  <c r="B761" i="18" a="1"/>
  <c r="B761" i="18" s="1"/>
  <c r="C761" i="18" a="1"/>
  <c r="C761" i="18" s="1"/>
  <c r="B762" i="18" a="1"/>
  <c r="B762" i="18" s="1"/>
  <c r="C762" i="18" a="1"/>
  <c r="C762" i="18" s="1"/>
  <c r="B763" i="18" a="1"/>
  <c r="B763" i="18" s="1"/>
  <c r="C763" i="18" a="1"/>
  <c r="C763" i="18" s="1"/>
  <c r="B764" i="18" a="1"/>
  <c r="B764" i="18" s="1"/>
  <c r="C764" i="18" a="1"/>
  <c r="C764" i="18" s="1"/>
  <c r="B765" i="18" a="1"/>
  <c r="B765" i="18" s="1"/>
  <c r="C765" i="18" a="1"/>
  <c r="C765" i="18" s="1"/>
  <c r="B766" i="18" a="1"/>
  <c r="B766" i="18" s="1"/>
  <c r="C766" i="18" a="1"/>
  <c r="C766" i="18" s="1"/>
  <c r="B767" i="18" a="1"/>
  <c r="B767" i="18" s="1"/>
  <c r="C767" i="18" a="1"/>
  <c r="C767" i="18" s="1"/>
  <c r="B768" i="18" a="1"/>
  <c r="B768" i="18" s="1"/>
  <c r="C768" i="18" a="1"/>
  <c r="C768" i="18" s="1"/>
  <c r="B769" i="18" a="1"/>
  <c r="B769" i="18" s="1"/>
  <c r="C769" i="18" a="1"/>
  <c r="C769" i="18" s="1"/>
  <c r="B770" i="18" a="1"/>
  <c r="B770" i="18" s="1"/>
  <c r="C770" i="18" a="1"/>
  <c r="C770" i="18" s="1"/>
  <c r="B666" i="18" a="1"/>
  <c r="B666" i="18" s="1"/>
  <c r="C666" i="18" a="1"/>
  <c r="C666" i="18" s="1"/>
  <c r="D666" i="18" a="1"/>
  <c r="D666" i="18" s="1"/>
  <c r="E666" i="18" a="1"/>
  <c r="E666" i="18" s="1"/>
  <c r="H662" i="18" a="1"/>
  <c r="H662" i="18" s="1"/>
  <c r="G662" i="18" a="1"/>
  <c r="G662" i="18" s="1"/>
  <c r="A663" i="18"/>
  <c r="A661" i="18" a="1"/>
  <c r="A661" i="18" s="1"/>
  <c r="D658" i="18"/>
  <c r="A545" i="18" a="1"/>
  <c r="A545" i="18" s="1"/>
  <c r="A521" i="18" a="1"/>
  <c r="A521" i="18" s="1"/>
  <c r="O53" i="17" l="1" a="1"/>
  <c r="O53" i="17" s="1"/>
  <c r="H48" i="17" a="1"/>
  <c r="G674" i="18" a="1"/>
  <c r="G674" i="18" s="1"/>
  <c r="O48" i="17" a="1"/>
  <c r="O48" i="17" s="1"/>
  <c r="P670" i="18" a="1"/>
  <c r="P670" i="18" s="1"/>
  <c r="B661" i="18"/>
  <c r="D479" i="18"/>
  <c r="G6" i="17" a="1"/>
  <c r="G6" i="17" s="1"/>
  <c r="G5" i="17" a="1"/>
  <c r="G5" i="17" s="1"/>
  <c r="C474" i="18" a="1"/>
  <c r="C474" i="18" s="1"/>
  <c r="B474" i="18" a="1"/>
  <c r="B474" i="18" s="1"/>
  <c r="B473" i="18" a="1"/>
  <c r="B473" i="18" s="1"/>
  <c r="C473" i="18" a="1"/>
  <c r="C473" i="18" s="1"/>
  <c r="A469" i="18" a="1"/>
  <c r="A469" i="18" s="1"/>
  <c r="C466" i="18" a="1"/>
  <c r="C466" i="18" s="1"/>
  <c r="D252" i="18" a="1"/>
  <c r="D252" i="18" s="1"/>
  <c r="A357" i="18" a="1"/>
  <c r="A362" i="18" s="1"/>
  <c r="C357" i="18" a="1"/>
  <c r="C362" i="18" s="1"/>
  <c r="C433" i="18"/>
  <c r="C441" i="18"/>
  <c r="C449" i="18"/>
  <c r="B357" i="18" a="1"/>
  <c r="B358" i="18" s="1"/>
  <c r="AH252" i="18" a="1"/>
  <c r="AH252" i="18" s="1"/>
  <c r="AG252" i="18" a="1"/>
  <c r="AG252" i="18" s="1"/>
  <c r="AF252" i="18" a="1"/>
  <c r="AF252" i="18" s="1"/>
  <c r="AE252" i="18" a="1"/>
  <c r="AE252" i="18" s="1"/>
  <c r="AD252" i="18" a="1"/>
  <c r="AD252" i="18" s="1"/>
  <c r="AC252" i="18" a="1"/>
  <c r="AC252" i="18" s="1"/>
  <c r="AB252" i="18" a="1"/>
  <c r="AB252" i="18" s="1"/>
  <c r="AA252" i="18" a="1"/>
  <c r="AA252" i="18" s="1"/>
  <c r="Z252" i="18" a="1"/>
  <c r="Z259" i="18" s="1"/>
  <c r="Y252" i="18" a="1"/>
  <c r="Y252" i="18" s="1"/>
  <c r="X252" i="18" a="1"/>
  <c r="X252" i="18" s="1"/>
  <c r="W252" i="18" a="1"/>
  <c r="W252" i="18" s="1"/>
  <c r="V252" i="18" a="1"/>
  <c r="V252" i="18" s="1"/>
  <c r="U252" i="18" a="1"/>
  <c r="U252" i="18" s="1"/>
  <c r="T252" i="18" a="1"/>
  <c r="T252" i="18" s="1"/>
  <c r="S252" i="18" a="1"/>
  <c r="S252" i="18" s="1"/>
  <c r="R252" i="18" a="1"/>
  <c r="R252" i="18" s="1"/>
  <c r="Q252" i="18" a="1"/>
  <c r="Q252" i="18" s="1"/>
  <c r="P252" i="18" a="1"/>
  <c r="P252" i="18" s="1"/>
  <c r="O252" i="18" a="1"/>
  <c r="O267" i="18" s="1"/>
  <c r="N252" i="18" a="1"/>
  <c r="N252" i="18" s="1"/>
  <c r="M252" i="18" a="1"/>
  <c r="M252" i="18" s="1"/>
  <c r="L252" i="18" a="1"/>
  <c r="L252" i="18" s="1"/>
  <c r="K252" i="18" a="1"/>
  <c r="K252" i="18" s="1"/>
  <c r="J252" i="18" a="1"/>
  <c r="J252" i="18" s="1"/>
  <c r="I252" i="18" a="1"/>
  <c r="I252" i="18" s="1"/>
  <c r="H252" i="18" a="1"/>
  <c r="H252" i="18" s="1"/>
  <c r="G252" i="18" a="1"/>
  <c r="G252" i="18" s="1"/>
  <c r="F252" i="18" a="1"/>
  <c r="F252" i="18" s="1"/>
  <c r="E252" i="18" a="1"/>
  <c r="E252" i="18" s="1"/>
  <c r="D353" i="18"/>
  <c r="C144" i="18"/>
  <c r="A144" i="18" a="1"/>
  <c r="A144" i="18" s="1"/>
  <c r="B144" i="18" s="1"/>
  <c r="E103" i="18"/>
  <c r="E113" i="18" s="1" a="1"/>
  <c r="E113" i="18" s="1"/>
  <c r="F103" i="18"/>
  <c r="E112" i="18" s="1" a="1"/>
  <c r="E112" i="18" s="1"/>
  <c r="G103" i="18"/>
  <c r="F113" i="18" s="1" a="1"/>
  <c r="F113" i="18" s="1"/>
  <c r="H103" i="18"/>
  <c r="F112" i="18" s="1" a="1"/>
  <c r="F112" i="18" s="1"/>
  <c r="I103" i="18"/>
  <c r="G113" i="18" s="1" a="1"/>
  <c r="G113" i="18" s="1"/>
  <c r="J103" i="18"/>
  <c r="G112" i="18" s="1" a="1"/>
  <c r="G112" i="18" s="1"/>
  <c r="K103" i="18"/>
  <c r="H106" i="18" s="1" a="1"/>
  <c r="H106" i="18" s="1"/>
  <c r="L103" i="18"/>
  <c r="H112" i="18" s="1" a="1"/>
  <c r="H112" i="18" s="1"/>
  <c r="M103" i="18"/>
  <c r="I113" i="18" s="1" a="1"/>
  <c r="I113" i="18" s="1"/>
  <c r="N103" i="18"/>
  <c r="I106" i="18" s="1" a="1"/>
  <c r="I106" i="18" s="1"/>
  <c r="O103" i="18"/>
  <c r="J113" i="18" s="1" a="1"/>
  <c r="J113" i="18" s="1"/>
  <c r="P103" i="18"/>
  <c r="J106" i="18" s="1" a="1"/>
  <c r="J106" i="18" s="1"/>
  <c r="Q103" i="18"/>
  <c r="K113" i="18" s="1" a="1"/>
  <c r="K113" i="18" s="1"/>
  <c r="R103" i="18"/>
  <c r="K106" i="18" s="1" a="1"/>
  <c r="K106" i="18" s="1"/>
  <c r="S103" i="18"/>
  <c r="L113" i="18" s="1" a="1"/>
  <c r="L113" i="18" s="1"/>
  <c r="T103" i="18"/>
  <c r="L106" i="18" s="1" a="1"/>
  <c r="L106" i="18" s="1"/>
  <c r="U103" i="18"/>
  <c r="M113" i="18" s="1" a="1"/>
  <c r="M113" i="18" s="1"/>
  <c r="V103" i="18"/>
  <c r="M106" i="18" s="1" a="1"/>
  <c r="M106" i="18" s="1"/>
  <c r="W103" i="18"/>
  <c r="N113" i="18" s="1" a="1"/>
  <c r="N113" i="18" s="1"/>
  <c r="X103" i="18"/>
  <c r="N112" i="18" s="1" a="1"/>
  <c r="N112" i="18" s="1"/>
  <c r="Y103" i="18"/>
  <c r="O113" i="18" s="1" a="1"/>
  <c r="O113" i="18" s="1"/>
  <c r="Z103" i="18"/>
  <c r="O112" i="18" s="1" a="1"/>
  <c r="O112" i="18" s="1"/>
  <c r="AA103" i="18"/>
  <c r="P113" i="18" s="1" a="1"/>
  <c r="P113" i="18" s="1"/>
  <c r="AB103" i="18"/>
  <c r="P112" i="18" s="1" a="1"/>
  <c r="P112" i="18" s="1"/>
  <c r="AC103" i="18"/>
  <c r="Q113" i="18" s="1" a="1"/>
  <c r="Q113" i="18" s="1"/>
  <c r="AD103" i="18"/>
  <c r="Q112" i="18" s="1" a="1"/>
  <c r="Q112" i="18" s="1"/>
  <c r="AE103" i="18"/>
  <c r="R113" i="18" s="1" a="1"/>
  <c r="R113" i="18" s="1"/>
  <c r="AF103" i="18"/>
  <c r="R112" i="18" s="1" a="1"/>
  <c r="R112" i="18" s="1"/>
  <c r="AG103" i="18"/>
  <c r="S113" i="18" s="1" a="1"/>
  <c r="S113" i="18" s="1"/>
  <c r="AH103" i="18"/>
  <c r="S112" i="18" s="1" a="1"/>
  <c r="S112" i="18" s="1"/>
  <c r="AI103" i="18"/>
  <c r="T113" i="18" s="1" a="1"/>
  <c r="T113" i="18" s="1"/>
  <c r="AJ103" i="18"/>
  <c r="T112" i="18" s="1" a="1"/>
  <c r="T112" i="18" s="1"/>
  <c r="AK103" i="18"/>
  <c r="U113" i="18" s="1" a="1"/>
  <c r="U113" i="18" s="1"/>
  <c r="AL103" i="18"/>
  <c r="U112" i="18" s="1" a="1"/>
  <c r="U112" i="18" s="1"/>
  <c r="AM103" i="18"/>
  <c r="V113" i="18" s="1" a="1"/>
  <c r="V113" i="18" s="1"/>
  <c r="AN103" i="18"/>
  <c r="V112" i="18" s="1" a="1"/>
  <c r="V112" i="18" s="1"/>
  <c r="AO103" i="18"/>
  <c r="W113" i="18" s="1" a="1"/>
  <c r="W113" i="18" s="1"/>
  <c r="AP103" i="18"/>
  <c r="W112" i="18" s="1" a="1"/>
  <c r="W112" i="18" s="1"/>
  <c r="AQ103" i="18"/>
  <c r="X113" i="18" s="1" a="1"/>
  <c r="X113" i="18" s="1"/>
  <c r="AR103" i="18"/>
  <c r="X112" i="18" s="1" a="1"/>
  <c r="X112" i="18" s="1"/>
  <c r="AS103" i="18"/>
  <c r="Y113" i="18" s="1" a="1"/>
  <c r="Y113" i="18" s="1"/>
  <c r="AT103" i="18"/>
  <c r="Y112" i="18" s="1" a="1"/>
  <c r="Y112" i="18" s="1"/>
  <c r="AU103" i="18"/>
  <c r="Z113" i="18" s="1" a="1"/>
  <c r="Z113" i="18" s="1"/>
  <c r="AV103" i="18"/>
  <c r="Z112" i="18" s="1" a="1"/>
  <c r="Z112" i="18" s="1"/>
  <c r="AW103" i="18"/>
  <c r="AA113" i="18" s="1" a="1"/>
  <c r="AA113" i="18" s="1"/>
  <c r="AX103" i="18"/>
  <c r="AA112" i="18" s="1" a="1"/>
  <c r="AA112" i="18" s="1"/>
  <c r="AY103" i="18"/>
  <c r="AB113" i="18" s="1" a="1"/>
  <c r="AB113" i="18" s="1"/>
  <c r="AZ103" i="18"/>
  <c r="AB112" i="18" s="1" a="1"/>
  <c r="AB112" i="18" s="1"/>
  <c r="BA103" i="18"/>
  <c r="AC113" i="18" s="1" a="1"/>
  <c r="AC113" i="18" s="1"/>
  <c r="BB103" i="18"/>
  <c r="AC112" i="18" s="1" a="1"/>
  <c r="AC112" i="18" s="1"/>
  <c r="BC103" i="18"/>
  <c r="AD113" i="18" s="1" a="1"/>
  <c r="AD113" i="18" s="1"/>
  <c r="BD103" i="18"/>
  <c r="AD112" i="18" s="1" a="1"/>
  <c r="AD112" i="18" s="1"/>
  <c r="BE103" i="18"/>
  <c r="AE113" i="18" s="1" a="1"/>
  <c r="AE113" i="18" s="1"/>
  <c r="BF103" i="18"/>
  <c r="AE112" i="18" s="1" a="1"/>
  <c r="AE112" i="18" s="1"/>
  <c r="BG103" i="18"/>
  <c r="AF113" i="18" s="1" a="1"/>
  <c r="AF113" i="18" s="1"/>
  <c r="BH103" i="18"/>
  <c r="AF112" i="18" s="1" a="1"/>
  <c r="AF112" i="18" s="1"/>
  <c r="BI103" i="18"/>
  <c r="AG113" i="18" s="1" a="1"/>
  <c r="AG113" i="18" s="1"/>
  <c r="BJ103" i="18"/>
  <c r="AG112" i="18" s="1" a="1"/>
  <c r="AG112" i="18" s="1"/>
  <c r="BK103" i="18"/>
  <c r="AH113" i="18" s="1" a="1"/>
  <c r="AH113" i="18" s="1"/>
  <c r="BL103" i="18"/>
  <c r="AH112" i="18" s="1" a="1"/>
  <c r="AH112" i="18" s="1"/>
  <c r="BM103" i="18"/>
  <c r="AI113" i="18" s="1" a="1"/>
  <c r="AI113" i="18" s="1"/>
  <c r="D103" i="18"/>
  <c r="D112" i="18" s="1" a="1"/>
  <c r="D112" i="18" s="1"/>
  <c r="G106" i="18" a="1"/>
  <c r="G106" i="18" s="1"/>
  <c r="F106" i="18" a="1"/>
  <c r="F106" i="18" s="1"/>
  <c r="E106" i="18" a="1"/>
  <c r="E106" i="18" s="1"/>
  <c r="C106" i="18" a="1"/>
  <c r="C106" i="18" s="1"/>
  <c r="B106" i="18" a="1"/>
  <c r="B106" i="18" s="1"/>
  <c r="P53" i="17" l="1"/>
  <c r="Q53" i="17"/>
  <c r="R53" i="17"/>
  <c r="S53" i="17"/>
  <c r="H48" i="17"/>
  <c r="J771" i="18"/>
  <c r="J674" i="18"/>
  <c r="H764" i="18"/>
  <c r="G678" i="18"/>
  <c r="K758" i="18"/>
  <c r="J767" i="18"/>
  <c r="J760" i="18"/>
  <c r="I773" i="18"/>
  <c r="I762" i="18"/>
  <c r="G682" i="18"/>
  <c r="K683" i="18"/>
  <c r="J685" i="18"/>
  <c r="I687" i="18"/>
  <c r="K690" i="18"/>
  <c r="K694" i="18"/>
  <c r="J696" i="18"/>
  <c r="I698" i="18"/>
  <c r="H700" i="18"/>
  <c r="J703" i="18"/>
  <c r="J707" i="18"/>
  <c r="I709" i="18"/>
  <c r="H711" i="18"/>
  <c r="G713" i="18"/>
  <c r="I716" i="18"/>
  <c r="I720" i="18"/>
  <c r="H722" i="18"/>
  <c r="G724" i="18"/>
  <c r="K725" i="18"/>
  <c r="H729" i="18"/>
  <c r="H733" i="18"/>
  <c r="G735" i="18"/>
  <c r="K736" i="18"/>
  <c r="J738" i="18"/>
  <c r="G742" i="18"/>
  <c r="G746" i="18"/>
  <c r="K747" i="18"/>
  <c r="J749" i="18"/>
  <c r="I751" i="18"/>
  <c r="K754" i="18"/>
  <c r="K679" i="18"/>
  <c r="J692" i="18"/>
  <c r="I705" i="18"/>
  <c r="I769" i="18"/>
  <c r="J734" i="18"/>
  <c r="H696" i="18"/>
  <c r="K716" i="18"/>
  <c r="H742" i="18"/>
  <c r="H707" i="18"/>
  <c r="I713" i="18"/>
  <c r="H771" i="18"/>
  <c r="I737" i="18"/>
  <c r="I699" i="18"/>
  <c r="G696" i="18"/>
  <c r="H712" i="18"/>
  <c r="H758" i="18"/>
  <c r="I723" i="18"/>
  <c r="G680" i="18"/>
  <c r="J740" i="18"/>
  <c r="H704" i="18"/>
  <c r="J721" i="18"/>
  <c r="J748" i="18"/>
  <c r="K713" i="18"/>
  <c r="J683" i="18"/>
  <c r="I696" i="18"/>
  <c r="H709" i="18"/>
  <c r="G722" i="18"/>
  <c r="K734" i="18"/>
  <c r="J747" i="18"/>
  <c r="I760" i="18"/>
  <c r="H773" i="18"/>
  <c r="I685" i="18"/>
  <c r="H698" i="18"/>
  <c r="G711" i="18"/>
  <c r="K723" i="18"/>
  <c r="J736" i="18"/>
  <c r="I749" i="18"/>
  <c r="H762" i="18"/>
  <c r="I674" i="18"/>
  <c r="H687" i="18"/>
  <c r="G700" i="18"/>
  <c r="K712" i="18"/>
  <c r="J725" i="18"/>
  <c r="I738" i="18"/>
  <c r="H751" i="18"/>
  <c r="G764" i="18"/>
  <c r="H676" i="18"/>
  <c r="G689" i="18"/>
  <c r="K701" i="18"/>
  <c r="J714" i="18"/>
  <c r="I727" i="18"/>
  <c r="H740" i="18"/>
  <c r="G753" i="18"/>
  <c r="K765" i="18"/>
  <c r="J679" i="18"/>
  <c r="I692" i="18"/>
  <c r="H705" i="18"/>
  <c r="G718" i="18"/>
  <c r="K730" i="18"/>
  <c r="J743" i="18"/>
  <c r="I756" i="18"/>
  <c r="H769" i="18"/>
  <c r="I681" i="18"/>
  <c r="H694" i="18"/>
  <c r="G707" i="18"/>
  <c r="K764" i="18"/>
  <c r="G731" i="18"/>
  <c r="K689" i="18"/>
  <c r="I771" i="18"/>
  <c r="J737" i="18"/>
  <c r="K700" i="18"/>
  <c r="G768" i="18"/>
  <c r="J766" i="18"/>
  <c r="K732" i="18"/>
  <c r="G693" i="18"/>
  <c r="H683" i="18"/>
  <c r="G701" i="18"/>
  <c r="J753" i="18"/>
  <c r="K719" i="18"/>
  <c r="K769" i="18"/>
  <c r="G736" i="18"/>
  <c r="K697" i="18"/>
  <c r="I702" i="18"/>
  <c r="G744" i="18"/>
  <c r="H710" i="18"/>
  <c r="H685" i="18"/>
  <c r="G698" i="18"/>
  <c r="K710" i="18"/>
  <c r="J723" i="18"/>
  <c r="I736" i="18"/>
  <c r="H749" i="18"/>
  <c r="G762" i="18"/>
  <c r="H674" i="18"/>
  <c r="G687" i="18"/>
  <c r="K699" i="18"/>
  <c r="J712" i="18"/>
  <c r="I725" i="18"/>
  <c r="H738" i="18"/>
  <c r="G751" i="18"/>
  <c r="K763" i="18"/>
  <c r="G676" i="18"/>
  <c r="K688" i="18"/>
  <c r="J701" i="18"/>
  <c r="I714" i="18"/>
  <c r="H727" i="18"/>
  <c r="G740" i="18"/>
  <c r="K752" i="18"/>
  <c r="J765" i="18"/>
  <c r="K677" i="18"/>
  <c r="J690" i="18"/>
  <c r="I703" i="18"/>
  <c r="H716" i="18"/>
  <c r="G729" i="18"/>
  <c r="K741" i="18"/>
  <c r="J754" i="18"/>
  <c r="I767" i="18"/>
  <c r="H681" i="18"/>
  <c r="G694" i="18"/>
  <c r="K706" i="18"/>
  <c r="J719" i="18"/>
  <c r="I732" i="18"/>
  <c r="H745" i="18"/>
  <c r="G758" i="18"/>
  <c r="K770" i="18"/>
  <c r="G683" i="18"/>
  <c r="K695" i="18"/>
  <c r="J708" i="18"/>
  <c r="H760" i="18"/>
  <c r="I726" i="18"/>
  <c r="I683" i="18"/>
  <c r="K767" i="18"/>
  <c r="G733" i="18"/>
  <c r="I694" i="18"/>
  <c r="H755" i="18"/>
  <c r="G763" i="18"/>
  <c r="H728" i="18"/>
  <c r="J686" i="18"/>
  <c r="J772" i="18"/>
  <c r="J694" i="18"/>
  <c r="G749" i="18"/>
  <c r="H715" i="18"/>
  <c r="H766" i="18"/>
  <c r="I731" i="18"/>
  <c r="I691" i="18"/>
  <c r="K676" i="18"/>
  <c r="I739" i="18"/>
  <c r="G704" i="18"/>
  <c r="K686" i="18"/>
  <c r="J699" i="18"/>
  <c r="I712" i="18"/>
  <c r="H725" i="18"/>
  <c r="G738" i="18"/>
  <c r="K750" i="18"/>
  <c r="J763" i="18"/>
  <c r="K675" i="18"/>
  <c r="J688" i="18"/>
  <c r="I701" i="18"/>
  <c r="H714" i="18"/>
  <c r="G727" i="18"/>
  <c r="K739" i="18"/>
  <c r="J752" i="18"/>
  <c r="I765" i="18"/>
  <c r="J677" i="18"/>
  <c r="I690" i="18"/>
  <c r="H703" i="18"/>
  <c r="G716" i="18"/>
  <c r="K728" i="18"/>
  <c r="J741" i="18"/>
  <c r="I754" i="18"/>
  <c r="H767" i="18"/>
  <c r="I679" i="18"/>
  <c r="H692" i="18"/>
  <c r="G705" i="18"/>
  <c r="K717" i="18"/>
  <c r="J730" i="18"/>
  <c r="I743" i="18"/>
  <c r="H756" i="18"/>
  <c r="G769" i="18"/>
  <c r="K682" i="18"/>
  <c r="J695" i="18"/>
  <c r="I708" i="18"/>
  <c r="H721" i="18"/>
  <c r="G734" i="18"/>
  <c r="K746" i="18"/>
  <c r="J759" i="18"/>
  <c r="I772" i="18"/>
  <c r="J684" i="18"/>
  <c r="I697" i="18"/>
  <c r="H768" i="18"/>
  <c r="J756" i="18"/>
  <c r="K721" i="18"/>
  <c r="G677" i="18"/>
  <c r="H763" i="18"/>
  <c r="I729" i="18"/>
  <c r="G688" i="18"/>
  <c r="G747" i="18"/>
  <c r="I758" i="18"/>
  <c r="J724" i="18"/>
  <c r="H680" i="18"/>
  <c r="K759" i="18"/>
  <c r="K681" i="18"/>
  <c r="I745" i="18"/>
  <c r="J710" i="18"/>
  <c r="J761" i="18"/>
  <c r="K727" i="18"/>
  <c r="G685" i="18"/>
  <c r="J769" i="18"/>
  <c r="K735" i="18"/>
  <c r="J697" i="18"/>
  <c r="J675" i="18"/>
  <c r="I688" i="18"/>
  <c r="H701" i="18"/>
  <c r="G714" i="18"/>
  <c r="K726" i="18"/>
  <c r="J739" i="18"/>
  <c r="I752" i="18"/>
  <c r="H765" i="18"/>
  <c r="I677" i="18"/>
  <c r="H690" i="18"/>
  <c r="G703" i="18"/>
  <c r="K715" i="18"/>
  <c r="J728" i="18"/>
  <c r="I741" i="18"/>
  <c r="H754" i="18"/>
  <c r="G767" i="18"/>
  <c r="H679" i="18"/>
  <c r="G692" i="18"/>
  <c r="K704" i="18"/>
  <c r="J717" i="18"/>
  <c r="I730" i="18"/>
  <c r="H743" i="18"/>
  <c r="G756" i="18"/>
  <c r="K768" i="18"/>
  <c r="G681" i="18"/>
  <c r="K693" i="18"/>
  <c r="J706" i="18"/>
  <c r="I719" i="18"/>
  <c r="H732" i="18"/>
  <c r="G745" i="18"/>
  <c r="K757" i="18"/>
  <c r="J770" i="18"/>
  <c r="I684" i="18"/>
  <c r="H697" i="18"/>
  <c r="G710" i="18"/>
  <c r="K722" i="18"/>
  <c r="J735" i="18"/>
  <c r="I748" i="18"/>
  <c r="H761" i="18"/>
  <c r="K773" i="18"/>
  <c r="H686" i="18"/>
  <c r="G699" i="18"/>
  <c r="K751" i="18"/>
  <c r="G752" i="18"/>
  <c r="H718" i="18"/>
  <c r="H747" i="18"/>
  <c r="J758" i="18"/>
  <c r="K724" i="18"/>
  <c r="J681" i="18"/>
  <c r="H734" i="18"/>
  <c r="K753" i="18"/>
  <c r="G720" i="18"/>
  <c r="G760" i="18"/>
  <c r="J750" i="18"/>
  <c r="I675" i="18"/>
  <c r="K740" i="18"/>
  <c r="J705" i="18"/>
  <c r="G757" i="18"/>
  <c r="H723" i="18"/>
  <c r="J678" i="18"/>
  <c r="G765" i="18"/>
  <c r="H731" i="18"/>
  <c r="H691" i="18"/>
  <c r="H677" i="18"/>
  <c r="G690" i="18"/>
  <c r="K702" i="18"/>
  <c r="J715" i="18"/>
  <c r="I728" i="18"/>
  <c r="H741" i="18"/>
  <c r="G754" i="18"/>
  <c r="K766" i="18"/>
  <c r="G679" i="18"/>
  <c r="K691" i="18"/>
  <c r="J704" i="18"/>
  <c r="I717" i="18"/>
  <c r="H730" i="18"/>
  <c r="G743" i="18"/>
  <c r="K755" i="18"/>
  <c r="J768" i="18"/>
  <c r="K680" i="18"/>
  <c r="J693" i="18"/>
  <c r="I706" i="18"/>
  <c r="H719" i="18"/>
  <c r="G732" i="18"/>
  <c r="K744" i="18"/>
  <c r="J757" i="18"/>
  <c r="I770" i="18"/>
  <c r="J682" i="18"/>
  <c r="I695" i="18"/>
  <c r="H708" i="18"/>
  <c r="G721" i="18"/>
  <c r="K733" i="18"/>
  <c r="J746" i="18"/>
  <c r="I759" i="18"/>
  <c r="H772" i="18"/>
  <c r="G686" i="18"/>
  <c r="K698" i="18"/>
  <c r="J711" i="18"/>
  <c r="I724" i="18"/>
  <c r="H737" i="18"/>
  <c r="G750" i="18"/>
  <c r="K762" i="18"/>
  <c r="G675" i="18"/>
  <c r="K687" i="18"/>
  <c r="J700" i="18"/>
  <c r="K729" i="18"/>
  <c r="I747" i="18"/>
  <c r="J713" i="18"/>
  <c r="J689" i="18"/>
  <c r="G755" i="18"/>
  <c r="H720" i="18"/>
  <c r="H675" i="18"/>
  <c r="G725" i="18"/>
  <c r="H750" i="18"/>
  <c r="I715" i="18"/>
  <c r="J742" i="18"/>
  <c r="K737" i="18"/>
  <c r="G771" i="18"/>
  <c r="H736" i="18"/>
  <c r="H699" i="18"/>
  <c r="I753" i="18"/>
  <c r="J718" i="18"/>
  <c r="K772" i="18"/>
  <c r="I761" i="18"/>
  <c r="J726" i="18"/>
  <c r="K684" i="18"/>
  <c r="K678" i="18"/>
  <c r="J691" i="18"/>
  <c r="I704" i="18"/>
  <c r="H717" i="18"/>
  <c r="G730" i="18"/>
  <c r="K742" i="18"/>
  <c r="J755" i="18"/>
  <c r="I768" i="18"/>
  <c r="J680" i="18"/>
  <c r="I693" i="18"/>
  <c r="H706" i="18"/>
  <c r="G719" i="18"/>
  <c r="K731" i="18"/>
  <c r="J744" i="18"/>
  <c r="I757" i="18"/>
  <c r="H770" i="18"/>
  <c r="I682" i="18"/>
  <c r="H695" i="18"/>
  <c r="G708" i="18"/>
  <c r="K720" i="18"/>
  <c r="J733" i="18"/>
  <c r="I746" i="18"/>
  <c r="H759" i="18"/>
  <c r="G772" i="18"/>
  <c r="H684" i="18"/>
  <c r="G697" i="18"/>
  <c r="K709" i="18"/>
  <c r="J722" i="18"/>
  <c r="I735" i="18"/>
  <c r="H748" i="18"/>
  <c r="G761" i="18"/>
  <c r="K674" i="18"/>
  <c r="J687" i="18"/>
  <c r="I700" i="18"/>
  <c r="H713" i="18"/>
  <c r="G726" i="18"/>
  <c r="K738" i="18"/>
  <c r="J751" i="18"/>
  <c r="I764" i="18"/>
  <c r="J676" i="18"/>
  <c r="I689" i="18"/>
  <c r="H702" i="18"/>
  <c r="K708" i="18"/>
  <c r="K743" i="18"/>
  <c r="G709" i="18"/>
  <c r="I763" i="18"/>
  <c r="I750" i="18"/>
  <c r="J716" i="18"/>
  <c r="J764" i="18"/>
  <c r="I707" i="18"/>
  <c r="J745" i="18"/>
  <c r="K711" i="18"/>
  <c r="H726" i="18"/>
  <c r="J729" i="18"/>
  <c r="I766" i="18"/>
  <c r="J732" i="18"/>
  <c r="K692" i="18"/>
  <c r="K748" i="18"/>
  <c r="G715" i="18"/>
  <c r="I755" i="18"/>
  <c r="K756" i="18"/>
  <c r="G723" i="18"/>
  <c r="I678" i="18"/>
  <c r="I680" i="18"/>
  <c r="H693" i="18"/>
  <c r="G706" i="18"/>
  <c r="K718" i="18"/>
  <c r="J731" i="18"/>
  <c r="I744" i="18"/>
  <c r="H757" i="18"/>
  <c r="G770" i="18"/>
  <c r="H682" i="18"/>
  <c r="G695" i="18"/>
  <c r="K707" i="18"/>
  <c r="J720" i="18"/>
  <c r="I733" i="18"/>
  <c r="H746" i="18"/>
  <c r="G759" i="18"/>
  <c r="K771" i="18"/>
  <c r="G684" i="18"/>
  <c r="K696" i="18"/>
  <c r="J709" i="18"/>
  <c r="I722" i="18"/>
  <c r="H735" i="18"/>
  <c r="G748" i="18"/>
  <c r="K760" i="18"/>
  <c r="J773" i="18"/>
  <c r="K685" i="18"/>
  <c r="J698" i="18"/>
  <c r="I711" i="18"/>
  <c r="H724" i="18"/>
  <c r="G737" i="18"/>
  <c r="K749" i="18"/>
  <c r="J762" i="18"/>
  <c r="I676" i="18"/>
  <c r="H689" i="18"/>
  <c r="G702" i="18"/>
  <c r="K714" i="18"/>
  <c r="J727" i="18"/>
  <c r="I740" i="18"/>
  <c r="H753" i="18"/>
  <c r="G766" i="18"/>
  <c r="H678" i="18"/>
  <c r="G691" i="18"/>
  <c r="K703" i="18"/>
  <c r="G773" i="18"/>
  <c r="H739" i="18"/>
  <c r="J702" i="18"/>
  <c r="I742" i="18"/>
  <c r="K745" i="18"/>
  <c r="G712" i="18"/>
  <c r="G739" i="18"/>
  <c r="H688" i="18"/>
  <c r="G741" i="18"/>
  <c r="K705" i="18"/>
  <c r="G717" i="18"/>
  <c r="I721" i="18"/>
  <c r="K761" i="18"/>
  <c r="G728" i="18"/>
  <c r="I686" i="18"/>
  <c r="H744" i="18"/>
  <c r="I710" i="18"/>
  <c r="I734" i="18"/>
  <c r="H752" i="18"/>
  <c r="I718" i="18"/>
  <c r="B146" i="18"/>
  <c r="A449" i="18"/>
  <c r="B145" i="18"/>
  <c r="A441" i="18"/>
  <c r="A433" i="18"/>
  <c r="G8" i="17" a="1"/>
  <c r="G8" i="17" s="1"/>
  <c r="W473" i="18" a="1"/>
  <c r="W473" i="18" s="1"/>
  <c r="T473" i="18" a="1"/>
  <c r="T473" i="18" s="1"/>
  <c r="E474" i="18" a="1"/>
  <c r="E474" i="18" s="1"/>
  <c r="H12" i="17" s="1" a="1"/>
  <c r="H12" i="17" s="1"/>
  <c r="R473" i="18" a="1"/>
  <c r="R473" i="18" s="1"/>
  <c r="AG474" i="18" a="1"/>
  <c r="AG474" i="18" s="1"/>
  <c r="Y473" i="18" a="1"/>
  <c r="Y473" i="18" s="1"/>
  <c r="G9" i="17" a="1"/>
  <c r="G9" i="17" s="1"/>
  <c r="I473" i="18" a="1"/>
  <c r="I473" i="18" s="1"/>
  <c r="X474" i="18" a="1"/>
  <c r="X474" i="18" s="1"/>
  <c r="T474" i="18" a="1"/>
  <c r="T474" i="18" s="1"/>
  <c r="G473" i="18" a="1"/>
  <c r="G473" i="18" s="1"/>
  <c r="D473" i="18" a="1"/>
  <c r="D473" i="18" s="1"/>
  <c r="AE473" i="18" a="1"/>
  <c r="AE473" i="18" s="1"/>
  <c r="R474" i="18" a="1"/>
  <c r="R474" i="18" s="1"/>
  <c r="AC473" i="18" a="1"/>
  <c r="AC473" i="18" s="1"/>
  <c r="N474" i="18" a="1"/>
  <c r="N474" i="18" s="1"/>
  <c r="K474" i="18" a="1"/>
  <c r="K474" i="18" s="1"/>
  <c r="N12" i="17" s="1" a="1"/>
  <c r="N12" i="17" s="1"/>
  <c r="G474" i="18" a="1"/>
  <c r="G474" i="18" s="1"/>
  <c r="S473" i="18" a="1"/>
  <c r="S473" i="18" s="1"/>
  <c r="N473" i="18" a="1"/>
  <c r="N473" i="18" s="1"/>
  <c r="AF474" i="18" a="1"/>
  <c r="AF474" i="18" s="1"/>
  <c r="Z474" i="18" a="1"/>
  <c r="Z474" i="18" s="1"/>
  <c r="S474" i="18" a="1"/>
  <c r="S474" i="18" s="1"/>
  <c r="M474" i="18" a="1"/>
  <c r="M474" i="18" s="1"/>
  <c r="AD473" i="18" a="1"/>
  <c r="AD473" i="18" s="1"/>
  <c r="X473" i="18" a="1"/>
  <c r="X473" i="18" s="1"/>
  <c r="M473" i="18" a="1"/>
  <c r="M473" i="18" s="1"/>
  <c r="H473" i="18" a="1"/>
  <c r="H473" i="18" s="1"/>
  <c r="AE474" i="18" a="1"/>
  <c r="AE474" i="18" s="1"/>
  <c r="Y474" i="18" a="1"/>
  <c r="Y474" i="18" s="1"/>
  <c r="L474" i="18" a="1"/>
  <c r="L474" i="18" s="1"/>
  <c r="F474" i="18" a="1"/>
  <c r="F474" i="18" s="1"/>
  <c r="AH473" i="18" a="1"/>
  <c r="AH473" i="18" s="1"/>
  <c r="AB473" i="18" a="1"/>
  <c r="AB473" i="18" s="1"/>
  <c r="Q473" i="18" a="1"/>
  <c r="Q473" i="18" s="1"/>
  <c r="L473" i="18" a="1"/>
  <c r="L473" i="18" s="1"/>
  <c r="AD474" i="18" a="1"/>
  <c r="AD474" i="18" s="1"/>
  <c r="W474" i="18" a="1"/>
  <c r="W474" i="18" s="1"/>
  <c r="Q474" i="18" a="1"/>
  <c r="Q474" i="18" s="1"/>
  <c r="D474" i="18" a="1"/>
  <c r="D474" i="18" s="1"/>
  <c r="AG473" i="18" a="1"/>
  <c r="AG473" i="18" s="1"/>
  <c r="AA473" i="18" a="1"/>
  <c r="AA473" i="18" s="1"/>
  <c r="V473" i="18" a="1"/>
  <c r="V473" i="18" s="1"/>
  <c r="K473" i="18" a="1"/>
  <c r="K473" i="18" s="1"/>
  <c r="F473" i="18" a="1"/>
  <c r="F473" i="18" s="1"/>
  <c r="AI474" i="18" a="1"/>
  <c r="AI474" i="18" s="1"/>
  <c r="AC474" i="18" a="1"/>
  <c r="AC474" i="18" s="1"/>
  <c r="P474" i="18" a="1"/>
  <c r="P474" i="18" s="1"/>
  <c r="J474" i="18" a="1"/>
  <c r="J474" i="18" s="1"/>
  <c r="U473" i="18" a="1"/>
  <c r="U473" i="18" s="1"/>
  <c r="P473" i="18" a="1"/>
  <c r="P473" i="18" s="1"/>
  <c r="E473" i="18" a="1"/>
  <c r="E473" i="18" s="1"/>
  <c r="AB474" i="18" a="1"/>
  <c r="AB474" i="18" s="1"/>
  <c r="V474" i="18" a="1"/>
  <c r="V474" i="18" s="1"/>
  <c r="O474" i="18" a="1"/>
  <c r="O474" i="18" s="1"/>
  <c r="I474" i="18" a="1"/>
  <c r="I474" i="18" s="1"/>
  <c r="AF473" i="18" a="1"/>
  <c r="AF473" i="18" s="1"/>
  <c r="Z473" i="18" a="1"/>
  <c r="Z473" i="18" s="1"/>
  <c r="O473" i="18" a="1"/>
  <c r="O473" i="18" s="1"/>
  <c r="J473" i="18" a="1"/>
  <c r="J473" i="18" s="1"/>
  <c r="AH474" i="18" a="1"/>
  <c r="AH474" i="18" s="1"/>
  <c r="AA474" i="18" a="1"/>
  <c r="AA474" i="18" s="1"/>
  <c r="U474" i="18" a="1"/>
  <c r="U474" i="18" s="1"/>
  <c r="H474" i="18" a="1"/>
  <c r="H474" i="18" s="1"/>
  <c r="D347" i="18"/>
  <c r="D339" i="18"/>
  <c r="D331" i="18"/>
  <c r="D323" i="18"/>
  <c r="D315" i="18"/>
  <c r="D307" i="18"/>
  <c r="D299" i="18"/>
  <c r="D291" i="18"/>
  <c r="D283" i="18"/>
  <c r="D275" i="18"/>
  <c r="D267" i="18"/>
  <c r="D259" i="18"/>
  <c r="D346" i="18"/>
  <c r="D338" i="18"/>
  <c r="D330" i="18"/>
  <c r="D322" i="18"/>
  <c r="D314" i="18"/>
  <c r="D306" i="18"/>
  <c r="D298" i="18"/>
  <c r="D290" i="18"/>
  <c r="D282" i="18"/>
  <c r="D274" i="18"/>
  <c r="D266" i="18"/>
  <c r="D258" i="18"/>
  <c r="D345" i="18"/>
  <c r="D321" i="18"/>
  <c r="D305" i="18"/>
  <c r="D281" i="18"/>
  <c r="D257" i="18"/>
  <c r="D344" i="18"/>
  <c r="D328" i="18"/>
  <c r="D312" i="18"/>
  <c r="D296" i="18"/>
  <c r="D280" i="18"/>
  <c r="D264" i="18"/>
  <c r="D351" i="18"/>
  <c r="D343" i="18"/>
  <c r="D335" i="18"/>
  <c r="D327" i="18"/>
  <c r="D319" i="18"/>
  <c r="D311" i="18"/>
  <c r="D303" i="18"/>
  <c r="D295" i="18"/>
  <c r="D287" i="18"/>
  <c r="D279" i="18"/>
  <c r="D271" i="18"/>
  <c r="D263" i="18"/>
  <c r="D255" i="18"/>
  <c r="D329" i="18"/>
  <c r="D313" i="18"/>
  <c r="D289" i="18"/>
  <c r="D265" i="18"/>
  <c r="D336" i="18"/>
  <c r="D320" i="18"/>
  <c r="D304" i="18"/>
  <c r="D288" i="18"/>
  <c r="D272" i="18"/>
  <c r="D256" i="18"/>
  <c r="D350" i="18"/>
  <c r="D342" i="18"/>
  <c r="D334" i="18"/>
  <c r="D326" i="18"/>
  <c r="D318" i="18"/>
  <c r="D310" i="18"/>
  <c r="D302" i="18"/>
  <c r="D294" i="18"/>
  <c r="D286" i="18"/>
  <c r="D278" i="18"/>
  <c r="D270" i="18"/>
  <c r="D262" i="18"/>
  <c r="D254" i="18"/>
  <c r="D337" i="18"/>
  <c r="D297" i="18"/>
  <c r="D273" i="18"/>
  <c r="D349" i="18"/>
  <c r="D341" i="18"/>
  <c r="D333" i="18"/>
  <c r="D325" i="18"/>
  <c r="D317" i="18"/>
  <c r="D309" i="18"/>
  <c r="D301" i="18"/>
  <c r="D293" i="18"/>
  <c r="D285" i="18"/>
  <c r="D277" i="18"/>
  <c r="D269" i="18"/>
  <c r="D261" i="18"/>
  <c r="D253" i="18"/>
  <c r="D348" i="18"/>
  <c r="D340" i="18"/>
  <c r="D332" i="18"/>
  <c r="D324" i="18"/>
  <c r="D316" i="18"/>
  <c r="D308" i="18"/>
  <c r="D300" i="18"/>
  <c r="D292" i="18"/>
  <c r="D284" i="18"/>
  <c r="D276" i="18"/>
  <c r="D268" i="18"/>
  <c r="D260" i="18"/>
  <c r="A451" i="18"/>
  <c r="A443" i="18"/>
  <c r="A435" i="18"/>
  <c r="A427" i="18"/>
  <c r="A419" i="18"/>
  <c r="A411" i="18"/>
  <c r="A403" i="18"/>
  <c r="A395" i="18"/>
  <c r="A387" i="18"/>
  <c r="A379" i="18"/>
  <c r="A371" i="18"/>
  <c r="A363" i="18"/>
  <c r="A425" i="18"/>
  <c r="A417" i="18"/>
  <c r="A409" i="18"/>
  <c r="A401" i="18"/>
  <c r="A393" i="18"/>
  <c r="A385" i="18"/>
  <c r="A377" i="18"/>
  <c r="A369" i="18"/>
  <c r="A361" i="18"/>
  <c r="A456" i="18"/>
  <c r="A448" i="18"/>
  <c r="A440" i="18"/>
  <c r="A432" i="18"/>
  <c r="A424" i="18"/>
  <c r="A416" i="18"/>
  <c r="A408" i="18"/>
  <c r="A400" i="18"/>
  <c r="A392" i="18"/>
  <c r="A384" i="18"/>
  <c r="A376" i="18"/>
  <c r="A368" i="18"/>
  <c r="A360" i="18"/>
  <c r="A455" i="18"/>
  <c r="A447" i="18"/>
  <c r="A439" i="18"/>
  <c r="A431" i="18"/>
  <c r="A423" i="18"/>
  <c r="A415" i="18"/>
  <c r="A407" i="18"/>
  <c r="A399" i="18"/>
  <c r="A391" i="18"/>
  <c r="A383" i="18"/>
  <c r="A375" i="18"/>
  <c r="A367" i="18"/>
  <c r="A359" i="18"/>
  <c r="A454" i="18"/>
  <c r="A446" i="18"/>
  <c r="A438" i="18"/>
  <c r="A430" i="18"/>
  <c r="A422" i="18"/>
  <c r="A414" i="18"/>
  <c r="A406" i="18"/>
  <c r="A398" i="18"/>
  <c r="A390" i="18"/>
  <c r="A382" i="18"/>
  <c r="A374" i="18"/>
  <c r="A366" i="18"/>
  <c r="A358" i="18"/>
  <c r="A453" i="18"/>
  <c r="A445" i="18"/>
  <c r="A437" i="18"/>
  <c r="A429" i="18"/>
  <c r="A421" i="18"/>
  <c r="A413" i="18"/>
  <c r="A405" i="18"/>
  <c r="A397" i="18"/>
  <c r="A389" i="18"/>
  <c r="A381" i="18"/>
  <c r="A373" i="18"/>
  <c r="A365" i="18"/>
  <c r="A357" i="18"/>
  <c r="A452" i="18"/>
  <c r="A444" i="18"/>
  <c r="A436" i="18"/>
  <c r="A428" i="18"/>
  <c r="A420" i="18"/>
  <c r="A412" i="18"/>
  <c r="A404" i="18"/>
  <c r="A396" i="18"/>
  <c r="A388" i="18"/>
  <c r="A380" i="18"/>
  <c r="A372" i="18"/>
  <c r="A364" i="18"/>
  <c r="A450" i="18"/>
  <c r="A442" i="18"/>
  <c r="A434" i="18"/>
  <c r="A426" i="18"/>
  <c r="A418" i="18"/>
  <c r="A410" i="18"/>
  <c r="A402" i="18"/>
  <c r="A394" i="18"/>
  <c r="A386" i="18"/>
  <c r="A378" i="18"/>
  <c r="A370" i="18"/>
  <c r="C451" i="18"/>
  <c r="C443" i="18"/>
  <c r="C435" i="18"/>
  <c r="C427" i="18"/>
  <c r="C419" i="18"/>
  <c r="C411" i="18"/>
  <c r="C403" i="18"/>
  <c r="C395" i="18"/>
  <c r="C387" i="18"/>
  <c r="C379" i="18"/>
  <c r="C371" i="18"/>
  <c r="C363" i="18"/>
  <c r="C425" i="18"/>
  <c r="C417" i="18"/>
  <c r="C409" i="18"/>
  <c r="C401" i="18"/>
  <c r="C393" i="18"/>
  <c r="C385" i="18"/>
  <c r="C377" i="18"/>
  <c r="C369" i="18"/>
  <c r="C361" i="18"/>
  <c r="C456" i="18"/>
  <c r="C448" i="18"/>
  <c r="C440" i="18"/>
  <c r="C432" i="18"/>
  <c r="C424" i="18"/>
  <c r="C416" i="18"/>
  <c r="C408" i="18"/>
  <c r="C400" i="18"/>
  <c r="C392" i="18"/>
  <c r="C384" i="18"/>
  <c r="C376" i="18"/>
  <c r="C368" i="18"/>
  <c r="C360" i="18"/>
  <c r="C455" i="18"/>
  <c r="C447" i="18"/>
  <c r="C439" i="18"/>
  <c r="C431" i="18"/>
  <c r="C423" i="18"/>
  <c r="C415" i="18"/>
  <c r="C407" i="18"/>
  <c r="C399" i="18"/>
  <c r="C391" i="18"/>
  <c r="C383" i="18"/>
  <c r="C375" i="18"/>
  <c r="C367" i="18"/>
  <c r="C359" i="18"/>
  <c r="C454" i="18"/>
  <c r="C446" i="18"/>
  <c r="C438" i="18"/>
  <c r="C430" i="18"/>
  <c r="C422" i="18"/>
  <c r="C414" i="18"/>
  <c r="C406" i="18"/>
  <c r="C398" i="18"/>
  <c r="C390" i="18"/>
  <c r="C382" i="18"/>
  <c r="C374" i="18"/>
  <c r="C366" i="18"/>
  <c r="C358" i="18"/>
  <c r="C453" i="18"/>
  <c r="C445" i="18"/>
  <c r="C437" i="18"/>
  <c r="C429" i="18"/>
  <c r="C421" i="18"/>
  <c r="C413" i="18"/>
  <c r="C405" i="18"/>
  <c r="C397" i="18"/>
  <c r="C389" i="18"/>
  <c r="C381" i="18"/>
  <c r="C373" i="18"/>
  <c r="C365" i="18"/>
  <c r="C357" i="18"/>
  <c r="C452" i="18"/>
  <c r="C444" i="18"/>
  <c r="C436" i="18"/>
  <c r="C428" i="18"/>
  <c r="C420" i="18"/>
  <c r="C412" i="18"/>
  <c r="C404" i="18"/>
  <c r="C396" i="18"/>
  <c r="C388" i="18"/>
  <c r="C380" i="18"/>
  <c r="C372" i="18"/>
  <c r="C364" i="18"/>
  <c r="C450" i="18"/>
  <c r="C442" i="18"/>
  <c r="C434" i="18"/>
  <c r="C426" i="18"/>
  <c r="C418" i="18"/>
  <c r="C410" i="18"/>
  <c r="C402" i="18"/>
  <c r="C394" i="18"/>
  <c r="C386" i="18"/>
  <c r="C378" i="18"/>
  <c r="C370" i="18"/>
  <c r="B451" i="18"/>
  <c r="B419" i="18"/>
  <c r="B403" i="18"/>
  <c r="B379" i="18"/>
  <c r="B363" i="18"/>
  <c r="B450" i="18"/>
  <c r="B442" i="18"/>
  <c r="B434" i="18"/>
  <c r="B426" i="18"/>
  <c r="B418" i="18"/>
  <c r="B410" i="18"/>
  <c r="B402" i="18"/>
  <c r="B394" i="18"/>
  <c r="B386" i="18"/>
  <c r="B378" i="18"/>
  <c r="B370" i="18"/>
  <c r="B362" i="18"/>
  <c r="B453" i="18"/>
  <c r="B437" i="18"/>
  <c r="B421" i="18"/>
  <c r="B405" i="18"/>
  <c r="B389" i="18"/>
  <c r="B373" i="18"/>
  <c r="B357" i="18"/>
  <c r="B444" i="18"/>
  <c r="B428" i="18"/>
  <c r="B412" i="18"/>
  <c r="B396" i="18"/>
  <c r="B380" i="18"/>
  <c r="B372" i="18"/>
  <c r="B443" i="18"/>
  <c r="B427" i="18"/>
  <c r="B411" i="18"/>
  <c r="B387" i="18"/>
  <c r="B371" i="18"/>
  <c r="B449" i="18"/>
  <c r="B441" i="18"/>
  <c r="B433" i="18"/>
  <c r="B425" i="18"/>
  <c r="B417" i="18"/>
  <c r="B409" i="18"/>
  <c r="B401" i="18"/>
  <c r="B393" i="18"/>
  <c r="B385" i="18"/>
  <c r="B377" i="18"/>
  <c r="B369" i="18"/>
  <c r="B361" i="18"/>
  <c r="B445" i="18"/>
  <c r="B429" i="18"/>
  <c r="B413" i="18"/>
  <c r="B397" i="18"/>
  <c r="B381" i="18"/>
  <c r="B365" i="18"/>
  <c r="B452" i="18"/>
  <c r="B436" i="18"/>
  <c r="B420" i="18"/>
  <c r="B404" i="18"/>
  <c r="B388" i="18"/>
  <c r="B364" i="18"/>
  <c r="B435" i="18"/>
  <c r="B395" i="18"/>
  <c r="B456" i="18"/>
  <c r="B448" i="18"/>
  <c r="B440" i="18"/>
  <c r="B432" i="18"/>
  <c r="B424" i="18"/>
  <c r="B416" i="18"/>
  <c r="B408" i="18"/>
  <c r="B400" i="18"/>
  <c r="B392" i="18"/>
  <c r="B384" i="18"/>
  <c r="B376" i="18"/>
  <c r="B368" i="18"/>
  <c r="B360" i="18"/>
  <c r="B455" i="18"/>
  <c r="B447" i="18"/>
  <c r="B439" i="18"/>
  <c r="B431" i="18"/>
  <c r="B423" i="18"/>
  <c r="B415" i="18"/>
  <c r="B407" i="18"/>
  <c r="B399" i="18"/>
  <c r="B391" i="18"/>
  <c r="B383" i="18"/>
  <c r="B375" i="18"/>
  <c r="B367" i="18"/>
  <c r="B359" i="18"/>
  <c r="B454" i="18"/>
  <c r="B446" i="18"/>
  <c r="B438" i="18"/>
  <c r="B430" i="18"/>
  <c r="B422" i="18"/>
  <c r="B414" i="18"/>
  <c r="B406" i="18"/>
  <c r="B398" i="18"/>
  <c r="B390" i="18"/>
  <c r="B382" i="18"/>
  <c r="B374" i="18"/>
  <c r="B366" i="18"/>
  <c r="L17" i="17" a="1"/>
  <c r="L17" i="17" s="1"/>
  <c r="O15" i="17"/>
  <c r="L15" i="17" a="1"/>
  <c r="L15" i="17" s="1"/>
  <c r="K15" i="17" s="1" a="1"/>
  <c r="K15" i="17" s="1"/>
  <c r="G15" i="17" a="1"/>
  <c r="G15" i="17" s="1"/>
  <c r="AH347" i="18"/>
  <c r="AH339" i="18"/>
  <c r="AH331" i="18"/>
  <c r="AH323" i="18"/>
  <c r="AH315" i="18"/>
  <c r="AH307" i="18"/>
  <c r="AH299" i="18"/>
  <c r="AH291" i="18"/>
  <c r="AH283" i="18"/>
  <c r="AH275" i="18"/>
  <c r="AH267" i="18"/>
  <c r="AH259" i="18"/>
  <c r="AH346" i="18"/>
  <c r="AH338" i="18"/>
  <c r="AH330" i="18"/>
  <c r="AH322" i="18"/>
  <c r="AH314" i="18"/>
  <c r="AH306" i="18"/>
  <c r="AH298" i="18"/>
  <c r="AH290" i="18"/>
  <c r="AH282" i="18"/>
  <c r="AH274" i="18"/>
  <c r="AH266" i="18"/>
  <c r="AH258" i="18"/>
  <c r="AH345" i="18"/>
  <c r="AH337" i="18"/>
  <c r="AH329" i="18"/>
  <c r="AH321" i="18"/>
  <c r="AH313" i="18"/>
  <c r="AH305" i="18"/>
  <c r="AH297" i="18"/>
  <c r="AH289" i="18"/>
  <c r="AH281" i="18"/>
  <c r="AH273" i="18"/>
  <c r="AH265" i="18"/>
  <c r="AH257" i="18"/>
  <c r="AH344" i="18"/>
  <c r="AH336" i="18"/>
  <c r="AH328" i="18"/>
  <c r="AH320" i="18"/>
  <c r="AH312" i="18"/>
  <c r="AH304" i="18"/>
  <c r="AH296" i="18"/>
  <c r="AH288" i="18"/>
  <c r="AH280" i="18"/>
  <c r="AH272" i="18"/>
  <c r="AH264" i="18"/>
  <c r="AH256" i="18"/>
  <c r="AH351" i="18"/>
  <c r="AH343" i="18"/>
  <c r="AH335" i="18"/>
  <c r="AH327" i="18"/>
  <c r="AH319" i="18"/>
  <c r="AH311" i="18"/>
  <c r="AH303" i="18"/>
  <c r="AH295" i="18"/>
  <c r="AH287" i="18"/>
  <c r="AH279" i="18"/>
  <c r="AH271" i="18"/>
  <c r="AH263" i="18"/>
  <c r="AH255" i="18"/>
  <c r="AH350" i="18"/>
  <c r="AH342" i="18"/>
  <c r="AH334" i="18"/>
  <c r="AH326" i="18"/>
  <c r="AH318" i="18"/>
  <c r="AH310" i="18"/>
  <c r="AH302" i="18"/>
  <c r="AH294" i="18"/>
  <c r="AH286" i="18"/>
  <c r="AH278" i="18"/>
  <c r="AH270" i="18"/>
  <c r="AH262" i="18"/>
  <c r="AH254" i="18"/>
  <c r="AH349" i="18"/>
  <c r="AH341" i="18"/>
  <c r="AH333" i="18"/>
  <c r="AH325" i="18"/>
  <c r="AH317" i="18"/>
  <c r="AH309" i="18"/>
  <c r="AH301" i="18"/>
  <c r="AH293" i="18"/>
  <c r="AH285" i="18"/>
  <c r="AH277" i="18"/>
  <c r="AH269" i="18"/>
  <c r="AH261" i="18"/>
  <c r="AH253" i="18"/>
  <c r="AH348" i="18"/>
  <c r="AH340" i="18"/>
  <c r="AH332" i="18"/>
  <c r="AH324" i="18"/>
  <c r="AH316" i="18"/>
  <c r="AH308" i="18"/>
  <c r="AH300" i="18"/>
  <c r="AH292" i="18"/>
  <c r="AH284" i="18"/>
  <c r="AH276" i="18"/>
  <c r="AH268" i="18"/>
  <c r="AH260" i="18"/>
  <c r="AG347" i="18"/>
  <c r="AG339" i="18"/>
  <c r="AG331" i="18"/>
  <c r="AG323" i="18"/>
  <c r="AG315" i="18"/>
  <c r="AG307" i="18"/>
  <c r="AG299" i="18"/>
  <c r="AG291" i="18"/>
  <c r="AG283" i="18"/>
  <c r="AG275" i="18"/>
  <c r="AG267" i="18"/>
  <c r="AG259" i="18"/>
  <c r="AG346" i="18"/>
  <c r="AG338" i="18"/>
  <c r="AG330" i="18"/>
  <c r="AG322" i="18"/>
  <c r="AG314" i="18"/>
  <c r="AG306" i="18"/>
  <c r="AG298" i="18"/>
  <c r="AG290" i="18"/>
  <c r="AG282" i="18"/>
  <c r="AG274" i="18"/>
  <c r="AG266" i="18"/>
  <c r="AG258" i="18"/>
  <c r="AG345" i="18"/>
  <c r="AG337" i="18"/>
  <c r="AG329" i="18"/>
  <c r="AG313" i="18"/>
  <c r="AG305" i="18"/>
  <c r="AG297" i="18"/>
  <c r="AG289" i="18"/>
  <c r="AG281" i="18"/>
  <c r="AG273" i="18"/>
  <c r="AG265" i="18"/>
  <c r="AG257" i="18"/>
  <c r="AG321" i="18"/>
  <c r="AG344" i="18"/>
  <c r="AG336" i="18"/>
  <c r="AG328" i="18"/>
  <c r="AG320" i="18"/>
  <c r="AG312" i="18"/>
  <c r="AG304" i="18"/>
  <c r="AG296" i="18"/>
  <c r="AG288" i="18"/>
  <c r="AG280" i="18"/>
  <c r="AG272" i="18"/>
  <c r="AG264" i="18"/>
  <c r="AG256" i="18"/>
  <c r="AG351" i="18"/>
  <c r="AG343" i="18"/>
  <c r="AG335" i="18"/>
  <c r="AG327" i="18"/>
  <c r="AG319" i="18"/>
  <c r="AG311" i="18"/>
  <c r="AG303" i="18"/>
  <c r="AG295" i="18"/>
  <c r="AG287" i="18"/>
  <c r="AG279" i="18"/>
  <c r="AG271" i="18"/>
  <c r="AG263" i="18"/>
  <c r="AG255" i="18"/>
  <c r="AG350" i="18"/>
  <c r="AG342" i="18"/>
  <c r="AG334" i="18"/>
  <c r="AG326" i="18"/>
  <c r="AG318" i="18"/>
  <c r="AG310" i="18"/>
  <c r="AG302" i="18"/>
  <c r="AG294" i="18"/>
  <c r="AG286" i="18"/>
  <c r="AG278" i="18"/>
  <c r="AG270" i="18"/>
  <c r="AG262" i="18"/>
  <c r="AG254" i="18"/>
  <c r="AG349" i="18"/>
  <c r="AG341" i="18"/>
  <c r="AG333" i="18"/>
  <c r="AG325" i="18"/>
  <c r="AG317" i="18"/>
  <c r="AG309" i="18"/>
  <c r="AG301" i="18"/>
  <c r="AG293" i="18"/>
  <c r="AG285" i="18"/>
  <c r="AG277" i="18"/>
  <c r="AG269" i="18"/>
  <c r="AG261" i="18"/>
  <c r="AG253" i="18"/>
  <c r="AG348" i="18"/>
  <c r="AG340" i="18"/>
  <c r="AG332" i="18"/>
  <c r="AG324" i="18"/>
  <c r="AG316" i="18"/>
  <c r="AG308" i="18"/>
  <c r="AG300" i="18"/>
  <c r="AG292" i="18"/>
  <c r="AG284" i="18"/>
  <c r="AG276" i="18"/>
  <c r="AG268" i="18"/>
  <c r="AG260" i="18"/>
  <c r="AF347" i="18"/>
  <c r="AF339" i="18"/>
  <c r="AF331" i="18"/>
  <c r="AF323" i="18"/>
  <c r="AF315" i="18"/>
  <c r="AF307" i="18"/>
  <c r="AF299" i="18"/>
  <c r="AF291" i="18"/>
  <c r="AF283" i="18"/>
  <c r="AF275" i="18"/>
  <c r="AF267" i="18"/>
  <c r="AF259" i="18"/>
  <c r="AF346" i="18"/>
  <c r="AF338" i="18"/>
  <c r="AF330" i="18"/>
  <c r="AF322" i="18"/>
  <c r="AF314" i="18"/>
  <c r="AF306" i="18"/>
  <c r="AF298" i="18"/>
  <c r="AF290" i="18"/>
  <c r="AF282" i="18"/>
  <c r="AF274" i="18"/>
  <c r="AF266" i="18"/>
  <c r="AF258" i="18"/>
  <c r="AF345" i="18"/>
  <c r="AF337" i="18"/>
  <c r="AF329" i="18"/>
  <c r="AF321" i="18"/>
  <c r="AF313" i="18"/>
  <c r="AF305" i="18"/>
  <c r="AF297" i="18"/>
  <c r="AF289" i="18"/>
  <c r="AF281" i="18"/>
  <c r="AF273" i="18"/>
  <c r="AF265" i="18"/>
  <c r="AF257" i="18"/>
  <c r="AF344" i="18"/>
  <c r="AF336" i="18"/>
  <c r="AF328" i="18"/>
  <c r="AF320" i="18"/>
  <c r="AF312" i="18"/>
  <c r="AF304" i="18"/>
  <c r="AF296" i="18"/>
  <c r="AF288" i="18"/>
  <c r="AF280" i="18"/>
  <c r="AF272" i="18"/>
  <c r="AF264" i="18"/>
  <c r="AF256" i="18"/>
  <c r="AF351" i="18"/>
  <c r="AF343" i="18"/>
  <c r="AF335" i="18"/>
  <c r="AF327" i="18"/>
  <c r="AF319" i="18"/>
  <c r="AF311" i="18"/>
  <c r="AF303" i="18"/>
  <c r="AF295" i="18"/>
  <c r="AF287" i="18"/>
  <c r="AF279" i="18"/>
  <c r="AF271" i="18"/>
  <c r="AF263" i="18"/>
  <c r="AF255" i="18"/>
  <c r="AF350" i="18"/>
  <c r="AF342" i="18"/>
  <c r="AF334" i="18"/>
  <c r="AF326" i="18"/>
  <c r="AF318" i="18"/>
  <c r="AF310" i="18"/>
  <c r="AF302" i="18"/>
  <c r="AF294" i="18"/>
  <c r="AF286" i="18"/>
  <c r="AF278" i="18"/>
  <c r="AF270" i="18"/>
  <c r="AF262" i="18"/>
  <c r="AF254" i="18"/>
  <c r="AF349" i="18"/>
  <c r="AF341" i="18"/>
  <c r="AF333" i="18"/>
  <c r="AF325" i="18"/>
  <c r="AF317" i="18"/>
  <c r="AF309" i="18"/>
  <c r="AF301" i="18"/>
  <c r="AF293" i="18"/>
  <c r="AF285" i="18"/>
  <c r="AF277" i="18"/>
  <c r="AF269" i="18"/>
  <c r="AF261" i="18"/>
  <c r="AF253" i="18"/>
  <c r="AF348" i="18"/>
  <c r="AF340" i="18"/>
  <c r="AF332" i="18"/>
  <c r="AF324" i="18"/>
  <c r="AF316" i="18"/>
  <c r="AF308" i="18"/>
  <c r="AF300" i="18"/>
  <c r="AF292" i="18"/>
  <c r="AF284" i="18"/>
  <c r="AF276" i="18"/>
  <c r="AF268" i="18"/>
  <c r="AF260" i="18"/>
  <c r="AE347" i="18"/>
  <c r="AE323" i="18"/>
  <c r="AE307" i="18"/>
  <c r="AE259" i="18"/>
  <c r="AE338" i="18"/>
  <c r="AE322" i="18"/>
  <c r="AE306" i="18"/>
  <c r="AE290" i="18"/>
  <c r="AE258" i="18"/>
  <c r="AE345" i="18"/>
  <c r="AE337" i="18"/>
  <c r="AE329" i="18"/>
  <c r="AE321" i="18"/>
  <c r="AE313" i="18"/>
  <c r="AE305" i="18"/>
  <c r="AE297" i="18"/>
  <c r="AE289" i="18"/>
  <c r="AE281" i="18"/>
  <c r="AE273" i="18"/>
  <c r="AE265" i="18"/>
  <c r="AE257" i="18"/>
  <c r="AE339" i="18"/>
  <c r="AE315" i="18"/>
  <c r="AE267" i="18"/>
  <c r="AE346" i="18"/>
  <c r="AE330" i="18"/>
  <c r="AE314" i="18"/>
  <c r="AE298" i="18"/>
  <c r="AE282" i="18"/>
  <c r="AE266" i="18"/>
  <c r="AE344" i="18"/>
  <c r="AE336" i="18"/>
  <c r="AE328" i="18"/>
  <c r="AE320" i="18"/>
  <c r="AE312" i="18"/>
  <c r="AE304" i="18"/>
  <c r="AE296" i="18"/>
  <c r="AE288" i="18"/>
  <c r="AE280" i="18"/>
  <c r="AE272" i="18"/>
  <c r="AE264" i="18"/>
  <c r="AE256" i="18"/>
  <c r="AE331" i="18"/>
  <c r="AE275" i="18"/>
  <c r="AE274" i="18"/>
  <c r="AE351" i="18"/>
  <c r="AE343" i="18"/>
  <c r="AE335" i="18"/>
  <c r="AE327" i="18"/>
  <c r="AE319" i="18"/>
  <c r="AE311" i="18"/>
  <c r="AE303" i="18"/>
  <c r="AE295" i="18"/>
  <c r="AE287" i="18"/>
  <c r="AE279" i="18"/>
  <c r="AE271" i="18"/>
  <c r="AE263" i="18"/>
  <c r="AE255" i="18"/>
  <c r="AE299" i="18"/>
  <c r="AE350" i="18"/>
  <c r="AE342" i="18"/>
  <c r="AE334" i="18"/>
  <c r="AE326" i="18"/>
  <c r="AE318" i="18"/>
  <c r="AE310" i="18"/>
  <c r="AE302" i="18"/>
  <c r="AE294" i="18"/>
  <c r="AE286" i="18"/>
  <c r="AE278" i="18"/>
  <c r="AE270" i="18"/>
  <c r="AE262" i="18"/>
  <c r="AE254" i="18"/>
  <c r="AE291" i="18"/>
  <c r="AE349" i="18"/>
  <c r="AE341" i="18"/>
  <c r="AE333" i="18"/>
  <c r="AE325" i="18"/>
  <c r="AE317" i="18"/>
  <c r="AE309" i="18"/>
  <c r="AE301" i="18"/>
  <c r="AE293" i="18"/>
  <c r="AE285" i="18"/>
  <c r="AE277" i="18"/>
  <c r="AE269" i="18"/>
  <c r="AE261" i="18"/>
  <c r="AE253" i="18"/>
  <c r="AE283" i="18"/>
  <c r="AE348" i="18"/>
  <c r="AE340" i="18"/>
  <c r="AE332" i="18"/>
  <c r="AE324" i="18"/>
  <c r="AE316" i="18"/>
  <c r="AE308" i="18"/>
  <c r="AE300" i="18"/>
  <c r="AE292" i="18"/>
  <c r="AE284" i="18"/>
  <c r="AE276" i="18"/>
  <c r="AE268" i="18"/>
  <c r="AE260" i="18"/>
  <c r="AD347" i="18"/>
  <c r="AD339" i="18"/>
  <c r="AD331" i="18"/>
  <c r="AD315" i="18"/>
  <c r="AD307" i="18"/>
  <c r="AD299" i="18"/>
  <c r="AD291" i="18"/>
  <c r="AD283" i="18"/>
  <c r="AD275" i="18"/>
  <c r="AD267" i="18"/>
  <c r="AD259" i="18"/>
  <c r="AD346" i="18"/>
  <c r="AD338" i="18"/>
  <c r="AD330" i="18"/>
  <c r="AD322" i="18"/>
  <c r="AD314" i="18"/>
  <c r="AD306" i="18"/>
  <c r="AD298" i="18"/>
  <c r="AD290" i="18"/>
  <c r="AD282" i="18"/>
  <c r="AD274" i="18"/>
  <c r="AD266" i="18"/>
  <c r="AD258" i="18"/>
  <c r="AD345" i="18"/>
  <c r="AD337" i="18"/>
  <c r="AD329" i="18"/>
  <c r="AD321" i="18"/>
  <c r="AD313" i="18"/>
  <c r="AD305" i="18"/>
  <c r="AD297" i="18"/>
  <c r="AD289" i="18"/>
  <c r="AD281" i="18"/>
  <c r="AD273" i="18"/>
  <c r="AD265" i="18"/>
  <c r="AD257" i="18"/>
  <c r="AD323" i="18"/>
  <c r="AD344" i="18"/>
  <c r="AD336" i="18"/>
  <c r="AD328" i="18"/>
  <c r="AD320" i="18"/>
  <c r="AD312" i="18"/>
  <c r="AD304" i="18"/>
  <c r="AD296" i="18"/>
  <c r="AD288" i="18"/>
  <c r="AD280" i="18"/>
  <c r="AD272" i="18"/>
  <c r="AD264" i="18"/>
  <c r="AD256" i="18"/>
  <c r="AD351" i="18"/>
  <c r="AD343" i="18"/>
  <c r="AD335" i="18"/>
  <c r="AD327" i="18"/>
  <c r="AD319" i="18"/>
  <c r="AD311" i="18"/>
  <c r="AD303" i="18"/>
  <c r="AD295" i="18"/>
  <c r="AD287" i="18"/>
  <c r="AD279" i="18"/>
  <c r="AD271" i="18"/>
  <c r="AD263" i="18"/>
  <c r="AD255" i="18"/>
  <c r="AD350" i="18"/>
  <c r="AD342" i="18"/>
  <c r="AD334" i="18"/>
  <c r="AD326" i="18"/>
  <c r="AD318" i="18"/>
  <c r="AD310" i="18"/>
  <c r="AD302" i="18"/>
  <c r="AD294" i="18"/>
  <c r="AD286" i="18"/>
  <c r="AD278" i="18"/>
  <c r="AD270" i="18"/>
  <c r="AD262" i="18"/>
  <c r="AD254" i="18"/>
  <c r="AD349" i="18"/>
  <c r="AD341" i="18"/>
  <c r="AD333" i="18"/>
  <c r="AD325" i="18"/>
  <c r="AD317" i="18"/>
  <c r="AD309" i="18"/>
  <c r="AD301" i="18"/>
  <c r="AD293" i="18"/>
  <c r="AD285" i="18"/>
  <c r="AD277" i="18"/>
  <c r="AD269" i="18"/>
  <c r="AD261" i="18"/>
  <c r="AD253" i="18"/>
  <c r="AD348" i="18"/>
  <c r="AD340" i="18"/>
  <c r="AD332" i="18"/>
  <c r="AD324" i="18"/>
  <c r="AD316" i="18"/>
  <c r="AD308" i="18"/>
  <c r="AD300" i="18"/>
  <c r="AD292" i="18"/>
  <c r="AD284" i="18"/>
  <c r="AD276" i="18"/>
  <c r="AD268" i="18"/>
  <c r="AD260" i="18"/>
  <c r="AC299" i="18"/>
  <c r="AC331" i="18"/>
  <c r="AC267" i="18"/>
  <c r="AC314" i="18"/>
  <c r="AC258" i="18"/>
  <c r="AC345" i="18"/>
  <c r="AC337" i="18"/>
  <c r="AC329" i="18"/>
  <c r="AC321" i="18"/>
  <c r="AC313" i="18"/>
  <c r="AC305" i="18"/>
  <c r="AC297" i="18"/>
  <c r="AC289" i="18"/>
  <c r="AC281" i="18"/>
  <c r="AC273" i="18"/>
  <c r="AC265" i="18"/>
  <c r="AC257" i="18"/>
  <c r="AC307" i="18"/>
  <c r="AC266" i="18"/>
  <c r="AC344" i="18"/>
  <c r="AC336" i="18"/>
  <c r="AC328" i="18"/>
  <c r="AC320" i="18"/>
  <c r="AC312" i="18"/>
  <c r="AC304" i="18"/>
  <c r="AC296" i="18"/>
  <c r="AC288" i="18"/>
  <c r="AC280" i="18"/>
  <c r="AC272" i="18"/>
  <c r="AC264" i="18"/>
  <c r="AC256" i="18"/>
  <c r="AC315" i="18"/>
  <c r="AC283" i="18"/>
  <c r="AC322" i="18"/>
  <c r="AC282" i="18"/>
  <c r="AC351" i="18"/>
  <c r="AC343" i="18"/>
  <c r="AC335" i="18"/>
  <c r="AC327" i="18"/>
  <c r="AC319" i="18"/>
  <c r="AC311" i="18"/>
  <c r="AC303" i="18"/>
  <c r="AC295" i="18"/>
  <c r="AC287" i="18"/>
  <c r="AC279" i="18"/>
  <c r="AC271" i="18"/>
  <c r="AC263" i="18"/>
  <c r="AC255" i="18"/>
  <c r="AC347" i="18"/>
  <c r="AC323" i="18"/>
  <c r="AC275" i="18"/>
  <c r="AC338" i="18"/>
  <c r="AC274" i="18"/>
  <c r="AC350" i="18"/>
  <c r="AC342" i="18"/>
  <c r="AC334" i="18"/>
  <c r="AC326" i="18"/>
  <c r="AC318" i="18"/>
  <c r="AC310" i="18"/>
  <c r="AC302" i="18"/>
  <c r="AC294" i="18"/>
  <c r="AC286" i="18"/>
  <c r="AC278" i="18"/>
  <c r="AC270" i="18"/>
  <c r="AC262" i="18"/>
  <c r="AC254" i="18"/>
  <c r="AC291" i="18"/>
  <c r="AC298" i="18"/>
  <c r="AC349" i="18"/>
  <c r="AC341" i="18"/>
  <c r="AC333" i="18"/>
  <c r="AC325" i="18"/>
  <c r="AC317" i="18"/>
  <c r="AC309" i="18"/>
  <c r="AC301" i="18"/>
  <c r="AC293" i="18"/>
  <c r="AC285" i="18"/>
  <c r="AC277" i="18"/>
  <c r="AC269" i="18"/>
  <c r="AC261" i="18"/>
  <c r="AC253" i="18"/>
  <c r="AC339" i="18"/>
  <c r="AC259" i="18"/>
  <c r="AC346" i="18"/>
  <c r="AC330" i="18"/>
  <c r="AC306" i="18"/>
  <c r="AC290" i="18"/>
  <c r="AC348" i="18"/>
  <c r="AC340" i="18"/>
  <c r="AC332" i="18"/>
  <c r="AC324" i="18"/>
  <c r="AC316" i="18"/>
  <c r="AC308" i="18"/>
  <c r="AC300" i="18"/>
  <c r="AC292" i="18"/>
  <c r="AC284" i="18"/>
  <c r="AC276" i="18"/>
  <c r="AC268" i="18"/>
  <c r="AC260" i="18"/>
  <c r="AB339" i="18"/>
  <c r="AB315" i="18"/>
  <c r="AB259" i="18"/>
  <c r="AB322" i="18"/>
  <c r="AB314" i="18"/>
  <c r="AB306" i="18"/>
  <c r="AB298" i="18"/>
  <c r="AB290" i="18"/>
  <c r="AB282" i="18"/>
  <c r="AB274" i="18"/>
  <c r="AB266" i="18"/>
  <c r="AB258" i="18"/>
  <c r="AB345" i="18"/>
  <c r="AB337" i="18"/>
  <c r="AB329" i="18"/>
  <c r="AB321" i="18"/>
  <c r="AB313" i="18"/>
  <c r="AB305" i="18"/>
  <c r="AB297" i="18"/>
  <c r="AB289" i="18"/>
  <c r="AB281" i="18"/>
  <c r="AB273" i="18"/>
  <c r="AB265" i="18"/>
  <c r="AB257" i="18"/>
  <c r="AB331" i="18"/>
  <c r="AB283" i="18"/>
  <c r="AB344" i="18"/>
  <c r="AB336" i="18"/>
  <c r="AB328" i="18"/>
  <c r="AB320" i="18"/>
  <c r="AB312" i="18"/>
  <c r="AB304" i="18"/>
  <c r="AB296" i="18"/>
  <c r="AB288" i="18"/>
  <c r="AB280" i="18"/>
  <c r="AB272" i="18"/>
  <c r="AB264" i="18"/>
  <c r="AB256" i="18"/>
  <c r="AB347" i="18"/>
  <c r="AB307" i="18"/>
  <c r="AB267" i="18"/>
  <c r="AB346" i="18"/>
  <c r="AB351" i="18"/>
  <c r="AB343" i="18"/>
  <c r="AB335" i="18"/>
  <c r="AB327" i="18"/>
  <c r="AB319" i="18"/>
  <c r="AB311" i="18"/>
  <c r="AB303" i="18"/>
  <c r="AB295" i="18"/>
  <c r="AB287" i="18"/>
  <c r="AB279" i="18"/>
  <c r="AB271" i="18"/>
  <c r="AB263" i="18"/>
  <c r="AB255" i="18"/>
  <c r="AB299" i="18"/>
  <c r="AB330" i="18"/>
  <c r="AB350" i="18"/>
  <c r="AB342" i="18"/>
  <c r="AB334" i="18"/>
  <c r="AB326" i="18"/>
  <c r="AB318" i="18"/>
  <c r="AB310" i="18"/>
  <c r="AB302" i="18"/>
  <c r="AB294" i="18"/>
  <c r="AB286" i="18"/>
  <c r="AB278" i="18"/>
  <c r="AB270" i="18"/>
  <c r="AB262" i="18"/>
  <c r="AB254" i="18"/>
  <c r="AB291" i="18"/>
  <c r="AB338" i="18"/>
  <c r="AB349" i="18"/>
  <c r="AB341" i="18"/>
  <c r="AB333" i="18"/>
  <c r="AB325" i="18"/>
  <c r="AB317" i="18"/>
  <c r="AB309" i="18"/>
  <c r="AB301" i="18"/>
  <c r="AB293" i="18"/>
  <c r="AB285" i="18"/>
  <c r="AB277" i="18"/>
  <c r="AB269" i="18"/>
  <c r="AB261" i="18"/>
  <c r="AB253" i="18"/>
  <c r="AB323" i="18"/>
  <c r="AB275" i="18"/>
  <c r="AB348" i="18"/>
  <c r="AB340" i="18"/>
  <c r="AB332" i="18"/>
  <c r="AB324" i="18"/>
  <c r="AB316" i="18"/>
  <c r="AB308" i="18"/>
  <c r="AB300" i="18"/>
  <c r="AB292" i="18"/>
  <c r="AB284" i="18"/>
  <c r="AB276" i="18"/>
  <c r="AB268" i="18"/>
  <c r="AB260" i="18"/>
  <c r="AA347" i="18"/>
  <c r="AA331" i="18"/>
  <c r="AA315" i="18"/>
  <c r="AA259" i="18"/>
  <c r="AA338" i="18"/>
  <c r="AA314" i="18"/>
  <c r="AA258" i="18"/>
  <c r="AA345" i="18"/>
  <c r="AA337" i="18"/>
  <c r="AA329" i="18"/>
  <c r="AA321" i="18"/>
  <c r="AA313" i="18"/>
  <c r="AA305" i="18"/>
  <c r="AA297" i="18"/>
  <c r="AA289" i="18"/>
  <c r="AA281" i="18"/>
  <c r="AA273" i="18"/>
  <c r="AA265" i="18"/>
  <c r="AA257" i="18"/>
  <c r="AA283" i="18"/>
  <c r="AA266" i="18"/>
  <c r="AA344" i="18"/>
  <c r="AA336" i="18"/>
  <c r="AA328" i="18"/>
  <c r="AA320" i="18"/>
  <c r="AA312" i="18"/>
  <c r="AA304" i="18"/>
  <c r="AA296" i="18"/>
  <c r="AA288" i="18"/>
  <c r="AA280" i="18"/>
  <c r="AA272" i="18"/>
  <c r="AA264" i="18"/>
  <c r="AA256" i="18"/>
  <c r="AA339" i="18"/>
  <c r="AA275" i="18"/>
  <c r="AA282" i="18"/>
  <c r="AA351" i="18"/>
  <c r="AA343" i="18"/>
  <c r="AA335" i="18"/>
  <c r="AA327" i="18"/>
  <c r="AA319" i="18"/>
  <c r="AA311" i="18"/>
  <c r="AA303" i="18"/>
  <c r="AA295" i="18"/>
  <c r="AA287" i="18"/>
  <c r="AA279" i="18"/>
  <c r="AA271" i="18"/>
  <c r="AA263" i="18"/>
  <c r="AA255" i="18"/>
  <c r="AA323" i="18"/>
  <c r="AA307" i="18"/>
  <c r="AA267" i="18"/>
  <c r="AA346" i="18"/>
  <c r="AA330" i="18"/>
  <c r="AA322" i="18"/>
  <c r="AA306" i="18"/>
  <c r="AA274" i="18"/>
  <c r="AA350" i="18"/>
  <c r="AA342" i="18"/>
  <c r="AA334" i="18"/>
  <c r="AA326" i="18"/>
  <c r="AA318" i="18"/>
  <c r="AA310" i="18"/>
  <c r="AA302" i="18"/>
  <c r="AA294" i="18"/>
  <c r="AA286" i="18"/>
  <c r="AA278" i="18"/>
  <c r="AA270" i="18"/>
  <c r="AA262" i="18"/>
  <c r="AA254" i="18"/>
  <c r="AA299" i="18"/>
  <c r="AA290" i="18"/>
  <c r="AA349" i="18"/>
  <c r="AA341" i="18"/>
  <c r="AA333" i="18"/>
  <c r="AA325" i="18"/>
  <c r="AA317" i="18"/>
  <c r="AA309" i="18"/>
  <c r="AA301" i="18"/>
  <c r="AA293" i="18"/>
  <c r="AA285" i="18"/>
  <c r="AA277" i="18"/>
  <c r="AA269" i="18"/>
  <c r="AA261" i="18"/>
  <c r="AA253" i="18"/>
  <c r="AA291" i="18"/>
  <c r="AA298" i="18"/>
  <c r="AA348" i="18"/>
  <c r="AA340" i="18"/>
  <c r="AA332" i="18"/>
  <c r="AA324" i="18"/>
  <c r="AA316" i="18"/>
  <c r="AA308" i="18"/>
  <c r="AA300" i="18"/>
  <c r="AA292" i="18"/>
  <c r="AA284" i="18"/>
  <c r="AA276" i="18"/>
  <c r="AA268" i="18"/>
  <c r="AA260" i="18"/>
  <c r="Z346" i="18"/>
  <c r="Z338" i="18"/>
  <c r="Z330" i="18"/>
  <c r="Z322" i="18"/>
  <c r="Z314" i="18"/>
  <c r="Z306" i="18"/>
  <c r="Z298" i="18"/>
  <c r="Z290" i="18"/>
  <c r="Z282" i="18"/>
  <c r="Z274" i="18"/>
  <c r="Z266" i="18"/>
  <c r="Z258" i="18"/>
  <c r="Z317" i="18"/>
  <c r="Z293" i="18"/>
  <c r="Z345" i="18"/>
  <c r="Z337" i="18"/>
  <c r="Z329" i="18"/>
  <c r="Z321" i="18"/>
  <c r="Z313" i="18"/>
  <c r="Z305" i="18"/>
  <c r="Z297" i="18"/>
  <c r="Z289" i="18"/>
  <c r="Z281" i="18"/>
  <c r="Z273" i="18"/>
  <c r="Z265" i="18"/>
  <c r="Z257" i="18"/>
  <c r="Z333" i="18"/>
  <c r="Z309" i="18"/>
  <c r="Z261" i="18"/>
  <c r="Z344" i="18"/>
  <c r="Z336" i="18"/>
  <c r="Z328" i="18"/>
  <c r="Z320" i="18"/>
  <c r="Z312" i="18"/>
  <c r="Z304" i="18"/>
  <c r="Z296" i="18"/>
  <c r="Z288" i="18"/>
  <c r="Z280" i="18"/>
  <c r="Z272" i="18"/>
  <c r="Z264" i="18"/>
  <c r="Z256" i="18"/>
  <c r="Z253" i="18"/>
  <c r="Z277" i="18"/>
  <c r="Z351" i="18"/>
  <c r="Z343" i="18"/>
  <c r="Z335" i="18"/>
  <c r="Z327" i="18"/>
  <c r="Z319" i="18"/>
  <c r="Z311" i="18"/>
  <c r="Z303" i="18"/>
  <c r="Z295" i="18"/>
  <c r="Z287" i="18"/>
  <c r="Z279" i="18"/>
  <c r="Z271" i="18"/>
  <c r="Z263" i="18"/>
  <c r="Z255" i="18"/>
  <c r="Z350" i="18"/>
  <c r="Z342" i="18"/>
  <c r="Z334" i="18"/>
  <c r="Z326" i="18"/>
  <c r="Z318" i="18"/>
  <c r="Z310" i="18"/>
  <c r="Z302" i="18"/>
  <c r="Z294" i="18"/>
  <c r="Z286" i="18"/>
  <c r="Z278" i="18"/>
  <c r="Z270" i="18"/>
  <c r="Z262" i="18"/>
  <c r="Z254" i="18"/>
  <c r="Z349" i="18"/>
  <c r="Z325" i="18"/>
  <c r="Z285" i="18"/>
  <c r="Z348" i="18"/>
  <c r="Z340" i="18"/>
  <c r="Z332" i="18"/>
  <c r="Z324" i="18"/>
  <c r="Z316" i="18"/>
  <c r="Z308" i="18"/>
  <c r="Z300" i="18"/>
  <c r="Z292" i="18"/>
  <c r="Z284" i="18"/>
  <c r="Z276" i="18"/>
  <c r="Z268" i="18"/>
  <c r="Z260" i="18"/>
  <c r="Z252" i="18"/>
  <c r="Z341" i="18"/>
  <c r="Z301" i="18"/>
  <c r="Z269" i="18"/>
  <c r="Z347" i="18"/>
  <c r="Z339" i="18"/>
  <c r="Z331" i="18"/>
  <c r="Z323" i="18"/>
  <c r="Z315" i="18"/>
  <c r="Z307" i="18"/>
  <c r="Z299" i="18"/>
  <c r="Z291" i="18"/>
  <c r="Z283" i="18"/>
  <c r="Z275" i="18"/>
  <c r="Z267" i="18"/>
  <c r="Y347" i="18"/>
  <c r="Y339" i="18"/>
  <c r="Y331" i="18"/>
  <c r="Y323" i="18"/>
  <c r="Y315" i="18"/>
  <c r="Y307" i="18"/>
  <c r="Y299" i="18"/>
  <c r="Y291" i="18"/>
  <c r="Y283" i="18"/>
  <c r="Y275" i="18"/>
  <c r="Y267" i="18"/>
  <c r="Y259" i="18"/>
  <c r="Y346" i="18"/>
  <c r="Y338" i="18"/>
  <c r="Y330" i="18"/>
  <c r="Y322" i="18"/>
  <c r="Y314" i="18"/>
  <c r="Y306" i="18"/>
  <c r="Y298" i="18"/>
  <c r="Y290" i="18"/>
  <c r="Y282" i="18"/>
  <c r="Y274" i="18"/>
  <c r="Y266" i="18"/>
  <c r="Y258" i="18"/>
  <c r="Y345" i="18"/>
  <c r="Y337" i="18"/>
  <c r="Y329" i="18"/>
  <c r="Y321" i="18"/>
  <c r="Y313" i="18"/>
  <c r="Y305" i="18"/>
  <c r="Y297" i="18"/>
  <c r="Y289" i="18"/>
  <c r="Y281" i="18"/>
  <c r="Y273" i="18"/>
  <c r="Y265" i="18"/>
  <c r="Y257" i="18"/>
  <c r="Y344" i="18"/>
  <c r="Y336" i="18"/>
  <c r="Y328" i="18"/>
  <c r="Y320" i="18"/>
  <c r="Y312" i="18"/>
  <c r="Y304" i="18"/>
  <c r="Y296" i="18"/>
  <c r="Y288" i="18"/>
  <c r="Y280" i="18"/>
  <c r="Y272" i="18"/>
  <c r="Y264" i="18"/>
  <c r="Y256" i="18"/>
  <c r="Y351" i="18"/>
  <c r="Y343" i="18"/>
  <c r="Y335" i="18"/>
  <c r="Y327" i="18"/>
  <c r="Y319" i="18"/>
  <c r="Y311" i="18"/>
  <c r="Y303" i="18"/>
  <c r="Y295" i="18"/>
  <c r="Y287" i="18"/>
  <c r="Y279" i="18"/>
  <c r="Y271" i="18"/>
  <c r="Y263" i="18"/>
  <c r="Y255" i="18"/>
  <c r="Y350" i="18"/>
  <c r="Y342" i="18"/>
  <c r="Y334" i="18"/>
  <c r="Y326" i="18"/>
  <c r="Y318" i="18"/>
  <c r="Y310" i="18"/>
  <c r="Y302" i="18"/>
  <c r="Y294" i="18"/>
  <c r="Y286" i="18"/>
  <c r="Y278" i="18"/>
  <c r="Y270" i="18"/>
  <c r="Y262" i="18"/>
  <c r="Y254" i="18"/>
  <c r="Y349" i="18"/>
  <c r="Y341" i="18"/>
  <c r="Y333" i="18"/>
  <c r="Y325" i="18"/>
  <c r="Y317" i="18"/>
  <c r="Y309" i="18"/>
  <c r="Y301" i="18"/>
  <c r="Y293" i="18"/>
  <c r="Y285" i="18"/>
  <c r="Y277" i="18"/>
  <c r="Y269" i="18"/>
  <c r="Y261" i="18"/>
  <c r="Y253" i="18"/>
  <c r="Y348" i="18"/>
  <c r="Y340" i="18"/>
  <c r="Y332" i="18"/>
  <c r="Y324" i="18"/>
  <c r="Y316" i="18"/>
  <c r="Y308" i="18"/>
  <c r="Y300" i="18"/>
  <c r="Y292" i="18"/>
  <c r="Y284" i="18"/>
  <c r="Y276" i="18"/>
  <c r="Y268" i="18"/>
  <c r="Y260" i="18"/>
  <c r="X347" i="18"/>
  <c r="X331" i="18"/>
  <c r="X315" i="18"/>
  <c r="X299" i="18"/>
  <c r="X283" i="18"/>
  <c r="X259" i="18"/>
  <c r="X346" i="18"/>
  <c r="X338" i="18"/>
  <c r="X330" i="18"/>
  <c r="X322" i="18"/>
  <c r="X314" i="18"/>
  <c r="X306" i="18"/>
  <c r="X298" i="18"/>
  <c r="X290" i="18"/>
  <c r="X282" i="18"/>
  <c r="X274" i="18"/>
  <c r="X266" i="18"/>
  <c r="X258" i="18"/>
  <c r="X339" i="18"/>
  <c r="X323" i="18"/>
  <c r="X307" i="18"/>
  <c r="X291" i="18"/>
  <c r="X275" i="18"/>
  <c r="X267" i="18"/>
  <c r="X345" i="18"/>
  <c r="X337" i="18"/>
  <c r="X329" i="18"/>
  <c r="X321" i="18"/>
  <c r="X313" i="18"/>
  <c r="X305" i="18"/>
  <c r="X297" i="18"/>
  <c r="X289" i="18"/>
  <c r="X281" i="18"/>
  <c r="X273" i="18"/>
  <c r="X265" i="18"/>
  <c r="X257" i="18"/>
  <c r="X344" i="18"/>
  <c r="X336" i="18"/>
  <c r="X328" i="18"/>
  <c r="X320" i="18"/>
  <c r="X312" i="18"/>
  <c r="X304" i="18"/>
  <c r="X296" i="18"/>
  <c r="X288" i="18"/>
  <c r="X280" i="18"/>
  <c r="X272" i="18"/>
  <c r="X264" i="18"/>
  <c r="X256" i="18"/>
  <c r="X351" i="18"/>
  <c r="X343" i="18"/>
  <c r="X335" i="18"/>
  <c r="X327" i="18"/>
  <c r="X319" i="18"/>
  <c r="X311" i="18"/>
  <c r="X303" i="18"/>
  <c r="X295" i="18"/>
  <c r="X287" i="18"/>
  <c r="X279" i="18"/>
  <c r="X271" i="18"/>
  <c r="X263" i="18"/>
  <c r="X255" i="18"/>
  <c r="X350" i="18"/>
  <c r="X342" i="18"/>
  <c r="X334" i="18"/>
  <c r="X326" i="18"/>
  <c r="X318" i="18"/>
  <c r="X310" i="18"/>
  <c r="X302" i="18"/>
  <c r="X294" i="18"/>
  <c r="X286" i="18"/>
  <c r="X278" i="18"/>
  <c r="X270" i="18"/>
  <c r="X262" i="18"/>
  <c r="X254" i="18"/>
  <c r="X349" i="18"/>
  <c r="X341" i="18"/>
  <c r="X333" i="18"/>
  <c r="X325" i="18"/>
  <c r="X317" i="18"/>
  <c r="X309" i="18"/>
  <c r="X301" i="18"/>
  <c r="X293" i="18"/>
  <c r="X285" i="18"/>
  <c r="X277" i="18"/>
  <c r="X269" i="18"/>
  <c r="X261" i="18"/>
  <c r="X253" i="18"/>
  <c r="X348" i="18"/>
  <c r="X340" i="18"/>
  <c r="X332" i="18"/>
  <c r="X324" i="18"/>
  <c r="X316" i="18"/>
  <c r="X308" i="18"/>
  <c r="X300" i="18"/>
  <c r="X292" i="18"/>
  <c r="X284" i="18"/>
  <c r="X276" i="18"/>
  <c r="X268" i="18"/>
  <c r="X260" i="18"/>
  <c r="W339" i="18"/>
  <c r="W331" i="18"/>
  <c r="W323" i="18"/>
  <c r="W315" i="18"/>
  <c r="W307" i="18"/>
  <c r="W299" i="18"/>
  <c r="W291" i="18"/>
  <c r="W283" i="18"/>
  <c r="W267" i="18"/>
  <c r="W259" i="18"/>
  <c r="W346" i="18"/>
  <c r="W338" i="18"/>
  <c r="W330" i="18"/>
  <c r="W322" i="18"/>
  <c r="W314" i="18"/>
  <c r="W306" i="18"/>
  <c r="W298" i="18"/>
  <c r="W290" i="18"/>
  <c r="W282" i="18"/>
  <c r="W274" i="18"/>
  <c r="W266" i="18"/>
  <c r="W258" i="18"/>
  <c r="W347" i="18"/>
  <c r="W345" i="18"/>
  <c r="W337" i="18"/>
  <c r="W329" i="18"/>
  <c r="W321" i="18"/>
  <c r="W313" i="18"/>
  <c r="W305" i="18"/>
  <c r="W297" i="18"/>
  <c r="W289" i="18"/>
  <c r="W281" i="18"/>
  <c r="W273" i="18"/>
  <c r="W265" i="18"/>
  <c r="W257" i="18"/>
  <c r="W275" i="18"/>
  <c r="W344" i="18"/>
  <c r="W336" i="18"/>
  <c r="W328" i="18"/>
  <c r="W320" i="18"/>
  <c r="W312" i="18"/>
  <c r="W304" i="18"/>
  <c r="W296" i="18"/>
  <c r="W288" i="18"/>
  <c r="W280" i="18"/>
  <c r="W272" i="18"/>
  <c r="W264" i="18"/>
  <c r="W256" i="18"/>
  <c r="W351" i="18"/>
  <c r="W343" i="18"/>
  <c r="W335" i="18"/>
  <c r="W327" i="18"/>
  <c r="W319" i="18"/>
  <c r="W311" i="18"/>
  <c r="W303" i="18"/>
  <c r="W295" i="18"/>
  <c r="W287" i="18"/>
  <c r="W279" i="18"/>
  <c r="W271" i="18"/>
  <c r="W263" i="18"/>
  <c r="W255" i="18"/>
  <c r="W350" i="18"/>
  <c r="W342" i="18"/>
  <c r="W334" i="18"/>
  <c r="W326" i="18"/>
  <c r="W318" i="18"/>
  <c r="W310" i="18"/>
  <c r="W302" i="18"/>
  <c r="W294" i="18"/>
  <c r="W286" i="18"/>
  <c r="W278" i="18"/>
  <c r="W270" i="18"/>
  <c r="W262" i="18"/>
  <c r="W254" i="18"/>
  <c r="W349" i="18"/>
  <c r="W341" i="18"/>
  <c r="W333" i="18"/>
  <c r="W325" i="18"/>
  <c r="W317" i="18"/>
  <c r="W309" i="18"/>
  <c r="W301" i="18"/>
  <c r="W293" i="18"/>
  <c r="W285" i="18"/>
  <c r="W277" i="18"/>
  <c r="W269" i="18"/>
  <c r="W261" i="18"/>
  <c r="W253" i="18"/>
  <c r="W348" i="18"/>
  <c r="W340" i="18"/>
  <c r="W332" i="18"/>
  <c r="W324" i="18"/>
  <c r="W316" i="18"/>
  <c r="W308" i="18"/>
  <c r="W300" i="18"/>
  <c r="W292" i="18"/>
  <c r="W284" i="18"/>
  <c r="W276" i="18"/>
  <c r="W268" i="18"/>
  <c r="W260" i="18"/>
  <c r="V347" i="18"/>
  <c r="V339" i="18"/>
  <c r="V331" i="18"/>
  <c r="V323" i="18"/>
  <c r="V315" i="18"/>
  <c r="V307" i="18"/>
  <c r="V299" i="18"/>
  <c r="V291" i="18"/>
  <c r="V283" i="18"/>
  <c r="V275" i="18"/>
  <c r="V267" i="18"/>
  <c r="V259" i="18"/>
  <c r="V346" i="18"/>
  <c r="V338" i="18"/>
  <c r="V330" i="18"/>
  <c r="V322" i="18"/>
  <c r="V314" i="18"/>
  <c r="V306" i="18"/>
  <c r="V298" i="18"/>
  <c r="V290" i="18"/>
  <c r="V282" i="18"/>
  <c r="V274" i="18"/>
  <c r="V266" i="18"/>
  <c r="V258" i="18"/>
  <c r="V345" i="18"/>
  <c r="V337" i="18"/>
  <c r="V329" i="18"/>
  <c r="V321" i="18"/>
  <c r="V313" i="18"/>
  <c r="V305" i="18"/>
  <c r="V297" i="18"/>
  <c r="V289" i="18"/>
  <c r="V281" i="18"/>
  <c r="V273" i="18"/>
  <c r="V265" i="18"/>
  <c r="V257" i="18"/>
  <c r="V344" i="18"/>
  <c r="V336" i="18"/>
  <c r="V328" i="18"/>
  <c r="V320" i="18"/>
  <c r="V312" i="18"/>
  <c r="V304" i="18"/>
  <c r="V296" i="18"/>
  <c r="V288" i="18"/>
  <c r="V280" i="18"/>
  <c r="V272" i="18"/>
  <c r="V264" i="18"/>
  <c r="V256" i="18"/>
  <c r="V351" i="18"/>
  <c r="V343" i="18"/>
  <c r="V335" i="18"/>
  <c r="V327" i="18"/>
  <c r="V319" i="18"/>
  <c r="V311" i="18"/>
  <c r="V303" i="18"/>
  <c r="V295" i="18"/>
  <c r="V287" i="18"/>
  <c r="V279" i="18"/>
  <c r="V271" i="18"/>
  <c r="V263" i="18"/>
  <c r="V255" i="18"/>
  <c r="V350" i="18"/>
  <c r="V342" i="18"/>
  <c r="V334" i="18"/>
  <c r="V326" i="18"/>
  <c r="V318" i="18"/>
  <c r="V310" i="18"/>
  <c r="V302" i="18"/>
  <c r="V294" i="18"/>
  <c r="V286" i="18"/>
  <c r="V278" i="18"/>
  <c r="V270" i="18"/>
  <c r="V262" i="18"/>
  <c r="V254" i="18"/>
  <c r="V349" i="18"/>
  <c r="V341" i="18"/>
  <c r="V333" i="18"/>
  <c r="V325" i="18"/>
  <c r="V317" i="18"/>
  <c r="V309" i="18"/>
  <c r="V301" i="18"/>
  <c r="V293" i="18"/>
  <c r="V285" i="18"/>
  <c r="V277" i="18"/>
  <c r="V269" i="18"/>
  <c r="V261" i="18"/>
  <c r="V253" i="18"/>
  <c r="V348" i="18"/>
  <c r="V340" i="18"/>
  <c r="V332" i="18"/>
  <c r="V324" i="18"/>
  <c r="V316" i="18"/>
  <c r="V308" i="18"/>
  <c r="V300" i="18"/>
  <c r="V292" i="18"/>
  <c r="V284" i="18"/>
  <c r="V276" i="18"/>
  <c r="V268" i="18"/>
  <c r="V260" i="18"/>
  <c r="U339" i="18"/>
  <c r="U323" i="18"/>
  <c r="U259" i="18"/>
  <c r="U346" i="18"/>
  <c r="U338" i="18"/>
  <c r="U330" i="18"/>
  <c r="U322" i="18"/>
  <c r="U314" i="18"/>
  <c r="U306" i="18"/>
  <c r="U298" i="18"/>
  <c r="U290" i="18"/>
  <c r="U282" i="18"/>
  <c r="U274" i="18"/>
  <c r="U266" i="18"/>
  <c r="U258" i="18"/>
  <c r="U275" i="18"/>
  <c r="U345" i="18"/>
  <c r="U337" i="18"/>
  <c r="U329" i="18"/>
  <c r="U321" i="18"/>
  <c r="U313" i="18"/>
  <c r="U305" i="18"/>
  <c r="U297" i="18"/>
  <c r="U289" i="18"/>
  <c r="U281" i="18"/>
  <c r="U273" i="18"/>
  <c r="U265" i="18"/>
  <c r="U257" i="18"/>
  <c r="U347" i="18"/>
  <c r="U331" i="18"/>
  <c r="U315" i="18"/>
  <c r="U267" i="18"/>
  <c r="U344" i="18"/>
  <c r="U336" i="18"/>
  <c r="U328" i="18"/>
  <c r="U320" i="18"/>
  <c r="U312" i="18"/>
  <c r="U304" i="18"/>
  <c r="U296" i="18"/>
  <c r="U288" i="18"/>
  <c r="U280" i="18"/>
  <c r="U272" i="18"/>
  <c r="U264" i="18"/>
  <c r="U256" i="18"/>
  <c r="U291" i="18"/>
  <c r="U351" i="18"/>
  <c r="U343" i="18"/>
  <c r="U335" i="18"/>
  <c r="U327" i="18"/>
  <c r="U319" i="18"/>
  <c r="U311" i="18"/>
  <c r="U303" i="18"/>
  <c r="U295" i="18"/>
  <c r="U287" i="18"/>
  <c r="U279" i="18"/>
  <c r="U271" i="18"/>
  <c r="U263" i="18"/>
  <c r="U255" i="18"/>
  <c r="U299" i="18"/>
  <c r="U350" i="18"/>
  <c r="U342" i="18"/>
  <c r="U334" i="18"/>
  <c r="U326" i="18"/>
  <c r="U318" i="18"/>
  <c r="U310" i="18"/>
  <c r="U302" i="18"/>
  <c r="U294" i="18"/>
  <c r="U286" i="18"/>
  <c r="U278" i="18"/>
  <c r="U270" i="18"/>
  <c r="U262" i="18"/>
  <c r="U254" i="18"/>
  <c r="U283" i="18"/>
  <c r="U349" i="18"/>
  <c r="U341" i="18"/>
  <c r="U333" i="18"/>
  <c r="U325" i="18"/>
  <c r="U317" i="18"/>
  <c r="U309" i="18"/>
  <c r="U301" i="18"/>
  <c r="U293" i="18"/>
  <c r="U285" i="18"/>
  <c r="U277" i="18"/>
  <c r="U269" i="18"/>
  <c r="U261" i="18"/>
  <c r="U253" i="18"/>
  <c r="U307" i="18"/>
  <c r="U348" i="18"/>
  <c r="U340" i="18"/>
  <c r="U332" i="18"/>
  <c r="U324" i="18"/>
  <c r="U316" i="18"/>
  <c r="U308" i="18"/>
  <c r="U300" i="18"/>
  <c r="U292" i="18"/>
  <c r="U284" i="18"/>
  <c r="U276" i="18"/>
  <c r="U268" i="18"/>
  <c r="U260" i="18"/>
  <c r="T331" i="18"/>
  <c r="T307" i="18"/>
  <c r="T259" i="18"/>
  <c r="T346" i="18"/>
  <c r="T330" i="18"/>
  <c r="T322" i="18"/>
  <c r="T314" i="18"/>
  <c r="T306" i="18"/>
  <c r="T298" i="18"/>
  <c r="T266" i="18"/>
  <c r="T345" i="18"/>
  <c r="T337" i="18"/>
  <c r="T329" i="18"/>
  <c r="T321" i="18"/>
  <c r="T313" i="18"/>
  <c r="T305" i="18"/>
  <c r="T297" i="18"/>
  <c r="T289" i="18"/>
  <c r="T281" i="18"/>
  <c r="T273" i="18"/>
  <c r="T265" i="18"/>
  <c r="T257" i="18"/>
  <c r="T315" i="18"/>
  <c r="T283" i="18"/>
  <c r="T258" i="18"/>
  <c r="T344" i="18"/>
  <c r="T336" i="18"/>
  <c r="T328" i="18"/>
  <c r="T320" i="18"/>
  <c r="T312" i="18"/>
  <c r="T304" i="18"/>
  <c r="T296" i="18"/>
  <c r="T288" i="18"/>
  <c r="T280" i="18"/>
  <c r="T272" i="18"/>
  <c r="T264" i="18"/>
  <c r="T256" i="18"/>
  <c r="T339" i="18"/>
  <c r="T338" i="18"/>
  <c r="T351" i="18"/>
  <c r="T343" i="18"/>
  <c r="T335" i="18"/>
  <c r="T327" i="18"/>
  <c r="T319" i="18"/>
  <c r="T311" i="18"/>
  <c r="T303" i="18"/>
  <c r="T295" i="18"/>
  <c r="T287" i="18"/>
  <c r="T279" i="18"/>
  <c r="T271" i="18"/>
  <c r="T263" i="18"/>
  <c r="T255" i="18"/>
  <c r="T347" i="18"/>
  <c r="T299" i="18"/>
  <c r="T275" i="18"/>
  <c r="T282" i="18"/>
  <c r="T350" i="18"/>
  <c r="T342" i="18"/>
  <c r="T334" i="18"/>
  <c r="T326" i="18"/>
  <c r="T318" i="18"/>
  <c r="T310" i="18"/>
  <c r="T302" i="18"/>
  <c r="T294" i="18"/>
  <c r="T286" i="18"/>
  <c r="T278" i="18"/>
  <c r="T270" i="18"/>
  <c r="T262" i="18"/>
  <c r="T254" i="18"/>
  <c r="T291" i="18"/>
  <c r="T290" i="18"/>
  <c r="T349" i="18"/>
  <c r="T341" i="18"/>
  <c r="T333" i="18"/>
  <c r="T325" i="18"/>
  <c r="T317" i="18"/>
  <c r="T309" i="18"/>
  <c r="T301" i="18"/>
  <c r="T293" i="18"/>
  <c r="T285" i="18"/>
  <c r="T277" i="18"/>
  <c r="T269" i="18"/>
  <c r="T261" i="18"/>
  <c r="T253" i="18"/>
  <c r="T323" i="18"/>
  <c r="T267" i="18"/>
  <c r="T274" i="18"/>
  <c r="T348" i="18"/>
  <c r="T340" i="18"/>
  <c r="T332" i="18"/>
  <c r="T324" i="18"/>
  <c r="T316" i="18"/>
  <c r="T308" i="18"/>
  <c r="T300" i="18"/>
  <c r="T292" i="18"/>
  <c r="T284" i="18"/>
  <c r="T276" i="18"/>
  <c r="T268" i="18"/>
  <c r="T260" i="18"/>
  <c r="S331" i="18"/>
  <c r="S267" i="18"/>
  <c r="S346" i="18"/>
  <c r="S322" i="18"/>
  <c r="S298" i="18"/>
  <c r="S258" i="18"/>
  <c r="S345" i="18"/>
  <c r="S337" i="18"/>
  <c r="S329" i="18"/>
  <c r="S321" i="18"/>
  <c r="S313" i="18"/>
  <c r="S305" i="18"/>
  <c r="S297" i="18"/>
  <c r="S289" i="18"/>
  <c r="S281" i="18"/>
  <c r="S273" i="18"/>
  <c r="S265" i="18"/>
  <c r="S257" i="18"/>
  <c r="S299" i="18"/>
  <c r="S274" i="18"/>
  <c r="S344" i="18"/>
  <c r="S336" i="18"/>
  <c r="S328" i="18"/>
  <c r="S320" i="18"/>
  <c r="S312" i="18"/>
  <c r="S304" i="18"/>
  <c r="S296" i="18"/>
  <c r="S288" i="18"/>
  <c r="S280" i="18"/>
  <c r="S272" i="18"/>
  <c r="S264" i="18"/>
  <c r="S256" i="18"/>
  <c r="S347" i="18"/>
  <c r="S315" i="18"/>
  <c r="S283" i="18"/>
  <c r="S338" i="18"/>
  <c r="S314" i="18"/>
  <c r="S290" i="18"/>
  <c r="S266" i="18"/>
  <c r="S351" i="18"/>
  <c r="S343" i="18"/>
  <c r="S335" i="18"/>
  <c r="S327" i="18"/>
  <c r="S319" i="18"/>
  <c r="S311" i="18"/>
  <c r="S303" i="18"/>
  <c r="S295" i="18"/>
  <c r="S287" i="18"/>
  <c r="S279" i="18"/>
  <c r="S271" i="18"/>
  <c r="S263" i="18"/>
  <c r="S255" i="18"/>
  <c r="S323" i="18"/>
  <c r="S259" i="18"/>
  <c r="S330" i="18"/>
  <c r="S306" i="18"/>
  <c r="S282" i="18"/>
  <c r="S350" i="18"/>
  <c r="S342" i="18"/>
  <c r="S334" i="18"/>
  <c r="S326" i="18"/>
  <c r="S318" i="18"/>
  <c r="S310" i="18"/>
  <c r="S302" i="18"/>
  <c r="S294" i="18"/>
  <c r="S286" i="18"/>
  <c r="S278" i="18"/>
  <c r="S270" i="18"/>
  <c r="S262" i="18"/>
  <c r="S254" i="18"/>
  <c r="S291" i="18"/>
  <c r="S349" i="18"/>
  <c r="S341" i="18"/>
  <c r="S333" i="18"/>
  <c r="S325" i="18"/>
  <c r="S317" i="18"/>
  <c r="S309" i="18"/>
  <c r="S301" i="18"/>
  <c r="S293" i="18"/>
  <c r="S285" i="18"/>
  <c r="S277" i="18"/>
  <c r="S269" i="18"/>
  <c r="S261" i="18"/>
  <c r="S253" i="18"/>
  <c r="S339" i="18"/>
  <c r="S307" i="18"/>
  <c r="S275" i="18"/>
  <c r="S348" i="18"/>
  <c r="S340" i="18"/>
  <c r="S332" i="18"/>
  <c r="S324" i="18"/>
  <c r="S316" i="18"/>
  <c r="S308" i="18"/>
  <c r="S300" i="18"/>
  <c r="S292" i="18"/>
  <c r="S284" i="18"/>
  <c r="S276" i="18"/>
  <c r="S268" i="18"/>
  <c r="S260" i="18"/>
  <c r="R347" i="18"/>
  <c r="R339" i="18"/>
  <c r="R331" i="18"/>
  <c r="R323" i="18"/>
  <c r="R315" i="18"/>
  <c r="R307" i="18"/>
  <c r="R299" i="18"/>
  <c r="R291" i="18"/>
  <c r="R283" i="18"/>
  <c r="R275" i="18"/>
  <c r="R267" i="18"/>
  <c r="R259" i="18"/>
  <c r="R346" i="18"/>
  <c r="R338" i="18"/>
  <c r="R330" i="18"/>
  <c r="R322" i="18"/>
  <c r="R314" i="18"/>
  <c r="R306" i="18"/>
  <c r="R298" i="18"/>
  <c r="R290" i="18"/>
  <c r="R282" i="18"/>
  <c r="R274" i="18"/>
  <c r="R266" i="18"/>
  <c r="R258" i="18"/>
  <c r="R345" i="18"/>
  <c r="R337" i="18"/>
  <c r="R329" i="18"/>
  <c r="R321" i="18"/>
  <c r="R313" i="18"/>
  <c r="R305" i="18"/>
  <c r="R297" i="18"/>
  <c r="R289" i="18"/>
  <c r="R281" i="18"/>
  <c r="R273" i="18"/>
  <c r="R265" i="18"/>
  <c r="R257" i="18"/>
  <c r="R344" i="18"/>
  <c r="R336" i="18"/>
  <c r="R328" i="18"/>
  <c r="R320" i="18"/>
  <c r="R312" i="18"/>
  <c r="R304" i="18"/>
  <c r="R296" i="18"/>
  <c r="R288" i="18"/>
  <c r="R280" i="18"/>
  <c r="R272" i="18"/>
  <c r="R264" i="18"/>
  <c r="R256" i="18"/>
  <c r="R351" i="18"/>
  <c r="R343" i="18"/>
  <c r="R335" i="18"/>
  <c r="R327" i="18"/>
  <c r="R319" i="18"/>
  <c r="R311" i="18"/>
  <c r="R303" i="18"/>
  <c r="R295" i="18"/>
  <c r="R287" i="18"/>
  <c r="R279" i="18"/>
  <c r="R271" i="18"/>
  <c r="R263" i="18"/>
  <c r="R255" i="18"/>
  <c r="R350" i="18"/>
  <c r="R342" i="18"/>
  <c r="R334" i="18"/>
  <c r="R326" i="18"/>
  <c r="R318" i="18"/>
  <c r="R310" i="18"/>
  <c r="R302" i="18"/>
  <c r="R294" i="18"/>
  <c r="R286" i="18"/>
  <c r="R278" i="18"/>
  <c r="R270" i="18"/>
  <c r="R262" i="18"/>
  <c r="R254" i="18"/>
  <c r="R349" i="18"/>
  <c r="R341" i="18"/>
  <c r="R333" i="18"/>
  <c r="R325" i="18"/>
  <c r="R317" i="18"/>
  <c r="R309" i="18"/>
  <c r="R301" i="18"/>
  <c r="R293" i="18"/>
  <c r="R285" i="18"/>
  <c r="R277" i="18"/>
  <c r="R269" i="18"/>
  <c r="R261" i="18"/>
  <c r="R253" i="18"/>
  <c r="R348" i="18"/>
  <c r="R340" i="18"/>
  <c r="R332" i="18"/>
  <c r="R324" i="18"/>
  <c r="R316" i="18"/>
  <c r="R308" i="18"/>
  <c r="R300" i="18"/>
  <c r="R292" i="18"/>
  <c r="R284" i="18"/>
  <c r="R276" i="18"/>
  <c r="R268" i="18"/>
  <c r="R260" i="18"/>
  <c r="Q347" i="18"/>
  <c r="Q315" i="18"/>
  <c r="Q259" i="18"/>
  <c r="Q346" i="18"/>
  <c r="Q330" i="18"/>
  <c r="Q306" i="18"/>
  <c r="Q290" i="18"/>
  <c r="Q258" i="18"/>
  <c r="Q345" i="18"/>
  <c r="Q337" i="18"/>
  <c r="Q329" i="18"/>
  <c r="Q321" i="18"/>
  <c r="Q313" i="18"/>
  <c r="Q305" i="18"/>
  <c r="Q297" i="18"/>
  <c r="Q289" i="18"/>
  <c r="Q281" i="18"/>
  <c r="Q273" i="18"/>
  <c r="Q265" i="18"/>
  <c r="Q257" i="18"/>
  <c r="Q331" i="18"/>
  <c r="Q307" i="18"/>
  <c r="Q267" i="18"/>
  <c r="Q338" i="18"/>
  <c r="Q322" i="18"/>
  <c r="Q314" i="18"/>
  <c r="Q298" i="18"/>
  <c r="Q282" i="18"/>
  <c r="Q266" i="18"/>
  <c r="Q344" i="18"/>
  <c r="Q336" i="18"/>
  <c r="Q328" i="18"/>
  <c r="Q320" i="18"/>
  <c r="Q312" i="18"/>
  <c r="Q304" i="18"/>
  <c r="Q296" i="18"/>
  <c r="Q288" i="18"/>
  <c r="Q280" i="18"/>
  <c r="Q272" i="18"/>
  <c r="Q264" i="18"/>
  <c r="Q256" i="18"/>
  <c r="Q283" i="18"/>
  <c r="Q274" i="18"/>
  <c r="Q351" i="18"/>
  <c r="Q343" i="18"/>
  <c r="Q335" i="18"/>
  <c r="Q327" i="18"/>
  <c r="Q319" i="18"/>
  <c r="Q311" i="18"/>
  <c r="Q303" i="18"/>
  <c r="Q295" i="18"/>
  <c r="Q287" i="18"/>
  <c r="Q279" i="18"/>
  <c r="Q271" i="18"/>
  <c r="Q263" i="18"/>
  <c r="Q255" i="18"/>
  <c r="Q323" i="18"/>
  <c r="Q291" i="18"/>
  <c r="Q350" i="18"/>
  <c r="Q342" i="18"/>
  <c r="Q334" i="18"/>
  <c r="Q326" i="18"/>
  <c r="Q318" i="18"/>
  <c r="Q310" i="18"/>
  <c r="Q302" i="18"/>
  <c r="Q294" i="18"/>
  <c r="Q286" i="18"/>
  <c r="Q278" i="18"/>
  <c r="Q270" i="18"/>
  <c r="Q262" i="18"/>
  <c r="Q254" i="18"/>
  <c r="Q299" i="18"/>
  <c r="Q349" i="18"/>
  <c r="Q341" i="18"/>
  <c r="Q333" i="18"/>
  <c r="Q325" i="18"/>
  <c r="Q317" i="18"/>
  <c r="Q309" i="18"/>
  <c r="Q301" i="18"/>
  <c r="Q293" i="18"/>
  <c r="Q285" i="18"/>
  <c r="Q277" i="18"/>
  <c r="Q269" i="18"/>
  <c r="Q261" i="18"/>
  <c r="Q253" i="18"/>
  <c r="Q339" i="18"/>
  <c r="Q275" i="18"/>
  <c r="Q348" i="18"/>
  <c r="Q340" i="18"/>
  <c r="Q332" i="18"/>
  <c r="Q324" i="18"/>
  <c r="Q316" i="18"/>
  <c r="Q308" i="18"/>
  <c r="Q300" i="18"/>
  <c r="Q292" i="18"/>
  <c r="Q284" i="18"/>
  <c r="Q276" i="18"/>
  <c r="Q268" i="18"/>
  <c r="Q260" i="18"/>
  <c r="P347" i="18"/>
  <c r="P331" i="18"/>
  <c r="P315" i="18"/>
  <c r="P299" i="18"/>
  <c r="P283" i="18"/>
  <c r="P259" i="18"/>
  <c r="P346" i="18"/>
  <c r="P338" i="18"/>
  <c r="P330" i="18"/>
  <c r="P322" i="18"/>
  <c r="P314" i="18"/>
  <c r="P306" i="18"/>
  <c r="P298" i="18"/>
  <c r="P290" i="18"/>
  <c r="P282" i="18"/>
  <c r="P274" i="18"/>
  <c r="P266" i="18"/>
  <c r="P258" i="18"/>
  <c r="P339" i="18"/>
  <c r="P323" i="18"/>
  <c r="P307" i="18"/>
  <c r="P291" i="18"/>
  <c r="P275" i="18"/>
  <c r="P267" i="18"/>
  <c r="P345" i="18"/>
  <c r="P337" i="18"/>
  <c r="P329" i="18"/>
  <c r="P321" i="18"/>
  <c r="P313" i="18"/>
  <c r="P305" i="18"/>
  <c r="P297" i="18"/>
  <c r="P289" i="18"/>
  <c r="P281" i="18"/>
  <c r="P273" i="18"/>
  <c r="P265" i="18"/>
  <c r="P257" i="18"/>
  <c r="P344" i="18"/>
  <c r="P336" i="18"/>
  <c r="P328" i="18"/>
  <c r="P320" i="18"/>
  <c r="P312" i="18"/>
  <c r="P304" i="18"/>
  <c r="P296" i="18"/>
  <c r="P288" i="18"/>
  <c r="P280" i="18"/>
  <c r="P272" i="18"/>
  <c r="P264" i="18"/>
  <c r="P256" i="18"/>
  <c r="P351" i="18"/>
  <c r="P343" i="18"/>
  <c r="P335" i="18"/>
  <c r="P327" i="18"/>
  <c r="P319" i="18"/>
  <c r="P311" i="18"/>
  <c r="P303" i="18"/>
  <c r="P295" i="18"/>
  <c r="P287" i="18"/>
  <c r="P279" i="18"/>
  <c r="P271" i="18"/>
  <c r="P263" i="18"/>
  <c r="P255" i="18"/>
  <c r="P350" i="18"/>
  <c r="P342" i="18"/>
  <c r="P334" i="18"/>
  <c r="P326" i="18"/>
  <c r="P318" i="18"/>
  <c r="P310" i="18"/>
  <c r="P302" i="18"/>
  <c r="P294" i="18"/>
  <c r="P286" i="18"/>
  <c r="P278" i="18"/>
  <c r="P270" i="18"/>
  <c r="P262" i="18"/>
  <c r="P254" i="18"/>
  <c r="P349" i="18"/>
  <c r="P341" i="18"/>
  <c r="P333" i="18"/>
  <c r="P325" i="18"/>
  <c r="P317" i="18"/>
  <c r="P309" i="18"/>
  <c r="P301" i="18"/>
  <c r="P293" i="18"/>
  <c r="P285" i="18"/>
  <c r="P277" i="18"/>
  <c r="P269" i="18"/>
  <c r="P261" i="18"/>
  <c r="P253" i="18"/>
  <c r="P348" i="18"/>
  <c r="P340" i="18"/>
  <c r="P332" i="18"/>
  <c r="P324" i="18"/>
  <c r="P316" i="18"/>
  <c r="P308" i="18"/>
  <c r="P300" i="18"/>
  <c r="P292" i="18"/>
  <c r="P284" i="18"/>
  <c r="P276" i="18"/>
  <c r="P268" i="18"/>
  <c r="P260" i="18"/>
  <c r="O346" i="18"/>
  <c r="O338" i="18"/>
  <c r="O330" i="18"/>
  <c r="O322" i="18"/>
  <c r="O314" i="18"/>
  <c r="O306" i="18"/>
  <c r="O298" i="18"/>
  <c r="O290" i="18"/>
  <c r="O282" i="18"/>
  <c r="O274" i="18"/>
  <c r="O266" i="18"/>
  <c r="O258" i="18"/>
  <c r="O259" i="18"/>
  <c r="O345" i="18"/>
  <c r="O337" i="18"/>
  <c r="O329" i="18"/>
  <c r="O321" i="18"/>
  <c r="O313" i="18"/>
  <c r="O305" i="18"/>
  <c r="O297" i="18"/>
  <c r="O289" i="18"/>
  <c r="O281" i="18"/>
  <c r="O273" i="18"/>
  <c r="O265" i="18"/>
  <c r="O257" i="18"/>
  <c r="O344" i="18"/>
  <c r="O336" i="18"/>
  <c r="O328" i="18"/>
  <c r="O320" i="18"/>
  <c r="O312" i="18"/>
  <c r="O304" i="18"/>
  <c r="O296" i="18"/>
  <c r="O288" i="18"/>
  <c r="O280" i="18"/>
  <c r="O272" i="18"/>
  <c r="O264" i="18"/>
  <c r="O256" i="18"/>
  <c r="O351" i="18"/>
  <c r="O343" i="18"/>
  <c r="O335" i="18"/>
  <c r="O327" i="18"/>
  <c r="O319" i="18"/>
  <c r="O311" i="18"/>
  <c r="O303" i="18"/>
  <c r="O295" i="18"/>
  <c r="O287" i="18"/>
  <c r="O279" i="18"/>
  <c r="O271" i="18"/>
  <c r="O263" i="18"/>
  <c r="O255" i="18"/>
  <c r="O350" i="18"/>
  <c r="O342" i="18"/>
  <c r="O334" i="18"/>
  <c r="O326" i="18"/>
  <c r="O318" i="18"/>
  <c r="O310" i="18"/>
  <c r="O302" i="18"/>
  <c r="O294" i="18"/>
  <c r="O286" i="18"/>
  <c r="O278" i="18"/>
  <c r="O270" i="18"/>
  <c r="O262" i="18"/>
  <c r="O254" i="18"/>
  <c r="O349" i="18"/>
  <c r="O341" i="18"/>
  <c r="O333" i="18"/>
  <c r="O325" i="18"/>
  <c r="O317" i="18"/>
  <c r="O309" i="18"/>
  <c r="O301" i="18"/>
  <c r="O293" i="18"/>
  <c r="O285" i="18"/>
  <c r="O277" i="18"/>
  <c r="O269" i="18"/>
  <c r="O261" i="18"/>
  <c r="O253" i="18"/>
  <c r="O348" i="18"/>
  <c r="O340" i="18"/>
  <c r="O332" i="18"/>
  <c r="O324" i="18"/>
  <c r="O316" i="18"/>
  <c r="O308" i="18"/>
  <c r="O300" i="18"/>
  <c r="O292" i="18"/>
  <c r="O284" i="18"/>
  <c r="O276" i="18"/>
  <c r="O268" i="18"/>
  <c r="O260" i="18"/>
  <c r="O252" i="18"/>
  <c r="O347" i="18"/>
  <c r="O339" i="18"/>
  <c r="O331" i="18"/>
  <c r="O323" i="18"/>
  <c r="O315" i="18"/>
  <c r="O307" i="18"/>
  <c r="O299" i="18"/>
  <c r="O291" i="18"/>
  <c r="O283" i="18"/>
  <c r="O275" i="18"/>
  <c r="N347" i="18"/>
  <c r="N331" i="18"/>
  <c r="N315" i="18"/>
  <c r="N259" i="18"/>
  <c r="N346" i="18"/>
  <c r="N330" i="18"/>
  <c r="N298" i="18"/>
  <c r="N258" i="18"/>
  <c r="N345" i="18"/>
  <c r="N337" i="18"/>
  <c r="N329" i="18"/>
  <c r="N321" i="18"/>
  <c r="N313" i="18"/>
  <c r="N305" i="18"/>
  <c r="N297" i="18"/>
  <c r="N289" i="18"/>
  <c r="N281" i="18"/>
  <c r="N273" i="18"/>
  <c r="N265" i="18"/>
  <c r="N257" i="18"/>
  <c r="N339" i="18"/>
  <c r="N323" i="18"/>
  <c r="N307" i="18"/>
  <c r="N267" i="18"/>
  <c r="N338" i="18"/>
  <c r="N322" i="18"/>
  <c r="N290" i="18"/>
  <c r="N266" i="18"/>
  <c r="N344" i="18"/>
  <c r="N336" i="18"/>
  <c r="N328" i="18"/>
  <c r="N320" i="18"/>
  <c r="N312" i="18"/>
  <c r="N304" i="18"/>
  <c r="N296" i="18"/>
  <c r="N288" i="18"/>
  <c r="N280" i="18"/>
  <c r="N272" i="18"/>
  <c r="N264" i="18"/>
  <c r="N256" i="18"/>
  <c r="N275" i="18"/>
  <c r="N274" i="18"/>
  <c r="N351" i="18"/>
  <c r="N343" i="18"/>
  <c r="N335" i="18"/>
  <c r="N327" i="18"/>
  <c r="N319" i="18"/>
  <c r="N311" i="18"/>
  <c r="N303" i="18"/>
  <c r="N295" i="18"/>
  <c r="N287" i="18"/>
  <c r="N279" i="18"/>
  <c r="N271" i="18"/>
  <c r="N263" i="18"/>
  <c r="N255" i="18"/>
  <c r="N299" i="18"/>
  <c r="N282" i="18"/>
  <c r="N350" i="18"/>
  <c r="N342" i="18"/>
  <c r="N334" i="18"/>
  <c r="N326" i="18"/>
  <c r="N318" i="18"/>
  <c r="N310" i="18"/>
  <c r="N302" i="18"/>
  <c r="N294" i="18"/>
  <c r="N286" i="18"/>
  <c r="N278" i="18"/>
  <c r="N270" i="18"/>
  <c r="N262" i="18"/>
  <c r="N254" i="18"/>
  <c r="N291" i="18"/>
  <c r="N306" i="18"/>
  <c r="N349" i="18"/>
  <c r="N341" i="18"/>
  <c r="N333" i="18"/>
  <c r="N325" i="18"/>
  <c r="N317" i="18"/>
  <c r="N309" i="18"/>
  <c r="N301" i="18"/>
  <c r="N293" i="18"/>
  <c r="N285" i="18"/>
  <c r="N277" i="18"/>
  <c r="N269" i="18"/>
  <c r="N261" i="18"/>
  <c r="N253" i="18"/>
  <c r="N283" i="18"/>
  <c r="N314" i="18"/>
  <c r="N348" i="18"/>
  <c r="N340" i="18"/>
  <c r="N332" i="18"/>
  <c r="N324" i="18"/>
  <c r="N316" i="18"/>
  <c r="N308" i="18"/>
  <c r="N300" i="18"/>
  <c r="N292" i="18"/>
  <c r="N284" i="18"/>
  <c r="N276" i="18"/>
  <c r="N268" i="18"/>
  <c r="N260" i="18"/>
  <c r="M347" i="18"/>
  <c r="M339" i="18"/>
  <c r="M331" i="18"/>
  <c r="M323" i="18"/>
  <c r="M315" i="18"/>
  <c r="M307" i="18"/>
  <c r="M299" i="18"/>
  <c r="M291" i="18"/>
  <c r="M283" i="18"/>
  <c r="M275" i="18"/>
  <c r="M267" i="18"/>
  <c r="M259" i="18"/>
  <c r="M346" i="18"/>
  <c r="M338" i="18"/>
  <c r="M330" i="18"/>
  <c r="M322" i="18"/>
  <c r="M314" i="18"/>
  <c r="M306" i="18"/>
  <c r="M298" i="18"/>
  <c r="M290" i="18"/>
  <c r="M282" i="18"/>
  <c r="M274" i="18"/>
  <c r="M266" i="18"/>
  <c r="M258" i="18"/>
  <c r="M345" i="18"/>
  <c r="M329" i="18"/>
  <c r="M321" i="18"/>
  <c r="M313" i="18"/>
  <c r="M305" i="18"/>
  <c r="M297" i="18"/>
  <c r="M289" i="18"/>
  <c r="M281" i="18"/>
  <c r="M273" i="18"/>
  <c r="M265" i="18"/>
  <c r="M337" i="18"/>
  <c r="M257" i="18"/>
  <c r="M344" i="18"/>
  <c r="M336" i="18"/>
  <c r="M328" i="18"/>
  <c r="M320" i="18"/>
  <c r="M312" i="18"/>
  <c r="M304" i="18"/>
  <c r="M296" i="18"/>
  <c r="M288" i="18"/>
  <c r="M280" i="18"/>
  <c r="M272" i="18"/>
  <c r="M264" i="18"/>
  <c r="M256" i="18"/>
  <c r="M351" i="18"/>
  <c r="M343" i="18"/>
  <c r="M335" i="18"/>
  <c r="M327" i="18"/>
  <c r="M319" i="18"/>
  <c r="M311" i="18"/>
  <c r="M303" i="18"/>
  <c r="M295" i="18"/>
  <c r="M287" i="18"/>
  <c r="M279" i="18"/>
  <c r="M271" i="18"/>
  <c r="M263" i="18"/>
  <c r="M255" i="18"/>
  <c r="M350" i="18"/>
  <c r="M342" i="18"/>
  <c r="M334" i="18"/>
  <c r="M326" i="18"/>
  <c r="M318" i="18"/>
  <c r="M310" i="18"/>
  <c r="M302" i="18"/>
  <c r="M294" i="18"/>
  <c r="M286" i="18"/>
  <c r="M278" i="18"/>
  <c r="M270" i="18"/>
  <c r="M262" i="18"/>
  <c r="M254" i="18"/>
  <c r="M349" i="18"/>
  <c r="M341" i="18"/>
  <c r="M333" i="18"/>
  <c r="M325" i="18"/>
  <c r="M317" i="18"/>
  <c r="M309" i="18"/>
  <c r="M301" i="18"/>
  <c r="M293" i="18"/>
  <c r="M285" i="18"/>
  <c r="M277" i="18"/>
  <c r="M269" i="18"/>
  <c r="M261" i="18"/>
  <c r="M253" i="18"/>
  <c r="M348" i="18"/>
  <c r="M340" i="18"/>
  <c r="M332" i="18"/>
  <c r="M324" i="18"/>
  <c r="M316" i="18"/>
  <c r="M308" i="18"/>
  <c r="M300" i="18"/>
  <c r="M292" i="18"/>
  <c r="M284" i="18"/>
  <c r="M276" i="18"/>
  <c r="M268" i="18"/>
  <c r="M260" i="18"/>
  <c r="L347" i="18"/>
  <c r="L339" i="18"/>
  <c r="L331" i="18"/>
  <c r="L323" i="18"/>
  <c r="L315" i="18"/>
  <c r="L307" i="18"/>
  <c r="L299" i="18"/>
  <c r="L291" i="18"/>
  <c r="L283" i="18"/>
  <c r="L275" i="18"/>
  <c r="L267" i="18"/>
  <c r="L259" i="18"/>
  <c r="L346" i="18"/>
  <c r="L338" i="18"/>
  <c r="L330" i="18"/>
  <c r="L322" i="18"/>
  <c r="L314" i="18"/>
  <c r="L306" i="18"/>
  <c r="L298" i="18"/>
  <c r="L290" i="18"/>
  <c r="L282" i="18"/>
  <c r="L274" i="18"/>
  <c r="L266" i="18"/>
  <c r="L258" i="18"/>
  <c r="L345" i="18"/>
  <c r="L337" i="18"/>
  <c r="L329" i="18"/>
  <c r="L321" i="18"/>
  <c r="L313" i="18"/>
  <c r="L305" i="18"/>
  <c r="L297" i="18"/>
  <c r="L289" i="18"/>
  <c r="L281" i="18"/>
  <c r="L273" i="18"/>
  <c r="L265" i="18"/>
  <c r="L257" i="18"/>
  <c r="L344" i="18"/>
  <c r="L336" i="18"/>
  <c r="L328" i="18"/>
  <c r="L320" i="18"/>
  <c r="L312" i="18"/>
  <c r="L304" i="18"/>
  <c r="L296" i="18"/>
  <c r="L288" i="18"/>
  <c r="L280" i="18"/>
  <c r="L272" i="18"/>
  <c r="L264" i="18"/>
  <c r="L256" i="18"/>
  <c r="L351" i="18"/>
  <c r="L343" i="18"/>
  <c r="L335" i="18"/>
  <c r="L327" i="18"/>
  <c r="L319" i="18"/>
  <c r="L311" i="18"/>
  <c r="L303" i="18"/>
  <c r="L295" i="18"/>
  <c r="L287" i="18"/>
  <c r="L279" i="18"/>
  <c r="L271" i="18"/>
  <c r="L263" i="18"/>
  <c r="L255" i="18"/>
  <c r="L350" i="18"/>
  <c r="L342" i="18"/>
  <c r="L334" i="18"/>
  <c r="L326" i="18"/>
  <c r="L318" i="18"/>
  <c r="L310" i="18"/>
  <c r="L302" i="18"/>
  <c r="L294" i="18"/>
  <c r="L286" i="18"/>
  <c r="L278" i="18"/>
  <c r="L270" i="18"/>
  <c r="L262" i="18"/>
  <c r="L254" i="18"/>
  <c r="L349" i="18"/>
  <c r="L341" i="18"/>
  <c r="L333" i="18"/>
  <c r="L325" i="18"/>
  <c r="L317" i="18"/>
  <c r="L309" i="18"/>
  <c r="L301" i="18"/>
  <c r="L293" i="18"/>
  <c r="L285" i="18"/>
  <c r="L277" i="18"/>
  <c r="L269" i="18"/>
  <c r="L261" i="18"/>
  <c r="L253" i="18"/>
  <c r="L348" i="18"/>
  <c r="L340" i="18"/>
  <c r="L332" i="18"/>
  <c r="L324" i="18"/>
  <c r="L316" i="18"/>
  <c r="L308" i="18"/>
  <c r="L300" i="18"/>
  <c r="L292" i="18"/>
  <c r="L284" i="18"/>
  <c r="L276" i="18"/>
  <c r="L268" i="18"/>
  <c r="L260" i="18"/>
  <c r="K347" i="18"/>
  <c r="K331" i="18"/>
  <c r="K307" i="18"/>
  <c r="K283" i="18"/>
  <c r="K259" i="18"/>
  <c r="K346" i="18"/>
  <c r="K338" i="18"/>
  <c r="K330" i="18"/>
  <c r="K322" i="18"/>
  <c r="K314" i="18"/>
  <c r="K306" i="18"/>
  <c r="K298" i="18"/>
  <c r="K290" i="18"/>
  <c r="K282" i="18"/>
  <c r="K274" i="18"/>
  <c r="K266" i="18"/>
  <c r="K258" i="18"/>
  <c r="K339" i="18"/>
  <c r="K323" i="18"/>
  <c r="K315" i="18"/>
  <c r="K291" i="18"/>
  <c r="K275" i="18"/>
  <c r="K267" i="18"/>
  <c r="K345" i="18"/>
  <c r="K337" i="18"/>
  <c r="K329" i="18"/>
  <c r="K321" i="18"/>
  <c r="K313" i="18"/>
  <c r="K305" i="18"/>
  <c r="K297" i="18"/>
  <c r="K289" i="18"/>
  <c r="K281" i="18"/>
  <c r="K273" i="18"/>
  <c r="K265" i="18"/>
  <c r="K257" i="18"/>
  <c r="K299" i="18"/>
  <c r="K344" i="18"/>
  <c r="K336" i="18"/>
  <c r="K328" i="18"/>
  <c r="K320" i="18"/>
  <c r="K312" i="18"/>
  <c r="K304" i="18"/>
  <c r="K296" i="18"/>
  <c r="K288" i="18"/>
  <c r="K280" i="18"/>
  <c r="K272" i="18"/>
  <c r="K264" i="18"/>
  <c r="K256" i="18"/>
  <c r="K351" i="18"/>
  <c r="K343" i="18"/>
  <c r="K335" i="18"/>
  <c r="K327" i="18"/>
  <c r="K319" i="18"/>
  <c r="K311" i="18"/>
  <c r="K303" i="18"/>
  <c r="K295" i="18"/>
  <c r="K287" i="18"/>
  <c r="K279" i="18"/>
  <c r="K271" i="18"/>
  <c r="K263" i="18"/>
  <c r="K255" i="18"/>
  <c r="K350" i="18"/>
  <c r="K342" i="18"/>
  <c r="K334" i="18"/>
  <c r="K326" i="18"/>
  <c r="K318" i="18"/>
  <c r="K310" i="18"/>
  <c r="K302" i="18"/>
  <c r="K294" i="18"/>
  <c r="K286" i="18"/>
  <c r="K278" i="18"/>
  <c r="K270" i="18"/>
  <c r="K262" i="18"/>
  <c r="K254" i="18"/>
  <c r="K349" i="18"/>
  <c r="K341" i="18"/>
  <c r="K333" i="18"/>
  <c r="K325" i="18"/>
  <c r="K317" i="18"/>
  <c r="K309" i="18"/>
  <c r="K301" i="18"/>
  <c r="K293" i="18"/>
  <c r="K285" i="18"/>
  <c r="K277" i="18"/>
  <c r="K269" i="18"/>
  <c r="K261" i="18"/>
  <c r="K253" i="18"/>
  <c r="K348" i="18"/>
  <c r="K340" i="18"/>
  <c r="K332" i="18"/>
  <c r="K324" i="18"/>
  <c r="K316" i="18"/>
  <c r="K308" i="18"/>
  <c r="K300" i="18"/>
  <c r="K292" i="18"/>
  <c r="K284" i="18"/>
  <c r="K276" i="18"/>
  <c r="K268" i="18"/>
  <c r="K260" i="18"/>
  <c r="J347" i="18"/>
  <c r="J339" i="18"/>
  <c r="J331" i="18"/>
  <c r="J323" i="18"/>
  <c r="J315" i="18"/>
  <c r="J307" i="18"/>
  <c r="J299" i="18"/>
  <c r="J291" i="18"/>
  <c r="J283" i="18"/>
  <c r="J275" i="18"/>
  <c r="J267" i="18"/>
  <c r="J259" i="18"/>
  <c r="J346" i="18"/>
  <c r="J338" i="18"/>
  <c r="J330" i="18"/>
  <c r="J322" i="18"/>
  <c r="J314" i="18"/>
  <c r="J306" i="18"/>
  <c r="J298" i="18"/>
  <c r="J290" i="18"/>
  <c r="J282" i="18"/>
  <c r="J274" i="18"/>
  <c r="J266" i="18"/>
  <c r="J258" i="18"/>
  <c r="J345" i="18"/>
  <c r="J337" i="18"/>
  <c r="J329" i="18"/>
  <c r="J321" i="18"/>
  <c r="J313" i="18"/>
  <c r="J305" i="18"/>
  <c r="J297" i="18"/>
  <c r="J289" i="18"/>
  <c r="J281" i="18"/>
  <c r="J273" i="18"/>
  <c r="J265" i="18"/>
  <c r="J257" i="18"/>
  <c r="J344" i="18"/>
  <c r="J336" i="18"/>
  <c r="J328" i="18"/>
  <c r="J320" i="18"/>
  <c r="J312" i="18"/>
  <c r="J304" i="18"/>
  <c r="J296" i="18"/>
  <c r="J288" i="18"/>
  <c r="J280" i="18"/>
  <c r="J272" i="18"/>
  <c r="J264" i="18"/>
  <c r="J256" i="18"/>
  <c r="J351" i="18"/>
  <c r="J343" i="18"/>
  <c r="J335" i="18"/>
  <c r="J327" i="18"/>
  <c r="J319" i="18"/>
  <c r="J311" i="18"/>
  <c r="J303" i="18"/>
  <c r="J295" i="18"/>
  <c r="J287" i="18"/>
  <c r="J271" i="18"/>
  <c r="J263" i="18"/>
  <c r="J255" i="18"/>
  <c r="J279" i="18"/>
  <c r="J350" i="18"/>
  <c r="J342" i="18"/>
  <c r="J334" i="18"/>
  <c r="J326" i="18"/>
  <c r="J318" i="18"/>
  <c r="J310" i="18"/>
  <c r="J302" i="18"/>
  <c r="J294" i="18"/>
  <c r="J286" i="18"/>
  <c r="J278" i="18"/>
  <c r="J270" i="18"/>
  <c r="J262" i="18"/>
  <c r="J254" i="18"/>
  <c r="J349" i="18"/>
  <c r="J341" i="18"/>
  <c r="J333" i="18"/>
  <c r="J325" i="18"/>
  <c r="J317" i="18"/>
  <c r="J309" i="18"/>
  <c r="J301" i="18"/>
  <c r="J293" i="18"/>
  <c r="J285" i="18"/>
  <c r="J277" i="18"/>
  <c r="J269" i="18"/>
  <c r="J261" i="18"/>
  <c r="J253" i="18"/>
  <c r="J348" i="18"/>
  <c r="J340" i="18"/>
  <c r="J332" i="18"/>
  <c r="J324" i="18"/>
  <c r="J316" i="18"/>
  <c r="J308" i="18"/>
  <c r="J300" i="18"/>
  <c r="J292" i="18"/>
  <c r="J284" i="18"/>
  <c r="J276" i="18"/>
  <c r="J268" i="18"/>
  <c r="J260" i="18"/>
  <c r="I346" i="18"/>
  <c r="I338" i="18"/>
  <c r="I330" i="18"/>
  <c r="I322" i="18"/>
  <c r="I314" i="18"/>
  <c r="I306" i="18"/>
  <c r="I298" i="18"/>
  <c r="I290" i="18"/>
  <c r="I282" i="18"/>
  <c r="I274" i="18"/>
  <c r="I266" i="18"/>
  <c r="I258" i="18"/>
  <c r="I347" i="18"/>
  <c r="I307" i="18"/>
  <c r="I259" i="18"/>
  <c r="I345" i="18"/>
  <c r="I337" i="18"/>
  <c r="I329" i="18"/>
  <c r="I321" i="18"/>
  <c r="I313" i="18"/>
  <c r="I305" i="18"/>
  <c r="I297" i="18"/>
  <c r="I289" i="18"/>
  <c r="I281" i="18"/>
  <c r="I273" i="18"/>
  <c r="I265" i="18"/>
  <c r="I257" i="18"/>
  <c r="I339" i="18"/>
  <c r="I323" i="18"/>
  <c r="I299" i="18"/>
  <c r="I283" i="18"/>
  <c r="I275" i="18"/>
  <c r="I344" i="18"/>
  <c r="I336" i="18"/>
  <c r="I328" i="18"/>
  <c r="I320" i="18"/>
  <c r="I312" i="18"/>
  <c r="I304" i="18"/>
  <c r="I296" i="18"/>
  <c r="I288" i="18"/>
  <c r="I280" i="18"/>
  <c r="I272" i="18"/>
  <c r="I264" i="18"/>
  <c r="I256" i="18"/>
  <c r="I331" i="18"/>
  <c r="I315" i="18"/>
  <c r="I291" i="18"/>
  <c r="I267" i="18"/>
  <c r="I351" i="18"/>
  <c r="I343" i="18"/>
  <c r="I335" i="18"/>
  <c r="I327" i="18"/>
  <c r="I319" i="18"/>
  <c r="I311" i="18"/>
  <c r="I303" i="18"/>
  <c r="I295" i="18"/>
  <c r="I287" i="18"/>
  <c r="I279" i="18"/>
  <c r="I271" i="18"/>
  <c r="I263" i="18"/>
  <c r="I255" i="18"/>
  <c r="I350" i="18"/>
  <c r="I342" i="18"/>
  <c r="I334" i="18"/>
  <c r="I326" i="18"/>
  <c r="I318" i="18"/>
  <c r="I310" i="18"/>
  <c r="I302" i="18"/>
  <c r="I294" i="18"/>
  <c r="I286" i="18"/>
  <c r="I278" i="18"/>
  <c r="I254" i="18"/>
  <c r="I262" i="18"/>
  <c r="I349" i="18"/>
  <c r="I341" i="18"/>
  <c r="I333" i="18"/>
  <c r="I325" i="18"/>
  <c r="I317" i="18"/>
  <c r="I309" i="18"/>
  <c r="I301" i="18"/>
  <c r="I293" i="18"/>
  <c r="I285" i="18"/>
  <c r="I277" i="18"/>
  <c r="I269" i="18"/>
  <c r="I261" i="18"/>
  <c r="I253" i="18"/>
  <c r="I270" i="18"/>
  <c r="I348" i="18"/>
  <c r="I340" i="18"/>
  <c r="I332" i="18"/>
  <c r="I324" i="18"/>
  <c r="I316" i="18"/>
  <c r="I308" i="18"/>
  <c r="I300" i="18"/>
  <c r="I292" i="18"/>
  <c r="I284" i="18"/>
  <c r="I276" i="18"/>
  <c r="I268" i="18"/>
  <c r="I260" i="18"/>
  <c r="H347" i="18"/>
  <c r="H323" i="18"/>
  <c r="H315" i="18"/>
  <c r="H299" i="18"/>
  <c r="H275" i="18"/>
  <c r="H346" i="18"/>
  <c r="H338" i="18"/>
  <c r="H330" i="18"/>
  <c r="H322" i="18"/>
  <c r="H314" i="18"/>
  <c r="H306" i="18"/>
  <c r="H298" i="18"/>
  <c r="H290" i="18"/>
  <c r="H282" i="18"/>
  <c r="H274" i="18"/>
  <c r="H266" i="18"/>
  <c r="H258" i="18"/>
  <c r="H345" i="18"/>
  <c r="H337" i="18"/>
  <c r="H329" i="18"/>
  <c r="H321" i="18"/>
  <c r="H313" i="18"/>
  <c r="H305" i="18"/>
  <c r="H297" i="18"/>
  <c r="H289" i="18"/>
  <c r="H281" i="18"/>
  <c r="H273" i="18"/>
  <c r="H265" i="18"/>
  <c r="H257" i="18"/>
  <c r="H291" i="18"/>
  <c r="H256" i="18"/>
  <c r="H351" i="18"/>
  <c r="H343" i="18"/>
  <c r="H335" i="18"/>
  <c r="H327" i="18"/>
  <c r="H319" i="18"/>
  <c r="H311" i="18"/>
  <c r="H303" i="18"/>
  <c r="H295" i="18"/>
  <c r="H287" i="18"/>
  <c r="H279" i="18"/>
  <c r="H271" i="18"/>
  <c r="H263" i="18"/>
  <c r="H255" i="18"/>
  <c r="H331" i="18"/>
  <c r="H267" i="18"/>
  <c r="H336" i="18"/>
  <c r="H328" i="18"/>
  <c r="H320" i="18"/>
  <c r="H312" i="18"/>
  <c r="H304" i="18"/>
  <c r="H296" i="18"/>
  <c r="H288" i="18"/>
  <c r="H264" i="18"/>
  <c r="H350" i="18"/>
  <c r="H342" i="18"/>
  <c r="H334" i="18"/>
  <c r="H326" i="18"/>
  <c r="H318" i="18"/>
  <c r="H310" i="18"/>
  <c r="H302" i="18"/>
  <c r="H294" i="18"/>
  <c r="H286" i="18"/>
  <c r="H278" i="18"/>
  <c r="H270" i="18"/>
  <c r="H262" i="18"/>
  <c r="H254" i="18"/>
  <c r="H283" i="18"/>
  <c r="H272" i="18"/>
  <c r="H349" i="18"/>
  <c r="H341" i="18"/>
  <c r="H333" i="18"/>
  <c r="H325" i="18"/>
  <c r="H317" i="18"/>
  <c r="H309" i="18"/>
  <c r="H301" i="18"/>
  <c r="H293" i="18"/>
  <c r="H285" i="18"/>
  <c r="H277" i="18"/>
  <c r="H269" i="18"/>
  <c r="H261" i="18"/>
  <c r="H253" i="18"/>
  <c r="H339" i="18"/>
  <c r="H307" i="18"/>
  <c r="H259" i="18"/>
  <c r="H344" i="18"/>
  <c r="H280" i="18"/>
  <c r="H348" i="18"/>
  <c r="H340" i="18"/>
  <c r="H332" i="18"/>
  <c r="H324" i="18"/>
  <c r="H316" i="18"/>
  <c r="H308" i="18"/>
  <c r="H300" i="18"/>
  <c r="H292" i="18"/>
  <c r="H284" i="18"/>
  <c r="H276" i="18"/>
  <c r="H268" i="18"/>
  <c r="H260" i="18"/>
  <c r="G347" i="18"/>
  <c r="G331" i="18"/>
  <c r="G315" i="18"/>
  <c r="G259" i="18"/>
  <c r="G346" i="18"/>
  <c r="G338" i="18"/>
  <c r="G330" i="18"/>
  <c r="G322" i="18"/>
  <c r="G314" i="18"/>
  <c r="G306" i="18"/>
  <c r="G298" i="18"/>
  <c r="G290" i="18"/>
  <c r="G282" i="18"/>
  <c r="G274" i="18"/>
  <c r="G266" i="18"/>
  <c r="G258" i="18"/>
  <c r="G275" i="18"/>
  <c r="G345" i="18"/>
  <c r="G337" i="18"/>
  <c r="G329" i="18"/>
  <c r="G321" i="18"/>
  <c r="G313" i="18"/>
  <c r="G305" i="18"/>
  <c r="G297" i="18"/>
  <c r="G289" i="18"/>
  <c r="G281" i="18"/>
  <c r="G273" i="18"/>
  <c r="G265" i="18"/>
  <c r="G257" i="18"/>
  <c r="G339" i="18"/>
  <c r="G323" i="18"/>
  <c r="G307" i="18"/>
  <c r="G267" i="18"/>
  <c r="G344" i="18"/>
  <c r="G336" i="18"/>
  <c r="G328" i="18"/>
  <c r="G320" i="18"/>
  <c r="G312" i="18"/>
  <c r="G304" i="18"/>
  <c r="G296" i="18"/>
  <c r="G288" i="18"/>
  <c r="G280" i="18"/>
  <c r="G272" i="18"/>
  <c r="G264" i="18"/>
  <c r="G256" i="18"/>
  <c r="G299" i="18"/>
  <c r="G351" i="18"/>
  <c r="G343" i="18"/>
  <c r="G335" i="18"/>
  <c r="G327" i="18"/>
  <c r="G319" i="18"/>
  <c r="G311" i="18"/>
  <c r="G303" i="18"/>
  <c r="G295" i="18"/>
  <c r="G287" i="18"/>
  <c r="G279" i="18"/>
  <c r="G271" i="18"/>
  <c r="G263" i="18"/>
  <c r="G255" i="18"/>
  <c r="G291" i="18"/>
  <c r="G350" i="18"/>
  <c r="G342" i="18"/>
  <c r="G334" i="18"/>
  <c r="G326" i="18"/>
  <c r="G318" i="18"/>
  <c r="G310" i="18"/>
  <c r="G302" i="18"/>
  <c r="G294" i="18"/>
  <c r="G286" i="18"/>
  <c r="G278" i="18"/>
  <c r="G270" i="18"/>
  <c r="G262" i="18"/>
  <c r="G254" i="18"/>
  <c r="G349" i="18"/>
  <c r="G341" i="18"/>
  <c r="G333" i="18"/>
  <c r="G325" i="18"/>
  <c r="G317" i="18"/>
  <c r="G309" i="18"/>
  <c r="G301" i="18"/>
  <c r="G293" i="18"/>
  <c r="G285" i="18"/>
  <c r="G277" i="18"/>
  <c r="G269" i="18"/>
  <c r="G261" i="18"/>
  <c r="G253" i="18"/>
  <c r="G283" i="18"/>
  <c r="G348" i="18"/>
  <c r="G340" i="18"/>
  <c r="G332" i="18"/>
  <c r="G324" i="18"/>
  <c r="G316" i="18"/>
  <c r="G308" i="18"/>
  <c r="G300" i="18"/>
  <c r="G292" i="18"/>
  <c r="G284" i="18"/>
  <c r="G276" i="18"/>
  <c r="G268" i="18"/>
  <c r="G260" i="18"/>
  <c r="F347" i="18"/>
  <c r="F339" i="18"/>
  <c r="F331" i="18"/>
  <c r="F323" i="18"/>
  <c r="F315" i="18"/>
  <c r="F307" i="18"/>
  <c r="F299" i="18"/>
  <c r="F291" i="18"/>
  <c r="F283" i="18"/>
  <c r="F275" i="18"/>
  <c r="F259" i="18"/>
  <c r="F346" i="18"/>
  <c r="F338" i="18"/>
  <c r="F330" i="18"/>
  <c r="F322" i="18"/>
  <c r="F314" i="18"/>
  <c r="F306" i="18"/>
  <c r="F298" i="18"/>
  <c r="F290" i="18"/>
  <c r="F282" i="18"/>
  <c r="F274" i="18"/>
  <c r="F266" i="18"/>
  <c r="F258" i="18"/>
  <c r="F345" i="18"/>
  <c r="F337" i="18"/>
  <c r="F329" i="18"/>
  <c r="F321" i="18"/>
  <c r="F313" i="18"/>
  <c r="F305" i="18"/>
  <c r="F297" i="18"/>
  <c r="F289" i="18"/>
  <c r="F281" i="18"/>
  <c r="F273" i="18"/>
  <c r="F265" i="18"/>
  <c r="F257" i="18"/>
  <c r="F267" i="18"/>
  <c r="F344" i="18"/>
  <c r="F336" i="18"/>
  <c r="F328" i="18"/>
  <c r="F320" i="18"/>
  <c r="F312" i="18"/>
  <c r="F304" i="18"/>
  <c r="F296" i="18"/>
  <c r="F288" i="18"/>
  <c r="F280" i="18"/>
  <c r="F272" i="18"/>
  <c r="F264" i="18"/>
  <c r="F256" i="18"/>
  <c r="F351" i="18"/>
  <c r="F343" i="18"/>
  <c r="F335" i="18"/>
  <c r="F327" i="18"/>
  <c r="F319" i="18"/>
  <c r="F311" i="18"/>
  <c r="F303" i="18"/>
  <c r="F295" i="18"/>
  <c r="F287" i="18"/>
  <c r="F279" i="18"/>
  <c r="F271" i="18"/>
  <c r="F263" i="18"/>
  <c r="F255" i="18"/>
  <c r="F350" i="18"/>
  <c r="F342" i="18"/>
  <c r="F334" i="18"/>
  <c r="F326" i="18"/>
  <c r="F318" i="18"/>
  <c r="F310" i="18"/>
  <c r="F302" i="18"/>
  <c r="F294" i="18"/>
  <c r="F286" i="18"/>
  <c r="F278" i="18"/>
  <c r="F270" i="18"/>
  <c r="F262" i="18"/>
  <c r="F254" i="18"/>
  <c r="F349" i="18"/>
  <c r="F341" i="18"/>
  <c r="F333" i="18"/>
  <c r="F325" i="18"/>
  <c r="F317" i="18"/>
  <c r="F309" i="18"/>
  <c r="F301" i="18"/>
  <c r="F293" i="18"/>
  <c r="F285" i="18"/>
  <c r="F277" i="18"/>
  <c r="F269" i="18"/>
  <c r="F261" i="18"/>
  <c r="F253" i="18"/>
  <c r="F348" i="18"/>
  <c r="F340" i="18"/>
  <c r="F332" i="18"/>
  <c r="F324" i="18"/>
  <c r="F316" i="18"/>
  <c r="F308" i="18"/>
  <c r="F300" i="18"/>
  <c r="F292" i="18"/>
  <c r="F284" i="18"/>
  <c r="F276" i="18"/>
  <c r="F268" i="18"/>
  <c r="F260" i="18"/>
  <c r="E347" i="18"/>
  <c r="E339" i="18"/>
  <c r="E331" i="18"/>
  <c r="E323" i="18"/>
  <c r="E315" i="18"/>
  <c r="E307" i="18"/>
  <c r="E299" i="18"/>
  <c r="E291" i="18"/>
  <c r="E283" i="18"/>
  <c r="E275" i="18"/>
  <c r="E267" i="18"/>
  <c r="E259" i="18"/>
  <c r="E346" i="18"/>
  <c r="E338" i="18"/>
  <c r="E330" i="18"/>
  <c r="E322" i="18"/>
  <c r="E314" i="18"/>
  <c r="E306" i="18"/>
  <c r="E298" i="18"/>
  <c r="E290" i="18"/>
  <c r="E282" i="18"/>
  <c r="E274" i="18"/>
  <c r="E266" i="18"/>
  <c r="E258" i="18"/>
  <c r="E345" i="18"/>
  <c r="E337" i="18"/>
  <c r="E329" i="18"/>
  <c r="E321" i="18"/>
  <c r="E313" i="18"/>
  <c r="E305" i="18"/>
  <c r="E297" i="18"/>
  <c r="E289" i="18"/>
  <c r="E281" i="18"/>
  <c r="E273" i="18"/>
  <c r="E265" i="18"/>
  <c r="E257" i="18"/>
  <c r="E344" i="18"/>
  <c r="E336" i="18"/>
  <c r="E328" i="18"/>
  <c r="E320" i="18"/>
  <c r="E312" i="18"/>
  <c r="E304" i="18"/>
  <c r="E296" i="18"/>
  <c r="E288" i="18"/>
  <c r="E280" i="18"/>
  <c r="E272" i="18"/>
  <c r="E264" i="18"/>
  <c r="E256" i="18"/>
  <c r="E351" i="18"/>
  <c r="E343" i="18"/>
  <c r="E335" i="18"/>
  <c r="E327" i="18"/>
  <c r="E319" i="18"/>
  <c r="E311" i="18"/>
  <c r="E303" i="18"/>
  <c r="E295" i="18"/>
  <c r="E287" i="18"/>
  <c r="E279" i="18"/>
  <c r="E271" i="18"/>
  <c r="E263" i="18"/>
  <c r="E255" i="18"/>
  <c r="E350" i="18"/>
  <c r="E342" i="18"/>
  <c r="E334" i="18"/>
  <c r="E326" i="18"/>
  <c r="E318" i="18"/>
  <c r="E310" i="18"/>
  <c r="E302" i="18"/>
  <c r="E294" i="18"/>
  <c r="E286" i="18"/>
  <c r="E278" i="18"/>
  <c r="E270" i="18"/>
  <c r="E262" i="18"/>
  <c r="E254" i="18"/>
  <c r="E349" i="18"/>
  <c r="E341" i="18"/>
  <c r="E333" i="18"/>
  <c r="E325" i="18"/>
  <c r="E317" i="18"/>
  <c r="E309" i="18"/>
  <c r="E301" i="18"/>
  <c r="E293" i="18"/>
  <c r="E285" i="18"/>
  <c r="E277" i="18"/>
  <c r="E269" i="18"/>
  <c r="E261" i="18"/>
  <c r="E253" i="18"/>
  <c r="E348" i="18"/>
  <c r="E340" i="18"/>
  <c r="E332" i="18"/>
  <c r="E324" i="18"/>
  <c r="E316" i="18"/>
  <c r="E308" i="18"/>
  <c r="E300" i="18"/>
  <c r="E292" i="18"/>
  <c r="E284" i="18"/>
  <c r="E276" i="18"/>
  <c r="E268" i="18"/>
  <c r="E260" i="18"/>
  <c r="I17" i="17" a="1"/>
  <c r="I17" i="17" s="1"/>
  <c r="J17" i="17" s="1" a="1"/>
  <c r="J17" i="17" s="1"/>
  <c r="I15" i="17" a="1"/>
  <c r="I15" i="17" s="1"/>
  <c r="M15" i="17" s="1" a="1"/>
  <c r="M15" i="17" s="1"/>
  <c r="H15" i="17" a="1"/>
  <c r="H15" i="17" s="1"/>
  <c r="K112" i="18" a="1"/>
  <c r="K112" i="18" s="1"/>
  <c r="J112" i="18" a="1"/>
  <c r="J112" i="18" s="1"/>
  <c r="H113" i="18" a="1"/>
  <c r="H113" i="18" s="1"/>
  <c r="C6" i="17" s="1" a="1"/>
  <c r="C6" i="17" s="1"/>
  <c r="I112" i="18" a="1"/>
  <c r="I112" i="18" s="1"/>
  <c r="M112" i="18" a="1"/>
  <c r="M112" i="18" s="1"/>
  <c r="L112" i="18" a="1"/>
  <c r="L112" i="18" s="1"/>
  <c r="H17" i="17" l="1"/>
  <c r="K12" i="17" a="1"/>
  <c r="K12" i="17" s="1"/>
  <c r="L12" i="17" a="1"/>
  <c r="L12" i="17" s="1"/>
  <c r="S12" i="17" a="1"/>
  <c r="S12" i="17" s="1"/>
  <c r="I12" i="17" a="1"/>
  <c r="I12" i="17" s="1"/>
  <c r="P12" i="17" a="1"/>
  <c r="P12" i="17" s="1"/>
  <c r="W12" i="17" a="1"/>
  <c r="W12" i="17" s="1"/>
  <c r="X12" i="17" a="1"/>
  <c r="X12" i="17" s="1"/>
  <c r="R12" i="17" a="1"/>
  <c r="R12" i="17" s="1"/>
  <c r="AF12" i="17" a="1"/>
  <c r="AF12" i="17" s="1"/>
  <c r="T12" i="17" a="1"/>
  <c r="T12" i="17" s="1"/>
  <c r="O12" i="17" a="1"/>
  <c r="O12" i="17" s="1"/>
  <c r="V12" i="17" a="1"/>
  <c r="V12" i="17" s="1"/>
  <c r="AA12" i="17" a="1"/>
  <c r="AA12" i="17" s="1"/>
  <c r="AD12" i="17" a="1"/>
  <c r="AD12" i="17" s="1"/>
  <c r="Y12" i="17" a="1"/>
  <c r="Y12" i="17" s="1"/>
  <c r="AL12" i="17" a="1"/>
  <c r="AL12" i="17" s="1"/>
  <c r="Z12" i="17" a="1"/>
  <c r="Z12" i="17" s="1"/>
  <c r="AB12" i="17" a="1"/>
  <c r="AB12" i="17" s="1"/>
  <c r="AC12" i="17" a="1"/>
  <c r="AC12" i="17" s="1"/>
  <c r="Q12" i="17" a="1"/>
  <c r="Q12" i="17" s="1"/>
  <c r="AK12" i="17" a="1"/>
  <c r="AK12" i="17" s="1"/>
  <c r="AE12" i="17" a="1"/>
  <c r="AE12" i="17" s="1"/>
  <c r="AG12" i="17" a="1"/>
  <c r="AG12" i="17" s="1"/>
  <c r="AH12" i="17" a="1"/>
  <c r="AH12" i="17" s="1"/>
  <c r="AI12" i="17" a="1"/>
  <c r="AI12" i="17" s="1"/>
  <c r="U12" i="17" a="1"/>
  <c r="U12" i="17" s="1"/>
  <c r="AJ12" i="17" a="1"/>
  <c r="AJ12" i="17" s="1"/>
  <c r="J12" i="17" a="1"/>
  <c r="J12" i="17" s="1"/>
  <c r="M12" i="17" a="1"/>
  <c r="M12" i="17" s="1"/>
  <c r="G17" i="17"/>
  <c r="B6" i="17" a="1"/>
  <c r="B6" i="17" s="1"/>
  <c r="K17" i="17" a="1"/>
  <c r="K17" i="17" s="1"/>
  <c r="M17" i="17" a="1"/>
  <c r="M17" i="17" s="1"/>
  <c r="H11" i="17" a="1"/>
  <c r="H11" i="17" s="1"/>
  <c r="J15" i="17" a="1"/>
  <c r="J15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<sst xmlns="http://schemas.openxmlformats.org/spreadsheetml/2006/main" count="1329" uniqueCount="334">
  <si>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</si>
  <si>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</si>
  <si>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</si>
  <si>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</si>
  <si>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</si>
  <si>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</si>
  <si>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</si>
  <si>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</si>
  <si>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</si>
  <si>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</si>
  <si>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</si>
  <si>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</si>
  <si>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</si>
  <si>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</si>
  <si>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</si>
  <si>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</si>
  <si>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</si>
  <si>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</si>
  <si>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</si>
  <si>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</si>
  <si>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</si>
  <si>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</si>
  <si>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</si>
  <si>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</si>
  <si>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</si>
  <si>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</si>
  <si>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</si>
  <si>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</si>
  <si>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</si>
  <si>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</si>
  <si>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</si>
  <si>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</si>
  <si>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</si>
  <si>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</si>
  <si>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</si>
  <si>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</si>
  <si>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</si>
  <si>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</si>
  <si>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</si>
  <si>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</si>
  <si>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</si>
  <si>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</si>
  <si>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</si>
  <si>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</si>
  <si>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</si>
  <si>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</si>
  <si>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</si>
  <si>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</si>
  <si>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</si>
  <si>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</si>
  <si>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</si>
  <si>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</si>
  <si>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</si>
  <si>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</si>
  <si>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</si>
  <si>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</si>
  <si>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</si>
  <si>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</si>
  <si>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</si>
  <si>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</si>
  <si>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</si>
  <si>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</si>
  <si>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</si>
  <si>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</si>
  <si>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</si>
  <si>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</si>
  <si>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</si>
  <si>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</si>
  <si>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</si>
  <si>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</si>
  <si>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</si>
  <si>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</si>
  <si>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</si>
  <si>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</si>
  <si>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</si>
  <si>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</si>
  <si>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</si>
  <si>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</si>
  <si>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</si>
  <si>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</si>
  <si>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</si>
  <si>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</si>
  <si>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</si>
  <si>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</si>
  <si>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</si>
  <si>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</si>
  <si>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</si>
  <si>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</si>
  <si>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</si>
  <si>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</si>
  <si>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</si>
  <si>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</si>
  <si>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</si>
  <si>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</si>
  <si>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</si>
  <si>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</si>
  <si>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</si>
  <si>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</si>
  <si>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</si>
  <si>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</si>
  <si>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</si>
  <si>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</si>
  <si>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</si>
  <si>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</si>
  <si>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</si>
  <si>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</si>
  <si>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</si>
  <si>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</si>
  <si>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</si>
  <si>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</si>
  <si>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</si>
  <si>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</si>
  <si>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</si>
  <si>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</si>
  <si>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</si>
  <si>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</si>
  <si>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</si>
  <si>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</si>
  <si>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</si>
  <si>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</si>
  <si>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</si>
  <si>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</si>
  <si>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</si>
  <si>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</si>
  <si>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</si>
  <si>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</si>
  <si>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</si>
  <si>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</si>
  <si>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</si>
  <si>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</si>
  <si>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</si>
  <si>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</si>
  <si>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</si>
  <si>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</si>
  <si>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</si>
  <si>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</si>
  <si>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</si>
  <si>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</si>
  <si>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</si>
  <si>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</si>
  <si>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</si>
  <si>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</si>
  <si>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</si>
  <si>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</si>
  <si>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</si>
  <si>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</si>
  <si>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</si>
  <si>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</si>
  <si>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</si>
  <si>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</si>
  <si>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</si>
  <si>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</si>
  <si>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</si>
  <si>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</si>
  <si>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</si>
  <si>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</si>
  <si>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</si>
  <si>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</si>
  <si>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</si>
  <si>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</si>
  <si>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</si>
  <si>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</si>
  <si>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</si>
  <si>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</si>
  <si>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</si>
  <si>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</si>
  <si>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</si>
  <si>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</si>
  <si>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</si>
  <si>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</si>
  <si>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</si>
  <si>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</si>
  <si>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</si>
  <si>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</si>
  <si>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</si>
  <si>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</si>
  <si>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</si>
  <si>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</si>
  <si>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</si>
  <si>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</si>
  <si>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</si>
  <si>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</si>
  <si>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</si>
  <si>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</si>
  <si>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GMV 1</t>
  </si>
  <si>
    <t>Units 1</t>
  </si>
  <si>
    <t>GMV 2</t>
  </si>
  <si>
    <t>Units 2</t>
  </si>
  <si>
    <t>GMV 3</t>
  </si>
  <si>
    <t>Units 3</t>
  </si>
  <si>
    <t>GMV 4</t>
  </si>
  <si>
    <t>Units 4</t>
  </si>
  <si>
    <t>GMV 5</t>
  </si>
  <si>
    <t>Units 5</t>
  </si>
  <si>
    <t>GMV 6</t>
  </si>
  <si>
    <t>Units 6</t>
  </si>
  <si>
    <t>GMV 7</t>
  </si>
  <si>
    <t>Units 7</t>
  </si>
  <si>
    <t>GMV 8</t>
  </si>
  <si>
    <t>Units 8</t>
  </si>
  <si>
    <t>GMV 9</t>
  </si>
  <si>
    <t>Units 9</t>
  </si>
  <si>
    <t>GMV 10</t>
  </si>
  <si>
    <t>Units 10</t>
  </si>
  <si>
    <t>GMV 11</t>
  </si>
  <si>
    <t>Units 11</t>
  </si>
  <si>
    <t>GMV 12</t>
  </si>
  <si>
    <t>Units 12</t>
  </si>
  <si>
    <t>GMV 13</t>
  </si>
  <si>
    <t>Units 13</t>
  </si>
  <si>
    <t>GMV 14</t>
  </si>
  <si>
    <t>Units 14</t>
  </si>
  <si>
    <t>GMV 15</t>
  </si>
  <si>
    <t>Units 15</t>
  </si>
  <si>
    <t>GMV 16</t>
  </si>
  <si>
    <t>Units 16</t>
  </si>
  <si>
    <t>GMV 17</t>
  </si>
  <si>
    <t>Units 17</t>
  </si>
  <si>
    <t>GMV 18</t>
  </si>
  <si>
    <t>Units 18</t>
  </si>
  <si>
    <t>GMV 19</t>
  </si>
  <si>
    <t>Units 19</t>
  </si>
  <si>
    <t>GMV 20</t>
  </si>
  <si>
    <t>Units 20</t>
  </si>
  <si>
    <t>GMV 21</t>
  </si>
  <si>
    <t>Units 21</t>
  </si>
  <si>
    <t>GMV 22</t>
  </si>
  <si>
    <t>Units 22</t>
  </si>
  <si>
    <t>GMV 23</t>
  </si>
  <si>
    <t>Units 23</t>
  </si>
  <si>
    <t>GMV 24</t>
  </si>
  <si>
    <t>Units 24</t>
  </si>
  <si>
    <t>GMV 25</t>
  </si>
  <si>
    <t>Units 25</t>
  </si>
  <si>
    <t>GMV 26</t>
  </si>
  <si>
    <t>Units 26</t>
  </si>
  <si>
    <t>GMV 27</t>
  </si>
  <si>
    <t>Units 27</t>
  </si>
  <si>
    <t>GMV 28</t>
  </si>
  <si>
    <t>Units 28</t>
  </si>
  <si>
    <t>GMV 29</t>
  </si>
  <si>
    <t>Units 29</t>
  </si>
  <si>
    <t>GMV 30</t>
  </si>
  <si>
    <t>Units 30</t>
  </si>
  <si>
    <t>GMV 31</t>
  </si>
  <si>
    <t>Units 31</t>
  </si>
  <si>
    <t>Total sum GMV</t>
  </si>
  <si>
    <t>Total sum Units</t>
  </si>
  <si>
    <t>Date</t>
  </si>
  <si>
    <t xml:space="preserve">sum values </t>
  </si>
  <si>
    <t>UNITS</t>
  </si>
  <si>
    <t>Total  GMV</t>
  </si>
  <si>
    <t>Total units</t>
  </si>
  <si>
    <t>Max of GMV</t>
  </si>
  <si>
    <t>Max of Unit</t>
  </si>
  <si>
    <t>Date of Max sold</t>
  </si>
  <si>
    <t>Min of GMV</t>
  </si>
  <si>
    <t>Date of Min sold</t>
  </si>
  <si>
    <t>Min of Unit</t>
  </si>
  <si>
    <t>ASP 1</t>
  </si>
  <si>
    <t>ASP 2</t>
  </si>
  <si>
    <t>ASP 3</t>
  </si>
  <si>
    <t>ASP 4</t>
  </si>
  <si>
    <t>ASP 5</t>
  </si>
  <si>
    <t>ASP 6</t>
  </si>
  <si>
    <t>ASP 7</t>
  </si>
  <si>
    <t>ASP 8</t>
  </si>
  <si>
    <t>ASP 9</t>
  </si>
  <si>
    <t>ASP 10</t>
  </si>
  <si>
    <t>ASP 11</t>
  </si>
  <si>
    <t>ASP 12</t>
  </si>
  <si>
    <t>ASP 13</t>
  </si>
  <si>
    <t>ASP 14</t>
  </si>
  <si>
    <t>ASP 15</t>
  </si>
  <si>
    <t>ASP 16</t>
  </si>
  <si>
    <t>ASP 17</t>
  </si>
  <si>
    <t>ASP 18</t>
  </si>
  <si>
    <t>ASP 19</t>
  </si>
  <si>
    <t>ASP 20</t>
  </si>
  <si>
    <t>ASP 21</t>
  </si>
  <si>
    <t>ASP 22</t>
  </si>
  <si>
    <t>ASP 23</t>
  </si>
  <si>
    <t>ASP 24</t>
  </si>
  <si>
    <t>ASP 25</t>
  </si>
  <si>
    <t>ASP 26</t>
  </si>
  <si>
    <t>ASP 27</t>
  </si>
  <si>
    <t>ASP 28</t>
  </si>
  <si>
    <t>ASP 29</t>
  </si>
  <si>
    <t>ASP 30</t>
  </si>
  <si>
    <t>ASP 31</t>
  </si>
  <si>
    <t>day count</t>
  </si>
  <si>
    <t>GMVs</t>
  </si>
  <si>
    <t>DEC 01</t>
  </si>
  <si>
    <t>DEC 02</t>
  </si>
  <si>
    <t>DEC 03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</si>
  <si>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</si>
  <si>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</si>
  <si>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</si>
  <si>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</si>
  <si>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</si>
  <si>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</si>
  <si>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</si>
  <si>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</si>
  <si>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</si>
  <si>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</si>
  <si>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</si>
  <si>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</si>
  <si>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</si>
  <si>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</si>
  <si>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</si>
  <si>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</si>
  <si>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</si>
  <si>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</si>
  <si>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</si>
  <si>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</si>
  <si>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</si>
  <si>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</si>
  <si>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</si>
  <si>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</si>
  <si>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</si>
  <si>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</si>
  <si>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</si>
  <si>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</si>
  <si>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Week 1</t>
  </si>
  <si>
    <t>Week 2</t>
  </si>
  <si>
    <t>Week 3</t>
  </si>
  <si>
    <t>Week 4</t>
  </si>
  <si>
    <t>Week 5</t>
  </si>
  <si>
    <t>AVG GMV</t>
  </si>
  <si>
    <t>AVG Units</t>
  </si>
  <si>
    <t xml:space="preserve"> </t>
  </si>
  <si>
    <t>All</t>
  </si>
  <si>
    <t>=INDEX(Data!B2:BN102,,MATCH(rough!$A$646,Data!$A$1:$BN$1,0))</t>
  </si>
  <si>
    <t>Daily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</si>
</sst>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dd"/>
  </numFmts>
  <fonts count="20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  <font>
      <sz val="9"/>
      <color rgb="FF333333"/>
      <name val="Verdana"/>
      <family val="2"/>
    </font>
    <font>
      <sz val="11"/>
      <color theme="1"/>
      <name val="Calibri"/>
      <family val="2"/>
    </font>
    <font>
      <b/>
      <sz val="10"/>
      <color theme="0"/>
      <name val="Arial"/>
      <scheme val="minor"/>
    </font>
    <font>
      <sz val="8"/>
      <name val="Arial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26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/>
    <xf numFmtId="0" fontId="0" fillId="0" borderId="7" xfId="0" applyBorder="1"/>
    <xf numFmtId="0" fontId="2" fillId="5" borderId="7" xfId="0" applyFont="1" applyFill="1" applyBorder="1"/>
    <xf numFmtId="0" fontId="0" fillId="5" borderId="7" xfId="0" applyFill="1" applyBorder="1"/>
    <xf numFmtId="164" fontId="0" fillId="6" borderId="7" xfId="0" applyNumberFormat="1" applyFill="1" applyBorder="1"/>
    <xf numFmtId="0" fontId="0" fillId="7" borderId="0" xfId="0" applyFill="1"/>
    <xf numFmtId="0" fontId="3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8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Font="1" applyFill="1" applyBorder="1"/>
    <xf numFmtId="0" fontId="1" fillId="8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2" fillId="9" borderId="7" xfId="0" applyFont="1" applyFill="1" applyBorder="1"/>
    <xf numFmtId="0" fontId="0" fillId="9" borderId="7" xfId="0" applyFill="1" applyBorder="1"/>
    <xf numFmtId="49" fontId="0" fillId="0" borderId="0" xfId="0" applyNumberFormat="1"/>
    <xf numFmtId="0" fontId="0" fillId="0" borderId="0" xfId="0" applyBorder="1"/>
    <xf numFmtId="0" fontId="0" fillId="12" borderId="7" xfId="0" applyFill="1" applyBorder="1"/>
    <xf numFmtId="49" fontId="0" fillId="13" borderId="7" xfId="0" applyNumberFormat="1" applyFill="1" applyBorder="1" applyAlignment="1">
      <alignment horizontal="center"/>
    </xf>
    <xf numFmtId="12" fontId="0" fillId="0" borderId="0" xfId="0" applyNumberFormat="1"/>
    <xf numFmtId="0" fontId="0" fillId="0" borderId="0" xfId="0" quotePrefix="1"/>
    <xf numFmtId="0" fontId="2" fillId="0" borderId="0" xfId="0" quotePrefix="1" applyFont="1"/>
    <xf numFmtId="17" fontId="1" fillId="3" borderId="0" xfId="0" applyNumberFormat="1" applyFont="1" applyFill="1" applyAlignment="1">
      <alignment horizontal="center"/>
    </xf>
    <xf numFmtId="49" fontId="2" fillId="0" borderId="0" xfId="0" applyNumberFormat="1" applyFont="1"/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left"/>
    </xf>
    <xf numFmtId="0" fontId="13" fillId="10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10" borderId="2" xfId="0" applyFont="1" applyFill="1" applyBorder="1" applyAlignment="1">
      <alignment horizontal="left"/>
    </xf>
    <xf numFmtId="0" fontId="13" fillId="10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3" fillId="10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4" fillId="11" borderId="11" xfId="0" quotePrefix="1" applyFont="1" applyFill="1" applyBorder="1" applyAlignment="1">
      <alignment horizontal="center"/>
    </xf>
    <xf numFmtId="0" fontId="14" fillId="11" borderId="12" xfId="0" quotePrefix="1" applyFont="1" applyFill="1" applyBorder="1" applyAlignment="1">
      <alignment horizontal="center"/>
    </xf>
    <xf numFmtId="0" fontId="14" fillId="11" borderId="14" xfId="0" applyFont="1" applyFill="1" applyBorder="1" applyAlignment="1">
      <alignment horizontal="center"/>
    </xf>
    <xf numFmtId="0" fontId="18" fillId="11" borderId="2" xfId="0" quotePrefix="1" applyFont="1" applyFill="1" applyBorder="1" applyAlignment="1">
      <alignment horizontal="center"/>
    </xf>
    <xf numFmtId="0" fontId="18" fillId="11" borderId="3" xfId="0" quotePrefix="1" applyFont="1" applyFill="1" applyBorder="1" applyAlignment="1">
      <alignment horizontal="center"/>
    </xf>
    <xf numFmtId="0" fontId="18" fillId="11" borderId="9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2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GMV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81102362204728E-2"/>
          <c:y val="0.12546296296296297"/>
          <c:w val="0.86037445319335082"/>
          <c:h val="0.73111111111111116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Dashboard!$H$11:$AL$11</c:f>
              <c:numCache>
                <c:formatCode>General</c:formatCode>
                <c:ptCount val="31"/>
                <c:pt idx="0">
                  <c:v>16450</c:v>
                </c:pt>
                <c:pt idx="1">
                  <c:v>15769</c:v>
                </c:pt>
                <c:pt idx="2">
                  <c:v>19212</c:v>
                </c:pt>
                <c:pt idx="3">
                  <c:v>24138</c:v>
                </c:pt>
                <c:pt idx="4">
                  <c:v>21245</c:v>
                </c:pt>
                <c:pt idx="5">
                  <c:v>22283</c:v>
                </c:pt>
                <c:pt idx="6">
                  <c:v>20197</c:v>
                </c:pt>
                <c:pt idx="7">
                  <c:v>17734</c:v>
                </c:pt>
                <c:pt idx="8">
                  <c:v>20197</c:v>
                </c:pt>
                <c:pt idx="9">
                  <c:v>24138</c:v>
                </c:pt>
                <c:pt idx="10">
                  <c:v>24631</c:v>
                </c:pt>
                <c:pt idx="11">
                  <c:v>13793</c:v>
                </c:pt>
                <c:pt idx="12">
                  <c:v>17242</c:v>
                </c:pt>
                <c:pt idx="13">
                  <c:v>14778</c:v>
                </c:pt>
                <c:pt idx="14">
                  <c:v>17734</c:v>
                </c:pt>
                <c:pt idx="15">
                  <c:v>15271</c:v>
                </c:pt>
                <c:pt idx="16">
                  <c:v>24631</c:v>
                </c:pt>
                <c:pt idx="17">
                  <c:v>22660</c:v>
                </c:pt>
                <c:pt idx="18">
                  <c:v>23645</c:v>
                </c:pt>
                <c:pt idx="19">
                  <c:v>23153</c:v>
                </c:pt>
                <c:pt idx="20">
                  <c:v>27094</c:v>
                </c:pt>
                <c:pt idx="21">
                  <c:v>38441</c:v>
                </c:pt>
                <c:pt idx="22">
                  <c:v>43964</c:v>
                </c:pt>
                <c:pt idx="23">
                  <c:v>50245</c:v>
                </c:pt>
                <c:pt idx="24">
                  <c:v>31403</c:v>
                </c:pt>
                <c:pt idx="25">
                  <c:v>30437</c:v>
                </c:pt>
                <c:pt idx="26">
                  <c:v>34785</c:v>
                </c:pt>
                <c:pt idx="27">
                  <c:v>29631</c:v>
                </c:pt>
                <c:pt idx="28">
                  <c:v>27586</c:v>
                </c:pt>
                <c:pt idx="29">
                  <c:v>21182</c:v>
                </c:pt>
                <c:pt idx="30">
                  <c:v>43964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7-4322-AD33-8A49F351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983616"/>
        <c:axId val="543984600"/>
      </c:lineChart>
      <c:catAx>
        <c:axId val="54398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84600"/>
        <c:crosses val="autoZero"/>
        <c:auto val="1"/>
        <c:lblAlgn val="ctr"/>
        <c:lblOffset val="100"/>
        <c:noMultiLvlLbl val="0"/>
      </c:catAx>
      <c:valAx>
        <c:axId val="54398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8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Dashboard!$H$12:$AL$12</c:f>
              <c:numCache>
                <c:formatCode>General</c:formatCode>
                <c:ptCount val="31"/>
                <c:pt idx="0">
                  <c:v>33</c:v>
                </c:pt>
                <c:pt idx="1">
                  <c:v>32</c:v>
                </c:pt>
                <c:pt idx="2">
                  <c:v>39</c:v>
                </c:pt>
                <c:pt idx="3">
                  <c:v>49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36</c:v>
                </c:pt>
                <c:pt idx="8">
                  <c:v>41</c:v>
                </c:pt>
                <c:pt idx="9">
                  <c:v>49</c:v>
                </c:pt>
                <c:pt idx="10">
                  <c:v>50</c:v>
                </c:pt>
                <c:pt idx="11">
                  <c:v>28</c:v>
                </c:pt>
                <c:pt idx="12">
                  <c:v>35</c:v>
                </c:pt>
                <c:pt idx="13">
                  <c:v>30</c:v>
                </c:pt>
                <c:pt idx="14">
                  <c:v>36</c:v>
                </c:pt>
                <c:pt idx="15">
                  <c:v>31</c:v>
                </c:pt>
                <c:pt idx="16">
                  <c:v>50</c:v>
                </c:pt>
                <c:pt idx="17">
                  <c:v>46</c:v>
                </c:pt>
                <c:pt idx="18">
                  <c:v>48</c:v>
                </c:pt>
                <c:pt idx="19">
                  <c:v>47</c:v>
                </c:pt>
                <c:pt idx="20">
                  <c:v>55</c:v>
                </c:pt>
                <c:pt idx="21">
                  <c:v>78</c:v>
                </c:pt>
                <c:pt idx="22">
                  <c:v>91</c:v>
                </c:pt>
                <c:pt idx="23">
                  <c:v>104</c:v>
                </c:pt>
                <c:pt idx="24">
                  <c:v>65</c:v>
                </c:pt>
                <c:pt idx="25">
                  <c:v>63</c:v>
                </c:pt>
                <c:pt idx="26">
                  <c:v>72</c:v>
                </c:pt>
                <c:pt idx="27">
                  <c:v>60</c:v>
                </c:pt>
                <c:pt idx="28">
                  <c:v>56</c:v>
                </c:pt>
                <c:pt idx="29">
                  <c:v>43</c:v>
                </c:pt>
                <c:pt idx="3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4-4DB0-BF00-59E3C786A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048904"/>
        <c:axId val="506052512"/>
      </c:lineChart>
      <c:catAx>
        <c:axId val="506048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52512"/>
        <c:crosses val="autoZero"/>
        <c:auto val="1"/>
        <c:lblAlgn val="ctr"/>
        <c:lblOffset val="100"/>
        <c:noMultiLvlLbl val="0"/>
      </c:catAx>
      <c:valAx>
        <c:axId val="5060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4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</xdr:colOff>
      <xdr:row>18</xdr:row>
      <xdr:rowOff>13447</xdr:rowOff>
    </xdr:from>
    <xdr:to>
      <xdr:col>12</xdr:col>
      <xdr:colOff>448235</xdr:colOff>
      <xdr:row>28</xdr:row>
      <xdr:rowOff>44824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1D32D2-4BC1-40F2-A503-1D4035621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726141</xdr:colOff>
      <xdr:row>17</xdr:row>
      <xdr:rowOff>112060</xdr:rowOff>
    </xdr:from>
    <xdr:to>
      <xdr:col>20</xdr:col>
      <xdr:colOff>80682</xdr:colOff>
      <xdr:row>28</xdr:row>
      <xdr:rowOff>53788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ADE70-2AE9-4C1C-9484-82AEC7A50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37DF6-F496-4EA8-842F-39BEB1B6D663}" name="Table1" displayName="Table1" ref="A1:BM101" totalsRowShown="0" headerRowDxfId="224" dataDxfId="223">
  <autoFilter ref="A1:BM101" xr:uid="{23437DF6-F496-4EA8-842F-39BEB1B6D663}"/>
  <sortState xmlns:xlrd2="http://schemas.microsoft.com/office/spreadsheetml/2017/richdata2" ref="A2:BM101">
    <sortCondition ref="B1:B101"/>
  </sortState>
  <tableColumns count="65">
    <tableColumn id="1" xr3:uid="{9F3642C0-7527-424A-9839-9A7E45D4C56B}" name="Product ID" dataDxfId="222"/>
    <tableColumn id="2" xr3:uid="{122062B8-4A91-4362-84FB-5E41395F640B}" name="Category" dataDxfId="221"/>
    <tableColumn id="3" xr3:uid="{37E29443-BA4C-44E8-9F3B-E2495EA032EE}" name="Sub-Category" dataDxfId="220"/>
    <tableColumn id="4" xr3:uid="{D370EAB6-1091-48C0-9C6D-A06A46DAEBAD}" name="GMV 1" dataDxfId="219"/>
    <tableColumn id="5" xr3:uid="{811C789E-6865-483D-A19E-9926A7B940DF}" name="Units 1" dataDxfId="218"/>
    <tableColumn id="6" xr3:uid="{F19FF3E2-4F1D-4606-A8D7-D17B135C1B27}" name="GMV 2" dataDxfId="217"/>
    <tableColumn id="7" xr3:uid="{D9EEE656-EB1D-4732-A4FA-1DC27E9617CC}" name="Units 2" dataDxfId="216"/>
    <tableColumn id="8" xr3:uid="{9B397607-FD59-40C7-8131-9BFF55B079E6}" name="GMV 3" dataDxfId="215"/>
    <tableColumn id="9" xr3:uid="{13CA617B-F4CB-47C1-ADE6-53138CA7919F}" name="Units 3" dataDxfId="214"/>
    <tableColumn id="10" xr3:uid="{C9932051-CDD6-4456-83FF-A966F356A7EA}" name="GMV 4" dataDxfId="213"/>
    <tableColumn id="11" xr3:uid="{63D86D87-55CD-4B49-A096-2AA9CEDE92C7}" name="Units 4" dataDxfId="212"/>
    <tableColumn id="12" xr3:uid="{1BFD76DC-EB29-4FDE-9787-05E66844F47E}" name="GMV 5" dataDxfId="211"/>
    <tableColumn id="13" xr3:uid="{A3193CDF-E51C-499C-8350-44625FF2569E}" name="Units 5" dataDxfId="210"/>
    <tableColumn id="14" xr3:uid="{A619D1E9-3505-4228-AC60-E69D6FD07151}" name="GMV 6" dataDxfId="209"/>
    <tableColumn id="15" xr3:uid="{4B5B078C-FBA5-4D76-8FEF-B0B336A596A0}" name="Units 6" dataDxfId="208"/>
    <tableColumn id="16" xr3:uid="{796AAFDC-18A1-4654-A716-582310189E27}" name="GMV 7" dataDxfId="207"/>
    <tableColumn id="17" xr3:uid="{51F75E57-2B1C-4BB2-9EAB-8F93F646DE9E}" name="Units 7" dataDxfId="206"/>
    <tableColumn id="18" xr3:uid="{4FD4C00E-5674-4F15-B910-97CC5BFA0F81}" name="GMV 8" dataDxfId="205"/>
    <tableColumn id="19" xr3:uid="{4DD53EA9-77DD-4FC2-A6DD-460569D923E4}" name="Units 8" dataDxfId="204"/>
    <tableColumn id="20" xr3:uid="{64BD689D-EB60-4B11-84EE-ACBCFA6A13E9}" name="GMV 9" dataDxfId="203"/>
    <tableColumn id="21" xr3:uid="{D095609B-0DA5-4AF3-8A0A-04C506778DAC}" name="Units 9" dataDxfId="202"/>
    <tableColumn id="22" xr3:uid="{9B590726-A5B4-4F74-B3CC-182565F0654D}" name="GMV 10" dataDxfId="201"/>
    <tableColumn id="23" xr3:uid="{1A76DBA0-6FB1-48BA-B278-0389AA69D4C7}" name="Units 10" dataDxfId="200"/>
    <tableColumn id="24" xr3:uid="{21A33713-9DF1-4748-9D57-642C8CD3164D}" name="GMV 11" dataDxfId="199"/>
    <tableColumn id="25" xr3:uid="{535CB8C0-0A7C-41F6-A294-D6E9810C1020}" name="Units 11" dataDxfId="198"/>
    <tableColumn id="26" xr3:uid="{5F8ADC05-7726-451F-811D-3813393AEB7C}" name="GMV 12" dataDxfId="197"/>
    <tableColumn id="27" xr3:uid="{9BBCA508-37C0-41FA-B03A-FCB76CDD80A0}" name="Units 12" dataDxfId="196"/>
    <tableColumn id="28" xr3:uid="{433E1620-43C5-4EDF-9655-CDAADCC5B86C}" name="GMV 13" dataDxfId="195"/>
    <tableColumn id="29" xr3:uid="{10007CF3-497A-46B3-9785-DB7911379F1A}" name="Units 13" dataDxfId="194"/>
    <tableColumn id="30" xr3:uid="{6B55B615-2812-45D2-A802-D7083F2C861E}" name="GMV 14" dataDxfId="193"/>
    <tableColumn id="31" xr3:uid="{B7C6ACEB-1876-4111-ACD0-179A11128BFF}" name="Units 14" dataDxfId="192"/>
    <tableColumn id="32" xr3:uid="{AD11B1CD-C921-4EA9-9885-024BD2DDB192}" name="GMV 15" dataDxfId="191"/>
    <tableColumn id="33" xr3:uid="{37F73519-70CF-41B0-A7EA-800CA80E9D76}" name="Units 15" dataDxfId="190"/>
    <tableColumn id="34" xr3:uid="{ED217E70-9868-4DF1-9159-249E0706581C}" name="GMV 16" dataDxfId="189"/>
    <tableColumn id="35" xr3:uid="{FE9E834B-FA5D-4DD5-AE6E-4C990E8FB417}" name="Units 16" dataDxfId="188"/>
    <tableColumn id="36" xr3:uid="{82B0390B-7EBA-45E9-A66A-74D8ADA260B6}" name="GMV 17" dataDxfId="187"/>
    <tableColumn id="37" xr3:uid="{C4617CAF-0F78-4C0C-B9F1-B9F9D127041E}" name="Units 17" dataDxfId="186"/>
    <tableColumn id="38" xr3:uid="{2F1DDAB0-3B86-4E5C-94FD-11A0B758C439}" name="GMV 18" dataDxfId="185"/>
    <tableColumn id="39" xr3:uid="{9C17DCF0-7BB4-4F8E-B0CB-D10B706CDF3D}" name="Units 18" dataDxfId="184"/>
    <tableColumn id="40" xr3:uid="{69EA5364-1290-40A0-9EF1-C9A5C15EDB90}" name="GMV 19" dataDxfId="183"/>
    <tableColumn id="41" xr3:uid="{A3897EF0-BDAA-45F7-84EC-A9E1FA40D16F}" name="Units 19" dataDxfId="182"/>
    <tableColumn id="42" xr3:uid="{2B52FBB4-0123-4B46-B4F6-CF958708FFA1}" name="GMV 20" dataDxfId="181"/>
    <tableColumn id="43" xr3:uid="{2D745514-8551-4734-AD6D-4D53F2B44C32}" name="Units 20" dataDxfId="180"/>
    <tableColumn id="44" xr3:uid="{DFD383FF-0879-4FEC-BDFB-FAD1D1ED6FAF}" name="GMV 21" dataDxfId="179"/>
    <tableColumn id="45" xr3:uid="{A6E4F969-BD43-4403-99D9-ACAD9C640CE1}" name="Units 21" dataDxfId="178"/>
    <tableColumn id="46" xr3:uid="{C748D9F4-3867-40B7-8A5A-D51F65859E44}" name="GMV 22" dataDxfId="177"/>
    <tableColumn id="47" xr3:uid="{BE440335-8EE9-4B0C-88FB-CBEAD54C25A6}" name="Units 22" dataDxfId="176"/>
    <tableColumn id="48" xr3:uid="{9F91A761-8416-4F11-85BD-EB341B46E591}" name="GMV 23" dataDxfId="175"/>
    <tableColumn id="49" xr3:uid="{1A97303A-9E94-49F1-9CC5-EEBD10ABE4AF}" name="Units 23" dataDxfId="174"/>
    <tableColumn id="50" xr3:uid="{DDA32991-943E-4225-B694-29EB243E9A66}" name="GMV 24" dataDxfId="173"/>
    <tableColumn id="51" xr3:uid="{C254E8F4-9712-453D-BD5C-7DEF17668988}" name="Units 24" dataDxfId="172"/>
    <tableColumn id="52" xr3:uid="{A801554C-54A5-4927-BBE8-5F5EB99ED6D3}" name="GMV 25" dataDxfId="171"/>
    <tableColumn id="53" xr3:uid="{77D5913B-AEF0-4DD6-A83B-D3FF6E3F17FE}" name="Units 25" dataDxfId="170"/>
    <tableColumn id="54" xr3:uid="{7E2C6B35-E84F-41A7-86DC-D64596967736}" name="GMV 26" dataDxfId="169"/>
    <tableColumn id="55" xr3:uid="{CF92E04E-6FD3-4777-B6CA-AADE4CBC5CCB}" name="Units 26" dataDxfId="168"/>
    <tableColumn id="56" xr3:uid="{306753F5-7839-4503-AE5A-9C13D247F2B2}" name="GMV 27" dataDxfId="167"/>
    <tableColumn id="57" xr3:uid="{11D3110E-335D-4F77-B0BF-6DB36DBC7B57}" name="Units 27" dataDxfId="166"/>
    <tableColumn id="58" xr3:uid="{CD0A62E6-33CC-4D8B-9A04-D018F7526277}" name="GMV 28" dataDxfId="165"/>
    <tableColumn id="59" xr3:uid="{2103997E-AB06-449C-8B1B-B48EE37F7630}" name="Units 28" dataDxfId="164"/>
    <tableColumn id="60" xr3:uid="{3ED0A203-335A-4634-9D54-7D4FF81258DC}" name="GMV 29" dataDxfId="163"/>
    <tableColumn id="61" xr3:uid="{C09DD526-3DF1-4ADB-8447-E1A7CEEBE734}" name="Units 29" dataDxfId="162"/>
    <tableColumn id="62" xr3:uid="{74D5458B-2FB9-460E-823A-F7121AB741CA}" name="GMV 30" dataDxfId="161"/>
    <tableColumn id="63" xr3:uid="{3C78DFC4-1EE5-4734-BF05-7216F2E70DF3}" name="Units 30" dataDxfId="160"/>
    <tableColumn id="64" xr3:uid="{BBEA4639-D6EC-4831-9B06-930FE6264CDE}" name="GMV 31" dataDxfId="159"/>
    <tableColumn id="65" xr3:uid="{29F0E2A5-9D45-40B2-9D1D-46396646CFAB}" name="Units 31" dataDxfId="1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0AA44B-F299-43AC-A4FC-0F776A9133AC}" name="Table7" displayName="Table7" ref="A117:BM118" headerRowCount="0" totalsRowCount="1" headerRowDxfId="157" dataDxfId="156" headerRowBorderDxfId="154" tableBorderDxfId="155" totalsRowBorderDxfId="153">
  <tableColumns count="65">
    <tableColumn id="1" xr3:uid="{2E3185F5-ACE2-416C-9C10-D1B025BEAFF6}" name="Column1" totalsRowFunction="custom" headerRowDxfId="152" dataDxfId="129" totalsRowDxfId="64">
      <totalsRowFormula array="1">IF(Dashboard!$B$3="",_xlfn._xlws.FILTER(Table1[],(Table1[Category]=Dashboard!A3),"Choose correctly"),_xlfn._xlws.FILTER(Table1[],(Table1[Category]=Dashboard!A3)*(Table1[Sub-Category]=Dashboard!B3),"Choose correctly"))</totalsRowFormula>
    </tableColumn>
    <tableColumn id="2" xr3:uid="{58AA8C15-6755-45EA-A5B0-4111D97DBE06}" name="Column2" headerRowDxfId="151" dataDxfId="128" totalsRowDxfId="63"/>
    <tableColumn id="3" xr3:uid="{245E5E7D-7BF2-4728-9C55-AC414C595A33}" name="Column3" headerRowDxfId="150" dataDxfId="127" totalsRowDxfId="62"/>
    <tableColumn id="4" xr3:uid="{6990CBDA-F4C8-4740-80D6-AEAB18A82041}" name="Column4" headerRowDxfId="149" dataDxfId="126" totalsRowDxfId="61"/>
    <tableColumn id="5" xr3:uid="{C77E854F-737E-47D6-88D8-3A09D0E9A048}" name="Column5" headerRowDxfId="148" dataDxfId="125" totalsRowDxfId="60"/>
    <tableColumn id="6" xr3:uid="{9628DCB3-9246-4D52-88FF-3AF7739D37E8}" name="Column6" headerRowDxfId="147" dataDxfId="124" totalsRowDxfId="59"/>
    <tableColumn id="7" xr3:uid="{7574D506-EFF8-43F5-A1B7-55DE7927DE06}" name="Column7" headerRowDxfId="146" dataDxfId="123" totalsRowDxfId="58"/>
    <tableColumn id="8" xr3:uid="{83A3D7E2-7D23-4EAD-A89F-641A96BD7628}" name="Column8" headerRowDxfId="145" dataDxfId="122" totalsRowDxfId="57"/>
    <tableColumn id="9" xr3:uid="{25D142C4-93BA-4F07-996E-2BCFA13084A2}" name="Column9" headerRowDxfId="144" dataDxfId="121" totalsRowDxfId="56"/>
    <tableColumn id="10" xr3:uid="{A2813CB0-2257-4EB7-A387-2C83E980F34A}" name="Column10" headerRowDxfId="143" dataDxfId="120" totalsRowDxfId="55"/>
    <tableColumn id="11" xr3:uid="{FC40C39C-9B58-4645-B4F9-8408D1A72CD6}" name="Column11" headerRowDxfId="142" dataDxfId="119" totalsRowDxfId="54"/>
    <tableColumn id="12" xr3:uid="{A1DFEDD5-4B0A-41FD-ACA5-C4BF23F44B96}" name="Column12" headerRowDxfId="141" dataDxfId="118" totalsRowDxfId="53"/>
    <tableColumn id="13" xr3:uid="{B683913C-08D0-4965-8589-5AFE8C4F4D09}" name="Column13" headerRowDxfId="140" dataDxfId="117" totalsRowDxfId="52"/>
    <tableColumn id="14" xr3:uid="{91E7642B-62F6-45BE-B082-E6D7AA6F8BE6}" name="Column14" headerRowDxfId="139" dataDxfId="116" totalsRowDxfId="51"/>
    <tableColumn id="15" xr3:uid="{6B34A52D-8BF9-4D72-95B8-77627CFB1374}" name="Column15" headerRowDxfId="138" dataDxfId="115" totalsRowDxfId="50"/>
    <tableColumn id="16" xr3:uid="{21C74E06-F3C7-44D9-B7C5-EA778C5C47D5}" name="Column16" headerRowDxfId="137" dataDxfId="114" totalsRowDxfId="49"/>
    <tableColumn id="17" xr3:uid="{6C268F7C-B564-4928-9E01-1EC6CCB3D6A6}" name="Column17" headerRowDxfId="136" dataDxfId="113" totalsRowDxfId="48"/>
    <tableColumn id="18" xr3:uid="{FDB99070-D4C6-400D-895C-B7C78014C1FA}" name="Column18" headerRowDxfId="135" dataDxfId="112" totalsRowDxfId="47"/>
    <tableColumn id="19" xr3:uid="{D90840B8-6933-4A65-8955-77E57381F9F8}" name="Column19" dataDxfId="111" totalsRowDxfId="46"/>
    <tableColumn id="20" xr3:uid="{DF5344D9-024E-44C3-8F9F-57A8E6D00DE4}" name="Column20" dataDxfId="110" totalsRowDxfId="45"/>
    <tableColumn id="21" xr3:uid="{ED60D8C2-B545-42EC-A46F-BD664B028775}" name="Column21" dataDxfId="109" totalsRowDxfId="44"/>
    <tableColumn id="22" xr3:uid="{BED5D279-D64F-43EB-B030-B2EE7CD51803}" name="Column22" dataDxfId="108" totalsRowDxfId="43"/>
    <tableColumn id="23" xr3:uid="{61029B3C-3741-486A-AEF1-8FED9C7D2BBF}" name="Column23" dataDxfId="107" totalsRowDxfId="42"/>
    <tableColumn id="24" xr3:uid="{2ACAC521-947F-4C0F-BF14-0AE3E954ECE1}" name="Column24" dataDxfId="106" totalsRowDxfId="41"/>
    <tableColumn id="25" xr3:uid="{ACA875BC-6682-4673-B99B-012BE46C58A0}" name="Column25" dataDxfId="105" totalsRowDxfId="40"/>
    <tableColumn id="26" xr3:uid="{58B5C4FB-9E88-453C-9EE0-FDDAA7BE1669}" name="Column26" dataDxfId="104" totalsRowDxfId="39"/>
    <tableColumn id="27" xr3:uid="{95E474AD-5CC3-4EED-9A66-AE971F43E939}" name="Column27" dataDxfId="103" totalsRowDxfId="38"/>
    <tableColumn id="28" xr3:uid="{AAF230D7-4E76-40FB-B301-8A04B8C6D511}" name="Column28" dataDxfId="102" totalsRowDxfId="37"/>
    <tableColumn id="29" xr3:uid="{AEC28040-0354-4878-A1C7-EBA4B68D247D}" name="Column29" dataDxfId="101" totalsRowDxfId="36"/>
    <tableColumn id="30" xr3:uid="{10A4D70B-858F-47DB-B8D3-2DE47E04161A}" name="Column30" dataDxfId="100" totalsRowDxfId="35"/>
    <tableColumn id="31" xr3:uid="{366CE39A-C826-49F3-875E-8E85ADB28219}" name="Column31" dataDxfId="99" totalsRowDxfId="34"/>
    <tableColumn id="32" xr3:uid="{CBA6DD88-26C3-4266-A9A8-86E22F2FE56E}" name="Column32" dataDxfId="98" totalsRowDxfId="33"/>
    <tableColumn id="33" xr3:uid="{93006FF3-CF1C-41FA-8446-AE661059CFB5}" name="Column33" dataDxfId="97" totalsRowDxfId="32"/>
    <tableColumn id="34" xr3:uid="{9C6CFDC0-6B67-47A1-99CF-AEA594B8B6A3}" name="Column34" dataDxfId="96" totalsRowDxfId="31"/>
    <tableColumn id="35" xr3:uid="{C31A3CA0-990E-45A1-AB7A-B5F79DE37DA4}" name="Column35" dataDxfId="95" totalsRowDxfId="30"/>
    <tableColumn id="36" xr3:uid="{0E1C0BB0-200C-426B-987E-35F941F77A76}" name="Column36" dataDxfId="94" totalsRowDxfId="29"/>
    <tableColumn id="37" xr3:uid="{56E13370-7915-486D-B634-622327A93255}" name="Column37" dataDxfId="93" totalsRowDxfId="28"/>
    <tableColumn id="38" xr3:uid="{711843E8-D460-4EF0-B6C5-3D909D62C945}" name="Column38" dataDxfId="92" totalsRowDxfId="27"/>
    <tableColumn id="39" xr3:uid="{FB43EC6B-2BA3-4834-9D11-65BFBE99518B}" name="Column39" dataDxfId="91" totalsRowDxfId="26"/>
    <tableColumn id="40" xr3:uid="{B4ED9BBA-A1DB-4D28-A0A5-2997BA6FF9F9}" name="Column40" dataDxfId="90" totalsRowDxfId="25"/>
    <tableColumn id="41" xr3:uid="{C5CADB19-8C86-4FDC-9A45-F7CE18C75EBA}" name="Column41" dataDxfId="89" totalsRowDxfId="24"/>
    <tableColumn id="42" xr3:uid="{1A773089-F4FC-4C08-B66E-0A0573BC2795}" name="Column42" dataDxfId="88" totalsRowDxfId="23"/>
    <tableColumn id="43" xr3:uid="{DDD14788-C274-459F-B00A-0219CA2A4940}" name="Column43" dataDxfId="87" totalsRowDxfId="22"/>
    <tableColumn id="44" xr3:uid="{57D68BE0-77A8-41BB-82F9-FA0327103B9C}" name="Column44" dataDxfId="86" totalsRowDxfId="21"/>
    <tableColumn id="45" xr3:uid="{A29804A2-C5FC-4405-8A4F-A5F8A69BD571}" name="Column45" dataDxfId="85" totalsRowDxfId="20"/>
    <tableColumn id="46" xr3:uid="{766BB278-DAFE-4754-964E-0764E6938DA3}" name="Column46" dataDxfId="84" totalsRowDxfId="19"/>
    <tableColumn id="47" xr3:uid="{04DC7FA3-0E84-4451-A055-8F0A7E0A7524}" name="Column47" dataDxfId="83" totalsRowDxfId="18"/>
    <tableColumn id="48" xr3:uid="{883578C3-C1C8-4594-8AED-3F59171C8C7C}" name="Column48" dataDxfId="82" totalsRowDxfId="17"/>
    <tableColumn id="49" xr3:uid="{9309C691-5226-4A48-966D-CBB8403FAD58}" name="Column49" dataDxfId="81" totalsRowDxfId="16"/>
    <tableColumn id="50" xr3:uid="{DC517EE3-BBE4-4E23-944E-45BF7178C129}" name="Column50" dataDxfId="80" totalsRowDxfId="15"/>
    <tableColumn id="51" xr3:uid="{731FD690-64B0-440C-9E51-02366EEB5980}" name="Column51" dataDxfId="79" totalsRowDxfId="14"/>
    <tableColumn id="52" xr3:uid="{F3F36622-36C2-435D-9723-C16CEA764244}" name="Column52" dataDxfId="78" totalsRowDxfId="13"/>
    <tableColumn id="53" xr3:uid="{3D722BA9-458E-4EE7-B700-FC936AE2E559}" name="Column53" dataDxfId="77" totalsRowDxfId="12"/>
    <tableColumn id="54" xr3:uid="{F21171B6-83B2-4828-A9E4-05A1273EA7A0}" name="Column54" dataDxfId="76" totalsRowDxfId="11"/>
    <tableColumn id="55" xr3:uid="{26B0550F-B8B8-4669-9717-F9F4082E0F35}" name="Column55" dataDxfId="75" totalsRowDxfId="10"/>
    <tableColumn id="56" xr3:uid="{2DAF9451-4181-4A93-B5B6-9FBB0DC12894}" name="Column56" dataDxfId="74" totalsRowDxfId="9"/>
    <tableColumn id="57" xr3:uid="{83B023C2-F14F-404A-A4AA-478B3675F4B3}" name="Column57" dataDxfId="73" totalsRowDxfId="8"/>
    <tableColumn id="58" xr3:uid="{5CE9AB53-5EB9-4839-8499-569525F5BFA4}" name="Column58" dataDxfId="72" totalsRowDxfId="7"/>
    <tableColumn id="59" xr3:uid="{B2376C7A-AEAF-40F6-8BF0-4EFF1DF10448}" name="Column59" dataDxfId="71" totalsRowDxfId="6"/>
    <tableColumn id="60" xr3:uid="{AFA222D9-9F4F-4ED8-B401-EF37E1EA5A62}" name="Column60" dataDxfId="70" totalsRowDxfId="5"/>
    <tableColumn id="61" xr3:uid="{1E5134DD-3A07-42C7-B77F-40E9C8DA2907}" name="Column61" dataDxfId="69" totalsRowDxfId="4"/>
    <tableColumn id="62" xr3:uid="{6DD4290F-9B51-475B-BA03-04CF11C0EAE1}" name="Column62" dataDxfId="68" totalsRowDxfId="3"/>
    <tableColumn id="63" xr3:uid="{84F870EF-B70D-46EC-8DED-9A57F14A5FA3}" name="Column63" dataDxfId="67" totalsRowDxfId="2"/>
    <tableColumn id="64" xr3:uid="{51208B3F-CB0D-4569-A43B-5778E6E8D0C6}" name="Column64" dataDxfId="66" totalsRowDxfId="1"/>
    <tableColumn id="65" xr3:uid="{61297899-D3B1-4977-81E5-DDFE0D08BDD1}" name="Column65" dataDxfId="65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F3495A-C50B-4E50-ACAF-FECB1ECA73D1}" name="date_Table10" displayName="date_Table10" ref="A670:E770" totalsRowShown="0">
  <autoFilter ref="A670:E770" xr:uid="{64F3495A-C50B-4E50-ACAF-FECB1ECA73D1}"/>
  <tableColumns count="5">
    <tableColumn id="1" xr3:uid="{196C5B2F-D837-4CF5-8CBB-FB251B715CE6}" name="Product ID">
      <calculatedColumnFormula array="1">Data!B3:D103</calculatedColumnFormula>
    </tableColumn>
    <tableColumn id="2" xr3:uid="{D95F3156-7BDE-4E3B-BF3F-D21E6EA97F04}" name="Category">
      <calculatedColumnFormula array="1">Data!C3:E103</calculatedColumnFormula>
    </tableColumn>
    <tableColumn id="3" xr3:uid="{60934C5B-FB1F-47C0-A1DE-C7B07F808BB8}" name="Sub-Category">
      <calculatedColumnFormula array="1">Data!D3:F103</calculatedColumnFormula>
    </tableColumn>
    <tableColumn id="4" xr3:uid="{6339693F-1416-4635-92B3-BFB7917372C2}" name="GMV" dataDxfId="134">
      <calculatedColumnFormula array="1">INDEX(Data!A3:BM103,,MATCH(_xlfn.CONCAT("Dec ",Dashboard!$A$43),Data!$A$1:$BN$1,0))</calculatedColumnFormula>
    </tableColumn>
    <tableColumn id="5" xr3:uid="{77766129-AA96-481E-9466-C3BD2591B316}" name="Units" dataDxfId="133">
      <calculatedColumnFormula array="1">INDEX(Data!B3:BN103,,MATCH(_xlfn.CONCAT("Dec ",Dashboard!$A$43),Data!$A$1:$BN$1,0))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38E524-2B38-48AB-A7DC-2D9C269B3F4B}" name="Table12" displayName="Table12" ref="A46:E146" totalsRowShown="0" headerRowDxfId="132" headerRowBorderDxfId="130" tableBorderDxfId="131">
  <autoFilter ref="A46:E146" xr:uid="{3538E524-2B38-48AB-A7DC-2D9C269B3F4B}"/>
  <tableColumns count="5">
    <tableColumn id="1" xr3:uid="{EDF9FF2F-D70C-42EA-B029-AA306AE15CB4}" name="Product ID">
      <calculatedColumnFormula array="1">Data!B3:D103</calculatedColumnFormula>
    </tableColumn>
    <tableColumn id="2" xr3:uid="{D1D2F544-45F0-4794-A770-281949BF2460}" name="Category">
      <calculatedColumnFormula array="1">Data!C3:E103</calculatedColumnFormula>
    </tableColumn>
    <tableColumn id="3" xr3:uid="{DF0D967B-F2A2-4CF4-BDBE-E5B51A25EBB9}" name="Sub-Category">
      <calculatedColumnFormula array="1">Data!D3:F103</calculatedColumnFormula>
    </tableColumn>
    <tableColumn id="4" xr3:uid="{57CBF522-FAD4-45B5-A832-FAF3C6E45F36}" name="GMV">
      <calculatedColumnFormula array="1">INDEX(Data!A3:BM103,,MATCH(_xlfn.CONCAT("Dec ",Dashboard!$A$43),Data!$A$1:$BN$1,0))</calculatedColumnFormula>
    </tableColumn>
    <tableColumn id="5" xr3:uid="{2A0FBCEF-2AF6-46A9-A63C-F993682367DE}" name="Units">
      <calculatedColumnFormula array="1">INDEX(Data!B3:BN103,,MATCH(_xlfn.CONCAT("Dec ",Dashboard!$A$43),Data!$A$1:$BN$1,0))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90" zoomScaleNormal="90" workbookViewId="0">
      <selection activeCell="C28" sqref="C28"/>
    </sheetView>
  </sheetViews>
  <sheetFormatPr defaultColWidth="8.77734375" defaultRowHeight="13.2"/>
  <cols>
    <col min="1" max="1" width="2.33203125" customWidth="1"/>
    <col min="2" max="2" width="3.77734375" customWidth="1"/>
    <col min="3" max="3" width="65.33203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6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6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showGridLines="0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" sqref="B1:H1"/>
    </sheetView>
  </sheetViews>
  <sheetFormatPr defaultColWidth="12.6640625" defaultRowHeight="15.75" customHeight="1" outlineLevelCol="1"/>
  <cols>
    <col min="1" max="1" width="1.77734375" style="7" customWidth="1"/>
    <col min="2" max="2" width="11.77734375" style="7" customWidth="1"/>
    <col min="3" max="3" width="13.33203125" style="7" customWidth="1"/>
    <col min="4" max="4" width="14.33203125" style="11" customWidth="1"/>
    <col min="5" max="18" width="9.21875" style="7" customWidth="1" outlineLevel="1"/>
    <col min="19" max="66" width="9.21875" style="7" customWidth="1"/>
    <col min="67" max="16384" width="12.6640625" style="7"/>
  </cols>
  <sheetData>
    <row r="1" spans="1:66" s="3" customFormat="1" ht="15.75" customHeight="1">
      <c r="D1" s="10"/>
      <c r="E1" s="4" t="s">
        <v>107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6">
        <v>11293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48" t="s">
        <v>106</v>
      </c>
      <c r="C2" s="20" t="s">
        <v>140</v>
      </c>
      <c r="D2" s="20" t="s">
        <v>141</v>
      </c>
      <c r="E2" s="21" t="s">
        <v>184</v>
      </c>
      <c r="F2" s="20" t="s">
        <v>185</v>
      </c>
      <c r="G2" s="21" t="s">
        <v>186</v>
      </c>
      <c r="H2" s="20" t="s">
        <v>187</v>
      </c>
      <c r="I2" s="21" t="s">
        <v>188</v>
      </c>
      <c r="J2" s="20" t="s">
        <v>189</v>
      </c>
      <c r="K2" s="21" t="s">
        <v>190</v>
      </c>
      <c r="L2" s="20" t="s">
        <v>191</v>
      </c>
      <c r="M2" s="21" t="s">
        <v>192</v>
      </c>
      <c r="N2" s="20" t="s">
        <v>193</v>
      </c>
      <c r="O2" s="21" t="s">
        <v>194</v>
      </c>
      <c r="P2" s="20" t="s">
        <v>195</v>
      </c>
      <c r="Q2" s="21" t="s">
        <v>196</v>
      </c>
      <c r="R2" s="20" t="s">
        <v>197</v>
      </c>
      <c r="S2" s="21" t="s">
        <v>198</v>
      </c>
      <c r="T2" s="20" t="s">
        <v>199</v>
      </c>
      <c r="U2" s="21" t="s">
        <v>200</v>
      </c>
      <c r="V2" s="20" t="s">
        <v>201</v>
      </c>
      <c r="W2" s="21" t="s">
        <v>202</v>
      </c>
      <c r="X2" s="20" t="s">
        <v>203</v>
      </c>
      <c r="Y2" s="21" t="s">
        <v>204</v>
      </c>
      <c r="Z2" s="20" t="s">
        <v>205</v>
      </c>
      <c r="AA2" s="21" t="s">
        <v>206</v>
      </c>
      <c r="AB2" s="20" t="s">
        <v>207</v>
      </c>
      <c r="AC2" s="21" t="s">
        <v>208</v>
      </c>
      <c r="AD2" s="20" t="s">
        <v>209</v>
      </c>
      <c r="AE2" s="21" t="s">
        <v>210</v>
      </c>
      <c r="AF2" s="20" t="s">
        <v>211</v>
      </c>
      <c r="AG2" s="21" t="s">
        <v>212</v>
      </c>
      <c r="AH2" s="20" t="s">
        <v>213</v>
      </c>
      <c r="AI2" s="21" t="s">
        <v>214</v>
      </c>
      <c r="AJ2" s="20" t="s">
        <v>215</v>
      </c>
      <c r="AK2" s="21" t="s">
        <v>216</v>
      </c>
      <c r="AL2" s="20" t="s">
        <v>217</v>
      </c>
      <c r="AM2" s="21" t="s">
        <v>218</v>
      </c>
      <c r="AN2" s="20" t="s">
        <v>219</v>
      </c>
      <c r="AO2" s="21" t="s">
        <v>220</v>
      </c>
      <c r="AP2" s="20" t="s">
        <v>221</v>
      </c>
      <c r="AQ2" s="21" t="s">
        <v>222</v>
      </c>
      <c r="AR2" s="20" t="s">
        <v>223</v>
      </c>
      <c r="AS2" s="21" t="s">
        <v>224</v>
      </c>
      <c r="AT2" s="20" t="s">
        <v>225</v>
      </c>
      <c r="AU2" s="21" t="s">
        <v>226</v>
      </c>
      <c r="AV2" s="20" t="s">
        <v>227</v>
      </c>
      <c r="AW2" s="21" t="s">
        <v>228</v>
      </c>
      <c r="AX2" s="20" t="s">
        <v>229</v>
      </c>
      <c r="AY2" s="21" t="s">
        <v>230</v>
      </c>
      <c r="AZ2" s="20" t="s">
        <v>231</v>
      </c>
      <c r="BA2" s="21" t="s">
        <v>232</v>
      </c>
      <c r="BB2" s="20" t="s">
        <v>233</v>
      </c>
      <c r="BC2" s="21" t="s">
        <v>234</v>
      </c>
      <c r="BD2" s="20" t="s">
        <v>235</v>
      </c>
      <c r="BE2" s="21" t="s">
        <v>236</v>
      </c>
      <c r="BF2" s="20" t="s">
        <v>237</v>
      </c>
      <c r="BG2" s="21" t="s">
        <v>238</v>
      </c>
      <c r="BH2" s="20" t="s">
        <v>239</v>
      </c>
      <c r="BI2" s="21" t="s">
        <v>240</v>
      </c>
      <c r="BJ2" s="20" t="s">
        <v>241</v>
      </c>
      <c r="BK2" s="21" t="s">
        <v>242</v>
      </c>
      <c r="BL2" s="20" t="s">
        <v>243</v>
      </c>
      <c r="BM2" s="21" t="s">
        <v>244</v>
      </c>
      <c r="BN2" s="49" t="s">
        <v>245</v>
      </c>
    </row>
    <row r="3" spans="1:66" ht="15.75" customHeight="1">
      <c r="A3" s="8"/>
      <c r="B3" s="55" t="s">
        <v>14</v>
      </c>
      <c r="C3" s="56" t="s">
        <v>102</v>
      </c>
      <c r="D3" s="57" t="s">
        <v>150</v>
      </c>
      <c r="E3" s="58">
        <v>0</v>
      </c>
      <c r="F3" s="56">
        <v>0</v>
      </c>
      <c r="G3" s="58">
        <v>632</v>
      </c>
      <c r="H3" s="56">
        <v>2</v>
      </c>
      <c r="I3" s="58">
        <v>0</v>
      </c>
      <c r="J3" s="56">
        <v>0</v>
      </c>
      <c r="K3" s="58">
        <v>0</v>
      </c>
      <c r="L3" s="56">
        <v>0</v>
      </c>
      <c r="M3" s="58">
        <v>316</v>
      </c>
      <c r="N3" s="56">
        <v>1</v>
      </c>
      <c r="O3" s="58">
        <v>632</v>
      </c>
      <c r="P3" s="56">
        <v>2</v>
      </c>
      <c r="Q3" s="58">
        <v>672</v>
      </c>
      <c r="R3" s="56">
        <v>2</v>
      </c>
      <c r="S3" s="58">
        <v>632</v>
      </c>
      <c r="T3" s="56">
        <v>2</v>
      </c>
      <c r="U3" s="58">
        <v>316</v>
      </c>
      <c r="V3" s="56">
        <v>1</v>
      </c>
      <c r="W3" s="58">
        <v>1304</v>
      </c>
      <c r="X3" s="56">
        <v>4</v>
      </c>
      <c r="Y3" s="58">
        <v>316</v>
      </c>
      <c r="Z3" s="56">
        <v>1</v>
      </c>
      <c r="AA3" s="58">
        <v>672</v>
      </c>
      <c r="AB3" s="56">
        <v>2</v>
      </c>
      <c r="AC3" s="58">
        <v>632</v>
      </c>
      <c r="AD3" s="56">
        <v>2</v>
      </c>
      <c r="AE3" s="58">
        <v>712</v>
      </c>
      <c r="AF3" s="56">
        <v>2</v>
      </c>
      <c r="AG3" s="58">
        <v>1620</v>
      </c>
      <c r="AH3" s="56">
        <v>5</v>
      </c>
      <c r="AI3" s="58">
        <v>672</v>
      </c>
      <c r="AJ3" s="56">
        <v>2</v>
      </c>
      <c r="AK3" s="58">
        <v>316</v>
      </c>
      <c r="AL3" s="56">
        <v>1</v>
      </c>
      <c r="AM3" s="58">
        <v>2252</v>
      </c>
      <c r="AN3" s="56">
        <v>7</v>
      </c>
      <c r="AO3" s="58">
        <v>632</v>
      </c>
      <c r="AP3" s="56">
        <v>2</v>
      </c>
      <c r="AQ3" s="58">
        <v>0</v>
      </c>
      <c r="AR3" s="56">
        <v>0</v>
      </c>
      <c r="AS3" s="58">
        <v>672</v>
      </c>
      <c r="AT3" s="56">
        <v>2</v>
      </c>
      <c r="AU3" s="58">
        <v>948</v>
      </c>
      <c r="AV3" s="56">
        <v>3</v>
      </c>
      <c r="AW3" s="58">
        <v>0</v>
      </c>
      <c r="AX3" s="56">
        <v>0</v>
      </c>
      <c r="AY3" s="58">
        <v>0</v>
      </c>
      <c r="AZ3" s="56">
        <v>0</v>
      </c>
      <c r="BA3" s="58">
        <v>0</v>
      </c>
      <c r="BB3" s="56">
        <v>0</v>
      </c>
      <c r="BC3" s="58">
        <v>1896</v>
      </c>
      <c r="BD3" s="56">
        <v>6</v>
      </c>
      <c r="BE3" s="58">
        <v>316</v>
      </c>
      <c r="BF3" s="56">
        <v>1</v>
      </c>
      <c r="BG3" s="58">
        <v>672</v>
      </c>
      <c r="BH3" s="56">
        <v>2</v>
      </c>
      <c r="BI3" s="58">
        <v>316</v>
      </c>
      <c r="BJ3" s="56">
        <v>1</v>
      </c>
      <c r="BK3" s="58">
        <v>1304</v>
      </c>
      <c r="BL3" s="56">
        <v>4</v>
      </c>
      <c r="BM3" s="58">
        <v>0</v>
      </c>
      <c r="BN3" s="59">
        <v>0</v>
      </c>
    </row>
    <row r="4" spans="1:66" ht="15.75" customHeight="1">
      <c r="A4" s="8"/>
      <c r="B4" s="50" t="s">
        <v>65</v>
      </c>
      <c r="C4" s="51" t="s">
        <v>103</v>
      </c>
      <c r="D4" s="52" t="s">
        <v>151</v>
      </c>
      <c r="E4" s="53">
        <v>9087</v>
      </c>
      <c r="F4" s="51">
        <v>13</v>
      </c>
      <c r="G4" s="53">
        <v>6291</v>
      </c>
      <c r="H4" s="51">
        <v>9</v>
      </c>
      <c r="I4" s="53">
        <v>6990</v>
      </c>
      <c r="J4" s="51">
        <v>10</v>
      </c>
      <c r="K4" s="53">
        <v>8388</v>
      </c>
      <c r="L4" s="51">
        <v>12</v>
      </c>
      <c r="M4" s="53">
        <v>7689</v>
      </c>
      <c r="N4" s="51">
        <v>11</v>
      </c>
      <c r="O4" s="53">
        <v>7689</v>
      </c>
      <c r="P4" s="51">
        <v>11</v>
      </c>
      <c r="Q4" s="53">
        <v>9087</v>
      </c>
      <c r="R4" s="51">
        <v>13</v>
      </c>
      <c r="S4" s="53">
        <v>11184</v>
      </c>
      <c r="T4" s="51">
        <v>16</v>
      </c>
      <c r="U4" s="53">
        <v>11883</v>
      </c>
      <c r="V4" s="51">
        <v>17</v>
      </c>
      <c r="W4" s="53">
        <v>12582</v>
      </c>
      <c r="X4" s="51">
        <v>18</v>
      </c>
      <c r="Y4" s="53">
        <v>11883</v>
      </c>
      <c r="Z4" s="51">
        <v>17</v>
      </c>
      <c r="AA4" s="53">
        <v>11883</v>
      </c>
      <c r="AB4" s="51">
        <v>17</v>
      </c>
      <c r="AC4" s="53">
        <v>10784</v>
      </c>
      <c r="AD4" s="51">
        <v>16</v>
      </c>
      <c r="AE4" s="53">
        <v>16874</v>
      </c>
      <c r="AF4" s="51">
        <v>26</v>
      </c>
      <c r="AG4" s="53">
        <v>12980</v>
      </c>
      <c r="AH4" s="51">
        <v>20</v>
      </c>
      <c r="AI4" s="53">
        <v>15856</v>
      </c>
      <c r="AJ4" s="51">
        <v>24</v>
      </c>
      <c r="AK4" s="53">
        <v>15576</v>
      </c>
      <c r="AL4" s="51">
        <v>24</v>
      </c>
      <c r="AM4" s="53">
        <v>13629</v>
      </c>
      <c r="AN4" s="51">
        <v>21</v>
      </c>
      <c r="AO4" s="53">
        <v>15576</v>
      </c>
      <c r="AP4" s="51">
        <v>24</v>
      </c>
      <c r="AQ4" s="53">
        <v>18172</v>
      </c>
      <c r="AR4" s="51">
        <v>28</v>
      </c>
      <c r="AS4" s="53">
        <v>11033</v>
      </c>
      <c r="AT4" s="51">
        <v>17</v>
      </c>
      <c r="AU4" s="53">
        <v>17523</v>
      </c>
      <c r="AV4" s="51">
        <v>27</v>
      </c>
      <c r="AW4" s="53">
        <v>22066</v>
      </c>
      <c r="AX4" s="51">
        <v>34</v>
      </c>
      <c r="AY4" s="53">
        <v>16225</v>
      </c>
      <c r="AZ4" s="51">
        <v>25</v>
      </c>
      <c r="BA4" s="53">
        <v>14927</v>
      </c>
      <c r="BB4" s="51">
        <v>23</v>
      </c>
      <c r="BC4" s="53">
        <v>18172</v>
      </c>
      <c r="BD4" s="51">
        <v>28</v>
      </c>
      <c r="BE4" s="53">
        <v>20119</v>
      </c>
      <c r="BF4" s="51">
        <v>31</v>
      </c>
      <c r="BG4" s="53">
        <v>23750</v>
      </c>
      <c r="BH4" s="51">
        <v>38</v>
      </c>
      <c r="BI4" s="53">
        <v>20000</v>
      </c>
      <c r="BJ4" s="51">
        <v>32</v>
      </c>
      <c r="BK4" s="53">
        <v>13750</v>
      </c>
      <c r="BL4" s="51">
        <v>22</v>
      </c>
      <c r="BM4" s="53">
        <v>22066</v>
      </c>
      <c r="BN4" s="54">
        <v>34</v>
      </c>
    </row>
    <row r="5" spans="1:66" ht="15.75" customHeight="1">
      <c r="A5" s="8"/>
      <c r="B5" s="50" t="s">
        <v>90</v>
      </c>
      <c r="C5" s="51" t="s">
        <v>103</v>
      </c>
      <c r="D5" s="52" t="s">
        <v>151</v>
      </c>
      <c r="E5" s="53">
        <v>16450</v>
      </c>
      <c r="F5" s="51">
        <v>33</v>
      </c>
      <c r="G5" s="53">
        <v>15769</v>
      </c>
      <c r="H5" s="51">
        <v>32</v>
      </c>
      <c r="I5" s="53">
        <v>19212</v>
      </c>
      <c r="J5" s="51">
        <v>39</v>
      </c>
      <c r="K5" s="53">
        <v>24138</v>
      </c>
      <c r="L5" s="51">
        <v>49</v>
      </c>
      <c r="M5" s="53">
        <v>21245</v>
      </c>
      <c r="N5" s="51">
        <v>43</v>
      </c>
      <c r="O5" s="53">
        <v>22283</v>
      </c>
      <c r="P5" s="51">
        <v>45</v>
      </c>
      <c r="Q5" s="53">
        <v>20197</v>
      </c>
      <c r="R5" s="51">
        <v>41</v>
      </c>
      <c r="S5" s="53">
        <v>17734</v>
      </c>
      <c r="T5" s="51">
        <v>36</v>
      </c>
      <c r="U5" s="53">
        <v>20197</v>
      </c>
      <c r="V5" s="51">
        <v>41</v>
      </c>
      <c r="W5" s="53">
        <v>24138</v>
      </c>
      <c r="X5" s="51">
        <v>49</v>
      </c>
      <c r="Y5" s="53">
        <v>24631</v>
      </c>
      <c r="Z5" s="51">
        <v>50</v>
      </c>
      <c r="AA5" s="53">
        <v>13793</v>
      </c>
      <c r="AB5" s="51">
        <v>28</v>
      </c>
      <c r="AC5" s="53">
        <v>17242</v>
      </c>
      <c r="AD5" s="51">
        <v>35</v>
      </c>
      <c r="AE5" s="53">
        <v>14778</v>
      </c>
      <c r="AF5" s="51">
        <v>30</v>
      </c>
      <c r="AG5" s="53">
        <v>17734</v>
      </c>
      <c r="AH5" s="51">
        <v>36</v>
      </c>
      <c r="AI5" s="53">
        <v>15271</v>
      </c>
      <c r="AJ5" s="51">
        <v>31</v>
      </c>
      <c r="AK5" s="53">
        <v>24631</v>
      </c>
      <c r="AL5" s="51">
        <v>50</v>
      </c>
      <c r="AM5" s="53">
        <v>22660</v>
      </c>
      <c r="AN5" s="51">
        <v>46</v>
      </c>
      <c r="AO5" s="53">
        <v>23645</v>
      </c>
      <c r="AP5" s="51">
        <v>48</v>
      </c>
      <c r="AQ5" s="53">
        <v>23153</v>
      </c>
      <c r="AR5" s="51">
        <v>47</v>
      </c>
      <c r="AS5" s="53">
        <v>27094</v>
      </c>
      <c r="AT5" s="51">
        <v>55</v>
      </c>
      <c r="AU5" s="53">
        <v>38441</v>
      </c>
      <c r="AV5" s="51">
        <v>78</v>
      </c>
      <c r="AW5" s="53">
        <v>43964</v>
      </c>
      <c r="AX5" s="51">
        <v>91</v>
      </c>
      <c r="AY5" s="53">
        <v>50245</v>
      </c>
      <c r="AZ5" s="51">
        <v>104</v>
      </c>
      <c r="BA5" s="53">
        <v>31403</v>
      </c>
      <c r="BB5" s="51">
        <v>65</v>
      </c>
      <c r="BC5" s="53">
        <v>30437</v>
      </c>
      <c r="BD5" s="51">
        <v>63</v>
      </c>
      <c r="BE5" s="53">
        <v>34785</v>
      </c>
      <c r="BF5" s="51">
        <v>72</v>
      </c>
      <c r="BG5" s="53">
        <v>29631</v>
      </c>
      <c r="BH5" s="51">
        <v>60</v>
      </c>
      <c r="BI5" s="53">
        <v>27586</v>
      </c>
      <c r="BJ5" s="51">
        <v>56</v>
      </c>
      <c r="BK5" s="53">
        <v>21182</v>
      </c>
      <c r="BL5" s="51">
        <v>43</v>
      </c>
      <c r="BM5" s="53">
        <v>43964</v>
      </c>
      <c r="BN5" s="54">
        <v>91</v>
      </c>
    </row>
    <row r="6" spans="1:66" ht="15.75" customHeight="1">
      <c r="A6" s="8"/>
      <c r="B6" s="55" t="s">
        <v>43</v>
      </c>
      <c r="C6" s="56" t="s">
        <v>102</v>
      </c>
      <c r="D6" s="57" t="s">
        <v>150</v>
      </c>
      <c r="E6" s="58">
        <v>0</v>
      </c>
      <c r="F6" s="56">
        <v>0</v>
      </c>
      <c r="G6" s="58">
        <v>244</v>
      </c>
      <c r="H6" s="56">
        <v>1</v>
      </c>
      <c r="I6" s="58">
        <v>488</v>
      </c>
      <c r="J6" s="56">
        <v>2</v>
      </c>
      <c r="K6" s="58">
        <v>244</v>
      </c>
      <c r="L6" s="56">
        <v>1</v>
      </c>
      <c r="M6" s="58">
        <v>0</v>
      </c>
      <c r="N6" s="56">
        <v>0</v>
      </c>
      <c r="O6" s="58">
        <v>488</v>
      </c>
      <c r="P6" s="56">
        <v>2</v>
      </c>
      <c r="Q6" s="58">
        <v>244</v>
      </c>
      <c r="R6" s="56">
        <v>1</v>
      </c>
      <c r="S6" s="58">
        <v>0</v>
      </c>
      <c r="T6" s="56">
        <v>0</v>
      </c>
      <c r="U6" s="58">
        <v>812</v>
      </c>
      <c r="V6" s="56">
        <v>3</v>
      </c>
      <c r="W6" s="58">
        <v>772</v>
      </c>
      <c r="X6" s="56">
        <v>3</v>
      </c>
      <c r="Y6" s="58">
        <v>0</v>
      </c>
      <c r="Z6" s="56">
        <v>0</v>
      </c>
      <c r="AA6" s="58">
        <v>488</v>
      </c>
      <c r="AB6" s="56">
        <v>2</v>
      </c>
      <c r="AC6" s="58">
        <v>0</v>
      </c>
      <c r="AD6" s="56">
        <v>0</v>
      </c>
      <c r="AE6" s="58">
        <v>0</v>
      </c>
      <c r="AF6" s="56">
        <v>0</v>
      </c>
      <c r="AG6" s="58">
        <v>244</v>
      </c>
      <c r="AH6" s="56">
        <v>1</v>
      </c>
      <c r="AI6" s="58">
        <v>0</v>
      </c>
      <c r="AJ6" s="56">
        <v>0</v>
      </c>
      <c r="AK6" s="58">
        <v>0</v>
      </c>
      <c r="AL6" s="56">
        <v>0</v>
      </c>
      <c r="AM6" s="58">
        <v>0</v>
      </c>
      <c r="AN6" s="56">
        <v>0</v>
      </c>
      <c r="AO6" s="58">
        <v>244</v>
      </c>
      <c r="AP6" s="56">
        <v>1</v>
      </c>
      <c r="AQ6" s="58">
        <v>244</v>
      </c>
      <c r="AR6" s="56">
        <v>1</v>
      </c>
      <c r="AS6" s="58">
        <v>732</v>
      </c>
      <c r="AT6" s="56">
        <v>3</v>
      </c>
      <c r="AU6" s="58">
        <v>0</v>
      </c>
      <c r="AV6" s="56">
        <v>0</v>
      </c>
      <c r="AW6" s="58">
        <v>0</v>
      </c>
      <c r="AX6" s="56">
        <v>0</v>
      </c>
      <c r="AY6" s="58">
        <v>0</v>
      </c>
      <c r="AZ6" s="56">
        <v>0</v>
      </c>
      <c r="BA6" s="58">
        <v>0</v>
      </c>
      <c r="BB6" s="56">
        <v>0</v>
      </c>
      <c r="BC6" s="58">
        <v>732</v>
      </c>
      <c r="BD6" s="56">
        <v>3</v>
      </c>
      <c r="BE6" s="58">
        <v>732</v>
      </c>
      <c r="BF6" s="56">
        <v>3</v>
      </c>
      <c r="BG6" s="58">
        <v>732</v>
      </c>
      <c r="BH6" s="56">
        <v>3</v>
      </c>
      <c r="BI6" s="58">
        <v>732</v>
      </c>
      <c r="BJ6" s="56">
        <v>3</v>
      </c>
      <c r="BK6" s="58">
        <v>0</v>
      </c>
      <c r="BL6" s="56">
        <v>0</v>
      </c>
      <c r="BM6" s="58">
        <v>0</v>
      </c>
      <c r="BN6" s="59">
        <v>0</v>
      </c>
    </row>
    <row r="7" spans="1:66" ht="15.75" customHeight="1">
      <c r="A7" s="8"/>
      <c r="B7" s="50" t="s">
        <v>4</v>
      </c>
      <c r="C7" s="51" t="s">
        <v>102</v>
      </c>
      <c r="D7" s="52" t="s">
        <v>154</v>
      </c>
      <c r="E7" s="53">
        <v>0</v>
      </c>
      <c r="F7" s="51">
        <v>0</v>
      </c>
      <c r="G7" s="53">
        <v>0</v>
      </c>
      <c r="H7" s="51">
        <v>0</v>
      </c>
      <c r="I7" s="53">
        <v>0</v>
      </c>
      <c r="J7" s="51">
        <v>0</v>
      </c>
      <c r="K7" s="53">
        <v>538</v>
      </c>
      <c r="L7" s="51">
        <v>2</v>
      </c>
      <c r="M7" s="53">
        <v>0</v>
      </c>
      <c r="N7" s="51">
        <v>0</v>
      </c>
      <c r="O7" s="53">
        <v>0</v>
      </c>
      <c r="P7" s="51">
        <v>0</v>
      </c>
      <c r="Q7" s="53">
        <v>309</v>
      </c>
      <c r="R7" s="51">
        <v>1</v>
      </c>
      <c r="S7" s="53">
        <v>0</v>
      </c>
      <c r="T7" s="51">
        <v>0</v>
      </c>
      <c r="U7" s="53">
        <v>0</v>
      </c>
      <c r="V7" s="51">
        <v>0</v>
      </c>
      <c r="W7" s="53">
        <v>0</v>
      </c>
      <c r="X7" s="51">
        <v>0</v>
      </c>
      <c r="Y7" s="53">
        <v>269</v>
      </c>
      <c r="Z7" s="51">
        <v>1</v>
      </c>
      <c r="AA7" s="53">
        <v>0</v>
      </c>
      <c r="AB7" s="51">
        <v>0</v>
      </c>
      <c r="AC7" s="53">
        <v>269</v>
      </c>
      <c r="AD7" s="51">
        <v>1</v>
      </c>
      <c r="AE7" s="53">
        <v>0</v>
      </c>
      <c r="AF7" s="51">
        <v>0</v>
      </c>
      <c r="AG7" s="53">
        <v>0</v>
      </c>
      <c r="AH7" s="51">
        <v>0</v>
      </c>
      <c r="AI7" s="53">
        <v>0</v>
      </c>
      <c r="AJ7" s="51">
        <v>0</v>
      </c>
      <c r="AK7" s="53">
        <v>0</v>
      </c>
      <c r="AL7" s="51">
        <v>0</v>
      </c>
      <c r="AM7" s="53">
        <v>0</v>
      </c>
      <c r="AN7" s="51">
        <v>0</v>
      </c>
      <c r="AO7" s="53">
        <v>1216</v>
      </c>
      <c r="AP7" s="51">
        <v>4</v>
      </c>
      <c r="AQ7" s="53">
        <v>0</v>
      </c>
      <c r="AR7" s="51">
        <v>0</v>
      </c>
      <c r="AS7" s="53">
        <v>309</v>
      </c>
      <c r="AT7" s="51">
        <v>1</v>
      </c>
      <c r="AU7" s="53">
        <v>0</v>
      </c>
      <c r="AV7" s="51">
        <v>0</v>
      </c>
      <c r="AW7" s="53">
        <v>269</v>
      </c>
      <c r="AX7" s="51">
        <v>1</v>
      </c>
      <c r="AY7" s="53">
        <v>269</v>
      </c>
      <c r="AZ7" s="51">
        <v>1</v>
      </c>
      <c r="BA7" s="53">
        <v>0</v>
      </c>
      <c r="BB7" s="51">
        <v>0</v>
      </c>
      <c r="BC7" s="53">
        <v>0</v>
      </c>
      <c r="BD7" s="51">
        <v>0</v>
      </c>
      <c r="BE7" s="53">
        <v>269</v>
      </c>
      <c r="BF7" s="51">
        <v>1</v>
      </c>
      <c r="BG7" s="53">
        <v>0</v>
      </c>
      <c r="BH7" s="51">
        <v>0</v>
      </c>
      <c r="BI7" s="53">
        <v>0</v>
      </c>
      <c r="BJ7" s="51">
        <v>0</v>
      </c>
      <c r="BK7" s="53">
        <v>-267</v>
      </c>
      <c r="BL7" s="51">
        <v>-1</v>
      </c>
      <c r="BM7" s="53">
        <v>269</v>
      </c>
      <c r="BN7" s="54">
        <v>1</v>
      </c>
    </row>
    <row r="8" spans="1:66" ht="15.75" customHeight="1">
      <c r="A8" s="8"/>
      <c r="B8" s="55" t="s">
        <v>8</v>
      </c>
      <c r="C8" s="56" t="s">
        <v>101</v>
      </c>
      <c r="D8" s="57" t="s">
        <v>147</v>
      </c>
      <c r="E8" s="58">
        <v>0</v>
      </c>
      <c r="F8" s="56">
        <v>0</v>
      </c>
      <c r="G8" s="58">
        <v>1135</v>
      </c>
      <c r="H8" s="56">
        <v>4</v>
      </c>
      <c r="I8" s="58">
        <v>851</v>
      </c>
      <c r="J8" s="56">
        <v>3</v>
      </c>
      <c r="K8" s="58">
        <v>2838</v>
      </c>
      <c r="L8" s="56">
        <v>10</v>
      </c>
      <c r="M8" s="58">
        <v>3406</v>
      </c>
      <c r="N8" s="56">
        <v>12</v>
      </c>
      <c r="O8" s="58">
        <v>1014</v>
      </c>
      <c r="P8" s="56">
        <v>4</v>
      </c>
      <c r="Q8" s="58">
        <v>1987</v>
      </c>
      <c r="R8" s="56">
        <v>7</v>
      </c>
      <c r="S8" s="58">
        <v>2554</v>
      </c>
      <c r="T8" s="56">
        <v>9</v>
      </c>
      <c r="U8" s="58">
        <v>568</v>
      </c>
      <c r="V8" s="56">
        <v>2</v>
      </c>
      <c r="W8" s="58">
        <v>1987</v>
      </c>
      <c r="X8" s="56">
        <v>7</v>
      </c>
      <c r="Y8" s="58">
        <v>2554</v>
      </c>
      <c r="Z8" s="56">
        <v>9</v>
      </c>
      <c r="AA8" s="58">
        <v>3122</v>
      </c>
      <c r="AB8" s="56">
        <v>11</v>
      </c>
      <c r="AC8" s="58">
        <v>1524</v>
      </c>
      <c r="AD8" s="56">
        <v>5</v>
      </c>
      <c r="AE8" s="58">
        <v>3122</v>
      </c>
      <c r="AF8" s="56">
        <v>11</v>
      </c>
      <c r="AG8" s="58">
        <v>1987</v>
      </c>
      <c r="AH8" s="56">
        <v>7</v>
      </c>
      <c r="AI8" s="58">
        <v>2838</v>
      </c>
      <c r="AJ8" s="56">
        <v>10</v>
      </c>
      <c r="AK8" s="58">
        <v>2554</v>
      </c>
      <c r="AL8" s="56">
        <v>9</v>
      </c>
      <c r="AM8" s="58">
        <v>1419</v>
      </c>
      <c r="AN8" s="56">
        <v>5</v>
      </c>
      <c r="AO8" s="58">
        <v>2270</v>
      </c>
      <c r="AP8" s="56">
        <v>8</v>
      </c>
      <c r="AQ8" s="58">
        <v>2270</v>
      </c>
      <c r="AR8" s="56">
        <v>8</v>
      </c>
      <c r="AS8" s="58">
        <v>1987</v>
      </c>
      <c r="AT8" s="56">
        <v>7</v>
      </c>
      <c r="AU8" s="58">
        <v>4541</v>
      </c>
      <c r="AV8" s="56">
        <v>16</v>
      </c>
      <c r="AW8" s="58">
        <v>2838</v>
      </c>
      <c r="AX8" s="56">
        <v>10</v>
      </c>
      <c r="AY8" s="58">
        <v>3689</v>
      </c>
      <c r="AZ8" s="56">
        <v>13</v>
      </c>
      <c r="BA8" s="58">
        <v>3689</v>
      </c>
      <c r="BB8" s="56">
        <v>13</v>
      </c>
      <c r="BC8" s="58">
        <v>1703</v>
      </c>
      <c r="BD8" s="56">
        <v>6</v>
      </c>
      <c r="BE8" s="58">
        <v>1135</v>
      </c>
      <c r="BF8" s="56">
        <v>4</v>
      </c>
      <c r="BG8" s="58">
        <v>1135</v>
      </c>
      <c r="BH8" s="56">
        <v>4</v>
      </c>
      <c r="BI8" s="58">
        <v>568</v>
      </c>
      <c r="BJ8" s="56">
        <v>2</v>
      </c>
      <c r="BK8" s="58">
        <v>1135</v>
      </c>
      <c r="BL8" s="56">
        <v>4</v>
      </c>
      <c r="BM8" s="58">
        <v>2838</v>
      </c>
      <c r="BN8" s="59">
        <v>10</v>
      </c>
    </row>
    <row r="9" spans="1:66" ht="15.75" customHeight="1">
      <c r="A9" s="8"/>
      <c r="B9" s="55" t="s">
        <v>87</v>
      </c>
      <c r="C9" s="56" t="s">
        <v>101</v>
      </c>
      <c r="D9" s="57" t="s">
        <v>148</v>
      </c>
      <c r="E9" s="58">
        <v>17132</v>
      </c>
      <c r="F9" s="56">
        <v>41</v>
      </c>
      <c r="G9" s="58">
        <v>23400</v>
      </c>
      <c r="H9" s="56">
        <v>56</v>
      </c>
      <c r="I9" s="58">
        <v>30086</v>
      </c>
      <c r="J9" s="56">
        <v>72</v>
      </c>
      <c r="K9" s="58">
        <v>17132</v>
      </c>
      <c r="L9" s="56">
        <v>41</v>
      </c>
      <c r="M9" s="58">
        <v>18804</v>
      </c>
      <c r="N9" s="56">
        <v>45</v>
      </c>
      <c r="O9" s="58">
        <v>16714</v>
      </c>
      <c r="P9" s="56">
        <v>40</v>
      </c>
      <c r="Q9" s="58">
        <v>12536</v>
      </c>
      <c r="R9" s="56">
        <v>30</v>
      </c>
      <c r="S9" s="58">
        <v>20475</v>
      </c>
      <c r="T9" s="56">
        <v>49</v>
      </c>
      <c r="U9" s="58">
        <v>21729</v>
      </c>
      <c r="V9" s="56">
        <v>52</v>
      </c>
      <c r="W9" s="58">
        <v>24236</v>
      </c>
      <c r="X9" s="56">
        <v>58</v>
      </c>
      <c r="Y9" s="58">
        <v>21311</v>
      </c>
      <c r="Z9" s="56">
        <v>51</v>
      </c>
      <c r="AA9" s="58">
        <v>19222</v>
      </c>
      <c r="AB9" s="56">
        <v>46</v>
      </c>
      <c r="AC9" s="58">
        <v>15880</v>
      </c>
      <c r="AD9" s="56">
        <v>38</v>
      </c>
      <c r="AE9" s="58">
        <v>11282</v>
      </c>
      <c r="AF9" s="56">
        <v>27</v>
      </c>
      <c r="AG9" s="58">
        <v>18804</v>
      </c>
      <c r="AH9" s="56">
        <v>45</v>
      </c>
      <c r="AI9" s="58">
        <v>13372</v>
      </c>
      <c r="AJ9" s="56">
        <v>32</v>
      </c>
      <c r="AK9" s="58">
        <v>11282</v>
      </c>
      <c r="AL9" s="56">
        <v>27</v>
      </c>
      <c r="AM9" s="58">
        <v>13789</v>
      </c>
      <c r="AN9" s="56">
        <v>33</v>
      </c>
      <c r="AO9" s="58">
        <v>13372</v>
      </c>
      <c r="AP9" s="56">
        <v>32</v>
      </c>
      <c r="AQ9" s="58">
        <v>11700</v>
      </c>
      <c r="AR9" s="56">
        <v>28</v>
      </c>
      <c r="AS9" s="58">
        <v>15461</v>
      </c>
      <c r="AT9" s="56">
        <v>37</v>
      </c>
      <c r="AU9" s="58">
        <v>15879</v>
      </c>
      <c r="AV9" s="56">
        <v>38</v>
      </c>
      <c r="AW9" s="58">
        <v>14625</v>
      </c>
      <c r="AX9" s="56">
        <v>35</v>
      </c>
      <c r="AY9" s="58">
        <v>16297</v>
      </c>
      <c r="AZ9" s="56">
        <v>39</v>
      </c>
      <c r="BA9" s="58">
        <v>16714</v>
      </c>
      <c r="BB9" s="56">
        <v>40</v>
      </c>
      <c r="BC9" s="58">
        <v>17132</v>
      </c>
      <c r="BD9" s="56">
        <v>41</v>
      </c>
      <c r="BE9" s="58">
        <v>10447</v>
      </c>
      <c r="BF9" s="56">
        <v>25</v>
      </c>
      <c r="BG9" s="58">
        <v>8775</v>
      </c>
      <c r="BH9" s="56">
        <v>21</v>
      </c>
      <c r="BI9" s="58">
        <v>9193</v>
      </c>
      <c r="BJ9" s="56">
        <v>22</v>
      </c>
      <c r="BK9" s="58">
        <v>11282</v>
      </c>
      <c r="BL9" s="56">
        <v>27</v>
      </c>
      <c r="BM9" s="58">
        <v>14625</v>
      </c>
      <c r="BN9" s="59">
        <v>35</v>
      </c>
    </row>
    <row r="10" spans="1:66" ht="15.75" customHeight="1">
      <c r="A10" s="8"/>
      <c r="B10" s="50" t="s">
        <v>18</v>
      </c>
      <c r="C10" s="51" t="s">
        <v>102</v>
      </c>
      <c r="D10" s="52" t="s">
        <v>154</v>
      </c>
      <c r="E10" s="53">
        <v>0</v>
      </c>
      <c r="F10" s="51">
        <v>0</v>
      </c>
      <c r="G10" s="53">
        <v>0</v>
      </c>
      <c r="H10" s="51">
        <v>0</v>
      </c>
      <c r="I10" s="53">
        <v>0</v>
      </c>
      <c r="J10" s="51">
        <v>0</v>
      </c>
      <c r="K10" s="53">
        <v>0</v>
      </c>
      <c r="L10" s="51">
        <v>0</v>
      </c>
      <c r="M10" s="53">
        <v>0</v>
      </c>
      <c r="N10" s="51">
        <v>0</v>
      </c>
      <c r="O10" s="53">
        <v>0</v>
      </c>
      <c r="P10" s="51">
        <v>0</v>
      </c>
      <c r="Q10" s="53">
        <v>0</v>
      </c>
      <c r="R10" s="51">
        <v>0</v>
      </c>
      <c r="S10" s="53">
        <v>0</v>
      </c>
      <c r="T10" s="51">
        <v>0</v>
      </c>
      <c r="U10" s="53">
        <v>0</v>
      </c>
      <c r="V10" s="51">
        <v>0</v>
      </c>
      <c r="W10" s="53">
        <v>0</v>
      </c>
      <c r="X10" s="51">
        <v>0</v>
      </c>
      <c r="Y10" s="53">
        <v>0</v>
      </c>
      <c r="Z10" s="51">
        <v>0</v>
      </c>
      <c r="AA10" s="53">
        <v>0</v>
      </c>
      <c r="AB10" s="51">
        <v>0</v>
      </c>
      <c r="AC10" s="53">
        <v>0</v>
      </c>
      <c r="AD10" s="51">
        <v>0</v>
      </c>
      <c r="AE10" s="53">
        <v>0</v>
      </c>
      <c r="AF10" s="51">
        <v>0</v>
      </c>
      <c r="AG10" s="53">
        <v>0</v>
      </c>
      <c r="AH10" s="51">
        <v>0</v>
      </c>
      <c r="AI10" s="53">
        <v>0</v>
      </c>
      <c r="AJ10" s="51">
        <v>0</v>
      </c>
      <c r="AK10" s="53">
        <v>0</v>
      </c>
      <c r="AL10" s="51">
        <v>0</v>
      </c>
      <c r="AM10" s="53">
        <v>0</v>
      </c>
      <c r="AN10" s="51">
        <v>0</v>
      </c>
      <c r="AO10" s="53">
        <v>0</v>
      </c>
      <c r="AP10" s="51">
        <v>0</v>
      </c>
      <c r="AQ10" s="53">
        <v>0</v>
      </c>
      <c r="AR10" s="51">
        <v>0</v>
      </c>
      <c r="AS10" s="53">
        <v>0</v>
      </c>
      <c r="AT10" s="51">
        <v>0</v>
      </c>
      <c r="AU10" s="53">
        <v>0</v>
      </c>
      <c r="AV10" s="51">
        <v>0</v>
      </c>
      <c r="AW10" s="53">
        <v>0</v>
      </c>
      <c r="AX10" s="51">
        <v>0</v>
      </c>
      <c r="AY10" s="53">
        <v>0</v>
      </c>
      <c r="AZ10" s="51">
        <v>0</v>
      </c>
      <c r="BA10" s="53">
        <v>0</v>
      </c>
      <c r="BB10" s="51">
        <v>0</v>
      </c>
      <c r="BC10" s="53">
        <v>0</v>
      </c>
      <c r="BD10" s="51">
        <v>0</v>
      </c>
      <c r="BE10" s="53">
        <v>0</v>
      </c>
      <c r="BF10" s="51">
        <v>0</v>
      </c>
      <c r="BG10" s="53">
        <v>0</v>
      </c>
      <c r="BH10" s="51">
        <v>0</v>
      </c>
      <c r="BI10" s="53">
        <v>0</v>
      </c>
      <c r="BJ10" s="51">
        <v>0</v>
      </c>
      <c r="BK10" s="53">
        <v>0</v>
      </c>
      <c r="BL10" s="51">
        <v>0</v>
      </c>
      <c r="BM10" s="53">
        <v>0</v>
      </c>
      <c r="BN10" s="54">
        <v>0</v>
      </c>
    </row>
    <row r="11" spans="1:66" ht="15.75" customHeight="1">
      <c r="A11" s="8"/>
      <c r="B11" s="55" t="s">
        <v>96</v>
      </c>
      <c r="C11" s="56" t="s">
        <v>104</v>
      </c>
      <c r="D11" s="57" t="s">
        <v>142</v>
      </c>
      <c r="E11" s="58">
        <v>0</v>
      </c>
      <c r="F11" s="56">
        <v>0</v>
      </c>
      <c r="G11" s="58">
        <v>0</v>
      </c>
      <c r="H11" s="56">
        <v>0</v>
      </c>
      <c r="I11" s="58">
        <v>0</v>
      </c>
      <c r="J11" s="56">
        <v>0</v>
      </c>
      <c r="K11" s="58">
        <v>0</v>
      </c>
      <c r="L11" s="56">
        <v>0</v>
      </c>
      <c r="M11" s="58">
        <v>0</v>
      </c>
      <c r="N11" s="56">
        <v>0</v>
      </c>
      <c r="O11" s="58">
        <v>0</v>
      </c>
      <c r="P11" s="56">
        <v>0</v>
      </c>
      <c r="Q11" s="58">
        <v>0</v>
      </c>
      <c r="R11" s="56">
        <v>0</v>
      </c>
      <c r="S11" s="58">
        <v>0</v>
      </c>
      <c r="T11" s="56">
        <v>0</v>
      </c>
      <c r="U11" s="58">
        <v>0</v>
      </c>
      <c r="V11" s="56">
        <v>0</v>
      </c>
      <c r="W11" s="58">
        <v>0</v>
      </c>
      <c r="X11" s="56">
        <v>0</v>
      </c>
      <c r="Y11" s="58">
        <v>0</v>
      </c>
      <c r="Z11" s="56">
        <v>0</v>
      </c>
      <c r="AA11" s="58">
        <v>0</v>
      </c>
      <c r="AB11" s="56">
        <v>0</v>
      </c>
      <c r="AC11" s="58">
        <v>0</v>
      </c>
      <c r="AD11" s="56">
        <v>0</v>
      </c>
      <c r="AE11" s="58">
        <v>0</v>
      </c>
      <c r="AF11" s="56">
        <v>0</v>
      </c>
      <c r="AG11" s="58">
        <v>0</v>
      </c>
      <c r="AH11" s="56">
        <v>0</v>
      </c>
      <c r="AI11" s="58">
        <v>0</v>
      </c>
      <c r="AJ11" s="56">
        <v>0</v>
      </c>
      <c r="AK11" s="58">
        <v>0</v>
      </c>
      <c r="AL11" s="56">
        <v>0</v>
      </c>
      <c r="AM11" s="58">
        <v>479</v>
      </c>
      <c r="AN11" s="56">
        <v>1</v>
      </c>
      <c r="AO11" s="58">
        <v>0</v>
      </c>
      <c r="AP11" s="56">
        <v>0</v>
      </c>
      <c r="AQ11" s="58">
        <v>0</v>
      </c>
      <c r="AR11" s="56">
        <v>0</v>
      </c>
      <c r="AS11" s="58">
        <v>0</v>
      </c>
      <c r="AT11" s="56">
        <v>0</v>
      </c>
      <c r="AU11" s="58">
        <v>0</v>
      </c>
      <c r="AV11" s="56">
        <v>0</v>
      </c>
      <c r="AW11" s="58">
        <v>0</v>
      </c>
      <c r="AX11" s="56">
        <v>0</v>
      </c>
      <c r="AY11" s="58">
        <v>0</v>
      </c>
      <c r="AZ11" s="56">
        <v>0</v>
      </c>
      <c r="BA11" s="58">
        <v>0</v>
      </c>
      <c r="BB11" s="56">
        <v>0</v>
      </c>
      <c r="BC11" s="58">
        <v>0</v>
      </c>
      <c r="BD11" s="56">
        <v>0</v>
      </c>
      <c r="BE11" s="58">
        <v>0</v>
      </c>
      <c r="BF11" s="56">
        <v>0</v>
      </c>
      <c r="BG11" s="58">
        <v>0</v>
      </c>
      <c r="BH11" s="56">
        <v>0</v>
      </c>
      <c r="BI11" s="58">
        <v>0</v>
      </c>
      <c r="BJ11" s="56">
        <v>0</v>
      </c>
      <c r="BK11" s="58">
        <v>0</v>
      </c>
      <c r="BL11" s="56">
        <v>0</v>
      </c>
      <c r="BM11" s="58">
        <v>0</v>
      </c>
      <c r="BN11" s="59">
        <v>0</v>
      </c>
    </row>
    <row r="12" spans="1:66" ht="15.75" customHeight="1">
      <c r="A12" s="8"/>
      <c r="B12" s="50" t="s">
        <v>80</v>
      </c>
      <c r="C12" s="51" t="s">
        <v>103</v>
      </c>
      <c r="D12" s="52" t="s">
        <v>151</v>
      </c>
      <c r="E12" s="53">
        <v>10148</v>
      </c>
      <c r="F12" s="51">
        <v>12</v>
      </c>
      <c r="G12" s="53">
        <v>5228</v>
      </c>
      <c r="H12" s="51">
        <v>6</v>
      </c>
      <c r="I12" s="53">
        <v>6806</v>
      </c>
      <c r="J12" s="51">
        <v>8</v>
      </c>
      <c r="K12" s="53">
        <v>8548</v>
      </c>
      <c r="L12" s="51">
        <v>10</v>
      </c>
      <c r="M12" s="53">
        <v>15358</v>
      </c>
      <c r="N12" s="51">
        <v>18</v>
      </c>
      <c r="O12" s="53">
        <v>14441</v>
      </c>
      <c r="P12" s="51">
        <v>17</v>
      </c>
      <c r="Q12" s="53">
        <v>10126</v>
      </c>
      <c r="R12" s="51">
        <v>12</v>
      </c>
      <c r="S12" s="53">
        <v>16087</v>
      </c>
      <c r="T12" s="51">
        <v>19</v>
      </c>
      <c r="U12" s="53">
        <v>5118</v>
      </c>
      <c r="V12" s="51">
        <v>6</v>
      </c>
      <c r="W12" s="53">
        <v>10969</v>
      </c>
      <c r="X12" s="51">
        <v>13</v>
      </c>
      <c r="Y12" s="53">
        <v>14400</v>
      </c>
      <c r="Z12" s="51">
        <v>17</v>
      </c>
      <c r="AA12" s="53">
        <v>12823</v>
      </c>
      <c r="AB12" s="51">
        <v>15</v>
      </c>
      <c r="AC12" s="53">
        <v>10199</v>
      </c>
      <c r="AD12" s="51">
        <v>12</v>
      </c>
      <c r="AE12" s="53">
        <v>16253</v>
      </c>
      <c r="AF12" s="51">
        <v>19</v>
      </c>
      <c r="AG12" s="53">
        <v>9447</v>
      </c>
      <c r="AH12" s="51">
        <v>11</v>
      </c>
      <c r="AI12" s="53">
        <v>10291</v>
      </c>
      <c r="AJ12" s="51">
        <v>12</v>
      </c>
      <c r="AK12" s="53">
        <v>8548</v>
      </c>
      <c r="AL12" s="51">
        <v>10</v>
      </c>
      <c r="AM12" s="53">
        <v>7815</v>
      </c>
      <c r="AN12" s="51">
        <v>9</v>
      </c>
      <c r="AO12" s="53">
        <v>10166</v>
      </c>
      <c r="AP12" s="51">
        <v>12</v>
      </c>
      <c r="AQ12" s="53">
        <v>10996</v>
      </c>
      <c r="AR12" s="51">
        <v>13</v>
      </c>
      <c r="AS12" s="53">
        <v>12606</v>
      </c>
      <c r="AT12" s="51">
        <v>15</v>
      </c>
      <c r="AU12" s="53">
        <v>11059</v>
      </c>
      <c r="AV12" s="51">
        <v>13</v>
      </c>
      <c r="AW12" s="53">
        <v>7573</v>
      </c>
      <c r="AX12" s="51">
        <v>9</v>
      </c>
      <c r="AY12" s="53">
        <v>9307</v>
      </c>
      <c r="AZ12" s="51">
        <v>11</v>
      </c>
      <c r="BA12" s="53">
        <v>9053</v>
      </c>
      <c r="BB12" s="51">
        <v>11</v>
      </c>
      <c r="BC12" s="53">
        <v>12958</v>
      </c>
      <c r="BD12" s="51">
        <v>19</v>
      </c>
      <c r="BE12" s="53">
        <v>13147</v>
      </c>
      <c r="BF12" s="51">
        <v>19</v>
      </c>
      <c r="BG12" s="53">
        <v>19374</v>
      </c>
      <c r="BH12" s="51">
        <v>28</v>
      </c>
      <c r="BI12" s="53">
        <v>13147</v>
      </c>
      <c r="BJ12" s="51">
        <v>19</v>
      </c>
      <c r="BK12" s="53">
        <v>11071</v>
      </c>
      <c r="BL12" s="51">
        <v>16</v>
      </c>
      <c r="BM12" s="53">
        <v>7573</v>
      </c>
      <c r="BN12" s="54">
        <v>9</v>
      </c>
    </row>
    <row r="13" spans="1:66" ht="15.75" customHeight="1">
      <c r="A13" s="8"/>
      <c r="B13" s="55" t="s">
        <v>30</v>
      </c>
      <c r="C13" s="56" t="s">
        <v>104</v>
      </c>
      <c r="D13" s="57" t="s">
        <v>143</v>
      </c>
      <c r="E13" s="58">
        <v>10472</v>
      </c>
      <c r="F13" s="56">
        <v>17</v>
      </c>
      <c r="G13" s="58">
        <v>6776</v>
      </c>
      <c r="H13" s="56">
        <v>11</v>
      </c>
      <c r="I13" s="58">
        <v>7629</v>
      </c>
      <c r="J13" s="56">
        <v>12</v>
      </c>
      <c r="K13" s="58">
        <v>7392</v>
      </c>
      <c r="L13" s="56">
        <v>12</v>
      </c>
      <c r="M13" s="58">
        <v>8394</v>
      </c>
      <c r="N13" s="56">
        <v>16</v>
      </c>
      <c r="O13" s="58">
        <v>6120</v>
      </c>
      <c r="P13" s="56">
        <v>10</v>
      </c>
      <c r="Q13" s="58">
        <v>11767</v>
      </c>
      <c r="R13" s="56">
        <v>23</v>
      </c>
      <c r="S13" s="58">
        <v>8697</v>
      </c>
      <c r="T13" s="56">
        <v>17</v>
      </c>
      <c r="U13" s="58">
        <v>17394</v>
      </c>
      <c r="V13" s="56">
        <v>34</v>
      </c>
      <c r="W13" s="58">
        <v>9209</v>
      </c>
      <c r="X13" s="56">
        <v>18</v>
      </c>
      <c r="Y13" s="58">
        <v>9720</v>
      </c>
      <c r="Z13" s="56">
        <v>19</v>
      </c>
      <c r="AA13" s="58">
        <v>14730</v>
      </c>
      <c r="AB13" s="56">
        <v>29</v>
      </c>
      <c r="AC13" s="58">
        <v>7181</v>
      </c>
      <c r="AD13" s="56">
        <v>14</v>
      </c>
      <c r="AE13" s="58">
        <v>12600</v>
      </c>
      <c r="AF13" s="56">
        <v>25</v>
      </c>
      <c r="AG13" s="58">
        <v>11592</v>
      </c>
      <c r="AH13" s="56">
        <v>23</v>
      </c>
      <c r="AI13" s="58">
        <v>12883</v>
      </c>
      <c r="AJ13" s="56">
        <v>31</v>
      </c>
      <c r="AK13" s="58">
        <v>11152</v>
      </c>
      <c r="AL13" s="56">
        <v>31</v>
      </c>
      <c r="AM13" s="58">
        <v>10072</v>
      </c>
      <c r="AN13" s="56">
        <v>28</v>
      </c>
      <c r="AO13" s="58">
        <v>13310</v>
      </c>
      <c r="AP13" s="56">
        <v>37</v>
      </c>
      <c r="AQ13" s="58">
        <v>10792</v>
      </c>
      <c r="AR13" s="56">
        <v>30</v>
      </c>
      <c r="AS13" s="58">
        <v>11871</v>
      </c>
      <c r="AT13" s="56">
        <v>33</v>
      </c>
      <c r="AU13" s="58">
        <v>12950</v>
      </c>
      <c r="AV13" s="56">
        <v>36</v>
      </c>
      <c r="AW13" s="58">
        <v>17986</v>
      </c>
      <c r="AX13" s="56">
        <v>50</v>
      </c>
      <c r="AY13" s="58">
        <v>15109</v>
      </c>
      <c r="AZ13" s="56">
        <v>42</v>
      </c>
      <c r="BA13" s="58">
        <v>14749</v>
      </c>
      <c r="BB13" s="56">
        <v>41</v>
      </c>
      <c r="BC13" s="58">
        <v>15828</v>
      </c>
      <c r="BD13" s="56">
        <v>44</v>
      </c>
      <c r="BE13" s="58">
        <v>19785</v>
      </c>
      <c r="BF13" s="56">
        <v>55</v>
      </c>
      <c r="BG13" s="58">
        <v>14749</v>
      </c>
      <c r="BH13" s="56">
        <v>41</v>
      </c>
      <c r="BI13" s="58">
        <v>14749</v>
      </c>
      <c r="BJ13" s="56">
        <v>41</v>
      </c>
      <c r="BK13" s="58">
        <v>14389</v>
      </c>
      <c r="BL13" s="56">
        <v>40</v>
      </c>
      <c r="BM13" s="58">
        <v>17986</v>
      </c>
      <c r="BN13" s="59">
        <v>50</v>
      </c>
    </row>
    <row r="14" spans="1:66" ht="15.75" customHeight="1">
      <c r="A14" s="8"/>
      <c r="B14" s="50" t="s">
        <v>52</v>
      </c>
      <c r="C14" s="51" t="s">
        <v>101</v>
      </c>
      <c r="D14" s="52" t="s">
        <v>148</v>
      </c>
      <c r="E14" s="53">
        <v>17132</v>
      </c>
      <c r="F14" s="51">
        <v>41</v>
      </c>
      <c r="G14" s="53">
        <v>23400</v>
      </c>
      <c r="H14" s="51">
        <v>56</v>
      </c>
      <c r="I14" s="53">
        <v>30086</v>
      </c>
      <c r="J14" s="51">
        <v>72</v>
      </c>
      <c r="K14" s="53">
        <v>17132</v>
      </c>
      <c r="L14" s="51">
        <v>41</v>
      </c>
      <c r="M14" s="53">
        <v>18804</v>
      </c>
      <c r="N14" s="51">
        <v>45</v>
      </c>
      <c r="O14" s="53">
        <v>16714</v>
      </c>
      <c r="P14" s="51">
        <v>40</v>
      </c>
      <c r="Q14" s="53">
        <v>12536</v>
      </c>
      <c r="R14" s="51">
        <v>30</v>
      </c>
      <c r="S14" s="53">
        <v>20475</v>
      </c>
      <c r="T14" s="51">
        <v>49</v>
      </c>
      <c r="U14" s="53">
        <v>21729</v>
      </c>
      <c r="V14" s="51">
        <v>52</v>
      </c>
      <c r="W14" s="53">
        <v>24236</v>
      </c>
      <c r="X14" s="51">
        <v>58</v>
      </c>
      <c r="Y14" s="53">
        <v>21311</v>
      </c>
      <c r="Z14" s="51">
        <v>51</v>
      </c>
      <c r="AA14" s="53">
        <v>19222</v>
      </c>
      <c r="AB14" s="51">
        <v>46</v>
      </c>
      <c r="AC14" s="53">
        <v>15880</v>
      </c>
      <c r="AD14" s="51">
        <v>38</v>
      </c>
      <c r="AE14" s="53">
        <v>11282</v>
      </c>
      <c r="AF14" s="51">
        <v>27</v>
      </c>
      <c r="AG14" s="53">
        <v>18804</v>
      </c>
      <c r="AH14" s="51">
        <v>45</v>
      </c>
      <c r="AI14" s="53">
        <v>13372</v>
      </c>
      <c r="AJ14" s="51">
        <v>32</v>
      </c>
      <c r="AK14" s="53">
        <v>11282</v>
      </c>
      <c r="AL14" s="51">
        <v>27</v>
      </c>
      <c r="AM14" s="53">
        <v>13789</v>
      </c>
      <c r="AN14" s="51">
        <v>33</v>
      </c>
      <c r="AO14" s="53">
        <v>13372</v>
      </c>
      <c r="AP14" s="51">
        <v>32</v>
      </c>
      <c r="AQ14" s="53">
        <v>11700</v>
      </c>
      <c r="AR14" s="51">
        <v>28</v>
      </c>
      <c r="AS14" s="53">
        <v>15461</v>
      </c>
      <c r="AT14" s="51">
        <v>37</v>
      </c>
      <c r="AU14" s="53">
        <v>15879</v>
      </c>
      <c r="AV14" s="51">
        <v>38</v>
      </c>
      <c r="AW14" s="53">
        <v>14625</v>
      </c>
      <c r="AX14" s="51">
        <v>35</v>
      </c>
      <c r="AY14" s="53">
        <v>16297</v>
      </c>
      <c r="AZ14" s="51">
        <v>39</v>
      </c>
      <c r="BA14" s="53">
        <v>16714</v>
      </c>
      <c r="BB14" s="51">
        <v>40</v>
      </c>
      <c r="BC14" s="53">
        <v>17132</v>
      </c>
      <c r="BD14" s="51">
        <v>41</v>
      </c>
      <c r="BE14" s="53">
        <v>10447</v>
      </c>
      <c r="BF14" s="51">
        <v>25</v>
      </c>
      <c r="BG14" s="53">
        <v>8775</v>
      </c>
      <c r="BH14" s="51">
        <v>21</v>
      </c>
      <c r="BI14" s="53">
        <v>9193</v>
      </c>
      <c r="BJ14" s="51">
        <v>22</v>
      </c>
      <c r="BK14" s="53">
        <v>11282</v>
      </c>
      <c r="BL14" s="51">
        <v>27</v>
      </c>
      <c r="BM14" s="53">
        <v>14625</v>
      </c>
      <c r="BN14" s="54">
        <v>35</v>
      </c>
    </row>
    <row r="15" spans="1:66" ht="15.75" customHeight="1">
      <c r="A15" s="8"/>
      <c r="B15" s="50" t="s">
        <v>68</v>
      </c>
      <c r="C15" s="51" t="s">
        <v>104</v>
      </c>
      <c r="D15" s="52" t="s">
        <v>143</v>
      </c>
      <c r="E15" s="53">
        <v>227</v>
      </c>
      <c r="F15" s="51">
        <v>1</v>
      </c>
      <c r="G15" s="53">
        <v>0</v>
      </c>
      <c r="H15" s="51">
        <v>0</v>
      </c>
      <c r="I15" s="53">
        <v>359</v>
      </c>
      <c r="J15" s="51">
        <v>2</v>
      </c>
      <c r="K15" s="53">
        <v>0</v>
      </c>
      <c r="L15" s="51">
        <v>0</v>
      </c>
      <c r="M15" s="53">
        <v>0</v>
      </c>
      <c r="N15" s="51">
        <v>0</v>
      </c>
      <c r="O15" s="53">
        <v>362</v>
      </c>
      <c r="P15" s="51">
        <v>2</v>
      </c>
      <c r="Q15" s="53">
        <v>0</v>
      </c>
      <c r="R15" s="51">
        <v>0</v>
      </c>
      <c r="S15" s="53">
        <v>179</v>
      </c>
      <c r="T15" s="51">
        <v>1</v>
      </c>
      <c r="U15" s="53">
        <v>179</v>
      </c>
      <c r="V15" s="51">
        <v>1</v>
      </c>
      <c r="W15" s="53">
        <v>179</v>
      </c>
      <c r="X15" s="51">
        <v>1</v>
      </c>
      <c r="Y15" s="53">
        <v>0</v>
      </c>
      <c r="Z15" s="51">
        <v>0</v>
      </c>
      <c r="AA15" s="53">
        <v>179</v>
      </c>
      <c r="AB15" s="51">
        <v>1</v>
      </c>
      <c r="AC15" s="53">
        <v>179</v>
      </c>
      <c r="AD15" s="51">
        <v>1</v>
      </c>
      <c r="AE15" s="53">
        <v>0</v>
      </c>
      <c r="AF15" s="51">
        <v>0</v>
      </c>
      <c r="AG15" s="53">
        <v>0</v>
      </c>
      <c r="AH15" s="51">
        <v>0</v>
      </c>
      <c r="AI15" s="53">
        <v>179</v>
      </c>
      <c r="AJ15" s="51">
        <v>1</v>
      </c>
      <c r="AK15" s="53">
        <v>0</v>
      </c>
      <c r="AL15" s="51">
        <v>0</v>
      </c>
      <c r="AM15" s="53">
        <v>538</v>
      </c>
      <c r="AN15" s="51">
        <v>3</v>
      </c>
      <c r="AO15" s="53">
        <v>179</v>
      </c>
      <c r="AP15" s="51">
        <v>1</v>
      </c>
      <c r="AQ15" s="53">
        <v>172</v>
      </c>
      <c r="AR15" s="51">
        <v>1</v>
      </c>
      <c r="AS15" s="53">
        <v>0</v>
      </c>
      <c r="AT15" s="51">
        <v>0</v>
      </c>
      <c r="AU15" s="53">
        <v>172</v>
      </c>
      <c r="AV15" s="51">
        <v>1</v>
      </c>
      <c r="AW15" s="53">
        <v>170</v>
      </c>
      <c r="AX15" s="51">
        <v>1</v>
      </c>
      <c r="AY15" s="53">
        <v>170</v>
      </c>
      <c r="AZ15" s="51">
        <v>1</v>
      </c>
      <c r="BA15" s="53">
        <v>340</v>
      </c>
      <c r="BB15" s="51">
        <v>2</v>
      </c>
      <c r="BC15" s="53">
        <v>0</v>
      </c>
      <c r="BD15" s="51">
        <v>0</v>
      </c>
      <c r="BE15" s="53">
        <v>0</v>
      </c>
      <c r="BF15" s="51">
        <v>0</v>
      </c>
      <c r="BG15" s="53">
        <v>402</v>
      </c>
      <c r="BH15" s="51">
        <v>2</v>
      </c>
      <c r="BI15" s="53">
        <v>0</v>
      </c>
      <c r="BJ15" s="51">
        <v>0</v>
      </c>
      <c r="BK15" s="53">
        <v>170</v>
      </c>
      <c r="BL15" s="51">
        <v>1</v>
      </c>
      <c r="BM15" s="53">
        <v>170</v>
      </c>
      <c r="BN15" s="54">
        <v>1</v>
      </c>
    </row>
    <row r="16" spans="1:66" ht="15.75" customHeight="1">
      <c r="A16" s="8"/>
      <c r="B16" s="55" t="s">
        <v>47</v>
      </c>
      <c r="C16" s="56" t="s">
        <v>103</v>
      </c>
      <c r="D16" s="57" t="s">
        <v>145</v>
      </c>
      <c r="E16" s="58">
        <v>0</v>
      </c>
      <c r="F16" s="56">
        <v>0</v>
      </c>
      <c r="G16" s="58">
        <v>0</v>
      </c>
      <c r="H16" s="56">
        <v>0</v>
      </c>
      <c r="I16" s="58">
        <v>2197</v>
      </c>
      <c r="J16" s="56">
        <v>3</v>
      </c>
      <c r="K16" s="58">
        <v>1596</v>
      </c>
      <c r="L16" s="56">
        <v>4</v>
      </c>
      <c r="M16" s="58">
        <v>2394</v>
      </c>
      <c r="N16" s="56">
        <v>6</v>
      </c>
      <c r="O16" s="58">
        <v>1995</v>
      </c>
      <c r="P16" s="56">
        <v>5</v>
      </c>
      <c r="Q16" s="58">
        <v>3192</v>
      </c>
      <c r="R16" s="56">
        <v>8</v>
      </c>
      <c r="S16" s="58">
        <v>1596</v>
      </c>
      <c r="T16" s="56">
        <v>4</v>
      </c>
      <c r="U16" s="58">
        <v>1995</v>
      </c>
      <c r="V16" s="56">
        <v>5</v>
      </c>
      <c r="W16" s="58">
        <v>2495</v>
      </c>
      <c r="X16" s="56">
        <v>5</v>
      </c>
      <c r="Y16" s="58">
        <v>3591</v>
      </c>
      <c r="Z16" s="56">
        <v>9</v>
      </c>
      <c r="AA16" s="58">
        <v>3990</v>
      </c>
      <c r="AB16" s="56">
        <v>10</v>
      </c>
      <c r="AC16" s="58">
        <v>1995</v>
      </c>
      <c r="AD16" s="56">
        <v>5</v>
      </c>
      <c r="AE16" s="58">
        <v>2394</v>
      </c>
      <c r="AF16" s="56">
        <v>6</v>
      </c>
      <c r="AG16" s="58">
        <v>2793</v>
      </c>
      <c r="AH16" s="56">
        <v>7</v>
      </c>
      <c r="AI16" s="58">
        <v>2394</v>
      </c>
      <c r="AJ16" s="56">
        <v>6</v>
      </c>
      <c r="AK16" s="58">
        <v>3990</v>
      </c>
      <c r="AL16" s="56">
        <v>10</v>
      </c>
      <c r="AM16" s="58">
        <v>2394</v>
      </c>
      <c r="AN16" s="56">
        <v>6</v>
      </c>
      <c r="AO16" s="58">
        <v>1596</v>
      </c>
      <c r="AP16" s="56">
        <v>4</v>
      </c>
      <c r="AQ16" s="58">
        <v>2793</v>
      </c>
      <c r="AR16" s="56">
        <v>7</v>
      </c>
      <c r="AS16" s="58">
        <v>1995</v>
      </c>
      <c r="AT16" s="56">
        <v>5</v>
      </c>
      <c r="AU16" s="58">
        <v>1995</v>
      </c>
      <c r="AV16" s="56">
        <v>5</v>
      </c>
      <c r="AW16" s="58">
        <v>1596</v>
      </c>
      <c r="AX16" s="56">
        <v>4</v>
      </c>
      <c r="AY16" s="58">
        <v>4389</v>
      </c>
      <c r="AZ16" s="56">
        <v>11</v>
      </c>
      <c r="BA16" s="58">
        <v>1197</v>
      </c>
      <c r="BB16" s="56">
        <v>3</v>
      </c>
      <c r="BC16" s="58">
        <v>0</v>
      </c>
      <c r="BD16" s="56">
        <v>0</v>
      </c>
      <c r="BE16" s="58">
        <v>3596</v>
      </c>
      <c r="BF16" s="56">
        <v>4</v>
      </c>
      <c r="BG16" s="58">
        <v>399</v>
      </c>
      <c r="BH16" s="56">
        <v>1</v>
      </c>
      <c r="BI16" s="58">
        <v>798</v>
      </c>
      <c r="BJ16" s="56">
        <v>2</v>
      </c>
      <c r="BK16" s="58">
        <v>859</v>
      </c>
      <c r="BL16" s="56">
        <v>1</v>
      </c>
      <c r="BM16" s="58">
        <v>1596</v>
      </c>
      <c r="BN16" s="59">
        <v>4</v>
      </c>
    </row>
    <row r="17" spans="1:66" ht="15.75" customHeight="1">
      <c r="A17" s="8"/>
      <c r="B17" s="55" t="s">
        <v>48</v>
      </c>
      <c r="C17" s="56" t="s">
        <v>101</v>
      </c>
      <c r="D17" s="57" t="s">
        <v>147</v>
      </c>
      <c r="E17" s="58">
        <v>0</v>
      </c>
      <c r="F17" s="56">
        <v>0</v>
      </c>
      <c r="G17" s="58">
        <v>244</v>
      </c>
      <c r="H17" s="56">
        <v>1</v>
      </c>
      <c r="I17" s="58">
        <v>488</v>
      </c>
      <c r="J17" s="56">
        <v>2</v>
      </c>
      <c r="K17" s="58">
        <v>244</v>
      </c>
      <c r="L17" s="56">
        <v>1</v>
      </c>
      <c r="M17" s="58">
        <v>0</v>
      </c>
      <c r="N17" s="56">
        <v>0</v>
      </c>
      <c r="O17" s="58">
        <v>488</v>
      </c>
      <c r="P17" s="56">
        <v>2</v>
      </c>
      <c r="Q17" s="58">
        <v>244</v>
      </c>
      <c r="R17" s="56">
        <v>1</v>
      </c>
      <c r="S17" s="58">
        <v>0</v>
      </c>
      <c r="T17" s="56">
        <v>0</v>
      </c>
      <c r="U17" s="58">
        <v>812</v>
      </c>
      <c r="V17" s="56">
        <v>3</v>
      </c>
      <c r="W17" s="58">
        <v>772</v>
      </c>
      <c r="X17" s="56">
        <v>3</v>
      </c>
      <c r="Y17" s="58">
        <v>0</v>
      </c>
      <c r="Z17" s="56">
        <v>0</v>
      </c>
      <c r="AA17" s="58">
        <v>488</v>
      </c>
      <c r="AB17" s="56">
        <v>2</v>
      </c>
      <c r="AC17" s="58">
        <v>0</v>
      </c>
      <c r="AD17" s="56">
        <v>0</v>
      </c>
      <c r="AE17" s="58">
        <v>0</v>
      </c>
      <c r="AF17" s="56">
        <v>0</v>
      </c>
      <c r="AG17" s="58">
        <v>244</v>
      </c>
      <c r="AH17" s="56">
        <v>1</v>
      </c>
      <c r="AI17" s="58">
        <v>0</v>
      </c>
      <c r="AJ17" s="56">
        <v>0</v>
      </c>
      <c r="AK17" s="58">
        <v>0</v>
      </c>
      <c r="AL17" s="56">
        <v>0</v>
      </c>
      <c r="AM17" s="58">
        <v>0</v>
      </c>
      <c r="AN17" s="56">
        <v>0</v>
      </c>
      <c r="AO17" s="58">
        <v>244</v>
      </c>
      <c r="AP17" s="56">
        <v>1</v>
      </c>
      <c r="AQ17" s="58">
        <v>244</v>
      </c>
      <c r="AR17" s="56">
        <v>1</v>
      </c>
      <c r="AS17" s="58">
        <v>732</v>
      </c>
      <c r="AT17" s="56">
        <v>3</v>
      </c>
      <c r="AU17" s="58">
        <v>0</v>
      </c>
      <c r="AV17" s="56">
        <v>0</v>
      </c>
      <c r="AW17" s="58">
        <v>0</v>
      </c>
      <c r="AX17" s="56">
        <v>0</v>
      </c>
      <c r="AY17" s="58">
        <v>0</v>
      </c>
      <c r="AZ17" s="56">
        <v>0</v>
      </c>
      <c r="BA17" s="58">
        <v>0</v>
      </c>
      <c r="BB17" s="56">
        <v>0</v>
      </c>
      <c r="BC17" s="58">
        <v>732</v>
      </c>
      <c r="BD17" s="56">
        <v>3</v>
      </c>
      <c r="BE17" s="58">
        <v>732</v>
      </c>
      <c r="BF17" s="56">
        <v>3</v>
      </c>
      <c r="BG17" s="58">
        <v>732</v>
      </c>
      <c r="BH17" s="56">
        <v>3</v>
      </c>
      <c r="BI17" s="58">
        <v>732</v>
      </c>
      <c r="BJ17" s="56">
        <v>3</v>
      </c>
      <c r="BK17" s="58">
        <v>0</v>
      </c>
      <c r="BL17" s="56">
        <v>0</v>
      </c>
      <c r="BM17" s="58">
        <v>0</v>
      </c>
      <c r="BN17" s="59">
        <v>0</v>
      </c>
    </row>
    <row r="18" spans="1:66" ht="15.75" customHeight="1">
      <c r="A18" s="8"/>
      <c r="B18" s="55" t="s">
        <v>21</v>
      </c>
      <c r="C18" s="56" t="s">
        <v>101</v>
      </c>
      <c r="D18" s="57" t="s">
        <v>152</v>
      </c>
      <c r="E18" s="58">
        <v>10148</v>
      </c>
      <c r="F18" s="56">
        <v>12</v>
      </c>
      <c r="G18" s="58">
        <v>5228</v>
      </c>
      <c r="H18" s="56">
        <v>6</v>
      </c>
      <c r="I18" s="58">
        <v>6806</v>
      </c>
      <c r="J18" s="56">
        <v>8</v>
      </c>
      <c r="K18" s="58">
        <v>8548</v>
      </c>
      <c r="L18" s="56">
        <v>10</v>
      </c>
      <c r="M18" s="58">
        <v>15358</v>
      </c>
      <c r="N18" s="56">
        <v>18</v>
      </c>
      <c r="O18" s="58">
        <v>14441</v>
      </c>
      <c r="P18" s="56">
        <v>17</v>
      </c>
      <c r="Q18" s="58">
        <v>10126</v>
      </c>
      <c r="R18" s="56">
        <v>12</v>
      </c>
      <c r="S18" s="58">
        <v>16087</v>
      </c>
      <c r="T18" s="56">
        <v>19</v>
      </c>
      <c r="U18" s="58">
        <v>5118</v>
      </c>
      <c r="V18" s="56">
        <v>6</v>
      </c>
      <c r="W18" s="58">
        <v>10969</v>
      </c>
      <c r="X18" s="56">
        <v>13</v>
      </c>
      <c r="Y18" s="58">
        <v>14400</v>
      </c>
      <c r="Z18" s="56">
        <v>17</v>
      </c>
      <c r="AA18" s="58">
        <v>12823</v>
      </c>
      <c r="AB18" s="56">
        <v>15</v>
      </c>
      <c r="AC18" s="58">
        <v>10199</v>
      </c>
      <c r="AD18" s="56">
        <v>12</v>
      </c>
      <c r="AE18" s="58">
        <v>16253</v>
      </c>
      <c r="AF18" s="56">
        <v>19</v>
      </c>
      <c r="AG18" s="58">
        <v>9447</v>
      </c>
      <c r="AH18" s="56">
        <v>11</v>
      </c>
      <c r="AI18" s="58">
        <v>10291</v>
      </c>
      <c r="AJ18" s="56">
        <v>12</v>
      </c>
      <c r="AK18" s="58">
        <v>8548</v>
      </c>
      <c r="AL18" s="56">
        <v>10</v>
      </c>
      <c r="AM18" s="58">
        <v>7815</v>
      </c>
      <c r="AN18" s="56">
        <v>9</v>
      </c>
      <c r="AO18" s="58">
        <v>10166</v>
      </c>
      <c r="AP18" s="56">
        <v>12</v>
      </c>
      <c r="AQ18" s="58">
        <v>10996</v>
      </c>
      <c r="AR18" s="56">
        <v>13</v>
      </c>
      <c r="AS18" s="58">
        <v>12606</v>
      </c>
      <c r="AT18" s="56">
        <v>15</v>
      </c>
      <c r="AU18" s="58">
        <v>11059</v>
      </c>
      <c r="AV18" s="56">
        <v>13</v>
      </c>
      <c r="AW18" s="58">
        <v>7573</v>
      </c>
      <c r="AX18" s="56">
        <v>9</v>
      </c>
      <c r="AY18" s="58">
        <v>9307</v>
      </c>
      <c r="AZ18" s="56">
        <v>11</v>
      </c>
      <c r="BA18" s="58">
        <v>9053</v>
      </c>
      <c r="BB18" s="56">
        <v>11</v>
      </c>
      <c r="BC18" s="58">
        <v>12958</v>
      </c>
      <c r="BD18" s="56">
        <v>19</v>
      </c>
      <c r="BE18" s="58">
        <v>13147</v>
      </c>
      <c r="BF18" s="56">
        <v>19</v>
      </c>
      <c r="BG18" s="58">
        <v>19374</v>
      </c>
      <c r="BH18" s="56">
        <v>28</v>
      </c>
      <c r="BI18" s="58">
        <v>13147</v>
      </c>
      <c r="BJ18" s="56">
        <v>19</v>
      </c>
      <c r="BK18" s="58">
        <v>11071</v>
      </c>
      <c r="BL18" s="56">
        <v>16</v>
      </c>
      <c r="BM18" s="58">
        <v>7573</v>
      </c>
      <c r="BN18" s="59">
        <v>9</v>
      </c>
    </row>
    <row r="19" spans="1:66" ht="15.75" customHeight="1">
      <c r="A19" s="8"/>
      <c r="B19" s="55" t="s">
        <v>77</v>
      </c>
      <c r="C19" s="56" t="s">
        <v>104</v>
      </c>
      <c r="D19" s="57" t="s">
        <v>143</v>
      </c>
      <c r="E19" s="58">
        <v>0</v>
      </c>
      <c r="F19" s="56">
        <v>0</v>
      </c>
      <c r="G19" s="58">
        <v>0</v>
      </c>
      <c r="H19" s="56">
        <v>0</v>
      </c>
      <c r="I19" s="58">
        <v>0</v>
      </c>
      <c r="J19" s="56">
        <v>0</v>
      </c>
      <c r="K19" s="58">
        <v>538</v>
      </c>
      <c r="L19" s="56">
        <v>2</v>
      </c>
      <c r="M19" s="58">
        <v>0</v>
      </c>
      <c r="N19" s="56">
        <v>0</v>
      </c>
      <c r="O19" s="58">
        <v>0</v>
      </c>
      <c r="P19" s="56">
        <v>0</v>
      </c>
      <c r="Q19" s="58">
        <v>309</v>
      </c>
      <c r="R19" s="56">
        <v>1</v>
      </c>
      <c r="S19" s="58">
        <v>0</v>
      </c>
      <c r="T19" s="56">
        <v>0</v>
      </c>
      <c r="U19" s="58">
        <v>0</v>
      </c>
      <c r="V19" s="56">
        <v>0</v>
      </c>
      <c r="W19" s="58">
        <v>0</v>
      </c>
      <c r="X19" s="56">
        <v>0</v>
      </c>
      <c r="Y19" s="58">
        <v>269</v>
      </c>
      <c r="Z19" s="56">
        <v>1</v>
      </c>
      <c r="AA19" s="58">
        <v>0</v>
      </c>
      <c r="AB19" s="56">
        <v>0</v>
      </c>
      <c r="AC19" s="58">
        <v>269</v>
      </c>
      <c r="AD19" s="56">
        <v>1</v>
      </c>
      <c r="AE19" s="58">
        <v>0</v>
      </c>
      <c r="AF19" s="56">
        <v>0</v>
      </c>
      <c r="AG19" s="58">
        <v>0</v>
      </c>
      <c r="AH19" s="56">
        <v>0</v>
      </c>
      <c r="AI19" s="58">
        <v>0</v>
      </c>
      <c r="AJ19" s="56">
        <v>0</v>
      </c>
      <c r="AK19" s="58">
        <v>0</v>
      </c>
      <c r="AL19" s="56">
        <v>0</v>
      </c>
      <c r="AM19" s="58">
        <v>0</v>
      </c>
      <c r="AN19" s="56">
        <v>0</v>
      </c>
      <c r="AO19" s="58">
        <v>1216</v>
      </c>
      <c r="AP19" s="56">
        <v>4</v>
      </c>
      <c r="AQ19" s="58">
        <v>0</v>
      </c>
      <c r="AR19" s="56">
        <v>0</v>
      </c>
      <c r="AS19" s="58">
        <v>309</v>
      </c>
      <c r="AT19" s="56">
        <v>1</v>
      </c>
      <c r="AU19" s="58">
        <v>0</v>
      </c>
      <c r="AV19" s="56">
        <v>0</v>
      </c>
      <c r="AW19" s="58">
        <v>269</v>
      </c>
      <c r="AX19" s="56">
        <v>1</v>
      </c>
      <c r="AY19" s="58">
        <v>269</v>
      </c>
      <c r="AZ19" s="56">
        <v>1</v>
      </c>
      <c r="BA19" s="58">
        <v>0</v>
      </c>
      <c r="BB19" s="56">
        <v>0</v>
      </c>
      <c r="BC19" s="58">
        <v>0</v>
      </c>
      <c r="BD19" s="56">
        <v>0</v>
      </c>
      <c r="BE19" s="58">
        <v>269</v>
      </c>
      <c r="BF19" s="56">
        <v>1</v>
      </c>
      <c r="BG19" s="58">
        <v>0</v>
      </c>
      <c r="BH19" s="56">
        <v>0</v>
      </c>
      <c r="BI19" s="58">
        <v>0</v>
      </c>
      <c r="BJ19" s="56">
        <v>0</v>
      </c>
      <c r="BK19" s="58">
        <v>-267</v>
      </c>
      <c r="BL19" s="56">
        <v>-1</v>
      </c>
      <c r="BM19" s="58">
        <v>269</v>
      </c>
      <c r="BN19" s="59">
        <v>1</v>
      </c>
    </row>
    <row r="20" spans="1:66" ht="15.75" customHeight="1">
      <c r="A20" s="8"/>
      <c r="B20" s="55" t="s">
        <v>66</v>
      </c>
      <c r="C20" s="56" t="s">
        <v>104</v>
      </c>
      <c r="D20" s="57" t="s">
        <v>144</v>
      </c>
      <c r="E20" s="58">
        <v>3365</v>
      </c>
      <c r="F20" s="56">
        <v>11</v>
      </c>
      <c r="G20" s="58">
        <v>2360</v>
      </c>
      <c r="H20" s="56">
        <v>8</v>
      </c>
      <c r="I20" s="58">
        <v>4505</v>
      </c>
      <c r="J20" s="56">
        <v>15</v>
      </c>
      <c r="K20" s="58">
        <v>2775</v>
      </c>
      <c r="L20" s="56">
        <v>9</v>
      </c>
      <c r="M20" s="58">
        <v>3620</v>
      </c>
      <c r="N20" s="56">
        <v>12</v>
      </c>
      <c r="O20" s="58">
        <v>2735</v>
      </c>
      <c r="P20" s="56">
        <v>9</v>
      </c>
      <c r="Q20" s="58">
        <v>2145</v>
      </c>
      <c r="R20" s="56">
        <v>7</v>
      </c>
      <c r="S20" s="58">
        <v>4465</v>
      </c>
      <c r="T20" s="56">
        <v>15</v>
      </c>
      <c r="U20" s="58">
        <v>2735</v>
      </c>
      <c r="V20" s="56">
        <v>9</v>
      </c>
      <c r="W20" s="58">
        <v>2065</v>
      </c>
      <c r="X20" s="56">
        <v>7</v>
      </c>
      <c r="Y20" s="58">
        <v>4130</v>
      </c>
      <c r="Z20" s="56">
        <v>14</v>
      </c>
      <c r="AA20" s="58">
        <v>3660</v>
      </c>
      <c r="AB20" s="56">
        <v>12</v>
      </c>
      <c r="AC20" s="58">
        <v>3580</v>
      </c>
      <c r="AD20" s="56">
        <v>12</v>
      </c>
      <c r="AE20" s="58">
        <v>1810</v>
      </c>
      <c r="AF20" s="56">
        <v>6</v>
      </c>
      <c r="AG20" s="58">
        <v>4290</v>
      </c>
      <c r="AH20" s="56">
        <v>14</v>
      </c>
      <c r="AI20" s="58">
        <v>2520</v>
      </c>
      <c r="AJ20" s="56">
        <v>8</v>
      </c>
      <c r="AK20" s="58">
        <v>3995</v>
      </c>
      <c r="AL20" s="56">
        <v>13</v>
      </c>
      <c r="AM20" s="58">
        <v>3190</v>
      </c>
      <c r="AN20" s="56">
        <v>10</v>
      </c>
      <c r="AO20" s="58">
        <v>3245</v>
      </c>
      <c r="AP20" s="56">
        <v>11</v>
      </c>
      <c r="AQ20" s="58">
        <v>2440</v>
      </c>
      <c r="AR20" s="56">
        <v>8</v>
      </c>
      <c r="AS20" s="58">
        <v>1730</v>
      </c>
      <c r="AT20" s="56">
        <v>6</v>
      </c>
      <c r="AU20" s="58">
        <v>1435</v>
      </c>
      <c r="AV20" s="56">
        <v>5</v>
      </c>
      <c r="AW20" s="58">
        <v>0</v>
      </c>
      <c r="AX20" s="56">
        <v>0</v>
      </c>
      <c r="AY20" s="58">
        <v>0</v>
      </c>
      <c r="AZ20" s="56">
        <v>0</v>
      </c>
      <c r="BA20" s="58">
        <v>598</v>
      </c>
      <c r="BB20" s="56">
        <v>2</v>
      </c>
      <c r="BC20" s="58">
        <v>6657</v>
      </c>
      <c r="BD20" s="56">
        <v>23</v>
      </c>
      <c r="BE20" s="58">
        <v>4783</v>
      </c>
      <c r="BF20" s="56">
        <v>17</v>
      </c>
      <c r="BG20" s="58">
        <v>5152</v>
      </c>
      <c r="BH20" s="56">
        <v>18</v>
      </c>
      <c r="BI20" s="58">
        <v>7075</v>
      </c>
      <c r="BJ20" s="56">
        <v>25</v>
      </c>
      <c r="BK20" s="58">
        <v>5830</v>
      </c>
      <c r="BL20" s="56">
        <v>20</v>
      </c>
      <c r="BM20" s="58">
        <v>0</v>
      </c>
      <c r="BN20" s="59">
        <v>0</v>
      </c>
    </row>
    <row r="21" spans="1:66" ht="15.75" customHeight="1">
      <c r="A21" s="8"/>
      <c r="B21" s="50" t="s">
        <v>78</v>
      </c>
      <c r="C21" s="51" t="s">
        <v>101</v>
      </c>
      <c r="D21" s="52" t="s">
        <v>152</v>
      </c>
      <c r="E21" s="53">
        <v>227</v>
      </c>
      <c r="F21" s="51">
        <v>1</v>
      </c>
      <c r="G21" s="53">
        <v>0</v>
      </c>
      <c r="H21" s="51">
        <v>0</v>
      </c>
      <c r="I21" s="53">
        <v>359</v>
      </c>
      <c r="J21" s="51">
        <v>2</v>
      </c>
      <c r="K21" s="53">
        <v>0</v>
      </c>
      <c r="L21" s="51">
        <v>0</v>
      </c>
      <c r="M21" s="53">
        <v>0</v>
      </c>
      <c r="N21" s="51">
        <v>0</v>
      </c>
      <c r="O21" s="53">
        <v>362</v>
      </c>
      <c r="P21" s="51">
        <v>2</v>
      </c>
      <c r="Q21" s="53">
        <v>0</v>
      </c>
      <c r="R21" s="51">
        <v>0</v>
      </c>
      <c r="S21" s="53">
        <v>179</v>
      </c>
      <c r="T21" s="51">
        <v>1</v>
      </c>
      <c r="U21" s="53">
        <v>179</v>
      </c>
      <c r="V21" s="51">
        <v>1</v>
      </c>
      <c r="W21" s="53">
        <v>179</v>
      </c>
      <c r="X21" s="51">
        <v>1</v>
      </c>
      <c r="Y21" s="53">
        <v>0</v>
      </c>
      <c r="Z21" s="51">
        <v>0</v>
      </c>
      <c r="AA21" s="53">
        <v>179</v>
      </c>
      <c r="AB21" s="51">
        <v>1</v>
      </c>
      <c r="AC21" s="53">
        <v>179</v>
      </c>
      <c r="AD21" s="51">
        <v>1</v>
      </c>
      <c r="AE21" s="53">
        <v>0</v>
      </c>
      <c r="AF21" s="51">
        <v>0</v>
      </c>
      <c r="AG21" s="53">
        <v>0</v>
      </c>
      <c r="AH21" s="51">
        <v>0</v>
      </c>
      <c r="AI21" s="53">
        <v>179</v>
      </c>
      <c r="AJ21" s="51">
        <v>1</v>
      </c>
      <c r="AK21" s="53">
        <v>0</v>
      </c>
      <c r="AL21" s="51">
        <v>0</v>
      </c>
      <c r="AM21" s="53">
        <v>538</v>
      </c>
      <c r="AN21" s="51">
        <v>3</v>
      </c>
      <c r="AO21" s="53">
        <v>179</v>
      </c>
      <c r="AP21" s="51">
        <v>1</v>
      </c>
      <c r="AQ21" s="53">
        <v>172</v>
      </c>
      <c r="AR21" s="51">
        <v>1</v>
      </c>
      <c r="AS21" s="53">
        <v>0</v>
      </c>
      <c r="AT21" s="51">
        <v>0</v>
      </c>
      <c r="AU21" s="53">
        <v>172</v>
      </c>
      <c r="AV21" s="51">
        <v>1</v>
      </c>
      <c r="AW21" s="53">
        <v>170</v>
      </c>
      <c r="AX21" s="51">
        <v>1</v>
      </c>
      <c r="AY21" s="53">
        <v>170</v>
      </c>
      <c r="AZ21" s="51">
        <v>1</v>
      </c>
      <c r="BA21" s="53">
        <v>340</v>
      </c>
      <c r="BB21" s="51">
        <v>2</v>
      </c>
      <c r="BC21" s="53">
        <v>0</v>
      </c>
      <c r="BD21" s="51">
        <v>0</v>
      </c>
      <c r="BE21" s="53">
        <v>0</v>
      </c>
      <c r="BF21" s="51">
        <v>0</v>
      </c>
      <c r="BG21" s="53">
        <v>402</v>
      </c>
      <c r="BH21" s="51">
        <v>2</v>
      </c>
      <c r="BI21" s="53">
        <v>0</v>
      </c>
      <c r="BJ21" s="51">
        <v>0</v>
      </c>
      <c r="BK21" s="53">
        <v>170</v>
      </c>
      <c r="BL21" s="51">
        <v>1</v>
      </c>
      <c r="BM21" s="53">
        <v>170</v>
      </c>
      <c r="BN21" s="54">
        <v>1</v>
      </c>
    </row>
    <row r="22" spans="1:66" ht="15.75" customHeight="1">
      <c r="A22" s="8"/>
      <c r="B22" s="50" t="s">
        <v>12</v>
      </c>
      <c r="C22" s="51" t="s">
        <v>101</v>
      </c>
      <c r="D22" s="52" t="s">
        <v>148</v>
      </c>
      <c r="E22" s="53">
        <v>16450</v>
      </c>
      <c r="F22" s="51">
        <v>33</v>
      </c>
      <c r="G22" s="53">
        <v>15769</v>
      </c>
      <c r="H22" s="51">
        <v>32</v>
      </c>
      <c r="I22" s="53">
        <v>19212</v>
      </c>
      <c r="J22" s="51">
        <v>39</v>
      </c>
      <c r="K22" s="53">
        <v>24138</v>
      </c>
      <c r="L22" s="51">
        <v>49</v>
      </c>
      <c r="M22" s="53">
        <v>21245</v>
      </c>
      <c r="N22" s="51">
        <v>43</v>
      </c>
      <c r="O22" s="53">
        <v>22283</v>
      </c>
      <c r="P22" s="51">
        <v>45</v>
      </c>
      <c r="Q22" s="53">
        <v>20197</v>
      </c>
      <c r="R22" s="51">
        <v>41</v>
      </c>
      <c r="S22" s="53">
        <v>17734</v>
      </c>
      <c r="T22" s="51">
        <v>36</v>
      </c>
      <c r="U22" s="53">
        <v>20197</v>
      </c>
      <c r="V22" s="51">
        <v>41</v>
      </c>
      <c r="W22" s="53">
        <v>24138</v>
      </c>
      <c r="X22" s="51">
        <v>49</v>
      </c>
      <c r="Y22" s="53">
        <v>24631</v>
      </c>
      <c r="Z22" s="51">
        <v>50</v>
      </c>
      <c r="AA22" s="53">
        <v>13793</v>
      </c>
      <c r="AB22" s="51">
        <v>28</v>
      </c>
      <c r="AC22" s="53">
        <v>17242</v>
      </c>
      <c r="AD22" s="51">
        <v>35</v>
      </c>
      <c r="AE22" s="53">
        <v>14778</v>
      </c>
      <c r="AF22" s="51">
        <v>30</v>
      </c>
      <c r="AG22" s="53">
        <v>17734</v>
      </c>
      <c r="AH22" s="51">
        <v>36</v>
      </c>
      <c r="AI22" s="53">
        <v>15271</v>
      </c>
      <c r="AJ22" s="51">
        <v>31</v>
      </c>
      <c r="AK22" s="53">
        <v>24631</v>
      </c>
      <c r="AL22" s="51">
        <v>50</v>
      </c>
      <c r="AM22" s="53">
        <v>22660</v>
      </c>
      <c r="AN22" s="51">
        <v>46</v>
      </c>
      <c r="AO22" s="53">
        <v>23645</v>
      </c>
      <c r="AP22" s="51">
        <v>48</v>
      </c>
      <c r="AQ22" s="53">
        <v>23153</v>
      </c>
      <c r="AR22" s="51">
        <v>47</v>
      </c>
      <c r="AS22" s="53">
        <v>27094</v>
      </c>
      <c r="AT22" s="51">
        <v>55</v>
      </c>
      <c r="AU22" s="53">
        <v>38441</v>
      </c>
      <c r="AV22" s="51">
        <v>78</v>
      </c>
      <c r="AW22" s="53">
        <v>43964</v>
      </c>
      <c r="AX22" s="51">
        <v>91</v>
      </c>
      <c r="AY22" s="53">
        <v>50245</v>
      </c>
      <c r="AZ22" s="51">
        <v>104</v>
      </c>
      <c r="BA22" s="53">
        <v>31403</v>
      </c>
      <c r="BB22" s="51">
        <v>65</v>
      </c>
      <c r="BC22" s="53">
        <v>30437</v>
      </c>
      <c r="BD22" s="51">
        <v>63</v>
      </c>
      <c r="BE22" s="53">
        <v>34785</v>
      </c>
      <c r="BF22" s="51">
        <v>72</v>
      </c>
      <c r="BG22" s="53">
        <v>29631</v>
      </c>
      <c r="BH22" s="51">
        <v>60</v>
      </c>
      <c r="BI22" s="53">
        <v>27586</v>
      </c>
      <c r="BJ22" s="51">
        <v>56</v>
      </c>
      <c r="BK22" s="53">
        <v>21182</v>
      </c>
      <c r="BL22" s="51">
        <v>43</v>
      </c>
      <c r="BM22" s="53">
        <v>43964</v>
      </c>
      <c r="BN22" s="54">
        <v>91</v>
      </c>
    </row>
    <row r="23" spans="1:66" ht="15.75" customHeight="1">
      <c r="A23" s="8"/>
      <c r="B23" s="55" t="s">
        <v>16</v>
      </c>
      <c r="C23" s="56" t="s">
        <v>103</v>
      </c>
      <c r="D23" s="57" t="s">
        <v>151</v>
      </c>
      <c r="E23" s="58">
        <v>12552</v>
      </c>
      <c r="F23" s="56">
        <v>22</v>
      </c>
      <c r="G23" s="58">
        <v>13693</v>
      </c>
      <c r="H23" s="56">
        <v>24</v>
      </c>
      <c r="I23" s="58">
        <v>19969</v>
      </c>
      <c r="J23" s="56">
        <v>35</v>
      </c>
      <c r="K23" s="58">
        <v>14264</v>
      </c>
      <c r="L23" s="56">
        <v>25</v>
      </c>
      <c r="M23" s="58">
        <v>10840</v>
      </c>
      <c r="N23" s="56">
        <v>19</v>
      </c>
      <c r="O23" s="58">
        <v>7988</v>
      </c>
      <c r="P23" s="56">
        <v>14</v>
      </c>
      <c r="Q23" s="58">
        <v>7988</v>
      </c>
      <c r="R23" s="56">
        <v>14</v>
      </c>
      <c r="S23" s="58">
        <v>15405</v>
      </c>
      <c r="T23" s="56">
        <v>27</v>
      </c>
      <c r="U23" s="58">
        <v>11411</v>
      </c>
      <c r="V23" s="56">
        <v>20</v>
      </c>
      <c r="W23" s="58">
        <v>19969</v>
      </c>
      <c r="X23" s="56">
        <v>35</v>
      </c>
      <c r="Y23" s="58">
        <v>11981</v>
      </c>
      <c r="Z23" s="56">
        <v>21</v>
      </c>
      <c r="AA23" s="58">
        <v>17687</v>
      </c>
      <c r="AB23" s="56">
        <v>31</v>
      </c>
      <c r="AC23" s="58">
        <v>19774</v>
      </c>
      <c r="AD23" s="56">
        <v>35</v>
      </c>
      <c r="AE23" s="58">
        <v>19531</v>
      </c>
      <c r="AF23" s="56">
        <v>35</v>
      </c>
      <c r="AG23" s="58">
        <v>9487</v>
      </c>
      <c r="AH23" s="56">
        <v>17</v>
      </c>
      <c r="AI23" s="58">
        <v>15754</v>
      </c>
      <c r="AJ23" s="56">
        <v>28</v>
      </c>
      <c r="AK23" s="58">
        <v>33482</v>
      </c>
      <c r="AL23" s="56">
        <v>60</v>
      </c>
      <c r="AM23" s="58">
        <v>18415</v>
      </c>
      <c r="AN23" s="56">
        <v>33</v>
      </c>
      <c r="AO23" s="58">
        <v>25670</v>
      </c>
      <c r="AP23" s="56">
        <v>46</v>
      </c>
      <c r="AQ23" s="58">
        <v>27923</v>
      </c>
      <c r="AR23" s="56">
        <v>50</v>
      </c>
      <c r="AS23" s="58">
        <v>15089</v>
      </c>
      <c r="AT23" s="56">
        <v>27</v>
      </c>
      <c r="AU23" s="58">
        <v>16183</v>
      </c>
      <c r="AV23" s="56">
        <v>29</v>
      </c>
      <c r="AW23" s="58">
        <v>36273</v>
      </c>
      <c r="AX23" s="56">
        <v>65</v>
      </c>
      <c r="AY23" s="58">
        <v>54130</v>
      </c>
      <c r="AZ23" s="56">
        <v>97</v>
      </c>
      <c r="BA23" s="58">
        <v>40737</v>
      </c>
      <c r="BB23" s="56">
        <v>73</v>
      </c>
      <c r="BC23" s="58">
        <v>41853</v>
      </c>
      <c r="BD23" s="56">
        <v>75</v>
      </c>
      <c r="BE23" s="58">
        <v>46317</v>
      </c>
      <c r="BF23" s="56">
        <v>83</v>
      </c>
      <c r="BG23" s="58">
        <v>62574</v>
      </c>
      <c r="BH23" s="56">
        <v>117</v>
      </c>
      <c r="BI23" s="58">
        <v>41181</v>
      </c>
      <c r="BJ23" s="56">
        <v>77</v>
      </c>
      <c r="BK23" s="58">
        <v>59365</v>
      </c>
      <c r="BL23" s="56">
        <v>111</v>
      </c>
      <c r="BM23" s="58">
        <v>36273</v>
      </c>
      <c r="BN23" s="59">
        <v>65</v>
      </c>
    </row>
    <row r="24" spans="1:66" ht="15.75" customHeight="1">
      <c r="A24" s="8"/>
      <c r="B24" s="55" t="s">
        <v>28</v>
      </c>
      <c r="C24" s="56" t="s">
        <v>102</v>
      </c>
      <c r="D24" s="57" t="s">
        <v>149</v>
      </c>
      <c r="E24" s="58">
        <v>16450</v>
      </c>
      <c r="F24" s="56">
        <v>33</v>
      </c>
      <c r="G24" s="58">
        <v>15769</v>
      </c>
      <c r="H24" s="56">
        <v>32</v>
      </c>
      <c r="I24" s="58">
        <v>19212</v>
      </c>
      <c r="J24" s="56">
        <v>39</v>
      </c>
      <c r="K24" s="58">
        <v>24138</v>
      </c>
      <c r="L24" s="56">
        <v>49</v>
      </c>
      <c r="M24" s="58">
        <v>21245</v>
      </c>
      <c r="N24" s="56">
        <v>43</v>
      </c>
      <c r="O24" s="58">
        <v>22283</v>
      </c>
      <c r="P24" s="56">
        <v>45</v>
      </c>
      <c r="Q24" s="58">
        <v>20197</v>
      </c>
      <c r="R24" s="56">
        <v>41</v>
      </c>
      <c r="S24" s="58">
        <v>17734</v>
      </c>
      <c r="T24" s="56">
        <v>36</v>
      </c>
      <c r="U24" s="58">
        <v>20197</v>
      </c>
      <c r="V24" s="56">
        <v>41</v>
      </c>
      <c r="W24" s="58">
        <v>24138</v>
      </c>
      <c r="X24" s="56">
        <v>49</v>
      </c>
      <c r="Y24" s="58">
        <v>24631</v>
      </c>
      <c r="Z24" s="56">
        <v>50</v>
      </c>
      <c r="AA24" s="58">
        <v>13793</v>
      </c>
      <c r="AB24" s="56">
        <v>28</v>
      </c>
      <c r="AC24" s="58">
        <v>17242</v>
      </c>
      <c r="AD24" s="56">
        <v>35</v>
      </c>
      <c r="AE24" s="58">
        <v>14778</v>
      </c>
      <c r="AF24" s="56">
        <v>30</v>
      </c>
      <c r="AG24" s="58">
        <v>17734</v>
      </c>
      <c r="AH24" s="56">
        <v>36</v>
      </c>
      <c r="AI24" s="58">
        <v>15271</v>
      </c>
      <c r="AJ24" s="56">
        <v>31</v>
      </c>
      <c r="AK24" s="58">
        <v>24631</v>
      </c>
      <c r="AL24" s="56">
        <v>50</v>
      </c>
      <c r="AM24" s="58">
        <v>22660</v>
      </c>
      <c r="AN24" s="56">
        <v>46</v>
      </c>
      <c r="AO24" s="58">
        <v>23645</v>
      </c>
      <c r="AP24" s="56">
        <v>48</v>
      </c>
      <c r="AQ24" s="58">
        <v>23153</v>
      </c>
      <c r="AR24" s="56">
        <v>47</v>
      </c>
      <c r="AS24" s="58">
        <v>27094</v>
      </c>
      <c r="AT24" s="56">
        <v>55</v>
      </c>
      <c r="AU24" s="58">
        <v>38441</v>
      </c>
      <c r="AV24" s="56">
        <v>78</v>
      </c>
      <c r="AW24" s="58">
        <v>43964</v>
      </c>
      <c r="AX24" s="56">
        <v>91</v>
      </c>
      <c r="AY24" s="58">
        <v>50245</v>
      </c>
      <c r="AZ24" s="56">
        <v>104</v>
      </c>
      <c r="BA24" s="58">
        <v>31403</v>
      </c>
      <c r="BB24" s="56">
        <v>65</v>
      </c>
      <c r="BC24" s="58">
        <v>30437</v>
      </c>
      <c r="BD24" s="56">
        <v>63</v>
      </c>
      <c r="BE24" s="58">
        <v>34785</v>
      </c>
      <c r="BF24" s="56">
        <v>72</v>
      </c>
      <c r="BG24" s="58">
        <v>29631</v>
      </c>
      <c r="BH24" s="56">
        <v>60</v>
      </c>
      <c r="BI24" s="58">
        <v>27586</v>
      </c>
      <c r="BJ24" s="56">
        <v>56</v>
      </c>
      <c r="BK24" s="58">
        <v>21182</v>
      </c>
      <c r="BL24" s="56">
        <v>43</v>
      </c>
      <c r="BM24" s="58">
        <v>43964</v>
      </c>
      <c r="BN24" s="59">
        <v>91</v>
      </c>
    </row>
    <row r="25" spans="1:66" ht="15.75" customHeight="1">
      <c r="A25" s="8"/>
      <c r="B25" s="50" t="s">
        <v>33</v>
      </c>
      <c r="C25" s="51" t="s">
        <v>102</v>
      </c>
      <c r="D25" s="52" t="s">
        <v>149</v>
      </c>
      <c r="E25" s="53">
        <v>2716</v>
      </c>
      <c r="F25" s="51">
        <v>4</v>
      </c>
      <c r="G25" s="53">
        <v>3395</v>
      </c>
      <c r="H25" s="51">
        <v>5</v>
      </c>
      <c r="I25" s="53">
        <v>2037</v>
      </c>
      <c r="J25" s="51">
        <v>3</v>
      </c>
      <c r="K25" s="53">
        <v>2037</v>
      </c>
      <c r="L25" s="51">
        <v>3</v>
      </c>
      <c r="M25" s="53">
        <v>2037</v>
      </c>
      <c r="N25" s="51">
        <v>3</v>
      </c>
      <c r="O25" s="53">
        <v>4753</v>
      </c>
      <c r="P25" s="51">
        <v>7</v>
      </c>
      <c r="Q25" s="53">
        <v>4074</v>
      </c>
      <c r="R25" s="51">
        <v>6</v>
      </c>
      <c r="S25" s="53">
        <v>4074</v>
      </c>
      <c r="T25" s="51">
        <v>6</v>
      </c>
      <c r="U25" s="53">
        <v>1358</v>
      </c>
      <c r="V25" s="51">
        <v>2</v>
      </c>
      <c r="W25" s="53">
        <v>2037</v>
      </c>
      <c r="X25" s="51">
        <v>3</v>
      </c>
      <c r="Y25" s="53">
        <v>2716</v>
      </c>
      <c r="Z25" s="51">
        <v>4</v>
      </c>
      <c r="AA25" s="53">
        <v>3395</v>
      </c>
      <c r="AB25" s="51">
        <v>5</v>
      </c>
      <c r="AC25" s="53">
        <v>2007</v>
      </c>
      <c r="AD25" s="51">
        <v>3</v>
      </c>
      <c r="AE25" s="53">
        <v>4543</v>
      </c>
      <c r="AF25" s="51">
        <v>7</v>
      </c>
      <c r="AG25" s="53">
        <v>7788</v>
      </c>
      <c r="AH25" s="51">
        <v>12</v>
      </c>
      <c r="AI25" s="53">
        <v>3245</v>
      </c>
      <c r="AJ25" s="51">
        <v>5</v>
      </c>
      <c r="AK25" s="53">
        <v>5841</v>
      </c>
      <c r="AL25" s="51">
        <v>9</v>
      </c>
      <c r="AM25" s="53">
        <v>2596</v>
      </c>
      <c r="AN25" s="51">
        <v>4</v>
      </c>
      <c r="AO25" s="53">
        <v>5192</v>
      </c>
      <c r="AP25" s="51">
        <v>8</v>
      </c>
      <c r="AQ25" s="53">
        <v>5192</v>
      </c>
      <c r="AR25" s="51">
        <v>8</v>
      </c>
      <c r="AS25" s="53">
        <v>3894</v>
      </c>
      <c r="AT25" s="51">
        <v>6</v>
      </c>
      <c r="AU25" s="53">
        <v>6490</v>
      </c>
      <c r="AV25" s="51">
        <v>10</v>
      </c>
      <c r="AW25" s="53">
        <v>9735</v>
      </c>
      <c r="AX25" s="51">
        <v>15</v>
      </c>
      <c r="AY25" s="53">
        <v>12331</v>
      </c>
      <c r="AZ25" s="51">
        <v>19</v>
      </c>
      <c r="BA25" s="53">
        <v>5192</v>
      </c>
      <c r="BB25" s="51">
        <v>8</v>
      </c>
      <c r="BC25" s="53">
        <v>9086</v>
      </c>
      <c r="BD25" s="51">
        <v>14</v>
      </c>
      <c r="BE25" s="53">
        <v>5192</v>
      </c>
      <c r="BF25" s="51">
        <v>8</v>
      </c>
      <c r="BG25" s="53">
        <v>8985</v>
      </c>
      <c r="BH25" s="51">
        <v>15</v>
      </c>
      <c r="BI25" s="53">
        <v>11381</v>
      </c>
      <c r="BJ25" s="51">
        <v>19</v>
      </c>
      <c r="BK25" s="53">
        <v>7787</v>
      </c>
      <c r="BL25" s="51">
        <v>13</v>
      </c>
      <c r="BM25" s="53">
        <v>9735</v>
      </c>
      <c r="BN25" s="54">
        <v>15</v>
      </c>
    </row>
    <row r="26" spans="1:66" ht="15.75" customHeight="1">
      <c r="A26" s="8"/>
      <c r="B26" s="55" t="s">
        <v>84</v>
      </c>
      <c r="C26" s="56" t="s">
        <v>104</v>
      </c>
      <c r="D26" s="57" t="s">
        <v>144</v>
      </c>
      <c r="E26" s="58">
        <v>0</v>
      </c>
      <c r="F26" s="56">
        <v>0</v>
      </c>
      <c r="G26" s="58">
        <v>632</v>
      </c>
      <c r="H26" s="56">
        <v>2</v>
      </c>
      <c r="I26" s="58">
        <v>0</v>
      </c>
      <c r="J26" s="56">
        <v>0</v>
      </c>
      <c r="K26" s="58">
        <v>0</v>
      </c>
      <c r="L26" s="56">
        <v>0</v>
      </c>
      <c r="M26" s="58">
        <v>316</v>
      </c>
      <c r="N26" s="56">
        <v>1</v>
      </c>
      <c r="O26" s="58">
        <v>632</v>
      </c>
      <c r="P26" s="56">
        <v>2</v>
      </c>
      <c r="Q26" s="58">
        <v>672</v>
      </c>
      <c r="R26" s="56">
        <v>2</v>
      </c>
      <c r="S26" s="58">
        <v>632</v>
      </c>
      <c r="T26" s="56">
        <v>2</v>
      </c>
      <c r="U26" s="58">
        <v>316</v>
      </c>
      <c r="V26" s="56">
        <v>1</v>
      </c>
      <c r="W26" s="58">
        <v>1304</v>
      </c>
      <c r="X26" s="56">
        <v>4</v>
      </c>
      <c r="Y26" s="58">
        <v>316</v>
      </c>
      <c r="Z26" s="56">
        <v>1</v>
      </c>
      <c r="AA26" s="58">
        <v>672</v>
      </c>
      <c r="AB26" s="56">
        <v>2</v>
      </c>
      <c r="AC26" s="58">
        <v>632</v>
      </c>
      <c r="AD26" s="56">
        <v>2</v>
      </c>
      <c r="AE26" s="58">
        <v>712</v>
      </c>
      <c r="AF26" s="56">
        <v>2</v>
      </c>
      <c r="AG26" s="58">
        <v>1620</v>
      </c>
      <c r="AH26" s="56">
        <v>5</v>
      </c>
      <c r="AI26" s="58">
        <v>672</v>
      </c>
      <c r="AJ26" s="56">
        <v>2</v>
      </c>
      <c r="AK26" s="58">
        <v>316</v>
      </c>
      <c r="AL26" s="56">
        <v>1</v>
      </c>
      <c r="AM26" s="58">
        <v>2252</v>
      </c>
      <c r="AN26" s="56">
        <v>7</v>
      </c>
      <c r="AO26" s="58">
        <v>632</v>
      </c>
      <c r="AP26" s="56">
        <v>2</v>
      </c>
      <c r="AQ26" s="58">
        <v>0</v>
      </c>
      <c r="AR26" s="56">
        <v>0</v>
      </c>
      <c r="AS26" s="58">
        <v>672</v>
      </c>
      <c r="AT26" s="56">
        <v>2</v>
      </c>
      <c r="AU26" s="58">
        <v>948</v>
      </c>
      <c r="AV26" s="56">
        <v>3</v>
      </c>
      <c r="AW26" s="58">
        <v>0</v>
      </c>
      <c r="AX26" s="56">
        <v>0</v>
      </c>
      <c r="AY26" s="58">
        <v>0</v>
      </c>
      <c r="AZ26" s="56">
        <v>0</v>
      </c>
      <c r="BA26" s="58">
        <v>0</v>
      </c>
      <c r="BB26" s="56">
        <v>0</v>
      </c>
      <c r="BC26" s="58">
        <v>1896</v>
      </c>
      <c r="BD26" s="56">
        <v>6</v>
      </c>
      <c r="BE26" s="58">
        <v>316</v>
      </c>
      <c r="BF26" s="56">
        <v>1</v>
      </c>
      <c r="BG26" s="58">
        <v>672</v>
      </c>
      <c r="BH26" s="56">
        <v>2</v>
      </c>
      <c r="BI26" s="58">
        <v>316</v>
      </c>
      <c r="BJ26" s="56">
        <v>1</v>
      </c>
      <c r="BK26" s="58">
        <v>1304</v>
      </c>
      <c r="BL26" s="56">
        <v>4</v>
      </c>
      <c r="BM26" s="58">
        <v>0</v>
      </c>
      <c r="BN26" s="59">
        <v>0</v>
      </c>
    </row>
    <row r="27" spans="1:66" ht="15.75" customHeight="1">
      <c r="A27" s="8"/>
      <c r="B27" s="55" t="s">
        <v>41</v>
      </c>
      <c r="C27" s="56" t="s">
        <v>101</v>
      </c>
      <c r="D27" s="57" t="s">
        <v>147</v>
      </c>
      <c r="E27" s="58">
        <v>10994</v>
      </c>
      <c r="F27" s="56">
        <v>13</v>
      </c>
      <c r="G27" s="58">
        <v>10291</v>
      </c>
      <c r="H27" s="56">
        <v>12</v>
      </c>
      <c r="I27" s="58">
        <v>11979</v>
      </c>
      <c r="J27" s="56">
        <v>14</v>
      </c>
      <c r="K27" s="58">
        <v>9447</v>
      </c>
      <c r="L27" s="56">
        <v>11</v>
      </c>
      <c r="M27" s="58">
        <v>4221</v>
      </c>
      <c r="N27" s="56">
        <v>5</v>
      </c>
      <c r="O27" s="58">
        <v>2477</v>
      </c>
      <c r="P27" s="56">
        <v>3</v>
      </c>
      <c r="Q27" s="58">
        <v>12878</v>
      </c>
      <c r="R27" s="56">
        <v>15</v>
      </c>
      <c r="S27" s="58">
        <v>11190</v>
      </c>
      <c r="T27" s="56">
        <v>13</v>
      </c>
      <c r="U27" s="58">
        <v>7649</v>
      </c>
      <c r="V27" s="56">
        <v>9</v>
      </c>
      <c r="W27" s="58">
        <v>6916</v>
      </c>
      <c r="X27" s="56">
        <v>8</v>
      </c>
      <c r="Y27" s="58">
        <v>12878</v>
      </c>
      <c r="Z27" s="56">
        <v>15</v>
      </c>
      <c r="AA27" s="58">
        <v>9282</v>
      </c>
      <c r="AB27" s="56">
        <v>11</v>
      </c>
      <c r="AC27" s="58">
        <v>11868</v>
      </c>
      <c r="AD27" s="56">
        <v>14</v>
      </c>
      <c r="AE27" s="58">
        <v>13666</v>
      </c>
      <c r="AF27" s="56">
        <v>16</v>
      </c>
      <c r="AG27" s="58">
        <v>10181</v>
      </c>
      <c r="AH27" s="56">
        <v>12</v>
      </c>
      <c r="AI27" s="58">
        <v>8438</v>
      </c>
      <c r="AJ27" s="56">
        <v>10</v>
      </c>
      <c r="AK27" s="58">
        <v>5907</v>
      </c>
      <c r="AL27" s="56">
        <v>7</v>
      </c>
      <c r="AM27" s="58">
        <v>5063</v>
      </c>
      <c r="AN27" s="56">
        <v>6</v>
      </c>
      <c r="AO27" s="58">
        <v>5876</v>
      </c>
      <c r="AP27" s="56">
        <v>7</v>
      </c>
      <c r="AQ27" s="58">
        <v>5853</v>
      </c>
      <c r="AR27" s="56">
        <v>7</v>
      </c>
      <c r="AS27" s="58">
        <v>7526</v>
      </c>
      <c r="AT27" s="56">
        <v>9</v>
      </c>
      <c r="AU27" s="58">
        <v>6690</v>
      </c>
      <c r="AV27" s="56">
        <v>8</v>
      </c>
      <c r="AW27" s="58">
        <v>5840</v>
      </c>
      <c r="AX27" s="56">
        <v>7</v>
      </c>
      <c r="AY27" s="58">
        <v>6674</v>
      </c>
      <c r="AZ27" s="56">
        <v>8</v>
      </c>
      <c r="BA27" s="58">
        <v>5006</v>
      </c>
      <c r="BB27" s="56">
        <v>6</v>
      </c>
      <c r="BC27" s="58">
        <v>10846</v>
      </c>
      <c r="BD27" s="56">
        <v>13</v>
      </c>
      <c r="BE27" s="58">
        <v>5840</v>
      </c>
      <c r="BF27" s="56">
        <v>7</v>
      </c>
      <c r="BG27" s="58">
        <v>6769</v>
      </c>
      <c r="BH27" s="56">
        <v>8</v>
      </c>
      <c r="BI27" s="58">
        <v>10969</v>
      </c>
      <c r="BJ27" s="56">
        <v>13</v>
      </c>
      <c r="BK27" s="58">
        <v>5907</v>
      </c>
      <c r="BL27" s="56">
        <v>7</v>
      </c>
      <c r="BM27" s="58">
        <v>5840</v>
      </c>
      <c r="BN27" s="59">
        <v>7</v>
      </c>
    </row>
    <row r="28" spans="1:66" ht="15.75" customHeight="1">
      <c r="A28" s="8"/>
      <c r="B28" s="55" t="s">
        <v>19</v>
      </c>
      <c r="C28" s="56" t="s">
        <v>104</v>
      </c>
      <c r="D28" s="57" t="s">
        <v>143</v>
      </c>
      <c r="E28" s="58">
        <v>9087</v>
      </c>
      <c r="F28" s="56">
        <v>13</v>
      </c>
      <c r="G28" s="58">
        <v>6291</v>
      </c>
      <c r="H28" s="56">
        <v>9</v>
      </c>
      <c r="I28" s="58">
        <v>6990</v>
      </c>
      <c r="J28" s="56">
        <v>10</v>
      </c>
      <c r="K28" s="58">
        <v>8388</v>
      </c>
      <c r="L28" s="56">
        <v>12</v>
      </c>
      <c r="M28" s="58">
        <v>7689</v>
      </c>
      <c r="N28" s="56">
        <v>11</v>
      </c>
      <c r="O28" s="58">
        <v>7689</v>
      </c>
      <c r="P28" s="56">
        <v>11</v>
      </c>
      <c r="Q28" s="58">
        <v>9087</v>
      </c>
      <c r="R28" s="56">
        <v>13</v>
      </c>
      <c r="S28" s="58">
        <v>11184</v>
      </c>
      <c r="T28" s="56">
        <v>16</v>
      </c>
      <c r="U28" s="58">
        <v>11883</v>
      </c>
      <c r="V28" s="56">
        <v>17</v>
      </c>
      <c r="W28" s="58">
        <v>12582</v>
      </c>
      <c r="X28" s="56">
        <v>18</v>
      </c>
      <c r="Y28" s="58">
        <v>11883</v>
      </c>
      <c r="Z28" s="56">
        <v>17</v>
      </c>
      <c r="AA28" s="58">
        <v>11883</v>
      </c>
      <c r="AB28" s="56">
        <v>17</v>
      </c>
      <c r="AC28" s="58">
        <v>10784</v>
      </c>
      <c r="AD28" s="56">
        <v>16</v>
      </c>
      <c r="AE28" s="58">
        <v>16874</v>
      </c>
      <c r="AF28" s="56">
        <v>26</v>
      </c>
      <c r="AG28" s="58">
        <v>12980</v>
      </c>
      <c r="AH28" s="56">
        <v>20</v>
      </c>
      <c r="AI28" s="58">
        <v>15856</v>
      </c>
      <c r="AJ28" s="56">
        <v>24</v>
      </c>
      <c r="AK28" s="58">
        <v>15576</v>
      </c>
      <c r="AL28" s="56">
        <v>24</v>
      </c>
      <c r="AM28" s="58">
        <v>13629</v>
      </c>
      <c r="AN28" s="56">
        <v>21</v>
      </c>
      <c r="AO28" s="58">
        <v>15576</v>
      </c>
      <c r="AP28" s="56">
        <v>24</v>
      </c>
      <c r="AQ28" s="58">
        <v>18172</v>
      </c>
      <c r="AR28" s="56">
        <v>28</v>
      </c>
      <c r="AS28" s="58">
        <v>11033</v>
      </c>
      <c r="AT28" s="56">
        <v>17</v>
      </c>
      <c r="AU28" s="58">
        <v>17523</v>
      </c>
      <c r="AV28" s="56">
        <v>27</v>
      </c>
      <c r="AW28" s="58">
        <v>22066</v>
      </c>
      <c r="AX28" s="56">
        <v>34</v>
      </c>
      <c r="AY28" s="58">
        <v>16225</v>
      </c>
      <c r="AZ28" s="56">
        <v>25</v>
      </c>
      <c r="BA28" s="58">
        <v>14927</v>
      </c>
      <c r="BB28" s="56">
        <v>23</v>
      </c>
      <c r="BC28" s="58">
        <v>18172</v>
      </c>
      <c r="BD28" s="56">
        <v>28</v>
      </c>
      <c r="BE28" s="58">
        <v>20119</v>
      </c>
      <c r="BF28" s="56">
        <v>31</v>
      </c>
      <c r="BG28" s="58">
        <v>23750</v>
      </c>
      <c r="BH28" s="56">
        <v>38</v>
      </c>
      <c r="BI28" s="58">
        <v>20000</v>
      </c>
      <c r="BJ28" s="56">
        <v>32</v>
      </c>
      <c r="BK28" s="58">
        <v>13750</v>
      </c>
      <c r="BL28" s="56">
        <v>22</v>
      </c>
      <c r="BM28" s="58">
        <v>22066</v>
      </c>
      <c r="BN28" s="59">
        <v>34</v>
      </c>
    </row>
    <row r="29" spans="1:66" ht="15.75" customHeight="1">
      <c r="A29" s="8"/>
      <c r="B29" s="55" t="s">
        <v>29</v>
      </c>
      <c r="C29" s="56" t="s">
        <v>102</v>
      </c>
      <c r="D29" s="57" t="s">
        <v>149</v>
      </c>
      <c r="E29" s="58">
        <v>289</v>
      </c>
      <c r="F29" s="56">
        <v>1</v>
      </c>
      <c r="G29" s="58">
        <v>0</v>
      </c>
      <c r="H29" s="56">
        <v>0</v>
      </c>
      <c r="I29" s="58">
        <v>0</v>
      </c>
      <c r="J29" s="56">
        <v>0</v>
      </c>
      <c r="K29" s="58">
        <v>0</v>
      </c>
      <c r="L29" s="56">
        <v>0</v>
      </c>
      <c r="M29" s="58">
        <v>0</v>
      </c>
      <c r="N29" s="56">
        <v>0</v>
      </c>
      <c r="O29" s="58">
        <v>0</v>
      </c>
      <c r="P29" s="56">
        <v>0</v>
      </c>
      <c r="Q29" s="58">
        <v>0</v>
      </c>
      <c r="R29" s="56">
        <v>0</v>
      </c>
      <c r="S29" s="58">
        <v>0</v>
      </c>
      <c r="T29" s="56">
        <v>0</v>
      </c>
      <c r="U29" s="58">
        <v>0</v>
      </c>
      <c r="V29" s="56">
        <v>0</v>
      </c>
      <c r="W29" s="58">
        <v>0</v>
      </c>
      <c r="X29" s="56">
        <v>0</v>
      </c>
      <c r="Y29" s="58">
        <v>0</v>
      </c>
      <c r="Z29" s="56">
        <v>0</v>
      </c>
      <c r="AA29" s="58">
        <v>0</v>
      </c>
      <c r="AB29" s="56">
        <v>0</v>
      </c>
      <c r="AC29" s="58">
        <v>249</v>
      </c>
      <c r="AD29" s="56">
        <v>1</v>
      </c>
      <c r="AE29" s="58">
        <v>0</v>
      </c>
      <c r="AF29" s="56">
        <v>0</v>
      </c>
      <c r="AG29" s="58">
        <v>0</v>
      </c>
      <c r="AH29" s="56">
        <v>0</v>
      </c>
      <c r="AI29" s="58">
        <v>0</v>
      </c>
      <c r="AJ29" s="56">
        <v>0</v>
      </c>
      <c r="AK29" s="58">
        <v>289</v>
      </c>
      <c r="AL29" s="56">
        <v>1</v>
      </c>
      <c r="AM29" s="58">
        <v>249</v>
      </c>
      <c r="AN29" s="56">
        <v>1</v>
      </c>
      <c r="AO29" s="58">
        <v>289</v>
      </c>
      <c r="AP29" s="56">
        <v>1</v>
      </c>
      <c r="AQ29" s="58">
        <v>0</v>
      </c>
      <c r="AR29" s="56">
        <v>0</v>
      </c>
      <c r="AS29" s="58">
        <v>0</v>
      </c>
      <c r="AT29" s="56">
        <v>0</v>
      </c>
      <c r="AU29" s="58">
        <v>289</v>
      </c>
      <c r="AV29" s="56">
        <v>1</v>
      </c>
      <c r="AW29" s="58">
        <v>0</v>
      </c>
      <c r="AX29" s="56">
        <v>0</v>
      </c>
      <c r="AY29" s="58">
        <v>514</v>
      </c>
      <c r="AZ29" s="56">
        <v>2</v>
      </c>
      <c r="BA29" s="58">
        <v>257</v>
      </c>
      <c r="BB29" s="56">
        <v>1</v>
      </c>
      <c r="BC29" s="58">
        <v>257</v>
      </c>
      <c r="BD29" s="56">
        <v>1</v>
      </c>
      <c r="BE29" s="58">
        <v>0</v>
      </c>
      <c r="BF29" s="56">
        <v>0</v>
      </c>
      <c r="BG29" s="58">
        <v>0</v>
      </c>
      <c r="BH29" s="56">
        <v>0</v>
      </c>
      <c r="BI29" s="58">
        <v>0</v>
      </c>
      <c r="BJ29" s="56">
        <v>0</v>
      </c>
      <c r="BK29" s="58">
        <v>0</v>
      </c>
      <c r="BL29" s="56">
        <v>0</v>
      </c>
      <c r="BM29" s="58">
        <v>0</v>
      </c>
      <c r="BN29" s="59">
        <v>0</v>
      </c>
    </row>
    <row r="30" spans="1:66" ht="15.75" customHeight="1">
      <c r="A30" s="8"/>
      <c r="B30" s="55" t="s">
        <v>9</v>
      </c>
      <c r="C30" s="56" t="s">
        <v>104</v>
      </c>
      <c r="D30" s="57" t="s">
        <v>142</v>
      </c>
      <c r="E30" s="58">
        <v>0</v>
      </c>
      <c r="F30" s="56">
        <v>0</v>
      </c>
      <c r="G30" s="58">
        <v>632</v>
      </c>
      <c r="H30" s="56">
        <v>2</v>
      </c>
      <c r="I30" s="58">
        <v>0</v>
      </c>
      <c r="J30" s="56">
        <v>0</v>
      </c>
      <c r="K30" s="58">
        <v>0</v>
      </c>
      <c r="L30" s="56">
        <v>0</v>
      </c>
      <c r="M30" s="58">
        <v>316</v>
      </c>
      <c r="N30" s="56">
        <v>1</v>
      </c>
      <c r="O30" s="58">
        <v>632</v>
      </c>
      <c r="P30" s="56">
        <v>2</v>
      </c>
      <c r="Q30" s="58">
        <v>672</v>
      </c>
      <c r="R30" s="56">
        <v>2</v>
      </c>
      <c r="S30" s="58">
        <v>632</v>
      </c>
      <c r="T30" s="56">
        <v>2</v>
      </c>
      <c r="U30" s="58">
        <v>316</v>
      </c>
      <c r="V30" s="56">
        <v>1</v>
      </c>
      <c r="W30" s="58">
        <v>1304</v>
      </c>
      <c r="X30" s="56">
        <v>4</v>
      </c>
      <c r="Y30" s="58">
        <v>316</v>
      </c>
      <c r="Z30" s="56">
        <v>1</v>
      </c>
      <c r="AA30" s="58">
        <v>672</v>
      </c>
      <c r="AB30" s="56">
        <v>2</v>
      </c>
      <c r="AC30" s="58">
        <v>632</v>
      </c>
      <c r="AD30" s="56">
        <v>2</v>
      </c>
      <c r="AE30" s="58">
        <v>712</v>
      </c>
      <c r="AF30" s="56">
        <v>2</v>
      </c>
      <c r="AG30" s="58">
        <v>1620</v>
      </c>
      <c r="AH30" s="56">
        <v>5</v>
      </c>
      <c r="AI30" s="58">
        <v>672</v>
      </c>
      <c r="AJ30" s="56">
        <v>2</v>
      </c>
      <c r="AK30" s="58">
        <v>316</v>
      </c>
      <c r="AL30" s="56">
        <v>1</v>
      </c>
      <c r="AM30" s="58">
        <v>2252</v>
      </c>
      <c r="AN30" s="56">
        <v>7</v>
      </c>
      <c r="AO30" s="58">
        <v>632</v>
      </c>
      <c r="AP30" s="56">
        <v>2</v>
      </c>
      <c r="AQ30" s="58">
        <v>0</v>
      </c>
      <c r="AR30" s="56">
        <v>0</v>
      </c>
      <c r="AS30" s="58">
        <v>672</v>
      </c>
      <c r="AT30" s="56">
        <v>2</v>
      </c>
      <c r="AU30" s="58">
        <v>948</v>
      </c>
      <c r="AV30" s="56">
        <v>3</v>
      </c>
      <c r="AW30" s="58">
        <v>0</v>
      </c>
      <c r="AX30" s="56">
        <v>0</v>
      </c>
      <c r="AY30" s="58">
        <v>0</v>
      </c>
      <c r="AZ30" s="56">
        <v>0</v>
      </c>
      <c r="BA30" s="58">
        <v>0</v>
      </c>
      <c r="BB30" s="56">
        <v>0</v>
      </c>
      <c r="BC30" s="58">
        <v>1896</v>
      </c>
      <c r="BD30" s="56">
        <v>6</v>
      </c>
      <c r="BE30" s="58">
        <v>316</v>
      </c>
      <c r="BF30" s="56">
        <v>1</v>
      </c>
      <c r="BG30" s="58">
        <v>672</v>
      </c>
      <c r="BH30" s="56">
        <v>2</v>
      </c>
      <c r="BI30" s="58">
        <v>316</v>
      </c>
      <c r="BJ30" s="56">
        <v>1</v>
      </c>
      <c r="BK30" s="58">
        <v>1304</v>
      </c>
      <c r="BL30" s="56">
        <v>4</v>
      </c>
      <c r="BM30" s="58">
        <v>0</v>
      </c>
      <c r="BN30" s="59">
        <v>0</v>
      </c>
    </row>
    <row r="31" spans="1:66" ht="15.75" customHeight="1">
      <c r="A31" s="8"/>
      <c r="B31" s="55" t="s">
        <v>72</v>
      </c>
      <c r="C31" s="56" t="s">
        <v>103</v>
      </c>
      <c r="D31" s="57" t="s">
        <v>145</v>
      </c>
      <c r="E31" s="58">
        <v>17132</v>
      </c>
      <c r="F31" s="56">
        <v>41</v>
      </c>
      <c r="G31" s="58">
        <v>23400</v>
      </c>
      <c r="H31" s="56">
        <v>56</v>
      </c>
      <c r="I31" s="58">
        <v>30086</v>
      </c>
      <c r="J31" s="56">
        <v>72</v>
      </c>
      <c r="K31" s="58">
        <v>17132</v>
      </c>
      <c r="L31" s="56">
        <v>41</v>
      </c>
      <c r="M31" s="58">
        <v>18804</v>
      </c>
      <c r="N31" s="56">
        <v>45</v>
      </c>
      <c r="O31" s="58">
        <v>16714</v>
      </c>
      <c r="P31" s="56">
        <v>40</v>
      </c>
      <c r="Q31" s="58">
        <v>12536</v>
      </c>
      <c r="R31" s="56">
        <v>30</v>
      </c>
      <c r="S31" s="58">
        <v>20475</v>
      </c>
      <c r="T31" s="56">
        <v>49</v>
      </c>
      <c r="U31" s="58">
        <v>21729</v>
      </c>
      <c r="V31" s="56">
        <v>52</v>
      </c>
      <c r="W31" s="58">
        <v>24236</v>
      </c>
      <c r="X31" s="56">
        <v>58</v>
      </c>
      <c r="Y31" s="58">
        <v>21311</v>
      </c>
      <c r="Z31" s="56">
        <v>51</v>
      </c>
      <c r="AA31" s="58">
        <v>19222</v>
      </c>
      <c r="AB31" s="56">
        <v>46</v>
      </c>
      <c r="AC31" s="58">
        <v>15880</v>
      </c>
      <c r="AD31" s="56">
        <v>38</v>
      </c>
      <c r="AE31" s="58">
        <v>11282</v>
      </c>
      <c r="AF31" s="56">
        <v>27</v>
      </c>
      <c r="AG31" s="58">
        <v>18804</v>
      </c>
      <c r="AH31" s="56">
        <v>45</v>
      </c>
      <c r="AI31" s="58">
        <v>13372</v>
      </c>
      <c r="AJ31" s="56">
        <v>32</v>
      </c>
      <c r="AK31" s="58">
        <v>11282</v>
      </c>
      <c r="AL31" s="56">
        <v>27</v>
      </c>
      <c r="AM31" s="58">
        <v>13789</v>
      </c>
      <c r="AN31" s="56">
        <v>33</v>
      </c>
      <c r="AO31" s="58">
        <v>13372</v>
      </c>
      <c r="AP31" s="56">
        <v>32</v>
      </c>
      <c r="AQ31" s="58">
        <v>11700</v>
      </c>
      <c r="AR31" s="56">
        <v>28</v>
      </c>
      <c r="AS31" s="58">
        <v>15461</v>
      </c>
      <c r="AT31" s="56">
        <v>37</v>
      </c>
      <c r="AU31" s="58">
        <v>15879</v>
      </c>
      <c r="AV31" s="56">
        <v>38</v>
      </c>
      <c r="AW31" s="58">
        <v>14625</v>
      </c>
      <c r="AX31" s="56">
        <v>35</v>
      </c>
      <c r="AY31" s="58">
        <v>16297</v>
      </c>
      <c r="AZ31" s="56">
        <v>39</v>
      </c>
      <c r="BA31" s="58">
        <v>16714</v>
      </c>
      <c r="BB31" s="56">
        <v>40</v>
      </c>
      <c r="BC31" s="58">
        <v>17132</v>
      </c>
      <c r="BD31" s="56">
        <v>41</v>
      </c>
      <c r="BE31" s="58">
        <v>10447</v>
      </c>
      <c r="BF31" s="56">
        <v>25</v>
      </c>
      <c r="BG31" s="58">
        <v>8775</v>
      </c>
      <c r="BH31" s="56">
        <v>21</v>
      </c>
      <c r="BI31" s="58">
        <v>9193</v>
      </c>
      <c r="BJ31" s="56">
        <v>22</v>
      </c>
      <c r="BK31" s="58">
        <v>11282</v>
      </c>
      <c r="BL31" s="56">
        <v>27</v>
      </c>
      <c r="BM31" s="58">
        <v>14625</v>
      </c>
      <c r="BN31" s="59">
        <v>35</v>
      </c>
    </row>
    <row r="32" spans="1:66" ht="15.75" customHeight="1">
      <c r="A32" s="8"/>
      <c r="B32" s="50" t="s">
        <v>69</v>
      </c>
      <c r="C32" s="51" t="s">
        <v>101</v>
      </c>
      <c r="D32" s="52" t="s">
        <v>147</v>
      </c>
      <c r="E32" s="53">
        <v>10472</v>
      </c>
      <c r="F32" s="51">
        <v>17</v>
      </c>
      <c r="G32" s="53">
        <v>6776</v>
      </c>
      <c r="H32" s="51">
        <v>11</v>
      </c>
      <c r="I32" s="53">
        <v>7629</v>
      </c>
      <c r="J32" s="51">
        <v>12</v>
      </c>
      <c r="K32" s="53">
        <v>7392</v>
      </c>
      <c r="L32" s="51">
        <v>12</v>
      </c>
      <c r="M32" s="53">
        <v>8394</v>
      </c>
      <c r="N32" s="51">
        <v>16</v>
      </c>
      <c r="O32" s="53">
        <v>6120</v>
      </c>
      <c r="P32" s="51">
        <v>10</v>
      </c>
      <c r="Q32" s="53">
        <v>11767</v>
      </c>
      <c r="R32" s="51">
        <v>23</v>
      </c>
      <c r="S32" s="53">
        <v>8697</v>
      </c>
      <c r="T32" s="51">
        <v>17</v>
      </c>
      <c r="U32" s="53">
        <v>17394</v>
      </c>
      <c r="V32" s="51">
        <v>34</v>
      </c>
      <c r="W32" s="53">
        <v>9209</v>
      </c>
      <c r="X32" s="51">
        <v>18</v>
      </c>
      <c r="Y32" s="53">
        <v>9720</v>
      </c>
      <c r="Z32" s="51">
        <v>19</v>
      </c>
      <c r="AA32" s="53">
        <v>14730</v>
      </c>
      <c r="AB32" s="51">
        <v>29</v>
      </c>
      <c r="AC32" s="53">
        <v>7181</v>
      </c>
      <c r="AD32" s="51">
        <v>14</v>
      </c>
      <c r="AE32" s="53">
        <v>12600</v>
      </c>
      <c r="AF32" s="51">
        <v>25</v>
      </c>
      <c r="AG32" s="53">
        <v>11592</v>
      </c>
      <c r="AH32" s="51">
        <v>23</v>
      </c>
      <c r="AI32" s="53">
        <v>12883</v>
      </c>
      <c r="AJ32" s="51">
        <v>31</v>
      </c>
      <c r="AK32" s="53">
        <v>11152</v>
      </c>
      <c r="AL32" s="51">
        <v>31</v>
      </c>
      <c r="AM32" s="53">
        <v>10072</v>
      </c>
      <c r="AN32" s="51">
        <v>28</v>
      </c>
      <c r="AO32" s="53">
        <v>13310</v>
      </c>
      <c r="AP32" s="51">
        <v>37</v>
      </c>
      <c r="AQ32" s="53">
        <v>10792</v>
      </c>
      <c r="AR32" s="51">
        <v>30</v>
      </c>
      <c r="AS32" s="53">
        <v>11871</v>
      </c>
      <c r="AT32" s="51">
        <v>33</v>
      </c>
      <c r="AU32" s="53">
        <v>12950</v>
      </c>
      <c r="AV32" s="51">
        <v>36</v>
      </c>
      <c r="AW32" s="53">
        <v>17986</v>
      </c>
      <c r="AX32" s="51">
        <v>50</v>
      </c>
      <c r="AY32" s="53">
        <v>15109</v>
      </c>
      <c r="AZ32" s="51">
        <v>42</v>
      </c>
      <c r="BA32" s="53">
        <v>14749</v>
      </c>
      <c r="BB32" s="51">
        <v>41</v>
      </c>
      <c r="BC32" s="53">
        <v>15828</v>
      </c>
      <c r="BD32" s="51">
        <v>44</v>
      </c>
      <c r="BE32" s="53">
        <v>19785</v>
      </c>
      <c r="BF32" s="51">
        <v>55</v>
      </c>
      <c r="BG32" s="53">
        <v>14749</v>
      </c>
      <c r="BH32" s="51">
        <v>41</v>
      </c>
      <c r="BI32" s="53">
        <v>14749</v>
      </c>
      <c r="BJ32" s="51">
        <v>41</v>
      </c>
      <c r="BK32" s="53">
        <v>14389</v>
      </c>
      <c r="BL32" s="51">
        <v>40</v>
      </c>
      <c r="BM32" s="53">
        <v>17986</v>
      </c>
      <c r="BN32" s="54">
        <v>50</v>
      </c>
    </row>
    <row r="33" spans="1:66" ht="15.75" customHeight="1">
      <c r="A33" s="8"/>
      <c r="B33" s="55" t="s">
        <v>98</v>
      </c>
      <c r="C33" s="56" t="s">
        <v>101</v>
      </c>
      <c r="D33" s="57" t="s">
        <v>152</v>
      </c>
      <c r="E33" s="58">
        <v>21600</v>
      </c>
      <c r="F33" s="56">
        <v>160</v>
      </c>
      <c r="G33" s="58">
        <v>19035</v>
      </c>
      <c r="H33" s="56">
        <v>141</v>
      </c>
      <c r="I33" s="58">
        <v>18495</v>
      </c>
      <c r="J33" s="56">
        <v>137</v>
      </c>
      <c r="K33" s="58">
        <v>19170</v>
      </c>
      <c r="L33" s="56">
        <v>142</v>
      </c>
      <c r="M33" s="58">
        <v>15930</v>
      </c>
      <c r="N33" s="56">
        <v>118</v>
      </c>
      <c r="O33" s="58">
        <v>19049</v>
      </c>
      <c r="P33" s="56">
        <v>141</v>
      </c>
      <c r="Q33" s="58">
        <v>20250</v>
      </c>
      <c r="R33" s="56">
        <v>150</v>
      </c>
      <c r="S33" s="58">
        <v>20115</v>
      </c>
      <c r="T33" s="56">
        <v>149</v>
      </c>
      <c r="U33" s="58">
        <v>17955</v>
      </c>
      <c r="V33" s="56">
        <v>133</v>
      </c>
      <c r="W33" s="58">
        <v>20115</v>
      </c>
      <c r="X33" s="56">
        <v>149</v>
      </c>
      <c r="Y33" s="58">
        <v>9720</v>
      </c>
      <c r="Z33" s="56">
        <v>72</v>
      </c>
      <c r="AA33" s="58">
        <v>675</v>
      </c>
      <c r="AB33" s="56">
        <v>5</v>
      </c>
      <c r="AC33" s="58">
        <v>2295</v>
      </c>
      <c r="AD33" s="56">
        <v>17</v>
      </c>
      <c r="AE33" s="58">
        <v>945</v>
      </c>
      <c r="AF33" s="56">
        <v>7</v>
      </c>
      <c r="AG33" s="58">
        <v>24030</v>
      </c>
      <c r="AH33" s="56">
        <v>178</v>
      </c>
      <c r="AI33" s="58">
        <v>29685</v>
      </c>
      <c r="AJ33" s="56">
        <v>216</v>
      </c>
      <c r="AK33" s="58">
        <v>34830</v>
      </c>
      <c r="AL33" s="56">
        <v>258</v>
      </c>
      <c r="AM33" s="58">
        <v>27540</v>
      </c>
      <c r="AN33" s="56">
        <v>204</v>
      </c>
      <c r="AO33" s="58">
        <v>26190</v>
      </c>
      <c r="AP33" s="56">
        <v>194</v>
      </c>
      <c r="AQ33" s="58">
        <v>27270</v>
      </c>
      <c r="AR33" s="56">
        <v>202</v>
      </c>
      <c r="AS33" s="58">
        <v>23909</v>
      </c>
      <c r="AT33" s="56">
        <v>177</v>
      </c>
      <c r="AU33" s="58">
        <v>32940</v>
      </c>
      <c r="AV33" s="56">
        <v>244</v>
      </c>
      <c r="AW33" s="58">
        <v>32265</v>
      </c>
      <c r="AX33" s="56">
        <v>239</v>
      </c>
      <c r="AY33" s="58">
        <v>25785</v>
      </c>
      <c r="AZ33" s="56">
        <v>191</v>
      </c>
      <c r="BA33" s="58">
        <v>20250</v>
      </c>
      <c r="BB33" s="56">
        <v>150</v>
      </c>
      <c r="BC33" s="58">
        <v>10530</v>
      </c>
      <c r="BD33" s="56">
        <v>78</v>
      </c>
      <c r="BE33" s="58">
        <v>8259</v>
      </c>
      <c r="BF33" s="56">
        <v>61</v>
      </c>
      <c r="BG33" s="58">
        <v>27369</v>
      </c>
      <c r="BH33" s="56">
        <v>212</v>
      </c>
      <c r="BI33" s="58">
        <v>30187</v>
      </c>
      <c r="BJ33" s="56">
        <v>234</v>
      </c>
      <c r="BK33" s="58">
        <v>27994</v>
      </c>
      <c r="BL33" s="56">
        <v>217</v>
      </c>
      <c r="BM33" s="58">
        <v>32265</v>
      </c>
      <c r="BN33" s="59">
        <v>239</v>
      </c>
    </row>
    <row r="34" spans="1:66" ht="15.75" customHeight="1">
      <c r="A34" s="8"/>
      <c r="B34" s="55" t="s">
        <v>81</v>
      </c>
      <c r="C34" s="56" t="s">
        <v>103</v>
      </c>
      <c r="D34" s="57" t="s">
        <v>151</v>
      </c>
      <c r="E34" s="58">
        <v>17132</v>
      </c>
      <c r="F34" s="56">
        <v>41</v>
      </c>
      <c r="G34" s="58">
        <v>23400</v>
      </c>
      <c r="H34" s="56">
        <v>56</v>
      </c>
      <c r="I34" s="58">
        <v>30086</v>
      </c>
      <c r="J34" s="56">
        <v>72</v>
      </c>
      <c r="K34" s="58">
        <v>17132</v>
      </c>
      <c r="L34" s="56">
        <v>41</v>
      </c>
      <c r="M34" s="58">
        <v>18804</v>
      </c>
      <c r="N34" s="56">
        <v>45</v>
      </c>
      <c r="O34" s="58">
        <v>16714</v>
      </c>
      <c r="P34" s="56">
        <v>40</v>
      </c>
      <c r="Q34" s="58">
        <v>12536</v>
      </c>
      <c r="R34" s="56">
        <v>30</v>
      </c>
      <c r="S34" s="58">
        <v>20475</v>
      </c>
      <c r="T34" s="56">
        <v>49</v>
      </c>
      <c r="U34" s="58">
        <v>21729</v>
      </c>
      <c r="V34" s="56">
        <v>52</v>
      </c>
      <c r="W34" s="58">
        <v>24236</v>
      </c>
      <c r="X34" s="56">
        <v>58</v>
      </c>
      <c r="Y34" s="58">
        <v>21311</v>
      </c>
      <c r="Z34" s="56">
        <v>51</v>
      </c>
      <c r="AA34" s="58">
        <v>19222</v>
      </c>
      <c r="AB34" s="56">
        <v>46</v>
      </c>
      <c r="AC34" s="58">
        <v>15880</v>
      </c>
      <c r="AD34" s="56">
        <v>38</v>
      </c>
      <c r="AE34" s="58">
        <v>11282</v>
      </c>
      <c r="AF34" s="56">
        <v>27</v>
      </c>
      <c r="AG34" s="58">
        <v>18804</v>
      </c>
      <c r="AH34" s="56">
        <v>45</v>
      </c>
      <c r="AI34" s="58">
        <v>13372</v>
      </c>
      <c r="AJ34" s="56">
        <v>32</v>
      </c>
      <c r="AK34" s="58">
        <v>11282</v>
      </c>
      <c r="AL34" s="56">
        <v>27</v>
      </c>
      <c r="AM34" s="58">
        <v>13789</v>
      </c>
      <c r="AN34" s="56">
        <v>33</v>
      </c>
      <c r="AO34" s="58">
        <v>13372</v>
      </c>
      <c r="AP34" s="56">
        <v>32</v>
      </c>
      <c r="AQ34" s="58">
        <v>11700</v>
      </c>
      <c r="AR34" s="56">
        <v>28</v>
      </c>
      <c r="AS34" s="58">
        <v>15461</v>
      </c>
      <c r="AT34" s="56">
        <v>37</v>
      </c>
      <c r="AU34" s="58">
        <v>15879</v>
      </c>
      <c r="AV34" s="56">
        <v>38</v>
      </c>
      <c r="AW34" s="58">
        <v>14625</v>
      </c>
      <c r="AX34" s="56">
        <v>35</v>
      </c>
      <c r="AY34" s="58">
        <v>16297</v>
      </c>
      <c r="AZ34" s="56">
        <v>39</v>
      </c>
      <c r="BA34" s="58">
        <v>16714</v>
      </c>
      <c r="BB34" s="56">
        <v>40</v>
      </c>
      <c r="BC34" s="58">
        <v>17132</v>
      </c>
      <c r="BD34" s="56">
        <v>41</v>
      </c>
      <c r="BE34" s="58">
        <v>10447</v>
      </c>
      <c r="BF34" s="56">
        <v>25</v>
      </c>
      <c r="BG34" s="58">
        <v>8775</v>
      </c>
      <c r="BH34" s="56">
        <v>21</v>
      </c>
      <c r="BI34" s="58">
        <v>9193</v>
      </c>
      <c r="BJ34" s="56">
        <v>22</v>
      </c>
      <c r="BK34" s="58">
        <v>11282</v>
      </c>
      <c r="BL34" s="56">
        <v>27</v>
      </c>
      <c r="BM34" s="58">
        <v>14625</v>
      </c>
      <c r="BN34" s="59">
        <v>35</v>
      </c>
    </row>
    <row r="35" spans="1:66" ht="15.75" customHeight="1">
      <c r="A35" s="8"/>
      <c r="B35" s="55" t="s">
        <v>100</v>
      </c>
      <c r="C35" s="56" t="s">
        <v>103</v>
      </c>
      <c r="D35" s="57" t="s">
        <v>145</v>
      </c>
      <c r="E35" s="58">
        <v>0</v>
      </c>
      <c r="F35" s="56">
        <v>0</v>
      </c>
      <c r="G35" s="58">
        <v>0</v>
      </c>
      <c r="H35" s="56">
        <v>0</v>
      </c>
      <c r="I35" s="58">
        <v>0</v>
      </c>
      <c r="J35" s="56">
        <v>0</v>
      </c>
      <c r="K35" s="58">
        <v>0</v>
      </c>
      <c r="L35" s="56">
        <v>0</v>
      </c>
      <c r="M35" s="58">
        <v>0</v>
      </c>
      <c r="N35" s="56">
        <v>0</v>
      </c>
      <c r="O35" s="58">
        <v>0</v>
      </c>
      <c r="P35" s="56">
        <v>0</v>
      </c>
      <c r="Q35" s="58">
        <v>0</v>
      </c>
      <c r="R35" s="56">
        <v>0</v>
      </c>
      <c r="S35" s="58">
        <v>0</v>
      </c>
      <c r="T35" s="56">
        <v>0</v>
      </c>
      <c r="U35" s="58">
        <v>0</v>
      </c>
      <c r="V35" s="56">
        <v>0</v>
      </c>
      <c r="W35" s="58">
        <v>0</v>
      </c>
      <c r="X35" s="56">
        <v>0</v>
      </c>
      <c r="Y35" s="58">
        <v>0</v>
      </c>
      <c r="Z35" s="56">
        <v>0</v>
      </c>
      <c r="AA35" s="58">
        <v>0</v>
      </c>
      <c r="AB35" s="56">
        <v>0</v>
      </c>
      <c r="AC35" s="58">
        <v>0</v>
      </c>
      <c r="AD35" s="56">
        <v>0</v>
      </c>
      <c r="AE35" s="58">
        <v>0</v>
      </c>
      <c r="AF35" s="56">
        <v>0</v>
      </c>
      <c r="AG35" s="58">
        <v>0</v>
      </c>
      <c r="AH35" s="56">
        <v>0</v>
      </c>
      <c r="AI35" s="58">
        <v>0</v>
      </c>
      <c r="AJ35" s="56">
        <v>0</v>
      </c>
      <c r="AK35" s="58">
        <v>0</v>
      </c>
      <c r="AL35" s="56">
        <v>0</v>
      </c>
      <c r="AM35" s="58">
        <v>479</v>
      </c>
      <c r="AN35" s="56">
        <v>1</v>
      </c>
      <c r="AO35" s="58">
        <v>0</v>
      </c>
      <c r="AP35" s="56">
        <v>0</v>
      </c>
      <c r="AQ35" s="58">
        <v>0</v>
      </c>
      <c r="AR35" s="56">
        <v>0</v>
      </c>
      <c r="AS35" s="58">
        <v>0</v>
      </c>
      <c r="AT35" s="56">
        <v>0</v>
      </c>
      <c r="AU35" s="58">
        <v>0</v>
      </c>
      <c r="AV35" s="56">
        <v>0</v>
      </c>
      <c r="AW35" s="58">
        <v>0</v>
      </c>
      <c r="AX35" s="56">
        <v>0</v>
      </c>
      <c r="AY35" s="58">
        <v>0</v>
      </c>
      <c r="AZ35" s="56">
        <v>0</v>
      </c>
      <c r="BA35" s="58">
        <v>0</v>
      </c>
      <c r="BB35" s="56">
        <v>0</v>
      </c>
      <c r="BC35" s="58">
        <v>0</v>
      </c>
      <c r="BD35" s="56">
        <v>0</v>
      </c>
      <c r="BE35" s="58">
        <v>0</v>
      </c>
      <c r="BF35" s="56">
        <v>0</v>
      </c>
      <c r="BG35" s="58">
        <v>0</v>
      </c>
      <c r="BH35" s="56">
        <v>0</v>
      </c>
      <c r="BI35" s="58">
        <v>0</v>
      </c>
      <c r="BJ35" s="56">
        <v>0</v>
      </c>
      <c r="BK35" s="58">
        <v>0</v>
      </c>
      <c r="BL35" s="56">
        <v>0</v>
      </c>
      <c r="BM35" s="58">
        <v>0</v>
      </c>
      <c r="BN35" s="59">
        <v>0</v>
      </c>
    </row>
    <row r="36" spans="1:66" ht="15.75" customHeight="1">
      <c r="A36" s="8"/>
      <c r="B36" s="55" t="s">
        <v>61</v>
      </c>
      <c r="C36" s="56" t="s">
        <v>101</v>
      </c>
      <c r="D36" s="57" t="s">
        <v>147</v>
      </c>
      <c r="E36" s="58">
        <v>2368</v>
      </c>
      <c r="F36" s="56">
        <v>5</v>
      </c>
      <c r="G36" s="58">
        <v>3249</v>
      </c>
      <c r="H36" s="56">
        <v>7</v>
      </c>
      <c r="I36" s="58">
        <v>928</v>
      </c>
      <c r="J36" s="56">
        <v>2</v>
      </c>
      <c r="K36" s="58">
        <v>464</v>
      </c>
      <c r="L36" s="56">
        <v>1</v>
      </c>
      <c r="M36" s="58">
        <v>928</v>
      </c>
      <c r="N36" s="56">
        <v>2</v>
      </c>
      <c r="O36" s="58">
        <v>928</v>
      </c>
      <c r="P36" s="56">
        <v>2</v>
      </c>
      <c r="Q36" s="58">
        <v>928</v>
      </c>
      <c r="R36" s="56">
        <v>2</v>
      </c>
      <c r="S36" s="58">
        <v>1392</v>
      </c>
      <c r="T36" s="56">
        <v>3</v>
      </c>
      <c r="U36" s="58">
        <v>928</v>
      </c>
      <c r="V36" s="56">
        <v>2</v>
      </c>
      <c r="W36" s="58">
        <v>2321</v>
      </c>
      <c r="X36" s="56">
        <v>5</v>
      </c>
      <c r="Y36" s="58">
        <v>464</v>
      </c>
      <c r="Z36" s="56">
        <v>1</v>
      </c>
      <c r="AA36" s="58">
        <v>464</v>
      </c>
      <c r="AB36" s="56">
        <v>1</v>
      </c>
      <c r="AC36" s="58">
        <v>0</v>
      </c>
      <c r="AD36" s="56">
        <v>0</v>
      </c>
      <c r="AE36" s="58">
        <v>0</v>
      </c>
      <c r="AF36" s="56">
        <v>0</v>
      </c>
      <c r="AG36" s="58">
        <v>3249</v>
      </c>
      <c r="AH36" s="56">
        <v>7</v>
      </c>
      <c r="AI36" s="58">
        <v>464</v>
      </c>
      <c r="AJ36" s="56">
        <v>1</v>
      </c>
      <c r="AK36" s="58">
        <v>928</v>
      </c>
      <c r="AL36" s="56">
        <v>2</v>
      </c>
      <c r="AM36" s="58">
        <v>1392</v>
      </c>
      <c r="AN36" s="56">
        <v>3</v>
      </c>
      <c r="AO36" s="58">
        <v>2785</v>
      </c>
      <c r="AP36" s="56">
        <v>6</v>
      </c>
      <c r="AQ36" s="58">
        <v>1392</v>
      </c>
      <c r="AR36" s="56">
        <v>3</v>
      </c>
      <c r="AS36" s="58">
        <v>464</v>
      </c>
      <c r="AT36" s="56">
        <v>1</v>
      </c>
      <c r="AU36" s="58">
        <v>1402</v>
      </c>
      <c r="AV36" s="56">
        <v>3</v>
      </c>
      <c r="AW36" s="58">
        <v>0</v>
      </c>
      <c r="AX36" s="56">
        <v>0</v>
      </c>
      <c r="AY36" s="58">
        <v>455</v>
      </c>
      <c r="AZ36" s="56">
        <v>1</v>
      </c>
      <c r="BA36" s="58">
        <v>0</v>
      </c>
      <c r="BB36" s="56">
        <v>0</v>
      </c>
      <c r="BC36" s="58">
        <v>0</v>
      </c>
      <c r="BD36" s="56">
        <v>0</v>
      </c>
      <c r="BE36" s="58">
        <v>0</v>
      </c>
      <c r="BF36" s="56">
        <v>0</v>
      </c>
      <c r="BG36" s="58">
        <v>0</v>
      </c>
      <c r="BH36" s="56">
        <v>0</v>
      </c>
      <c r="BI36" s="58">
        <v>2083</v>
      </c>
      <c r="BJ36" s="56">
        <v>5</v>
      </c>
      <c r="BK36" s="58">
        <v>1667</v>
      </c>
      <c r="BL36" s="56">
        <v>4</v>
      </c>
      <c r="BM36" s="58">
        <v>0</v>
      </c>
      <c r="BN36" s="59">
        <v>0</v>
      </c>
    </row>
    <row r="37" spans="1:66" ht="15.75" customHeight="1">
      <c r="A37" s="8"/>
      <c r="B37" s="50" t="s">
        <v>38</v>
      </c>
      <c r="C37" s="51" t="s">
        <v>104</v>
      </c>
      <c r="D37" s="52" t="s">
        <v>144</v>
      </c>
      <c r="E37" s="53">
        <v>0</v>
      </c>
      <c r="F37" s="51">
        <v>0</v>
      </c>
      <c r="G37" s="53">
        <v>0</v>
      </c>
      <c r="H37" s="51">
        <v>0</v>
      </c>
      <c r="I37" s="53">
        <v>0</v>
      </c>
      <c r="J37" s="51">
        <v>0</v>
      </c>
      <c r="K37" s="53">
        <v>0</v>
      </c>
      <c r="L37" s="51">
        <v>0</v>
      </c>
      <c r="M37" s="53">
        <v>0</v>
      </c>
      <c r="N37" s="51">
        <v>0</v>
      </c>
      <c r="O37" s="53">
        <v>0</v>
      </c>
      <c r="P37" s="51">
        <v>0</v>
      </c>
      <c r="Q37" s="53">
        <v>0</v>
      </c>
      <c r="R37" s="51">
        <v>0</v>
      </c>
      <c r="S37" s="53">
        <v>0</v>
      </c>
      <c r="T37" s="51">
        <v>0</v>
      </c>
      <c r="U37" s="53">
        <v>0</v>
      </c>
      <c r="V37" s="51">
        <v>0</v>
      </c>
      <c r="W37" s="53">
        <v>0</v>
      </c>
      <c r="X37" s="51">
        <v>0</v>
      </c>
      <c r="Y37" s="53">
        <v>0</v>
      </c>
      <c r="Z37" s="51">
        <v>0</v>
      </c>
      <c r="AA37" s="53">
        <v>0</v>
      </c>
      <c r="AB37" s="51">
        <v>0</v>
      </c>
      <c r="AC37" s="53">
        <v>0</v>
      </c>
      <c r="AD37" s="51">
        <v>0</v>
      </c>
      <c r="AE37" s="53">
        <v>0</v>
      </c>
      <c r="AF37" s="51">
        <v>0</v>
      </c>
      <c r="AG37" s="53">
        <v>0</v>
      </c>
      <c r="AH37" s="51">
        <v>0</v>
      </c>
      <c r="AI37" s="53">
        <v>0</v>
      </c>
      <c r="AJ37" s="51">
        <v>0</v>
      </c>
      <c r="AK37" s="53">
        <v>0</v>
      </c>
      <c r="AL37" s="51">
        <v>0</v>
      </c>
      <c r="AM37" s="53">
        <v>0</v>
      </c>
      <c r="AN37" s="51">
        <v>0</v>
      </c>
      <c r="AO37" s="53">
        <v>0</v>
      </c>
      <c r="AP37" s="51">
        <v>0</v>
      </c>
      <c r="AQ37" s="53">
        <v>0</v>
      </c>
      <c r="AR37" s="51">
        <v>0</v>
      </c>
      <c r="AS37" s="53">
        <v>0</v>
      </c>
      <c r="AT37" s="51">
        <v>0</v>
      </c>
      <c r="AU37" s="53">
        <v>0</v>
      </c>
      <c r="AV37" s="51">
        <v>0</v>
      </c>
      <c r="AW37" s="53">
        <v>0</v>
      </c>
      <c r="AX37" s="51">
        <v>0</v>
      </c>
      <c r="AY37" s="53">
        <v>0</v>
      </c>
      <c r="AZ37" s="51">
        <v>0</v>
      </c>
      <c r="BA37" s="53">
        <v>0</v>
      </c>
      <c r="BB37" s="51">
        <v>0</v>
      </c>
      <c r="BC37" s="53">
        <v>0</v>
      </c>
      <c r="BD37" s="51">
        <v>0</v>
      </c>
      <c r="BE37" s="53">
        <v>0</v>
      </c>
      <c r="BF37" s="51">
        <v>0</v>
      </c>
      <c r="BG37" s="53">
        <v>0</v>
      </c>
      <c r="BH37" s="51">
        <v>0</v>
      </c>
      <c r="BI37" s="53">
        <v>0</v>
      </c>
      <c r="BJ37" s="51">
        <v>0</v>
      </c>
      <c r="BK37" s="53">
        <v>0</v>
      </c>
      <c r="BL37" s="51">
        <v>0</v>
      </c>
      <c r="BM37" s="53">
        <v>0</v>
      </c>
      <c r="BN37" s="54">
        <v>0</v>
      </c>
    </row>
    <row r="38" spans="1:66" ht="15.75" customHeight="1">
      <c r="A38" s="8"/>
      <c r="B38" s="55" t="s">
        <v>37</v>
      </c>
      <c r="C38" s="56" t="s">
        <v>103</v>
      </c>
      <c r="D38" s="57" t="s">
        <v>146</v>
      </c>
      <c r="E38" s="58">
        <v>487</v>
      </c>
      <c r="F38" s="56">
        <v>3</v>
      </c>
      <c r="G38" s="58">
        <v>1163</v>
      </c>
      <c r="H38" s="56">
        <v>7</v>
      </c>
      <c r="I38" s="58">
        <v>1083</v>
      </c>
      <c r="J38" s="56">
        <v>7</v>
      </c>
      <c r="K38" s="58">
        <v>487</v>
      </c>
      <c r="L38" s="56">
        <v>3</v>
      </c>
      <c r="M38" s="58">
        <v>716</v>
      </c>
      <c r="N38" s="56">
        <v>4</v>
      </c>
      <c r="O38" s="58">
        <v>447</v>
      </c>
      <c r="P38" s="56">
        <v>3</v>
      </c>
      <c r="Q38" s="58">
        <v>984</v>
      </c>
      <c r="R38" s="56">
        <v>6</v>
      </c>
      <c r="S38" s="58">
        <v>785</v>
      </c>
      <c r="T38" s="56">
        <v>5</v>
      </c>
      <c r="U38" s="58">
        <v>865</v>
      </c>
      <c r="V38" s="56">
        <v>5</v>
      </c>
      <c r="W38" s="58">
        <v>636</v>
      </c>
      <c r="X38" s="56">
        <v>4</v>
      </c>
      <c r="Y38" s="58">
        <v>596</v>
      </c>
      <c r="Z38" s="56">
        <v>4</v>
      </c>
      <c r="AA38" s="58">
        <v>1014</v>
      </c>
      <c r="AB38" s="56">
        <v>6</v>
      </c>
      <c r="AC38" s="58">
        <v>447</v>
      </c>
      <c r="AD38" s="56">
        <v>3</v>
      </c>
      <c r="AE38" s="58">
        <v>487</v>
      </c>
      <c r="AF38" s="56">
        <v>3</v>
      </c>
      <c r="AG38" s="58">
        <v>447</v>
      </c>
      <c r="AH38" s="56">
        <v>3</v>
      </c>
      <c r="AI38" s="58">
        <v>905</v>
      </c>
      <c r="AJ38" s="56">
        <v>5</v>
      </c>
      <c r="AK38" s="58">
        <v>865</v>
      </c>
      <c r="AL38" s="56">
        <v>5</v>
      </c>
      <c r="AM38" s="58">
        <v>189</v>
      </c>
      <c r="AN38" s="56">
        <v>1</v>
      </c>
      <c r="AO38" s="58">
        <v>785</v>
      </c>
      <c r="AP38" s="56">
        <v>5</v>
      </c>
      <c r="AQ38" s="58">
        <v>338</v>
      </c>
      <c r="AR38" s="56">
        <v>2</v>
      </c>
      <c r="AS38" s="58">
        <v>1075</v>
      </c>
      <c r="AT38" s="56">
        <v>5</v>
      </c>
      <c r="AU38" s="58">
        <v>1314</v>
      </c>
      <c r="AV38" s="56">
        <v>6</v>
      </c>
      <c r="AW38" s="58">
        <v>1632</v>
      </c>
      <c r="AX38" s="56">
        <v>8</v>
      </c>
      <c r="AY38" s="58">
        <v>1075</v>
      </c>
      <c r="AZ38" s="56">
        <v>5</v>
      </c>
      <c r="BA38" s="58">
        <v>2349</v>
      </c>
      <c r="BB38" s="56">
        <v>11</v>
      </c>
      <c r="BC38" s="58">
        <v>677</v>
      </c>
      <c r="BD38" s="56">
        <v>3</v>
      </c>
      <c r="BE38" s="58">
        <v>1234</v>
      </c>
      <c r="BF38" s="56">
        <v>6</v>
      </c>
      <c r="BG38" s="58">
        <v>1632</v>
      </c>
      <c r="BH38" s="56">
        <v>8</v>
      </c>
      <c r="BI38" s="58">
        <v>1115</v>
      </c>
      <c r="BJ38" s="56">
        <v>5</v>
      </c>
      <c r="BK38" s="58">
        <v>1075</v>
      </c>
      <c r="BL38" s="56">
        <v>5</v>
      </c>
      <c r="BM38" s="58">
        <v>1632</v>
      </c>
      <c r="BN38" s="59">
        <v>8</v>
      </c>
    </row>
    <row r="39" spans="1:66" ht="15.75" customHeight="1">
      <c r="A39" s="8"/>
      <c r="B39" s="55" t="s">
        <v>50</v>
      </c>
      <c r="C39" s="56" t="s">
        <v>104</v>
      </c>
      <c r="D39" s="57" t="s">
        <v>144</v>
      </c>
      <c r="E39" s="58">
        <v>487</v>
      </c>
      <c r="F39" s="56">
        <v>3</v>
      </c>
      <c r="G39" s="58">
        <v>1163</v>
      </c>
      <c r="H39" s="56">
        <v>7</v>
      </c>
      <c r="I39" s="58">
        <v>1083</v>
      </c>
      <c r="J39" s="56">
        <v>7</v>
      </c>
      <c r="K39" s="58">
        <v>487</v>
      </c>
      <c r="L39" s="56">
        <v>3</v>
      </c>
      <c r="M39" s="58">
        <v>716</v>
      </c>
      <c r="N39" s="56">
        <v>4</v>
      </c>
      <c r="O39" s="58">
        <v>447</v>
      </c>
      <c r="P39" s="56">
        <v>3</v>
      </c>
      <c r="Q39" s="58">
        <v>984</v>
      </c>
      <c r="R39" s="56">
        <v>6</v>
      </c>
      <c r="S39" s="58">
        <v>785</v>
      </c>
      <c r="T39" s="56">
        <v>5</v>
      </c>
      <c r="U39" s="58">
        <v>865</v>
      </c>
      <c r="V39" s="56">
        <v>5</v>
      </c>
      <c r="W39" s="58">
        <v>636</v>
      </c>
      <c r="X39" s="56">
        <v>4</v>
      </c>
      <c r="Y39" s="58">
        <v>596</v>
      </c>
      <c r="Z39" s="56">
        <v>4</v>
      </c>
      <c r="AA39" s="58">
        <v>1014</v>
      </c>
      <c r="AB39" s="56">
        <v>6</v>
      </c>
      <c r="AC39" s="58">
        <v>447</v>
      </c>
      <c r="AD39" s="56">
        <v>3</v>
      </c>
      <c r="AE39" s="58">
        <v>487</v>
      </c>
      <c r="AF39" s="56">
        <v>3</v>
      </c>
      <c r="AG39" s="58">
        <v>447</v>
      </c>
      <c r="AH39" s="56">
        <v>3</v>
      </c>
      <c r="AI39" s="58">
        <v>905</v>
      </c>
      <c r="AJ39" s="56">
        <v>5</v>
      </c>
      <c r="AK39" s="58">
        <v>865</v>
      </c>
      <c r="AL39" s="56">
        <v>5</v>
      </c>
      <c r="AM39" s="58">
        <v>189</v>
      </c>
      <c r="AN39" s="56">
        <v>1</v>
      </c>
      <c r="AO39" s="58">
        <v>785</v>
      </c>
      <c r="AP39" s="56">
        <v>5</v>
      </c>
      <c r="AQ39" s="58">
        <v>338</v>
      </c>
      <c r="AR39" s="56">
        <v>2</v>
      </c>
      <c r="AS39" s="58">
        <v>1075</v>
      </c>
      <c r="AT39" s="56">
        <v>5</v>
      </c>
      <c r="AU39" s="58">
        <v>1314</v>
      </c>
      <c r="AV39" s="56">
        <v>6</v>
      </c>
      <c r="AW39" s="58">
        <v>1632</v>
      </c>
      <c r="AX39" s="56">
        <v>8</v>
      </c>
      <c r="AY39" s="58">
        <v>1075</v>
      </c>
      <c r="AZ39" s="56">
        <v>5</v>
      </c>
      <c r="BA39" s="58">
        <v>2349</v>
      </c>
      <c r="BB39" s="56">
        <v>11</v>
      </c>
      <c r="BC39" s="58">
        <v>677</v>
      </c>
      <c r="BD39" s="56">
        <v>3</v>
      </c>
      <c r="BE39" s="58">
        <v>1234</v>
      </c>
      <c r="BF39" s="56">
        <v>6</v>
      </c>
      <c r="BG39" s="58">
        <v>1632</v>
      </c>
      <c r="BH39" s="56">
        <v>8</v>
      </c>
      <c r="BI39" s="58">
        <v>1115</v>
      </c>
      <c r="BJ39" s="56">
        <v>5</v>
      </c>
      <c r="BK39" s="58">
        <v>1075</v>
      </c>
      <c r="BL39" s="56">
        <v>5</v>
      </c>
      <c r="BM39" s="58">
        <v>1632</v>
      </c>
      <c r="BN39" s="59">
        <v>8</v>
      </c>
    </row>
    <row r="40" spans="1:66" ht="15.75" customHeight="1">
      <c r="A40" s="8"/>
      <c r="B40" s="50" t="s">
        <v>85</v>
      </c>
      <c r="C40" s="51" t="s">
        <v>104</v>
      </c>
      <c r="D40" s="52" t="s">
        <v>142</v>
      </c>
      <c r="E40" s="53">
        <v>0</v>
      </c>
      <c r="F40" s="51">
        <v>0</v>
      </c>
      <c r="G40" s="53">
        <v>0</v>
      </c>
      <c r="H40" s="51">
        <v>0</v>
      </c>
      <c r="I40" s="53">
        <v>0</v>
      </c>
      <c r="J40" s="51">
        <v>0</v>
      </c>
      <c r="K40" s="53">
        <v>0</v>
      </c>
      <c r="L40" s="51">
        <v>0</v>
      </c>
      <c r="M40" s="53">
        <v>0</v>
      </c>
      <c r="N40" s="51">
        <v>0</v>
      </c>
      <c r="O40" s="53">
        <v>0</v>
      </c>
      <c r="P40" s="51">
        <v>0</v>
      </c>
      <c r="Q40" s="53">
        <v>0</v>
      </c>
      <c r="R40" s="51">
        <v>0</v>
      </c>
      <c r="S40" s="53">
        <v>0</v>
      </c>
      <c r="T40" s="51">
        <v>0</v>
      </c>
      <c r="U40" s="53">
        <v>0</v>
      </c>
      <c r="V40" s="51">
        <v>0</v>
      </c>
      <c r="W40" s="53">
        <v>0</v>
      </c>
      <c r="X40" s="51">
        <v>0</v>
      </c>
      <c r="Y40" s="53">
        <v>0</v>
      </c>
      <c r="Z40" s="51">
        <v>0</v>
      </c>
      <c r="AA40" s="53">
        <v>0</v>
      </c>
      <c r="AB40" s="51">
        <v>0</v>
      </c>
      <c r="AC40" s="53">
        <v>0</v>
      </c>
      <c r="AD40" s="51">
        <v>0</v>
      </c>
      <c r="AE40" s="53">
        <v>0</v>
      </c>
      <c r="AF40" s="51">
        <v>0</v>
      </c>
      <c r="AG40" s="53">
        <v>0</v>
      </c>
      <c r="AH40" s="51">
        <v>0</v>
      </c>
      <c r="AI40" s="53">
        <v>0</v>
      </c>
      <c r="AJ40" s="51">
        <v>0</v>
      </c>
      <c r="AK40" s="53">
        <v>0</v>
      </c>
      <c r="AL40" s="51">
        <v>0</v>
      </c>
      <c r="AM40" s="53">
        <v>0</v>
      </c>
      <c r="AN40" s="51">
        <v>0</v>
      </c>
      <c r="AO40" s="53">
        <v>359</v>
      </c>
      <c r="AP40" s="51">
        <v>1</v>
      </c>
      <c r="AQ40" s="53">
        <v>0</v>
      </c>
      <c r="AR40" s="51">
        <v>0</v>
      </c>
      <c r="AS40" s="53">
        <v>0</v>
      </c>
      <c r="AT40" s="51">
        <v>0</v>
      </c>
      <c r="AU40" s="53">
        <v>0</v>
      </c>
      <c r="AV40" s="51">
        <v>0</v>
      </c>
      <c r="AW40" s="53">
        <v>0</v>
      </c>
      <c r="AX40" s="51">
        <v>0</v>
      </c>
      <c r="AY40" s="53">
        <v>0</v>
      </c>
      <c r="AZ40" s="51">
        <v>0</v>
      </c>
      <c r="BA40" s="53">
        <v>0</v>
      </c>
      <c r="BB40" s="51">
        <v>0</v>
      </c>
      <c r="BC40" s="53">
        <v>0</v>
      </c>
      <c r="BD40" s="51">
        <v>0</v>
      </c>
      <c r="BE40" s="53">
        <v>758</v>
      </c>
      <c r="BF40" s="51">
        <v>2</v>
      </c>
      <c r="BG40" s="53">
        <v>359</v>
      </c>
      <c r="BH40" s="51">
        <v>1</v>
      </c>
      <c r="BI40" s="53">
        <v>0</v>
      </c>
      <c r="BJ40" s="51">
        <v>0</v>
      </c>
      <c r="BK40" s="53">
        <v>0</v>
      </c>
      <c r="BL40" s="51">
        <v>0</v>
      </c>
      <c r="BM40" s="53">
        <v>0</v>
      </c>
      <c r="BN40" s="54">
        <v>0</v>
      </c>
    </row>
    <row r="41" spans="1:66" ht="15.75" customHeight="1">
      <c r="A41" s="8"/>
      <c r="B41" s="50" t="s">
        <v>36</v>
      </c>
      <c r="C41" s="51" t="s">
        <v>104</v>
      </c>
      <c r="D41" s="52" t="s">
        <v>143</v>
      </c>
      <c r="E41" s="53">
        <v>0</v>
      </c>
      <c r="F41" s="51">
        <v>0</v>
      </c>
      <c r="G41" s="53">
        <v>852</v>
      </c>
      <c r="H41" s="51">
        <v>3</v>
      </c>
      <c r="I41" s="53">
        <v>284</v>
      </c>
      <c r="J41" s="51">
        <v>1</v>
      </c>
      <c r="K41" s="53">
        <v>0</v>
      </c>
      <c r="L41" s="51">
        <v>0</v>
      </c>
      <c r="M41" s="53">
        <v>568</v>
      </c>
      <c r="N41" s="51">
        <v>2</v>
      </c>
      <c r="O41" s="53">
        <v>284</v>
      </c>
      <c r="P41" s="51">
        <v>1</v>
      </c>
      <c r="Q41" s="53">
        <v>852</v>
      </c>
      <c r="R41" s="51">
        <v>3</v>
      </c>
      <c r="S41" s="53">
        <v>0</v>
      </c>
      <c r="T41" s="51">
        <v>0</v>
      </c>
      <c r="U41" s="53">
        <v>0</v>
      </c>
      <c r="V41" s="51">
        <v>0</v>
      </c>
      <c r="W41" s="53">
        <v>568</v>
      </c>
      <c r="X41" s="51">
        <v>2</v>
      </c>
      <c r="Y41" s="53">
        <v>0</v>
      </c>
      <c r="Z41" s="51">
        <v>0</v>
      </c>
      <c r="AA41" s="53">
        <v>284</v>
      </c>
      <c r="AB41" s="51">
        <v>1</v>
      </c>
      <c r="AC41" s="53">
        <v>0</v>
      </c>
      <c r="AD41" s="51">
        <v>0</v>
      </c>
      <c r="AE41" s="53">
        <v>0</v>
      </c>
      <c r="AF41" s="51">
        <v>0</v>
      </c>
      <c r="AG41" s="53">
        <v>573</v>
      </c>
      <c r="AH41" s="51">
        <v>2</v>
      </c>
      <c r="AI41" s="53">
        <v>177</v>
      </c>
      <c r="AJ41" s="51">
        <v>1</v>
      </c>
      <c r="AK41" s="53">
        <v>466</v>
      </c>
      <c r="AL41" s="51">
        <v>2</v>
      </c>
      <c r="AM41" s="53">
        <v>0</v>
      </c>
      <c r="AN41" s="51">
        <v>0</v>
      </c>
      <c r="AO41" s="53">
        <v>857</v>
      </c>
      <c r="AP41" s="51">
        <v>3</v>
      </c>
      <c r="AQ41" s="53">
        <v>568</v>
      </c>
      <c r="AR41" s="51">
        <v>2</v>
      </c>
      <c r="AS41" s="53">
        <v>466</v>
      </c>
      <c r="AT41" s="51">
        <v>2</v>
      </c>
      <c r="AU41" s="53">
        <v>867</v>
      </c>
      <c r="AV41" s="51">
        <v>3</v>
      </c>
      <c r="AW41" s="53">
        <v>2797</v>
      </c>
      <c r="AX41" s="51">
        <v>12</v>
      </c>
      <c r="AY41" s="53">
        <v>1110</v>
      </c>
      <c r="AZ41" s="51">
        <v>5</v>
      </c>
      <c r="BA41" s="53">
        <v>1464</v>
      </c>
      <c r="BB41" s="51">
        <v>7</v>
      </c>
      <c r="BC41" s="53">
        <v>1380</v>
      </c>
      <c r="BD41" s="51">
        <v>5</v>
      </c>
      <c r="BE41" s="53">
        <v>1647</v>
      </c>
      <c r="BF41" s="51">
        <v>6</v>
      </c>
      <c r="BG41" s="53">
        <v>1333</v>
      </c>
      <c r="BH41" s="51">
        <v>5</v>
      </c>
      <c r="BI41" s="53">
        <v>3637</v>
      </c>
      <c r="BJ41" s="51">
        <v>18</v>
      </c>
      <c r="BK41" s="53">
        <v>1221</v>
      </c>
      <c r="BL41" s="51">
        <v>5</v>
      </c>
      <c r="BM41" s="53">
        <v>2797</v>
      </c>
      <c r="BN41" s="54">
        <v>12</v>
      </c>
    </row>
    <row r="42" spans="1:66" ht="15.75" customHeight="1">
      <c r="A42" s="8"/>
      <c r="B42" s="50" t="s">
        <v>95</v>
      </c>
      <c r="C42" s="51" t="s">
        <v>104</v>
      </c>
      <c r="D42" s="52" t="s">
        <v>142</v>
      </c>
      <c r="E42" s="53">
        <v>2739</v>
      </c>
      <c r="F42" s="51">
        <v>11</v>
      </c>
      <c r="G42" s="53">
        <v>2530</v>
      </c>
      <c r="H42" s="51">
        <v>10</v>
      </c>
      <c r="I42" s="53">
        <v>1823</v>
      </c>
      <c r="J42" s="51">
        <v>7</v>
      </c>
      <c r="K42" s="53">
        <v>1743</v>
      </c>
      <c r="L42" s="51">
        <v>7</v>
      </c>
      <c r="M42" s="53">
        <v>3526</v>
      </c>
      <c r="N42" s="51">
        <v>14</v>
      </c>
      <c r="O42" s="53">
        <v>3068</v>
      </c>
      <c r="P42" s="51">
        <v>12</v>
      </c>
      <c r="Q42" s="53">
        <v>4353</v>
      </c>
      <c r="R42" s="51">
        <v>17</v>
      </c>
      <c r="S42" s="53">
        <v>1245</v>
      </c>
      <c r="T42" s="51">
        <v>5</v>
      </c>
      <c r="U42" s="53">
        <v>3028</v>
      </c>
      <c r="V42" s="51">
        <v>12</v>
      </c>
      <c r="W42" s="53">
        <v>1823</v>
      </c>
      <c r="X42" s="51">
        <v>7</v>
      </c>
      <c r="Y42" s="53">
        <v>1534</v>
      </c>
      <c r="Z42" s="51">
        <v>6</v>
      </c>
      <c r="AA42" s="53">
        <v>2241</v>
      </c>
      <c r="AB42" s="51">
        <v>9</v>
      </c>
      <c r="AC42" s="53">
        <v>1992</v>
      </c>
      <c r="AD42" s="51">
        <v>8</v>
      </c>
      <c r="AE42" s="53">
        <v>2321</v>
      </c>
      <c r="AF42" s="51">
        <v>9</v>
      </c>
      <c r="AG42" s="53">
        <v>2032</v>
      </c>
      <c r="AH42" s="51">
        <v>8</v>
      </c>
      <c r="AI42" s="53">
        <v>2281</v>
      </c>
      <c r="AJ42" s="51">
        <v>9</v>
      </c>
      <c r="AK42" s="53">
        <v>498</v>
      </c>
      <c r="AL42" s="51">
        <v>2</v>
      </c>
      <c r="AM42" s="53">
        <v>1534</v>
      </c>
      <c r="AN42" s="51">
        <v>6</v>
      </c>
      <c r="AO42" s="53">
        <v>2072</v>
      </c>
      <c r="AP42" s="51">
        <v>8</v>
      </c>
      <c r="AQ42" s="53">
        <v>1036</v>
      </c>
      <c r="AR42" s="51">
        <v>4</v>
      </c>
      <c r="AS42" s="53">
        <v>1343</v>
      </c>
      <c r="AT42" s="51">
        <v>3</v>
      </c>
      <c r="AU42" s="53">
        <v>0</v>
      </c>
      <c r="AV42" s="51">
        <v>0</v>
      </c>
      <c r="AW42" s="53">
        <v>0</v>
      </c>
      <c r="AX42" s="51">
        <v>0</v>
      </c>
      <c r="AY42" s="53">
        <v>0</v>
      </c>
      <c r="AZ42" s="51">
        <v>0</v>
      </c>
      <c r="BA42" s="53">
        <v>0</v>
      </c>
      <c r="BB42" s="51">
        <v>0</v>
      </c>
      <c r="BC42" s="53">
        <v>527</v>
      </c>
      <c r="BD42" s="51">
        <v>1</v>
      </c>
      <c r="BE42" s="53">
        <v>1054</v>
      </c>
      <c r="BF42" s="51">
        <v>2</v>
      </c>
      <c r="BG42" s="53">
        <v>0</v>
      </c>
      <c r="BH42" s="51">
        <v>0</v>
      </c>
      <c r="BI42" s="53">
        <v>0</v>
      </c>
      <c r="BJ42" s="51">
        <v>0</v>
      </c>
      <c r="BK42" s="53">
        <v>0</v>
      </c>
      <c r="BL42" s="51">
        <v>0</v>
      </c>
      <c r="BM42" s="53">
        <v>0</v>
      </c>
      <c r="BN42" s="54">
        <v>0</v>
      </c>
    </row>
    <row r="43" spans="1:66" ht="15.75" customHeight="1">
      <c r="A43" s="8"/>
      <c r="B43" s="50" t="s">
        <v>34</v>
      </c>
      <c r="C43" s="51" t="s">
        <v>103</v>
      </c>
      <c r="D43" s="52" t="s">
        <v>145</v>
      </c>
      <c r="E43" s="53">
        <v>21600</v>
      </c>
      <c r="F43" s="51">
        <v>160</v>
      </c>
      <c r="G43" s="53">
        <v>19035</v>
      </c>
      <c r="H43" s="51">
        <v>141</v>
      </c>
      <c r="I43" s="53">
        <v>18495</v>
      </c>
      <c r="J43" s="51">
        <v>137</v>
      </c>
      <c r="K43" s="53">
        <v>19170</v>
      </c>
      <c r="L43" s="51">
        <v>142</v>
      </c>
      <c r="M43" s="53">
        <v>15930</v>
      </c>
      <c r="N43" s="51">
        <v>118</v>
      </c>
      <c r="O43" s="53">
        <v>19049</v>
      </c>
      <c r="P43" s="51">
        <v>141</v>
      </c>
      <c r="Q43" s="53">
        <v>20250</v>
      </c>
      <c r="R43" s="51">
        <v>150</v>
      </c>
      <c r="S43" s="53">
        <v>20115</v>
      </c>
      <c r="T43" s="51">
        <v>149</v>
      </c>
      <c r="U43" s="53">
        <v>17955</v>
      </c>
      <c r="V43" s="51">
        <v>133</v>
      </c>
      <c r="W43" s="53">
        <v>20115</v>
      </c>
      <c r="X43" s="51">
        <v>149</v>
      </c>
      <c r="Y43" s="53">
        <v>9720</v>
      </c>
      <c r="Z43" s="51">
        <v>72</v>
      </c>
      <c r="AA43" s="53">
        <v>675</v>
      </c>
      <c r="AB43" s="51">
        <v>5</v>
      </c>
      <c r="AC43" s="53">
        <v>2295</v>
      </c>
      <c r="AD43" s="51">
        <v>17</v>
      </c>
      <c r="AE43" s="53">
        <v>945</v>
      </c>
      <c r="AF43" s="51">
        <v>7</v>
      </c>
      <c r="AG43" s="53">
        <v>24030</v>
      </c>
      <c r="AH43" s="51">
        <v>178</v>
      </c>
      <c r="AI43" s="53">
        <v>29685</v>
      </c>
      <c r="AJ43" s="51">
        <v>216</v>
      </c>
      <c r="AK43" s="53">
        <v>34830</v>
      </c>
      <c r="AL43" s="51">
        <v>258</v>
      </c>
      <c r="AM43" s="53">
        <v>27540</v>
      </c>
      <c r="AN43" s="51">
        <v>204</v>
      </c>
      <c r="AO43" s="53">
        <v>26190</v>
      </c>
      <c r="AP43" s="51">
        <v>194</v>
      </c>
      <c r="AQ43" s="53">
        <v>27270</v>
      </c>
      <c r="AR43" s="51">
        <v>202</v>
      </c>
      <c r="AS43" s="53">
        <v>23909</v>
      </c>
      <c r="AT43" s="51">
        <v>177</v>
      </c>
      <c r="AU43" s="53">
        <v>32940</v>
      </c>
      <c r="AV43" s="51">
        <v>244</v>
      </c>
      <c r="AW43" s="53">
        <v>32265</v>
      </c>
      <c r="AX43" s="51">
        <v>239</v>
      </c>
      <c r="AY43" s="53">
        <v>25785</v>
      </c>
      <c r="AZ43" s="51">
        <v>191</v>
      </c>
      <c r="BA43" s="53">
        <v>20250</v>
      </c>
      <c r="BB43" s="51">
        <v>150</v>
      </c>
      <c r="BC43" s="53">
        <v>10530</v>
      </c>
      <c r="BD43" s="51">
        <v>78</v>
      </c>
      <c r="BE43" s="53">
        <v>8259</v>
      </c>
      <c r="BF43" s="51">
        <v>61</v>
      </c>
      <c r="BG43" s="53">
        <v>27369</v>
      </c>
      <c r="BH43" s="51">
        <v>212</v>
      </c>
      <c r="BI43" s="53">
        <v>30187</v>
      </c>
      <c r="BJ43" s="51">
        <v>234</v>
      </c>
      <c r="BK43" s="53">
        <v>27994</v>
      </c>
      <c r="BL43" s="51">
        <v>217</v>
      </c>
      <c r="BM43" s="53">
        <v>32265</v>
      </c>
      <c r="BN43" s="54">
        <v>239</v>
      </c>
    </row>
    <row r="44" spans="1:66" ht="15.75" customHeight="1">
      <c r="A44" s="8"/>
      <c r="B44" s="50" t="s">
        <v>39</v>
      </c>
      <c r="C44" s="51" t="s">
        <v>104</v>
      </c>
      <c r="D44" s="52" t="s">
        <v>142</v>
      </c>
      <c r="E44" s="53">
        <v>877</v>
      </c>
      <c r="F44" s="51">
        <v>3</v>
      </c>
      <c r="G44" s="53">
        <v>767</v>
      </c>
      <c r="H44" s="51">
        <v>3</v>
      </c>
      <c r="I44" s="53">
        <v>1196</v>
      </c>
      <c r="J44" s="51">
        <v>4</v>
      </c>
      <c r="K44" s="53">
        <v>837</v>
      </c>
      <c r="L44" s="51">
        <v>3</v>
      </c>
      <c r="M44" s="53">
        <v>877</v>
      </c>
      <c r="N44" s="51">
        <v>3</v>
      </c>
      <c r="O44" s="53">
        <v>957</v>
      </c>
      <c r="P44" s="51">
        <v>3</v>
      </c>
      <c r="Q44" s="53">
        <v>1156</v>
      </c>
      <c r="R44" s="51">
        <v>4</v>
      </c>
      <c r="S44" s="53">
        <v>1196</v>
      </c>
      <c r="T44" s="51">
        <v>4</v>
      </c>
      <c r="U44" s="53">
        <v>3348</v>
      </c>
      <c r="V44" s="51">
        <v>12</v>
      </c>
      <c r="W44" s="53">
        <v>279</v>
      </c>
      <c r="X44" s="51">
        <v>1</v>
      </c>
      <c r="Y44" s="53">
        <v>558</v>
      </c>
      <c r="Z44" s="51">
        <v>2</v>
      </c>
      <c r="AA44" s="53">
        <v>837</v>
      </c>
      <c r="AB44" s="51">
        <v>3</v>
      </c>
      <c r="AC44" s="53">
        <v>2073</v>
      </c>
      <c r="AD44" s="51">
        <v>7</v>
      </c>
      <c r="AE44" s="53">
        <v>558</v>
      </c>
      <c r="AF44" s="51">
        <v>2</v>
      </c>
      <c r="AG44" s="53">
        <v>1714</v>
      </c>
      <c r="AH44" s="51">
        <v>6</v>
      </c>
      <c r="AI44" s="53">
        <v>1395</v>
      </c>
      <c r="AJ44" s="51">
        <v>5</v>
      </c>
      <c r="AK44" s="53">
        <v>1116</v>
      </c>
      <c r="AL44" s="51">
        <v>4</v>
      </c>
      <c r="AM44" s="53">
        <v>279</v>
      </c>
      <c r="AN44" s="51">
        <v>1</v>
      </c>
      <c r="AO44" s="53">
        <v>279</v>
      </c>
      <c r="AP44" s="51">
        <v>1</v>
      </c>
      <c r="AQ44" s="53">
        <v>279</v>
      </c>
      <c r="AR44" s="51">
        <v>1</v>
      </c>
      <c r="AS44" s="53">
        <v>1668</v>
      </c>
      <c r="AT44" s="51">
        <v>8</v>
      </c>
      <c r="AU44" s="53">
        <v>185</v>
      </c>
      <c r="AV44" s="51">
        <v>1</v>
      </c>
      <c r="AW44" s="53">
        <v>764</v>
      </c>
      <c r="AX44" s="51">
        <v>4</v>
      </c>
      <c r="AY44" s="53">
        <v>804</v>
      </c>
      <c r="AZ44" s="51">
        <v>4</v>
      </c>
      <c r="BA44" s="53">
        <v>613</v>
      </c>
      <c r="BB44" s="51">
        <v>3</v>
      </c>
      <c r="BC44" s="53">
        <v>1560</v>
      </c>
      <c r="BD44" s="51">
        <v>8</v>
      </c>
      <c r="BE44" s="53">
        <v>925</v>
      </c>
      <c r="BF44" s="51">
        <v>5</v>
      </c>
      <c r="BG44" s="53">
        <v>1110</v>
      </c>
      <c r="BH44" s="51">
        <v>6</v>
      </c>
      <c r="BI44" s="53">
        <v>1375</v>
      </c>
      <c r="BJ44" s="51">
        <v>7</v>
      </c>
      <c r="BK44" s="53">
        <v>1190</v>
      </c>
      <c r="BL44" s="51">
        <v>6</v>
      </c>
      <c r="BM44" s="53">
        <v>764</v>
      </c>
      <c r="BN44" s="54">
        <v>4</v>
      </c>
    </row>
    <row r="45" spans="1:66" ht="15.75" customHeight="1">
      <c r="A45" s="8"/>
      <c r="B45" s="55" t="s">
        <v>71</v>
      </c>
      <c r="C45" s="56" t="s">
        <v>103</v>
      </c>
      <c r="D45" s="57" t="s">
        <v>145</v>
      </c>
      <c r="E45" s="58">
        <v>877</v>
      </c>
      <c r="F45" s="56">
        <v>3</v>
      </c>
      <c r="G45" s="58">
        <v>767</v>
      </c>
      <c r="H45" s="56">
        <v>3</v>
      </c>
      <c r="I45" s="58">
        <v>1196</v>
      </c>
      <c r="J45" s="56">
        <v>4</v>
      </c>
      <c r="K45" s="58">
        <v>837</v>
      </c>
      <c r="L45" s="56">
        <v>3</v>
      </c>
      <c r="M45" s="58">
        <v>877</v>
      </c>
      <c r="N45" s="56">
        <v>3</v>
      </c>
      <c r="O45" s="58">
        <v>957</v>
      </c>
      <c r="P45" s="56">
        <v>3</v>
      </c>
      <c r="Q45" s="58">
        <v>1156</v>
      </c>
      <c r="R45" s="56">
        <v>4</v>
      </c>
      <c r="S45" s="58">
        <v>1196</v>
      </c>
      <c r="T45" s="56">
        <v>4</v>
      </c>
      <c r="U45" s="58">
        <v>3348</v>
      </c>
      <c r="V45" s="56">
        <v>12</v>
      </c>
      <c r="W45" s="58">
        <v>279</v>
      </c>
      <c r="X45" s="56">
        <v>1</v>
      </c>
      <c r="Y45" s="58">
        <v>558</v>
      </c>
      <c r="Z45" s="56">
        <v>2</v>
      </c>
      <c r="AA45" s="58">
        <v>837</v>
      </c>
      <c r="AB45" s="56">
        <v>3</v>
      </c>
      <c r="AC45" s="58">
        <v>2073</v>
      </c>
      <c r="AD45" s="56">
        <v>7</v>
      </c>
      <c r="AE45" s="58">
        <v>558</v>
      </c>
      <c r="AF45" s="56">
        <v>2</v>
      </c>
      <c r="AG45" s="58">
        <v>1714</v>
      </c>
      <c r="AH45" s="56">
        <v>6</v>
      </c>
      <c r="AI45" s="58">
        <v>1395</v>
      </c>
      <c r="AJ45" s="56">
        <v>5</v>
      </c>
      <c r="AK45" s="58">
        <v>1116</v>
      </c>
      <c r="AL45" s="56">
        <v>4</v>
      </c>
      <c r="AM45" s="58">
        <v>279</v>
      </c>
      <c r="AN45" s="56">
        <v>1</v>
      </c>
      <c r="AO45" s="58">
        <v>279</v>
      </c>
      <c r="AP45" s="56">
        <v>1</v>
      </c>
      <c r="AQ45" s="58">
        <v>279</v>
      </c>
      <c r="AR45" s="56">
        <v>1</v>
      </c>
      <c r="AS45" s="58">
        <v>1668</v>
      </c>
      <c r="AT45" s="56">
        <v>8</v>
      </c>
      <c r="AU45" s="58">
        <v>185</v>
      </c>
      <c r="AV45" s="56">
        <v>1</v>
      </c>
      <c r="AW45" s="58">
        <v>764</v>
      </c>
      <c r="AX45" s="56">
        <v>4</v>
      </c>
      <c r="AY45" s="58">
        <v>804</v>
      </c>
      <c r="AZ45" s="56">
        <v>4</v>
      </c>
      <c r="BA45" s="58">
        <v>613</v>
      </c>
      <c r="BB45" s="56">
        <v>3</v>
      </c>
      <c r="BC45" s="58">
        <v>1560</v>
      </c>
      <c r="BD45" s="56">
        <v>8</v>
      </c>
      <c r="BE45" s="58">
        <v>925</v>
      </c>
      <c r="BF45" s="56">
        <v>5</v>
      </c>
      <c r="BG45" s="58">
        <v>1110</v>
      </c>
      <c r="BH45" s="56">
        <v>6</v>
      </c>
      <c r="BI45" s="58">
        <v>1375</v>
      </c>
      <c r="BJ45" s="56">
        <v>7</v>
      </c>
      <c r="BK45" s="58">
        <v>1190</v>
      </c>
      <c r="BL45" s="56">
        <v>6</v>
      </c>
      <c r="BM45" s="58">
        <v>764</v>
      </c>
      <c r="BN45" s="59">
        <v>4</v>
      </c>
    </row>
    <row r="46" spans="1:66" ht="15.75" customHeight="1">
      <c r="A46" s="8"/>
      <c r="B46" s="50" t="s">
        <v>35</v>
      </c>
      <c r="C46" s="51" t="s">
        <v>103</v>
      </c>
      <c r="D46" s="52" t="s">
        <v>146</v>
      </c>
      <c r="E46" s="53">
        <v>16512</v>
      </c>
      <c r="F46" s="51">
        <v>128</v>
      </c>
      <c r="G46" s="53">
        <v>18576</v>
      </c>
      <c r="H46" s="51">
        <v>144</v>
      </c>
      <c r="I46" s="53">
        <v>19737</v>
      </c>
      <c r="J46" s="51">
        <v>153</v>
      </c>
      <c r="K46" s="53">
        <v>19350</v>
      </c>
      <c r="L46" s="51">
        <v>150</v>
      </c>
      <c r="M46" s="53">
        <v>16125</v>
      </c>
      <c r="N46" s="51">
        <v>125</v>
      </c>
      <c r="O46" s="53">
        <v>17159</v>
      </c>
      <c r="P46" s="51">
        <v>133</v>
      </c>
      <c r="Q46" s="53">
        <v>16512</v>
      </c>
      <c r="R46" s="51">
        <v>128</v>
      </c>
      <c r="S46" s="53">
        <v>16383</v>
      </c>
      <c r="T46" s="51">
        <v>127</v>
      </c>
      <c r="U46" s="53">
        <v>22446</v>
      </c>
      <c r="V46" s="51">
        <v>174</v>
      </c>
      <c r="W46" s="53">
        <v>23736</v>
      </c>
      <c r="X46" s="51">
        <v>184</v>
      </c>
      <c r="Y46" s="53">
        <v>20640</v>
      </c>
      <c r="Z46" s="51">
        <v>160</v>
      </c>
      <c r="AA46" s="53">
        <v>19737</v>
      </c>
      <c r="AB46" s="51">
        <v>153</v>
      </c>
      <c r="AC46" s="53">
        <v>22581</v>
      </c>
      <c r="AD46" s="51">
        <v>175</v>
      </c>
      <c r="AE46" s="53">
        <v>20640</v>
      </c>
      <c r="AF46" s="51">
        <v>160</v>
      </c>
      <c r="AG46" s="53">
        <v>21801</v>
      </c>
      <c r="AH46" s="51">
        <v>169</v>
      </c>
      <c r="AI46" s="53">
        <v>25596</v>
      </c>
      <c r="AJ46" s="51">
        <v>198</v>
      </c>
      <c r="AK46" s="53">
        <v>27606</v>
      </c>
      <c r="AL46" s="51">
        <v>214</v>
      </c>
      <c r="AM46" s="53">
        <v>21801</v>
      </c>
      <c r="AN46" s="51">
        <v>169</v>
      </c>
      <c r="AO46" s="53">
        <v>18576</v>
      </c>
      <c r="AP46" s="51">
        <v>144</v>
      </c>
      <c r="AQ46" s="53">
        <v>21154</v>
      </c>
      <c r="AR46" s="51">
        <v>164</v>
      </c>
      <c r="AS46" s="53">
        <v>21164</v>
      </c>
      <c r="AT46" s="51">
        <v>164</v>
      </c>
      <c r="AU46" s="53">
        <v>23349</v>
      </c>
      <c r="AV46" s="51">
        <v>181</v>
      </c>
      <c r="AW46" s="53">
        <v>25284</v>
      </c>
      <c r="AX46" s="51">
        <v>196</v>
      </c>
      <c r="AY46" s="53">
        <v>26961</v>
      </c>
      <c r="AZ46" s="51">
        <v>209</v>
      </c>
      <c r="BA46" s="53">
        <v>25026</v>
      </c>
      <c r="BB46" s="51">
        <v>194</v>
      </c>
      <c r="BC46" s="53">
        <v>25155</v>
      </c>
      <c r="BD46" s="51">
        <v>195</v>
      </c>
      <c r="BE46" s="53">
        <v>20507</v>
      </c>
      <c r="BF46" s="51">
        <v>159</v>
      </c>
      <c r="BG46" s="53">
        <v>23226</v>
      </c>
      <c r="BH46" s="51">
        <v>180</v>
      </c>
      <c r="BI46" s="53">
        <v>23349</v>
      </c>
      <c r="BJ46" s="51">
        <v>181</v>
      </c>
      <c r="BK46" s="53">
        <v>22704</v>
      </c>
      <c r="BL46" s="51">
        <v>176</v>
      </c>
      <c r="BM46" s="53">
        <v>25284</v>
      </c>
      <c r="BN46" s="54">
        <v>196</v>
      </c>
    </row>
    <row r="47" spans="1:66" ht="15.75" customHeight="1">
      <c r="A47" s="8"/>
      <c r="B47" s="50" t="s">
        <v>56</v>
      </c>
      <c r="C47" s="51" t="s">
        <v>104</v>
      </c>
      <c r="D47" s="52" t="s">
        <v>142</v>
      </c>
      <c r="E47" s="53">
        <v>0</v>
      </c>
      <c r="F47" s="51">
        <v>0</v>
      </c>
      <c r="G47" s="53">
        <v>0</v>
      </c>
      <c r="H47" s="51">
        <v>0</v>
      </c>
      <c r="I47" s="53">
        <v>0</v>
      </c>
      <c r="J47" s="51">
        <v>0</v>
      </c>
      <c r="K47" s="53">
        <v>0</v>
      </c>
      <c r="L47" s="51">
        <v>0</v>
      </c>
      <c r="M47" s="53">
        <v>0</v>
      </c>
      <c r="N47" s="51">
        <v>0</v>
      </c>
      <c r="O47" s="53">
        <v>0</v>
      </c>
      <c r="P47" s="51">
        <v>0</v>
      </c>
      <c r="Q47" s="53">
        <v>0</v>
      </c>
      <c r="R47" s="51">
        <v>0</v>
      </c>
      <c r="S47" s="53">
        <v>0</v>
      </c>
      <c r="T47" s="51">
        <v>0</v>
      </c>
      <c r="U47" s="53">
        <v>0</v>
      </c>
      <c r="V47" s="51">
        <v>0</v>
      </c>
      <c r="W47" s="53">
        <v>0</v>
      </c>
      <c r="X47" s="51">
        <v>0</v>
      </c>
      <c r="Y47" s="53">
        <v>0</v>
      </c>
      <c r="Z47" s="51">
        <v>0</v>
      </c>
      <c r="AA47" s="53">
        <v>0</v>
      </c>
      <c r="AB47" s="51">
        <v>0</v>
      </c>
      <c r="AC47" s="53">
        <v>0</v>
      </c>
      <c r="AD47" s="51">
        <v>0</v>
      </c>
      <c r="AE47" s="53">
        <v>0</v>
      </c>
      <c r="AF47" s="51">
        <v>0</v>
      </c>
      <c r="AG47" s="53">
        <v>0</v>
      </c>
      <c r="AH47" s="51">
        <v>0</v>
      </c>
      <c r="AI47" s="53">
        <v>0</v>
      </c>
      <c r="AJ47" s="51">
        <v>0</v>
      </c>
      <c r="AK47" s="53">
        <v>0</v>
      </c>
      <c r="AL47" s="51">
        <v>0</v>
      </c>
      <c r="AM47" s="53">
        <v>0</v>
      </c>
      <c r="AN47" s="51">
        <v>0</v>
      </c>
      <c r="AO47" s="53">
        <v>0</v>
      </c>
      <c r="AP47" s="51">
        <v>0</v>
      </c>
      <c r="AQ47" s="53">
        <v>0</v>
      </c>
      <c r="AR47" s="51">
        <v>0</v>
      </c>
      <c r="AS47" s="53">
        <v>0</v>
      </c>
      <c r="AT47" s="51">
        <v>0</v>
      </c>
      <c r="AU47" s="53">
        <v>0</v>
      </c>
      <c r="AV47" s="51">
        <v>0</v>
      </c>
      <c r="AW47" s="53">
        <v>0</v>
      </c>
      <c r="AX47" s="51">
        <v>0</v>
      </c>
      <c r="AY47" s="53">
        <v>0</v>
      </c>
      <c r="AZ47" s="51">
        <v>0</v>
      </c>
      <c r="BA47" s="53">
        <v>0</v>
      </c>
      <c r="BB47" s="51">
        <v>0</v>
      </c>
      <c r="BC47" s="53">
        <v>0</v>
      </c>
      <c r="BD47" s="51">
        <v>0</v>
      </c>
      <c r="BE47" s="53">
        <v>0</v>
      </c>
      <c r="BF47" s="51">
        <v>0</v>
      </c>
      <c r="BG47" s="53">
        <v>0</v>
      </c>
      <c r="BH47" s="51">
        <v>0</v>
      </c>
      <c r="BI47" s="53">
        <v>0</v>
      </c>
      <c r="BJ47" s="51">
        <v>0</v>
      </c>
      <c r="BK47" s="53">
        <v>0</v>
      </c>
      <c r="BL47" s="51">
        <v>0</v>
      </c>
      <c r="BM47" s="53">
        <v>0</v>
      </c>
      <c r="BN47" s="54">
        <v>0</v>
      </c>
    </row>
    <row r="48" spans="1:66" ht="15.75" customHeight="1">
      <c r="A48" s="8"/>
      <c r="B48" s="50" t="s">
        <v>54</v>
      </c>
      <c r="C48" s="51" t="s">
        <v>103</v>
      </c>
      <c r="D48" s="52" t="s">
        <v>151</v>
      </c>
      <c r="E48" s="53">
        <v>227</v>
      </c>
      <c r="F48" s="51">
        <v>1</v>
      </c>
      <c r="G48" s="53">
        <v>0</v>
      </c>
      <c r="H48" s="51">
        <v>0</v>
      </c>
      <c r="I48" s="53">
        <v>359</v>
      </c>
      <c r="J48" s="51">
        <v>2</v>
      </c>
      <c r="K48" s="53">
        <v>0</v>
      </c>
      <c r="L48" s="51">
        <v>0</v>
      </c>
      <c r="M48" s="53">
        <v>0</v>
      </c>
      <c r="N48" s="51">
        <v>0</v>
      </c>
      <c r="O48" s="53">
        <v>362</v>
      </c>
      <c r="P48" s="51">
        <v>2</v>
      </c>
      <c r="Q48" s="53">
        <v>0</v>
      </c>
      <c r="R48" s="51">
        <v>0</v>
      </c>
      <c r="S48" s="53">
        <v>179</v>
      </c>
      <c r="T48" s="51">
        <v>1</v>
      </c>
      <c r="U48" s="53">
        <v>179</v>
      </c>
      <c r="V48" s="51">
        <v>1</v>
      </c>
      <c r="W48" s="53">
        <v>179</v>
      </c>
      <c r="X48" s="51">
        <v>1</v>
      </c>
      <c r="Y48" s="53">
        <v>0</v>
      </c>
      <c r="Z48" s="51">
        <v>0</v>
      </c>
      <c r="AA48" s="53">
        <v>179</v>
      </c>
      <c r="AB48" s="51">
        <v>1</v>
      </c>
      <c r="AC48" s="53">
        <v>179</v>
      </c>
      <c r="AD48" s="51">
        <v>1</v>
      </c>
      <c r="AE48" s="53">
        <v>0</v>
      </c>
      <c r="AF48" s="51">
        <v>0</v>
      </c>
      <c r="AG48" s="53">
        <v>0</v>
      </c>
      <c r="AH48" s="51">
        <v>0</v>
      </c>
      <c r="AI48" s="53">
        <v>179</v>
      </c>
      <c r="AJ48" s="51">
        <v>1</v>
      </c>
      <c r="AK48" s="53">
        <v>0</v>
      </c>
      <c r="AL48" s="51">
        <v>0</v>
      </c>
      <c r="AM48" s="53">
        <v>538</v>
      </c>
      <c r="AN48" s="51">
        <v>3</v>
      </c>
      <c r="AO48" s="53">
        <v>179</v>
      </c>
      <c r="AP48" s="51">
        <v>1</v>
      </c>
      <c r="AQ48" s="53">
        <v>172</v>
      </c>
      <c r="AR48" s="51">
        <v>1</v>
      </c>
      <c r="AS48" s="53">
        <v>0</v>
      </c>
      <c r="AT48" s="51">
        <v>0</v>
      </c>
      <c r="AU48" s="53">
        <v>172</v>
      </c>
      <c r="AV48" s="51">
        <v>1</v>
      </c>
      <c r="AW48" s="53">
        <v>170</v>
      </c>
      <c r="AX48" s="51">
        <v>1</v>
      </c>
      <c r="AY48" s="53">
        <v>170</v>
      </c>
      <c r="AZ48" s="51">
        <v>1</v>
      </c>
      <c r="BA48" s="53">
        <v>340</v>
      </c>
      <c r="BB48" s="51">
        <v>2</v>
      </c>
      <c r="BC48" s="53">
        <v>0</v>
      </c>
      <c r="BD48" s="51">
        <v>0</v>
      </c>
      <c r="BE48" s="53">
        <v>0</v>
      </c>
      <c r="BF48" s="51">
        <v>0</v>
      </c>
      <c r="BG48" s="53">
        <v>402</v>
      </c>
      <c r="BH48" s="51">
        <v>2</v>
      </c>
      <c r="BI48" s="53">
        <v>0</v>
      </c>
      <c r="BJ48" s="51">
        <v>0</v>
      </c>
      <c r="BK48" s="53">
        <v>170</v>
      </c>
      <c r="BL48" s="51">
        <v>1</v>
      </c>
      <c r="BM48" s="53">
        <v>170</v>
      </c>
      <c r="BN48" s="54">
        <v>1</v>
      </c>
    </row>
    <row r="49" spans="1:66" ht="15.75" customHeight="1">
      <c r="A49" s="8"/>
      <c r="B49" s="50" t="s">
        <v>59</v>
      </c>
      <c r="C49" s="51" t="s">
        <v>104</v>
      </c>
      <c r="D49" s="52" t="s">
        <v>142</v>
      </c>
      <c r="E49" s="53">
        <v>877</v>
      </c>
      <c r="F49" s="51">
        <v>3</v>
      </c>
      <c r="G49" s="53">
        <v>767</v>
      </c>
      <c r="H49" s="51">
        <v>3</v>
      </c>
      <c r="I49" s="53">
        <v>1196</v>
      </c>
      <c r="J49" s="51">
        <v>4</v>
      </c>
      <c r="K49" s="53">
        <v>837</v>
      </c>
      <c r="L49" s="51">
        <v>3</v>
      </c>
      <c r="M49" s="53">
        <v>877</v>
      </c>
      <c r="N49" s="51">
        <v>3</v>
      </c>
      <c r="O49" s="53">
        <v>957</v>
      </c>
      <c r="P49" s="51">
        <v>3</v>
      </c>
      <c r="Q49" s="53">
        <v>1156</v>
      </c>
      <c r="R49" s="51">
        <v>4</v>
      </c>
      <c r="S49" s="53">
        <v>1196</v>
      </c>
      <c r="T49" s="51">
        <v>4</v>
      </c>
      <c r="U49" s="53">
        <v>3348</v>
      </c>
      <c r="V49" s="51">
        <v>12</v>
      </c>
      <c r="W49" s="53">
        <v>279</v>
      </c>
      <c r="X49" s="51">
        <v>1</v>
      </c>
      <c r="Y49" s="53">
        <v>558</v>
      </c>
      <c r="Z49" s="51">
        <v>2</v>
      </c>
      <c r="AA49" s="53">
        <v>837</v>
      </c>
      <c r="AB49" s="51">
        <v>3</v>
      </c>
      <c r="AC49" s="53">
        <v>2073</v>
      </c>
      <c r="AD49" s="51">
        <v>7</v>
      </c>
      <c r="AE49" s="53">
        <v>558</v>
      </c>
      <c r="AF49" s="51">
        <v>2</v>
      </c>
      <c r="AG49" s="53">
        <v>1714</v>
      </c>
      <c r="AH49" s="51">
        <v>6</v>
      </c>
      <c r="AI49" s="53">
        <v>1395</v>
      </c>
      <c r="AJ49" s="51">
        <v>5</v>
      </c>
      <c r="AK49" s="53">
        <v>1116</v>
      </c>
      <c r="AL49" s="51">
        <v>4</v>
      </c>
      <c r="AM49" s="53">
        <v>279</v>
      </c>
      <c r="AN49" s="51">
        <v>1</v>
      </c>
      <c r="AO49" s="53">
        <v>279</v>
      </c>
      <c r="AP49" s="51">
        <v>1</v>
      </c>
      <c r="AQ49" s="53">
        <v>279</v>
      </c>
      <c r="AR49" s="51">
        <v>1</v>
      </c>
      <c r="AS49" s="53">
        <v>1668</v>
      </c>
      <c r="AT49" s="51">
        <v>8</v>
      </c>
      <c r="AU49" s="53">
        <v>185</v>
      </c>
      <c r="AV49" s="51">
        <v>1</v>
      </c>
      <c r="AW49" s="53">
        <v>764</v>
      </c>
      <c r="AX49" s="51">
        <v>4</v>
      </c>
      <c r="AY49" s="53">
        <v>804</v>
      </c>
      <c r="AZ49" s="51">
        <v>4</v>
      </c>
      <c r="BA49" s="53">
        <v>613</v>
      </c>
      <c r="BB49" s="51">
        <v>3</v>
      </c>
      <c r="BC49" s="53">
        <v>1560</v>
      </c>
      <c r="BD49" s="51">
        <v>8</v>
      </c>
      <c r="BE49" s="53">
        <v>925</v>
      </c>
      <c r="BF49" s="51">
        <v>5</v>
      </c>
      <c r="BG49" s="53">
        <v>1110</v>
      </c>
      <c r="BH49" s="51">
        <v>6</v>
      </c>
      <c r="BI49" s="53">
        <v>1375</v>
      </c>
      <c r="BJ49" s="51">
        <v>7</v>
      </c>
      <c r="BK49" s="53">
        <v>1190</v>
      </c>
      <c r="BL49" s="51">
        <v>6</v>
      </c>
      <c r="BM49" s="53">
        <v>764</v>
      </c>
      <c r="BN49" s="54">
        <v>4</v>
      </c>
    </row>
    <row r="50" spans="1:66" ht="15.75" customHeight="1">
      <c r="A50" s="8"/>
      <c r="B50" s="50" t="s">
        <v>82</v>
      </c>
      <c r="C50" s="51" t="s">
        <v>102</v>
      </c>
      <c r="D50" s="52" t="s">
        <v>154</v>
      </c>
      <c r="E50" s="53">
        <v>9087</v>
      </c>
      <c r="F50" s="51">
        <v>13</v>
      </c>
      <c r="G50" s="53">
        <v>6291</v>
      </c>
      <c r="H50" s="51">
        <v>9</v>
      </c>
      <c r="I50" s="53">
        <v>6990</v>
      </c>
      <c r="J50" s="51">
        <v>10</v>
      </c>
      <c r="K50" s="53">
        <v>8388</v>
      </c>
      <c r="L50" s="51">
        <v>12</v>
      </c>
      <c r="M50" s="53">
        <v>7689</v>
      </c>
      <c r="N50" s="51">
        <v>11</v>
      </c>
      <c r="O50" s="53">
        <v>7689</v>
      </c>
      <c r="P50" s="51">
        <v>11</v>
      </c>
      <c r="Q50" s="53">
        <v>9087</v>
      </c>
      <c r="R50" s="51">
        <v>13</v>
      </c>
      <c r="S50" s="53">
        <v>11184</v>
      </c>
      <c r="T50" s="51">
        <v>16</v>
      </c>
      <c r="U50" s="53">
        <v>11883</v>
      </c>
      <c r="V50" s="51">
        <v>17</v>
      </c>
      <c r="W50" s="53">
        <v>12582</v>
      </c>
      <c r="X50" s="51">
        <v>18</v>
      </c>
      <c r="Y50" s="53">
        <v>11883</v>
      </c>
      <c r="Z50" s="51">
        <v>17</v>
      </c>
      <c r="AA50" s="53">
        <v>11883</v>
      </c>
      <c r="AB50" s="51">
        <v>17</v>
      </c>
      <c r="AC50" s="53">
        <v>10784</v>
      </c>
      <c r="AD50" s="51">
        <v>16</v>
      </c>
      <c r="AE50" s="53">
        <v>16874</v>
      </c>
      <c r="AF50" s="51">
        <v>26</v>
      </c>
      <c r="AG50" s="53">
        <v>12980</v>
      </c>
      <c r="AH50" s="51">
        <v>20</v>
      </c>
      <c r="AI50" s="53">
        <v>15856</v>
      </c>
      <c r="AJ50" s="51">
        <v>24</v>
      </c>
      <c r="AK50" s="53">
        <v>15576</v>
      </c>
      <c r="AL50" s="51">
        <v>24</v>
      </c>
      <c r="AM50" s="53">
        <v>13629</v>
      </c>
      <c r="AN50" s="51">
        <v>21</v>
      </c>
      <c r="AO50" s="53">
        <v>15576</v>
      </c>
      <c r="AP50" s="51">
        <v>24</v>
      </c>
      <c r="AQ50" s="53">
        <v>18172</v>
      </c>
      <c r="AR50" s="51">
        <v>28</v>
      </c>
      <c r="AS50" s="53">
        <v>11033</v>
      </c>
      <c r="AT50" s="51">
        <v>17</v>
      </c>
      <c r="AU50" s="53">
        <v>17523</v>
      </c>
      <c r="AV50" s="51">
        <v>27</v>
      </c>
      <c r="AW50" s="53">
        <v>22066</v>
      </c>
      <c r="AX50" s="51">
        <v>34</v>
      </c>
      <c r="AY50" s="53">
        <v>16225</v>
      </c>
      <c r="AZ50" s="51">
        <v>25</v>
      </c>
      <c r="BA50" s="53">
        <v>14927</v>
      </c>
      <c r="BB50" s="51">
        <v>23</v>
      </c>
      <c r="BC50" s="53">
        <v>18172</v>
      </c>
      <c r="BD50" s="51">
        <v>28</v>
      </c>
      <c r="BE50" s="53">
        <v>20119</v>
      </c>
      <c r="BF50" s="51">
        <v>31</v>
      </c>
      <c r="BG50" s="53">
        <v>23750</v>
      </c>
      <c r="BH50" s="51">
        <v>38</v>
      </c>
      <c r="BI50" s="53">
        <v>20000</v>
      </c>
      <c r="BJ50" s="51">
        <v>32</v>
      </c>
      <c r="BK50" s="53">
        <v>13750</v>
      </c>
      <c r="BL50" s="51">
        <v>22</v>
      </c>
      <c r="BM50" s="53">
        <v>22066</v>
      </c>
      <c r="BN50" s="54">
        <v>34</v>
      </c>
    </row>
    <row r="51" spans="1:66" ht="15.75" customHeight="1">
      <c r="A51" s="8"/>
      <c r="B51" s="55" t="s">
        <v>6</v>
      </c>
      <c r="C51" s="56" t="s">
        <v>103</v>
      </c>
      <c r="D51" s="57" t="s">
        <v>151</v>
      </c>
      <c r="E51" s="58">
        <v>2716</v>
      </c>
      <c r="F51" s="56">
        <v>4</v>
      </c>
      <c r="G51" s="58">
        <v>3395</v>
      </c>
      <c r="H51" s="56">
        <v>5</v>
      </c>
      <c r="I51" s="58">
        <v>2037</v>
      </c>
      <c r="J51" s="56">
        <v>3</v>
      </c>
      <c r="K51" s="58">
        <v>2037</v>
      </c>
      <c r="L51" s="56">
        <v>3</v>
      </c>
      <c r="M51" s="58">
        <v>2037</v>
      </c>
      <c r="N51" s="56">
        <v>3</v>
      </c>
      <c r="O51" s="58">
        <v>4753</v>
      </c>
      <c r="P51" s="56">
        <v>7</v>
      </c>
      <c r="Q51" s="58">
        <v>4074</v>
      </c>
      <c r="R51" s="56">
        <v>6</v>
      </c>
      <c r="S51" s="58">
        <v>4074</v>
      </c>
      <c r="T51" s="56">
        <v>6</v>
      </c>
      <c r="U51" s="58">
        <v>1358</v>
      </c>
      <c r="V51" s="56">
        <v>2</v>
      </c>
      <c r="W51" s="58">
        <v>2037</v>
      </c>
      <c r="X51" s="56">
        <v>3</v>
      </c>
      <c r="Y51" s="58">
        <v>2716</v>
      </c>
      <c r="Z51" s="56">
        <v>4</v>
      </c>
      <c r="AA51" s="58">
        <v>3395</v>
      </c>
      <c r="AB51" s="56">
        <v>5</v>
      </c>
      <c r="AC51" s="58">
        <v>2007</v>
      </c>
      <c r="AD51" s="56">
        <v>3</v>
      </c>
      <c r="AE51" s="58">
        <v>4543</v>
      </c>
      <c r="AF51" s="56">
        <v>7</v>
      </c>
      <c r="AG51" s="58">
        <v>7788</v>
      </c>
      <c r="AH51" s="56">
        <v>12</v>
      </c>
      <c r="AI51" s="58">
        <v>3245</v>
      </c>
      <c r="AJ51" s="56">
        <v>5</v>
      </c>
      <c r="AK51" s="58">
        <v>5841</v>
      </c>
      <c r="AL51" s="56">
        <v>9</v>
      </c>
      <c r="AM51" s="58">
        <v>2596</v>
      </c>
      <c r="AN51" s="56">
        <v>4</v>
      </c>
      <c r="AO51" s="58">
        <v>5192</v>
      </c>
      <c r="AP51" s="56">
        <v>8</v>
      </c>
      <c r="AQ51" s="58">
        <v>5192</v>
      </c>
      <c r="AR51" s="56">
        <v>8</v>
      </c>
      <c r="AS51" s="58">
        <v>3894</v>
      </c>
      <c r="AT51" s="56">
        <v>6</v>
      </c>
      <c r="AU51" s="58">
        <v>6490</v>
      </c>
      <c r="AV51" s="56">
        <v>10</v>
      </c>
      <c r="AW51" s="58">
        <v>9735</v>
      </c>
      <c r="AX51" s="56">
        <v>15</v>
      </c>
      <c r="AY51" s="58">
        <v>12331</v>
      </c>
      <c r="AZ51" s="56">
        <v>19</v>
      </c>
      <c r="BA51" s="58">
        <v>5192</v>
      </c>
      <c r="BB51" s="56">
        <v>8</v>
      </c>
      <c r="BC51" s="58">
        <v>9086</v>
      </c>
      <c r="BD51" s="56">
        <v>14</v>
      </c>
      <c r="BE51" s="58">
        <v>5192</v>
      </c>
      <c r="BF51" s="56">
        <v>8</v>
      </c>
      <c r="BG51" s="58">
        <v>8985</v>
      </c>
      <c r="BH51" s="56">
        <v>15</v>
      </c>
      <c r="BI51" s="58">
        <v>11381</v>
      </c>
      <c r="BJ51" s="56">
        <v>19</v>
      </c>
      <c r="BK51" s="58">
        <v>7787</v>
      </c>
      <c r="BL51" s="56">
        <v>13</v>
      </c>
      <c r="BM51" s="58">
        <v>9735</v>
      </c>
      <c r="BN51" s="59">
        <v>15</v>
      </c>
    </row>
    <row r="52" spans="1:66" ht="15.75" customHeight="1">
      <c r="A52" s="8"/>
      <c r="B52" s="55" t="s">
        <v>79</v>
      </c>
      <c r="C52" s="56" t="s">
        <v>102</v>
      </c>
      <c r="D52" s="57" t="s">
        <v>150</v>
      </c>
      <c r="E52" s="58">
        <v>487</v>
      </c>
      <c r="F52" s="56">
        <v>3</v>
      </c>
      <c r="G52" s="58">
        <v>1163</v>
      </c>
      <c r="H52" s="56">
        <v>7</v>
      </c>
      <c r="I52" s="58">
        <v>1083</v>
      </c>
      <c r="J52" s="56">
        <v>7</v>
      </c>
      <c r="K52" s="58">
        <v>487</v>
      </c>
      <c r="L52" s="56">
        <v>3</v>
      </c>
      <c r="M52" s="58">
        <v>716</v>
      </c>
      <c r="N52" s="56">
        <v>4</v>
      </c>
      <c r="O52" s="58">
        <v>447</v>
      </c>
      <c r="P52" s="56">
        <v>3</v>
      </c>
      <c r="Q52" s="58">
        <v>984</v>
      </c>
      <c r="R52" s="56">
        <v>6</v>
      </c>
      <c r="S52" s="58">
        <v>785</v>
      </c>
      <c r="T52" s="56">
        <v>5</v>
      </c>
      <c r="U52" s="58">
        <v>865</v>
      </c>
      <c r="V52" s="56">
        <v>5</v>
      </c>
      <c r="W52" s="58">
        <v>636</v>
      </c>
      <c r="X52" s="56">
        <v>4</v>
      </c>
      <c r="Y52" s="58">
        <v>596</v>
      </c>
      <c r="Z52" s="56">
        <v>4</v>
      </c>
      <c r="AA52" s="58">
        <v>1014</v>
      </c>
      <c r="AB52" s="56">
        <v>6</v>
      </c>
      <c r="AC52" s="58">
        <v>447</v>
      </c>
      <c r="AD52" s="56">
        <v>3</v>
      </c>
      <c r="AE52" s="58">
        <v>487</v>
      </c>
      <c r="AF52" s="56">
        <v>3</v>
      </c>
      <c r="AG52" s="58">
        <v>447</v>
      </c>
      <c r="AH52" s="56">
        <v>3</v>
      </c>
      <c r="AI52" s="58">
        <v>905</v>
      </c>
      <c r="AJ52" s="56">
        <v>5</v>
      </c>
      <c r="AK52" s="58">
        <v>865</v>
      </c>
      <c r="AL52" s="56">
        <v>5</v>
      </c>
      <c r="AM52" s="58">
        <v>189</v>
      </c>
      <c r="AN52" s="56">
        <v>1</v>
      </c>
      <c r="AO52" s="58">
        <v>785</v>
      </c>
      <c r="AP52" s="56">
        <v>5</v>
      </c>
      <c r="AQ52" s="58">
        <v>338</v>
      </c>
      <c r="AR52" s="56">
        <v>2</v>
      </c>
      <c r="AS52" s="58">
        <v>1075</v>
      </c>
      <c r="AT52" s="56">
        <v>5</v>
      </c>
      <c r="AU52" s="58">
        <v>1314</v>
      </c>
      <c r="AV52" s="56">
        <v>6</v>
      </c>
      <c r="AW52" s="58">
        <v>1632</v>
      </c>
      <c r="AX52" s="56">
        <v>8</v>
      </c>
      <c r="AY52" s="58">
        <v>1075</v>
      </c>
      <c r="AZ52" s="56">
        <v>5</v>
      </c>
      <c r="BA52" s="58">
        <v>2349</v>
      </c>
      <c r="BB52" s="56">
        <v>11</v>
      </c>
      <c r="BC52" s="58">
        <v>677</v>
      </c>
      <c r="BD52" s="56">
        <v>3</v>
      </c>
      <c r="BE52" s="58">
        <v>1234</v>
      </c>
      <c r="BF52" s="56">
        <v>6</v>
      </c>
      <c r="BG52" s="58">
        <v>1632</v>
      </c>
      <c r="BH52" s="56">
        <v>8</v>
      </c>
      <c r="BI52" s="58">
        <v>1115</v>
      </c>
      <c r="BJ52" s="56">
        <v>5</v>
      </c>
      <c r="BK52" s="58">
        <v>1075</v>
      </c>
      <c r="BL52" s="56">
        <v>5</v>
      </c>
      <c r="BM52" s="58">
        <v>1632</v>
      </c>
      <c r="BN52" s="59">
        <v>8</v>
      </c>
    </row>
    <row r="53" spans="1:66" ht="15.75" customHeight="1">
      <c r="A53" s="8"/>
      <c r="B53" s="50" t="s">
        <v>93</v>
      </c>
      <c r="C53" s="51" t="s">
        <v>103</v>
      </c>
      <c r="D53" s="52" t="s">
        <v>146</v>
      </c>
      <c r="E53" s="53">
        <v>10472</v>
      </c>
      <c r="F53" s="51">
        <v>17</v>
      </c>
      <c r="G53" s="53">
        <v>6776</v>
      </c>
      <c r="H53" s="51">
        <v>11</v>
      </c>
      <c r="I53" s="53">
        <v>7629</v>
      </c>
      <c r="J53" s="51">
        <v>12</v>
      </c>
      <c r="K53" s="53">
        <v>7392</v>
      </c>
      <c r="L53" s="51">
        <v>12</v>
      </c>
      <c r="M53" s="53">
        <v>8394</v>
      </c>
      <c r="N53" s="51">
        <v>16</v>
      </c>
      <c r="O53" s="53">
        <v>6120</v>
      </c>
      <c r="P53" s="51">
        <v>10</v>
      </c>
      <c r="Q53" s="53">
        <v>11767</v>
      </c>
      <c r="R53" s="51">
        <v>23</v>
      </c>
      <c r="S53" s="53">
        <v>8697</v>
      </c>
      <c r="T53" s="51">
        <v>17</v>
      </c>
      <c r="U53" s="53">
        <v>17394</v>
      </c>
      <c r="V53" s="51">
        <v>34</v>
      </c>
      <c r="W53" s="53">
        <v>9209</v>
      </c>
      <c r="X53" s="51">
        <v>18</v>
      </c>
      <c r="Y53" s="53">
        <v>9720</v>
      </c>
      <c r="Z53" s="51">
        <v>19</v>
      </c>
      <c r="AA53" s="53">
        <v>14730</v>
      </c>
      <c r="AB53" s="51">
        <v>29</v>
      </c>
      <c r="AC53" s="53">
        <v>7181</v>
      </c>
      <c r="AD53" s="51">
        <v>14</v>
      </c>
      <c r="AE53" s="53">
        <v>12600</v>
      </c>
      <c r="AF53" s="51">
        <v>25</v>
      </c>
      <c r="AG53" s="53">
        <v>11592</v>
      </c>
      <c r="AH53" s="51">
        <v>23</v>
      </c>
      <c r="AI53" s="53">
        <v>12883</v>
      </c>
      <c r="AJ53" s="51">
        <v>31</v>
      </c>
      <c r="AK53" s="53">
        <v>11152</v>
      </c>
      <c r="AL53" s="51">
        <v>31</v>
      </c>
      <c r="AM53" s="53">
        <v>10072</v>
      </c>
      <c r="AN53" s="51">
        <v>28</v>
      </c>
      <c r="AO53" s="53">
        <v>13310</v>
      </c>
      <c r="AP53" s="51">
        <v>37</v>
      </c>
      <c r="AQ53" s="53">
        <v>10792</v>
      </c>
      <c r="AR53" s="51">
        <v>30</v>
      </c>
      <c r="AS53" s="53">
        <v>11871</v>
      </c>
      <c r="AT53" s="51">
        <v>33</v>
      </c>
      <c r="AU53" s="53">
        <v>12950</v>
      </c>
      <c r="AV53" s="51">
        <v>36</v>
      </c>
      <c r="AW53" s="53">
        <v>17986</v>
      </c>
      <c r="AX53" s="51">
        <v>50</v>
      </c>
      <c r="AY53" s="53">
        <v>15109</v>
      </c>
      <c r="AZ53" s="51">
        <v>42</v>
      </c>
      <c r="BA53" s="53">
        <v>14749</v>
      </c>
      <c r="BB53" s="51">
        <v>41</v>
      </c>
      <c r="BC53" s="53">
        <v>15828</v>
      </c>
      <c r="BD53" s="51">
        <v>44</v>
      </c>
      <c r="BE53" s="53">
        <v>19785</v>
      </c>
      <c r="BF53" s="51">
        <v>55</v>
      </c>
      <c r="BG53" s="53">
        <v>14749</v>
      </c>
      <c r="BH53" s="51">
        <v>41</v>
      </c>
      <c r="BI53" s="53">
        <v>14749</v>
      </c>
      <c r="BJ53" s="51">
        <v>41</v>
      </c>
      <c r="BK53" s="53">
        <v>14389</v>
      </c>
      <c r="BL53" s="51">
        <v>40</v>
      </c>
      <c r="BM53" s="53">
        <v>17986</v>
      </c>
      <c r="BN53" s="54">
        <v>50</v>
      </c>
    </row>
    <row r="54" spans="1:66" ht="15.75" customHeight="1">
      <c r="A54" s="8"/>
      <c r="B54" s="50" t="s">
        <v>27</v>
      </c>
      <c r="C54" s="51" t="s">
        <v>103</v>
      </c>
      <c r="D54" s="52" t="s">
        <v>145</v>
      </c>
      <c r="E54" s="53">
        <v>877</v>
      </c>
      <c r="F54" s="51">
        <v>3</v>
      </c>
      <c r="G54" s="53">
        <v>767</v>
      </c>
      <c r="H54" s="51">
        <v>3</v>
      </c>
      <c r="I54" s="53">
        <v>1196</v>
      </c>
      <c r="J54" s="51">
        <v>4</v>
      </c>
      <c r="K54" s="53">
        <v>837</v>
      </c>
      <c r="L54" s="51">
        <v>3</v>
      </c>
      <c r="M54" s="53">
        <v>877</v>
      </c>
      <c r="N54" s="51">
        <v>3</v>
      </c>
      <c r="O54" s="53">
        <v>957</v>
      </c>
      <c r="P54" s="51">
        <v>3</v>
      </c>
      <c r="Q54" s="53">
        <v>1156</v>
      </c>
      <c r="R54" s="51">
        <v>4</v>
      </c>
      <c r="S54" s="53">
        <v>1196</v>
      </c>
      <c r="T54" s="51">
        <v>4</v>
      </c>
      <c r="U54" s="53">
        <v>3348</v>
      </c>
      <c r="V54" s="51">
        <v>12</v>
      </c>
      <c r="W54" s="53">
        <v>279</v>
      </c>
      <c r="X54" s="51">
        <v>1</v>
      </c>
      <c r="Y54" s="53">
        <v>558</v>
      </c>
      <c r="Z54" s="51">
        <v>2</v>
      </c>
      <c r="AA54" s="53">
        <v>837</v>
      </c>
      <c r="AB54" s="51">
        <v>3</v>
      </c>
      <c r="AC54" s="53">
        <v>2073</v>
      </c>
      <c r="AD54" s="51">
        <v>7</v>
      </c>
      <c r="AE54" s="53">
        <v>558</v>
      </c>
      <c r="AF54" s="51">
        <v>2</v>
      </c>
      <c r="AG54" s="53">
        <v>1714</v>
      </c>
      <c r="AH54" s="51">
        <v>6</v>
      </c>
      <c r="AI54" s="53">
        <v>1395</v>
      </c>
      <c r="AJ54" s="51">
        <v>5</v>
      </c>
      <c r="AK54" s="53">
        <v>1116</v>
      </c>
      <c r="AL54" s="51">
        <v>4</v>
      </c>
      <c r="AM54" s="53">
        <v>279</v>
      </c>
      <c r="AN54" s="51">
        <v>1</v>
      </c>
      <c r="AO54" s="53">
        <v>279</v>
      </c>
      <c r="AP54" s="51">
        <v>1</v>
      </c>
      <c r="AQ54" s="53">
        <v>279</v>
      </c>
      <c r="AR54" s="51">
        <v>1</v>
      </c>
      <c r="AS54" s="53">
        <v>1668</v>
      </c>
      <c r="AT54" s="51">
        <v>8</v>
      </c>
      <c r="AU54" s="53">
        <v>185</v>
      </c>
      <c r="AV54" s="51">
        <v>1</v>
      </c>
      <c r="AW54" s="53">
        <v>764</v>
      </c>
      <c r="AX54" s="51">
        <v>4</v>
      </c>
      <c r="AY54" s="53">
        <v>804</v>
      </c>
      <c r="AZ54" s="51">
        <v>4</v>
      </c>
      <c r="BA54" s="53">
        <v>613</v>
      </c>
      <c r="BB54" s="51">
        <v>3</v>
      </c>
      <c r="BC54" s="53">
        <v>1560</v>
      </c>
      <c r="BD54" s="51">
        <v>8</v>
      </c>
      <c r="BE54" s="53">
        <v>925</v>
      </c>
      <c r="BF54" s="51">
        <v>5</v>
      </c>
      <c r="BG54" s="53">
        <v>1110</v>
      </c>
      <c r="BH54" s="51">
        <v>6</v>
      </c>
      <c r="BI54" s="53">
        <v>1375</v>
      </c>
      <c r="BJ54" s="51">
        <v>7</v>
      </c>
      <c r="BK54" s="53">
        <v>1190</v>
      </c>
      <c r="BL54" s="51">
        <v>6</v>
      </c>
      <c r="BM54" s="53">
        <v>764</v>
      </c>
      <c r="BN54" s="54">
        <v>4</v>
      </c>
    </row>
    <row r="55" spans="1:66" ht="15.75" customHeight="1">
      <c r="A55" s="8"/>
      <c r="B55" s="55" t="s">
        <v>45</v>
      </c>
      <c r="C55" s="56" t="s">
        <v>103</v>
      </c>
      <c r="D55" s="57" t="s">
        <v>151</v>
      </c>
      <c r="E55" s="58">
        <v>21600</v>
      </c>
      <c r="F55" s="56">
        <v>160</v>
      </c>
      <c r="G55" s="58">
        <v>19035</v>
      </c>
      <c r="H55" s="56">
        <v>141</v>
      </c>
      <c r="I55" s="58">
        <v>18495</v>
      </c>
      <c r="J55" s="56">
        <v>137</v>
      </c>
      <c r="K55" s="58">
        <v>19170</v>
      </c>
      <c r="L55" s="56">
        <v>142</v>
      </c>
      <c r="M55" s="58">
        <v>15930</v>
      </c>
      <c r="N55" s="56">
        <v>118</v>
      </c>
      <c r="O55" s="58">
        <v>19049</v>
      </c>
      <c r="P55" s="56">
        <v>141</v>
      </c>
      <c r="Q55" s="58">
        <v>20250</v>
      </c>
      <c r="R55" s="56">
        <v>150</v>
      </c>
      <c r="S55" s="58">
        <v>20115</v>
      </c>
      <c r="T55" s="56">
        <v>149</v>
      </c>
      <c r="U55" s="58">
        <v>17955</v>
      </c>
      <c r="V55" s="56">
        <v>133</v>
      </c>
      <c r="W55" s="58">
        <v>20115</v>
      </c>
      <c r="X55" s="56">
        <v>149</v>
      </c>
      <c r="Y55" s="58">
        <v>9720</v>
      </c>
      <c r="Z55" s="56">
        <v>72</v>
      </c>
      <c r="AA55" s="58">
        <v>675</v>
      </c>
      <c r="AB55" s="56">
        <v>5</v>
      </c>
      <c r="AC55" s="58">
        <v>2295</v>
      </c>
      <c r="AD55" s="56">
        <v>17</v>
      </c>
      <c r="AE55" s="58">
        <v>945</v>
      </c>
      <c r="AF55" s="56">
        <v>7</v>
      </c>
      <c r="AG55" s="58">
        <v>24030</v>
      </c>
      <c r="AH55" s="56">
        <v>178</v>
      </c>
      <c r="AI55" s="58">
        <v>29685</v>
      </c>
      <c r="AJ55" s="56">
        <v>216</v>
      </c>
      <c r="AK55" s="58">
        <v>34830</v>
      </c>
      <c r="AL55" s="56">
        <v>258</v>
      </c>
      <c r="AM55" s="58">
        <v>27540</v>
      </c>
      <c r="AN55" s="56">
        <v>204</v>
      </c>
      <c r="AO55" s="58">
        <v>26190</v>
      </c>
      <c r="AP55" s="56">
        <v>194</v>
      </c>
      <c r="AQ55" s="58">
        <v>27270</v>
      </c>
      <c r="AR55" s="56">
        <v>202</v>
      </c>
      <c r="AS55" s="58">
        <v>23909</v>
      </c>
      <c r="AT55" s="56">
        <v>177</v>
      </c>
      <c r="AU55" s="58">
        <v>32940</v>
      </c>
      <c r="AV55" s="56">
        <v>244</v>
      </c>
      <c r="AW55" s="58">
        <v>32265</v>
      </c>
      <c r="AX55" s="56">
        <v>239</v>
      </c>
      <c r="AY55" s="58">
        <v>25785</v>
      </c>
      <c r="AZ55" s="56">
        <v>191</v>
      </c>
      <c r="BA55" s="58">
        <v>20250</v>
      </c>
      <c r="BB55" s="56">
        <v>150</v>
      </c>
      <c r="BC55" s="58">
        <v>10530</v>
      </c>
      <c r="BD55" s="56">
        <v>78</v>
      </c>
      <c r="BE55" s="58">
        <v>8259</v>
      </c>
      <c r="BF55" s="56">
        <v>61</v>
      </c>
      <c r="BG55" s="58">
        <v>27369</v>
      </c>
      <c r="BH55" s="56">
        <v>212</v>
      </c>
      <c r="BI55" s="58">
        <v>30187</v>
      </c>
      <c r="BJ55" s="56">
        <v>234</v>
      </c>
      <c r="BK55" s="58">
        <v>27994</v>
      </c>
      <c r="BL55" s="56">
        <v>217</v>
      </c>
      <c r="BM55" s="58">
        <v>32265</v>
      </c>
      <c r="BN55" s="59">
        <v>239</v>
      </c>
    </row>
    <row r="56" spans="1:66" ht="15.75" customHeight="1">
      <c r="A56" s="8"/>
      <c r="B56" s="50" t="s">
        <v>58</v>
      </c>
      <c r="C56" s="51" t="s">
        <v>104</v>
      </c>
      <c r="D56" s="52" t="s">
        <v>142</v>
      </c>
      <c r="E56" s="53">
        <v>0</v>
      </c>
      <c r="F56" s="51">
        <v>0</v>
      </c>
      <c r="G56" s="53">
        <v>0</v>
      </c>
      <c r="H56" s="51">
        <v>0</v>
      </c>
      <c r="I56" s="53">
        <v>0</v>
      </c>
      <c r="J56" s="51">
        <v>0</v>
      </c>
      <c r="K56" s="53">
        <v>0</v>
      </c>
      <c r="L56" s="51">
        <v>0</v>
      </c>
      <c r="M56" s="53">
        <v>0</v>
      </c>
      <c r="N56" s="51">
        <v>0</v>
      </c>
      <c r="O56" s="53">
        <v>0</v>
      </c>
      <c r="P56" s="51">
        <v>0</v>
      </c>
      <c r="Q56" s="53">
        <v>0</v>
      </c>
      <c r="R56" s="51">
        <v>0</v>
      </c>
      <c r="S56" s="53">
        <v>0</v>
      </c>
      <c r="T56" s="51">
        <v>0</v>
      </c>
      <c r="U56" s="53">
        <v>0</v>
      </c>
      <c r="V56" s="51">
        <v>0</v>
      </c>
      <c r="W56" s="53">
        <v>0</v>
      </c>
      <c r="X56" s="51">
        <v>0</v>
      </c>
      <c r="Y56" s="53">
        <v>0</v>
      </c>
      <c r="Z56" s="51">
        <v>0</v>
      </c>
      <c r="AA56" s="53">
        <v>0</v>
      </c>
      <c r="AB56" s="51">
        <v>0</v>
      </c>
      <c r="AC56" s="53">
        <v>0</v>
      </c>
      <c r="AD56" s="51">
        <v>0</v>
      </c>
      <c r="AE56" s="53">
        <v>0</v>
      </c>
      <c r="AF56" s="51">
        <v>0</v>
      </c>
      <c r="AG56" s="53">
        <v>0</v>
      </c>
      <c r="AH56" s="51">
        <v>0</v>
      </c>
      <c r="AI56" s="53">
        <v>0</v>
      </c>
      <c r="AJ56" s="51">
        <v>0</v>
      </c>
      <c r="AK56" s="53">
        <v>0</v>
      </c>
      <c r="AL56" s="51">
        <v>0</v>
      </c>
      <c r="AM56" s="53">
        <v>0</v>
      </c>
      <c r="AN56" s="51">
        <v>0</v>
      </c>
      <c r="AO56" s="53">
        <v>0</v>
      </c>
      <c r="AP56" s="51">
        <v>0</v>
      </c>
      <c r="AQ56" s="53">
        <v>0</v>
      </c>
      <c r="AR56" s="51">
        <v>0</v>
      </c>
      <c r="AS56" s="53">
        <v>0</v>
      </c>
      <c r="AT56" s="51">
        <v>0</v>
      </c>
      <c r="AU56" s="53">
        <v>0</v>
      </c>
      <c r="AV56" s="51">
        <v>0</v>
      </c>
      <c r="AW56" s="53">
        <v>0</v>
      </c>
      <c r="AX56" s="51">
        <v>0</v>
      </c>
      <c r="AY56" s="53">
        <v>0</v>
      </c>
      <c r="AZ56" s="51">
        <v>0</v>
      </c>
      <c r="BA56" s="53">
        <v>0</v>
      </c>
      <c r="BB56" s="51">
        <v>0</v>
      </c>
      <c r="BC56" s="53">
        <v>0</v>
      </c>
      <c r="BD56" s="51">
        <v>0</v>
      </c>
      <c r="BE56" s="53">
        <v>0</v>
      </c>
      <c r="BF56" s="51">
        <v>0</v>
      </c>
      <c r="BG56" s="53">
        <v>0</v>
      </c>
      <c r="BH56" s="51">
        <v>0</v>
      </c>
      <c r="BI56" s="53">
        <v>0</v>
      </c>
      <c r="BJ56" s="51">
        <v>0</v>
      </c>
      <c r="BK56" s="53">
        <v>0</v>
      </c>
      <c r="BL56" s="51">
        <v>0</v>
      </c>
      <c r="BM56" s="53">
        <v>0</v>
      </c>
      <c r="BN56" s="54">
        <v>0</v>
      </c>
    </row>
    <row r="57" spans="1:66" ht="15.75" customHeight="1">
      <c r="A57" s="8"/>
      <c r="B57" s="55" t="s">
        <v>22</v>
      </c>
      <c r="C57" s="56" t="s">
        <v>101</v>
      </c>
      <c r="D57" s="57" t="s">
        <v>147</v>
      </c>
      <c r="E57" s="58">
        <v>0</v>
      </c>
      <c r="F57" s="56">
        <v>0</v>
      </c>
      <c r="G57" s="58">
        <v>1798</v>
      </c>
      <c r="H57" s="56">
        <v>2</v>
      </c>
      <c r="I57" s="58">
        <v>2697</v>
      </c>
      <c r="J57" s="56">
        <v>3</v>
      </c>
      <c r="K57" s="58">
        <v>2697</v>
      </c>
      <c r="L57" s="56">
        <v>3</v>
      </c>
      <c r="M57" s="58">
        <v>1798</v>
      </c>
      <c r="N57" s="56">
        <v>2</v>
      </c>
      <c r="O57" s="58">
        <v>0</v>
      </c>
      <c r="P57" s="56">
        <v>0</v>
      </c>
      <c r="Q57" s="58">
        <v>0</v>
      </c>
      <c r="R57" s="56">
        <v>0</v>
      </c>
      <c r="S57" s="58">
        <v>0</v>
      </c>
      <c r="T57" s="56">
        <v>0</v>
      </c>
      <c r="U57" s="58">
        <v>844</v>
      </c>
      <c r="V57" s="56">
        <v>1</v>
      </c>
      <c r="W57" s="58">
        <v>5907</v>
      </c>
      <c r="X57" s="56">
        <v>7</v>
      </c>
      <c r="Y57" s="58">
        <v>3375</v>
      </c>
      <c r="Z57" s="56">
        <v>4</v>
      </c>
      <c r="AA57" s="58">
        <v>3375</v>
      </c>
      <c r="AB57" s="56">
        <v>4</v>
      </c>
      <c r="AC57" s="58">
        <v>2531</v>
      </c>
      <c r="AD57" s="56">
        <v>3</v>
      </c>
      <c r="AE57" s="58">
        <v>4219</v>
      </c>
      <c r="AF57" s="56">
        <v>5</v>
      </c>
      <c r="AG57" s="58">
        <v>1688</v>
      </c>
      <c r="AH57" s="56">
        <v>2</v>
      </c>
      <c r="AI57" s="58">
        <v>1688</v>
      </c>
      <c r="AJ57" s="56">
        <v>2</v>
      </c>
      <c r="AK57" s="58">
        <v>2531</v>
      </c>
      <c r="AL57" s="56">
        <v>3</v>
      </c>
      <c r="AM57" s="58">
        <v>1688</v>
      </c>
      <c r="AN57" s="56">
        <v>2</v>
      </c>
      <c r="AO57" s="58">
        <v>1672</v>
      </c>
      <c r="AP57" s="56">
        <v>2</v>
      </c>
      <c r="AQ57" s="58">
        <v>836</v>
      </c>
      <c r="AR57" s="56">
        <v>1</v>
      </c>
      <c r="AS57" s="58">
        <v>1680</v>
      </c>
      <c r="AT57" s="56">
        <v>2</v>
      </c>
      <c r="AU57" s="58">
        <v>853</v>
      </c>
      <c r="AV57" s="56">
        <v>1</v>
      </c>
      <c r="AW57" s="58">
        <v>10846</v>
      </c>
      <c r="AX57" s="56">
        <v>13</v>
      </c>
      <c r="AY57" s="58">
        <v>5840</v>
      </c>
      <c r="AZ57" s="56">
        <v>7</v>
      </c>
      <c r="BA57" s="58">
        <v>5840</v>
      </c>
      <c r="BB57" s="56">
        <v>7</v>
      </c>
      <c r="BC57" s="58">
        <v>4172</v>
      </c>
      <c r="BD57" s="56">
        <v>5</v>
      </c>
      <c r="BE57" s="58">
        <v>5840</v>
      </c>
      <c r="BF57" s="56">
        <v>7</v>
      </c>
      <c r="BG57" s="58">
        <v>4882</v>
      </c>
      <c r="BH57" s="56">
        <v>6</v>
      </c>
      <c r="BI57" s="58">
        <v>8864</v>
      </c>
      <c r="BJ57" s="56">
        <v>11</v>
      </c>
      <c r="BK57" s="58">
        <v>5641</v>
      </c>
      <c r="BL57" s="56">
        <v>7</v>
      </c>
      <c r="BM57" s="58">
        <v>10846</v>
      </c>
      <c r="BN57" s="59">
        <v>13</v>
      </c>
    </row>
    <row r="58" spans="1:66" ht="15.75" customHeight="1">
      <c r="A58" s="8"/>
      <c r="B58" s="55" t="s">
        <v>73</v>
      </c>
      <c r="C58" s="56" t="s">
        <v>104</v>
      </c>
      <c r="D58" s="57" t="s">
        <v>143</v>
      </c>
      <c r="E58" s="58">
        <v>227</v>
      </c>
      <c r="F58" s="56">
        <v>1</v>
      </c>
      <c r="G58" s="58">
        <v>0</v>
      </c>
      <c r="H58" s="56">
        <v>0</v>
      </c>
      <c r="I58" s="58">
        <v>359</v>
      </c>
      <c r="J58" s="56">
        <v>2</v>
      </c>
      <c r="K58" s="58">
        <v>0</v>
      </c>
      <c r="L58" s="56">
        <v>0</v>
      </c>
      <c r="M58" s="58">
        <v>0</v>
      </c>
      <c r="N58" s="56">
        <v>0</v>
      </c>
      <c r="O58" s="58">
        <v>362</v>
      </c>
      <c r="P58" s="56">
        <v>2</v>
      </c>
      <c r="Q58" s="58">
        <v>0</v>
      </c>
      <c r="R58" s="56">
        <v>0</v>
      </c>
      <c r="S58" s="58">
        <v>179</v>
      </c>
      <c r="T58" s="56">
        <v>1</v>
      </c>
      <c r="U58" s="58">
        <v>179</v>
      </c>
      <c r="V58" s="56">
        <v>1</v>
      </c>
      <c r="W58" s="58">
        <v>179</v>
      </c>
      <c r="X58" s="56">
        <v>1</v>
      </c>
      <c r="Y58" s="58">
        <v>0</v>
      </c>
      <c r="Z58" s="56">
        <v>0</v>
      </c>
      <c r="AA58" s="58">
        <v>179</v>
      </c>
      <c r="AB58" s="56">
        <v>1</v>
      </c>
      <c r="AC58" s="58">
        <v>179</v>
      </c>
      <c r="AD58" s="56">
        <v>1</v>
      </c>
      <c r="AE58" s="58">
        <v>0</v>
      </c>
      <c r="AF58" s="56">
        <v>0</v>
      </c>
      <c r="AG58" s="58">
        <v>0</v>
      </c>
      <c r="AH58" s="56">
        <v>0</v>
      </c>
      <c r="AI58" s="58">
        <v>179</v>
      </c>
      <c r="AJ58" s="56">
        <v>1</v>
      </c>
      <c r="AK58" s="58">
        <v>0</v>
      </c>
      <c r="AL58" s="56">
        <v>0</v>
      </c>
      <c r="AM58" s="58">
        <v>538</v>
      </c>
      <c r="AN58" s="56">
        <v>3</v>
      </c>
      <c r="AO58" s="58">
        <v>179</v>
      </c>
      <c r="AP58" s="56">
        <v>1</v>
      </c>
      <c r="AQ58" s="58">
        <v>172</v>
      </c>
      <c r="AR58" s="56">
        <v>1</v>
      </c>
      <c r="AS58" s="58">
        <v>0</v>
      </c>
      <c r="AT58" s="56">
        <v>0</v>
      </c>
      <c r="AU58" s="58">
        <v>172</v>
      </c>
      <c r="AV58" s="56">
        <v>1</v>
      </c>
      <c r="AW58" s="58">
        <v>170</v>
      </c>
      <c r="AX58" s="56">
        <v>1</v>
      </c>
      <c r="AY58" s="58">
        <v>170</v>
      </c>
      <c r="AZ58" s="56">
        <v>1</v>
      </c>
      <c r="BA58" s="58">
        <v>340</v>
      </c>
      <c r="BB58" s="56">
        <v>2</v>
      </c>
      <c r="BC58" s="58">
        <v>0</v>
      </c>
      <c r="BD58" s="56">
        <v>0</v>
      </c>
      <c r="BE58" s="58">
        <v>0</v>
      </c>
      <c r="BF58" s="56">
        <v>0</v>
      </c>
      <c r="BG58" s="58">
        <v>402</v>
      </c>
      <c r="BH58" s="56">
        <v>2</v>
      </c>
      <c r="BI58" s="58">
        <v>0</v>
      </c>
      <c r="BJ58" s="56">
        <v>0</v>
      </c>
      <c r="BK58" s="58">
        <v>170</v>
      </c>
      <c r="BL58" s="56">
        <v>1</v>
      </c>
      <c r="BM58" s="58">
        <v>170</v>
      </c>
      <c r="BN58" s="59">
        <v>1</v>
      </c>
    </row>
    <row r="59" spans="1:66" ht="15.75" customHeight="1">
      <c r="A59" s="8"/>
      <c r="B59" s="50" t="s">
        <v>97</v>
      </c>
      <c r="C59" s="51" t="s">
        <v>101</v>
      </c>
      <c r="D59" s="52" t="s">
        <v>148</v>
      </c>
      <c r="E59" s="53">
        <v>0</v>
      </c>
      <c r="F59" s="51">
        <v>0</v>
      </c>
      <c r="G59" s="53">
        <v>244</v>
      </c>
      <c r="H59" s="51">
        <v>1</v>
      </c>
      <c r="I59" s="53">
        <v>488</v>
      </c>
      <c r="J59" s="51">
        <v>2</v>
      </c>
      <c r="K59" s="53">
        <v>244</v>
      </c>
      <c r="L59" s="51">
        <v>1</v>
      </c>
      <c r="M59" s="53">
        <v>0</v>
      </c>
      <c r="N59" s="51">
        <v>0</v>
      </c>
      <c r="O59" s="53">
        <v>488</v>
      </c>
      <c r="P59" s="51">
        <v>2</v>
      </c>
      <c r="Q59" s="53">
        <v>244</v>
      </c>
      <c r="R59" s="51">
        <v>1</v>
      </c>
      <c r="S59" s="53">
        <v>0</v>
      </c>
      <c r="T59" s="51">
        <v>0</v>
      </c>
      <c r="U59" s="53">
        <v>812</v>
      </c>
      <c r="V59" s="51">
        <v>3</v>
      </c>
      <c r="W59" s="53">
        <v>772</v>
      </c>
      <c r="X59" s="51">
        <v>3</v>
      </c>
      <c r="Y59" s="53">
        <v>0</v>
      </c>
      <c r="Z59" s="51">
        <v>0</v>
      </c>
      <c r="AA59" s="53">
        <v>488</v>
      </c>
      <c r="AB59" s="51">
        <v>2</v>
      </c>
      <c r="AC59" s="53">
        <v>0</v>
      </c>
      <c r="AD59" s="51">
        <v>0</v>
      </c>
      <c r="AE59" s="53">
        <v>0</v>
      </c>
      <c r="AF59" s="51">
        <v>0</v>
      </c>
      <c r="AG59" s="53">
        <v>244</v>
      </c>
      <c r="AH59" s="51">
        <v>1</v>
      </c>
      <c r="AI59" s="53">
        <v>0</v>
      </c>
      <c r="AJ59" s="51">
        <v>0</v>
      </c>
      <c r="AK59" s="53">
        <v>0</v>
      </c>
      <c r="AL59" s="51">
        <v>0</v>
      </c>
      <c r="AM59" s="53">
        <v>0</v>
      </c>
      <c r="AN59" s="51">
        <v>0</v>
      </c>
      <c r="AO59" s="53">
        <v>244</v>
      </c>
      <c r="AP59" s="51">
        <v>1</v>
      </c>
      <c r="AQ59" s="53">
        <v>244</v>
      </c>
      <c r="AR59" s="51">
        <v>1</v>
      </c>
      <c r="AS59" s="53">
        <v>732</v>
      </c>
      <c r="AT59" s="51">
        <v>3</v>
      </c>
      <c r="AU59" s="53">
        <v>0</v>
      </c>
      <c r="AV59" s="51">
        <v>0</v>
      </c>
      <c r="AW59" s="53">
        <v>0</v>
      </c>
      <c r="AX59" s="51">
        <v>0</v>
      </c>
      <c r="AY59" s="53">
        <v>0</v>
      </c>
      <c r="AZ59" s="51">
        <v>0</v>
      </c>
      <c r="BA59" s="53">
        <v>0</v>
      </c>
      <c r="BB59" s="51">
        <v>0</v>
      </c>
      <c r="BC59" s="53">
        <v>732</v>
      </c>
      <c r="BD59" s="51">
        <v>3</v>
      </c>
      <c r="BE59" s="53">
        <v>732</v>
      </c>
      <c r="BF59" s="51">
        <v>3</v>
      </c>
      <c r="BG59" s="53">
        <v>732</v>
      </c>
      <c r="BH59" s="51">
        <v>3</v>
      </c>
      <c r="BI59" s="53">
        <v>732</v>
      </c>
      <c r="BJ59" s="51">
        <v>3</v>
      </c>
      <c r="BK59" s="53">
        <v>0</v>
      </c>
      <c r="BL59" s="51">
        <v>0</v>
      </c>
      <c r="BM59" s="53">
        <v>0</v>
      </c>
      <c r="BN59" s="54">
        <v>0</v>
      </c>
    </row>
    <row r="60" spans="1:66" ht="15.75" customHeight="1">
      <c r="A60" s="8"/>
      <c r="B60" s="55" t="s">
        <v>53</v>
      </c>
      <c r="C60" s="56" t="s">
        <v>102</v>
      </c>
      <c r="D60" s="57" t="s">
        <v>150</v>
      </c>
      <c r="E60" s="58">
        <v>0</v>
      </c>
      <c r="F60" s="56">
        <v>0</v>
      </c>
      <c r="G60" s="58">
        <v>632</v>
      </c>
      <c r="H60" s="56">
        <v>2</v>
      </c>
      <c r="I60" s="58">
        <v>0</v>
      </c>
      <c r="J60" s="56">
        <v>0</v>
      </c>
      <c r="K60" s="58">
        <v>0</v>
      </c>
      <c r="L60" s="56">
        <v>0</v>
      </c>
      <c r="M60" s="58">
        <v>316</v>
      </c>
      <c r="N60" s="56">
        <v>1</v>
      </c>
      <c r="O60" s="58">
        <v>632</v>
      </c>
      <c r="P60" s="56">
        <v>2</v>
      </c>
      <c r="Q60" s="58">
        <v>672</v>
      </c>
      <c r="R60" s="56">
        <v>2</v>
      </c>
      <c r="S60" s="58">
        <v>632</v>
      </c>
      <c r="T60" s="56">
        <v>2</v>
      </c>
      <c r="U60" s="58">
        <v>316</v>
      </c>
      <c r="V60" s="56">
        <v>1</v>
      </c>
      <c r="W60" s="58">
        <v>1304</v>
      </c>
      <c r="X60" s="56">
        <v>4</v>
      </c>
      <c r="Y60" s="58">
        <v>316</v>
      </c>
      <c r="Z60" s="56">
        <v>1</v>
      </c>
      <c r="AA60" s="58">
        <v>672</v>
      </c>
      <c r="AB60" s="56">
        <v>2</v>
      </c>
      <c r="AC60" s="58">
        <v>632</v>
      </c>
      <c r="AD60" s="56">
        <v>2</v>
      </c>
      <c r="AE60" s="58">
        <v>712</v>
      </c>
      <c r="AF60" s="56">
        <v>2</v>
      </c>
      <c r="AG60" s="58">
        <v>1620</v>
      </c>
      <c r="AH60" s="56">
        <v>5</v>
      </c>
      <c r="AI60" s="58">
        <v>672</v>
      </c>
      <c r="AJ60" s="56">
        <v>2</v>
      </c>
      <c r="AK60" s="58">
        <v>316</v>
      </c>
      <c r="AL60" s="56">
        <v>1</v>
      </c>
      <c r="AM60" s="58">
        <v>2252</v>
      </c>
      <c r="AN60" s="56">
        <v>7</v>
      </c>
      <c r="AO60" s="58">
        <v>632</v>
      </c>
      <c r="AP60" s="56">
        <v>2</v>
      </c>
      <c r="AQ60" s="58">
        <v>0</v>
      </c>
      <c r="AR60" s="56">
        <v>0</v>
      </c>
      <c r="AS60" s="58">
        <v>672</v>
      </c>
      <c r="AT60" s="56">
        <v>2</v>
      </c>
      <c r="AU60" s="58">
        <v>948</v>
      </c>
      <c r="AV60" s="56">
        <v>3</v>
      </c>
      <c r="AW60" s="58">
        <v>0</v>
      </c>
      <c r="AX60" s="56">
        <v>0</v>
      </c>
      <c r="AY60" s="58">
        <v>0</v>
      </c>
      <c r="AZ60" s="56">
        <v>0</v>
      </c>
      <c r="BA60" s="58">
        <v>0</v>
      </c>
      <c r="BB60" s="56">
        <v>0</v>
      </c>
      <c r="BC60" s="58">
        <v>1896</v>
      </c>
      <c r="BD60" s="56">
        <v>6</v>
      </c>
      <c r="BE60" s="58">
        <v>316</v>
      </c>
      <c r="BF60" s="56">
        <v>1</v>
      </c>
      <c r="BG60" s="58">
        <v>672</v>
      </c>
      <c r="BH60" s="56">
        <v>2</v>
      </c>
      <c r="BI60" s="58">
        <v>316</v>
      </c>
      <c r="BJ60" s="56">
        <v>1</v>
      </c>
      <c r="BK60" s="58">
        <v>1304</v>
      </c>
      <c r="BL60" s="56">
        <v>4</v>
      </c>
      <c r="BM60" s="58">
        <v>0</v>
      </c>
      <c r="BN60" s="59">
        <v>0</v>
      </c>
    </row>
    <row r="61" spans="1:66" ht="15.75" customHeight="1">
      <c r="A61" s="8"/>
      <c r="B61" s="50" t="s">
        <v>20</v>
      </c>
      <c r="C61" s="51" t="s">
        <v>104</v>
      </c>
      <c r="D61" s="52" t="s">
        <v>142</v>
      </c>
      <c r="E61" s="53">
        <v>2716</v>
      </c>
      <c r="F61" s="51">
        <v>4</v>
      </c>
      <c r="G61" s="53">
        <v>3395</v>
      </c>
      <c r="H61" s="51">
        <v>5</v>
      </c>
      <c r="I61" s="53">
        <v>2037</v>
      </c>
      <c r="J61" s="51">
        <v>3</v>
      </c>
      <c r="K61" s="53">
        <v>2037</v>
      </c>
      <c r="L61" s="51">
        <v>3</v>
      </c>
      <c r="M61" s="53">
        <v>2037</v>
      </c>
      <c r="N61" s="51">
        <v>3</v>
      </c>
      <c r="O61" s="53">
        <v>4753</v>
      </c>
      <c r="P61" s="51">
        <v>7</v>
      </c>
      <c r="Q61" s="53">
        <v>4074</v>
      </c>
      <c r="R61" s="51">
        <v>6</v>
      </c>
      <c r="S61" s="53">
        <v>4074</v>
      </c>
      <c r="T61" s="51">
        <v>6</v>
      </c>
      <c r="U61" s="53">
        <v>1358</v>
      </c>
      <c r="V61" s="51">
        <v>2</v>
      </c>
      <c r="W61" s="53">
        <v>2037</v>
      </c>
      <c r="X61" s="51">
        <v>3</v>
      </c>
      <c r="Y61" s="53">
        <v>2716</v>
      </c>
      <c r="Z61" s="51">
        <v>4</v>
      </c>
      <c r="AA61" s="53">
        <v>3395</v>
      </c>
      <c r="AB61" s="51">
        <v>5</v>
      </c>
      <c r="AC61" s="53">
        <v>2007</v>
      </c>
      <c r="AD61" s="51">
        <v>3</v>
      </c>
      <c r="AE61" s="53">
        <v>4543</v>
      </c>
      <c r="AF61" s="51">
        <v>7</v>
      </c>
      <c r="AG61" s="53">
        <v>7788</v>
      </c>
      <c r="AH61" s="51">
        <v>12</v>
      </c>
      <c r="AI61" s="53">
        <v>3245</v>
      </c>
      <c r="AJ61" s="51">
        <v>5</v>
      </c>
      <c r="AK61" s="53">
        <v>5841</v>
      </c>
      <c r="AL61" s="51">
        <v>9</v>
      </c>
      <c r="AM61" s="53">
        <v>2596</v>
      </c>
      <c r="AN61" s="51">
        <v>4</v>
      </c>
      <c r="AO61" s="53">
        <v>5192</v>
      </c>
      <c r="AP61" s="51">
        <v>8</v>
      </c>
      <c r="AQ61" s="53">
        <v>5192</v>
      </c>
      <c r="AR61" s="51">
        <v>8</v>
      </c>
      <c r="AS61" s="53">
        <v>3894</v>
      </c>
      <c r="AT61" s="51">
        <v>6</v>
      </c>
      <c r="AU61" s="53">
        <v>6490</v>
      </c>
      <c r="AV61" s="51">
        <v>10</v>
      </c>
      <c r="AW61" s="53">
        <v>9735</v>
      </c>
      <c r="AX61" s="51">
        <v>15</v>
      </c>
      <c r="AY61" s="53">
        <v>12331</v>
      </c>
      <c r="AZ61" s="51">
        <v>19</v>
      </c>
      <c r="BA61" s="53">
        <v>5192</v>
      </c>
      <c r="BB61" s="51">
        <v>8</v>
      </c>
      <c r="BC61" s="53">
        <v>9086</v>
      </c>
      <c r="BD61" s="51">
        <v>14</v>
      </c>
      <c r="BE61" s="53">
        <v>5192</v>
      </c>
      <c r="BF61" s="51">
        <v>8</v>
      </c>
      <c r="BG61" s="53">
        <v>8985</v>
      </c>
      <c r="BH61" s="51">
        <v>15</v>
      </c>
      <c r="BI61" s="53">
        <v>11381</v>
      </c>
      <c r="BJ61" s="51">
        <v>19</v>
      </c>
      <c r="BK61" s="53">
        <v>7787</v>
      </c>
      <c r="BL61" s="51">
        <v>13</v>
      </c>
      <c r="BM61" s="53">
        <v>9735</v>
      </c>
      <c r="BN61" s="54">
        <v>15</v>
      </c>
    </row>
    <row r="62" spans="1:66" ht="15.75" customHeight="1">
      <c r="A62" s="8"/>
      <c r="B62" s="50" t="s">
        <v>15</v>
      </c>
      <c r="C62" s="51" t="s">
        <v>103</v>
      </c>
      <c r="D62" s="52" t="s">
        <v>146</v>
      </c>
      <c r="E62" s="53">
        <v>597</v>
      </c>
      <c r="F62" s="51">
        <v>3</v>
      </c>
      <c r="G62" s="53">
        <v>1393</v>
      </c>
      <c r="H62" s="51">
        <v>7</v>
      </c>
      <c r="I62" s="53">
        <v>2388</v>
      </c>
      <c r="J62" s="51">
        <v>12</v>
      </c>
      <c r="K62" s="53">
        <v>1990</v>
      </c>
      <c r="L62" s="51">
        <v>10</v>
      </c>
      <c r="M62" s="53">
        <v>1592</v>
      </c>
      <c r="N62" s="51">
        <v>8</v>
      </c>
      <c r="O62" s="53">
        <v>1194</v>
      </c>
      <c r="P62" s="51">
        <v>6</v>
      </c>
      <c r="Q62" s="53">
        <v>2786</v>
      </c>
      <c r="R62" s="51">
        <v>14</v>
      </c>
      <c r="S62" s="53">
        <v>2587</v>
      </c>
      <c r="T62" s="51">
        <v>13</v>
      </c>
      <c r="U62" s="53">
        <v>5572</v>
      </c>
      <c r="V62" s="51">
        <v>28</v>
      </c>
      <c r="W62" s="53">
        <v>5174</v>
      </c>
      <c r="X62" s="51">
        <v>26</v>
      </c>
      <c r="Y62" s="53">
        <v>2587</v>
      </c>
      <c r="Z62" s="51">
        <v>13</v>
      </c>
      <c r="AA62" s="53">
        <v>3383</v>
      </c>
      <c r="AB62" s="51">
        <v>17</v>
      </c>
      <c r="AC62" s="53">
        <v>3582</v>
      </c>
      <c r="AD62" s="51">
        <v>18</v>
      </c>
      <c r="AE62" s="53">
        <v>3980</v>
      </c>
      <c r="AF62" s="51">
        <v>20</v>
      </c>
      <c r="AG62" s="53">
        <v>3781</v>
      </c>
      <c r="AH62" s="51">
        <v>19</v>
      </c>
      <c r="AI62" s="53">
        <v>2291</v>
      </c>
      <c r="AJ62" s="51">
        <v>11</v>
      </c>
      <c r="AK62" s="53">
        <v>3781</v>
      </c>
      <c r="AL62" s="51">
        <v>19</v>
      </c>
      <c r="AM62" s="53">
        <v>2189</v>
      </c>
      <c r="AN62" s="51">
        <v>11</v>
      </c>
      <c r="AO62" s="53">
        <v>2189</v>
      </c>
      <c r="AP62" s="51">
        <v>11</v>
      </c>
      <c r="AQ62" s="53">
        <v>2786</v>
      </c>
      <c r="AR62" s="51">
        <v>14</v>
      </c>
      <c r="AS62" s="53">
        <v>2388</v>
      </c>
      <c r="AT62" s="51">
        <v>12</v>
      </c>
      <c r="AU62" s="53">
        <v>3184</v>
      </c>
      <c r="AV62" s="51">
        <v>16</v>
      </c>
      <c r="AW62" s="53">
        <v>2388</v>
      </c>
      <c r="AX62" s="51">
        <v>12</v>
      </c>
      <c r="AY62" s="53">
        <v>5373</v>
      </c>
      <c r="AZ62" s="51">
        <v>27</v>
      </c>
      <c r="BA62" s="53">
        <v>4082</v>
      </c>
      <c r="BB62" s="51">
        <v>20</v>
      </c>
      <c r="BC62" s="53">
        <v>1791</v>
      </c>
      <c r="BD62" s="51">
        <v>9</v>
      </c>
      <c r="BE62" s="53">
        <v>1592</v>
      </c>
      <c r="BF62" s="51">
        <v>8</v>
      </c>
      <c r="BG62" s="53">
        <v>2587</v>
      </c>
      <c r="BH62" s="51">
        <v>13</v>
      </c>
      <c r="BI62" s="53">
        <v>2189</v>
      </c>
      <c r="BJ62" s="51">
        <v>11</v>
      </c>
      <c r="BK62" s="53">
        <v>2587</v>
      </c>
      <c r="BL62" s="51">
        <v>13</v>
      </c>
      <c r="BM62" s="53">
        <v>2388</v>
      </c>
      <c r="BN62" s="54">
        <v>12</v>
      </c>
    </row>
    <row r="63" spans="1:66" ht="15.75" customHeight="1">
      <c r="A63" s="8"/>
      <c r="B63" s="50" t="s">
        <v>15</v>
      </c>
      <c r="C63" s="51" t="s">
        <v>103</v>
      </c>
      <c r="D63" s="52" t="s">
        <v>151</v>
      </c>
      <c r="E63" s="53">
        <v>16450</v>
      </c>
      <c r="F63" s="51">
        <v>33</v>
      </c>
      <c r="G63" s="53">
        <v>15769</v>
      </c>
      <c r="H63" s="51">
        <v>32</v>
      </c>
      <c r="I63" s="53">
        <v>19212</v>
      </c>
      <c r="J63" s="51">
        <v>39</v>
      </c>
      <c r="K63" s="53">
        <v>24138</v>
      </c>
      <c r="L63" s="51">
        <v>49</v>
      </c>
      <c r="M63" s="53">
        <v>21245</v>
      </c>
      <c r="N63" s="51">
        <v>43</v>
      </c>
      <c r="O63" s="53">
        <v>22283</v>
      </c>
      <c r="P63" s="51">
        <v>45</v>
      </c>
      <c r="Q63" s="53">
        <v>20197</v>
      </c>
      <c r="R63" s="51">
        <v>41</v>
      </c>
      <c r="S63" s="53">
        <v>17734</v>
      </c>
      <c r="T63" s="51">
        <v>36</v>
      </c>
      <c r="U63" s="53">
        <v>20197</v>
      </c>
      <c r="V63" s="51">
        <v>41</v>
      </c>
      <c r="W63" s="53">
        <v>24138</v>
      </c>
      <c r="X63" s="51">
        <v>49</v>
      </c>
      <c r="Y63" s="53">
        <v>24631</v>
      </c>
      <c r="Z63" s="51">
        <v>50</v>
      </c>
      <c r="AA63" s="53">
        <v>13793</v>
      </c>
      <c r="AB63" s="51">
        <v>28</v>
      </c>
      <c r="AC63" s="53">
        <v>17242</v>
      </c>
      <c r="AD63" s="51">
        <v>35</v>
      </c>
      <c r="AE63" s="53">
        <v>14778</v>
      </c>
      <c r="AF63" s="51">
        <v>30</v>
      </c>
      <c r="AG63" s="53">
        <v>17734</v>
      </c>
      <c r="AH63" s="51">
        <v>36</v>
      </c>
      <c r="AI63" s="53">
        <v>15271</v>
      </c>
      <c r="AJ63" s="51">
        <v>31</v>
      </c>
      <c r="AK63" s="53">
        <v>24631</v>
      </c>
      <c r="AL63" s="51">
        <v>50</v>
      </c>
      <c r="AM63" s="53">
        <v>22660</v>
      </c>
      <c r="AN63" s="51">
        <v>46</v>
      </c>
      <c r="AO63" s="53">
        <v>23645</v>
      </c>
      <c r="AP63" s="51">
        <v>48</v>
      </c>
      <c r="AQ63" s="53">
        <v>23153</v>
      </c>
      <c r="AR63" s="51">
        <v>47</v>
      </c>
      <c r="AS63" s="53">
        <v>27094</v>
      </c>
      <c r="AT63" s="51">
        <v>55</v>
      </c>
      <c r="AU63" s="53">
        <v>38441</v>
      </c>
      <c r="AV63" s="51">
        <v>78</v>
      </c>
      <c r="AW63" s="53">
        <v>43964</v>
      </c>
      <c r="AX63" s="51">
        <v>91</v>
      </c>
      <c r="AY63" s="53">
        <v>50245</v>
      </c>
      <c r="AZ63" s="51">
        <v>104</v>
      </c>
      <c r="BA63" s="53">
        <v>31403</v>
      </c>
      <c r="BB63" s="51">
        <v>65</v>
      </c>
      <c r="BC63" s="53">
        <v>30437</v>
      </c>
      <c r="BD63" s="51">
        <v>63</v>
      </c>
      <c r="BE63" s="53">
        <v>34785</v>
      </c>
      <c r="BF63" s="51">
        <v>72</v>
      </c>
      <c r="BG63" s="53">
        <v>29631</v>
      </c>
      <c r="BH63" s="51">
        <v>60</v>
      </c>
      <c r="BI63" s="53">
        <v>27586</v>
      </c>
      <c r="BJ63" s="51">
        <v>56</v>
      </c>
      <c r="BK63" s="53">
        <v>21182</v>
      </c>
      <c r="BL63" s="51">
        <v>43</v>
      </c>
      <c r="BM63" s="53">
        <v>43964</v>
      </c>
      <c r="BN63" s="54">
        <v>91</v>
      </c>
    </row>
    <row r="64" spans="1:66" ht="15.75" customHeight="1">
      <c r="A64" s="8"/>
      <c r="B64" s="50" t="s">
        <v>60</v>
      </c>
      <c r="C64" s="51" t="s">
        <v>101</v>
      </c>
      <c r="D64" s="52" t="s">
        <v>152</v>
      </c>
      <c r="E64" s="53">
        <v>877</v>
      </c>
      <c r="F64" s="51">
        <v>3</v>
      </c>
      <c r="G64" s="53">
        <v>767</v>
      </c>
      <c r="H64" s="51">
        <v>3</v>
      </c>
      <c r="I64" s="53">
        <v>1196</v>
      </c>
      <c r="J64" s="51">
        <v>4</v>
      </c>
      <c r="K64" s="53">
        <v>837</v>
      </c>
      <c r="L64" s="51">
        <v>3</v>
      </c>
      <c r="M64" s="53">
        <v>877</v>
      </c>
      <c r="N64" s="51">
        <v>3</v>
      </c>
      <c r="O64" s="53">
        <v>957</v>
      </c>
      <c r="P64" s="51">
        <v>3</v>
      </c>
      <c r="Q64" s="53">
        <v>1156</v>
      </c>
      <c r="R64" s="51">
        <v>4</v>
      </c>
      <c r="S64" s="53">
        <v>1196</v>
      </c>
      <c r="T64" s="51">
        <v>4</v>
      </c>
      <c r="U64" s="53">
        <v>3348</v>
      </c>
      <c r="V64" s="51">
        <v>12</v>
      </c>
      <c r="W64" s="53">
        <v>279</v>
      </c>
      <c r="X64" s="51">
        <v>1</v>
      </c>
      <c r="Y64" s="53">
        <v>558</v>
      </c>
      <c r="Z64" s="51">
        <v>2</v>
      </c>
      <c r="AA64" s="53">
        <v>837</v>
      </c>
      <c r="AB64" s="51">
        <v>3</v>
      </c>
      <c r="AC64" s="53">
        <v>2073</v>
      </c>
      <c r="AD64" s="51">
        <v>7</v>
      </c>
      <c r="AE64" s="53">
        <v>558</v>
      </c>
      <c r="AF64" s="51">
        <v>2</v>
      </c>
      <c r="AG64" s="53">
        <v>1714</v>
      </c>
      <c r="AH64" s="51">
        <v>6</v>
      </c>
      <c r="AI64" s="53">
        <v>1395</v>
      </c>
      <c r="AJ64" s="51">
        <v>5</v>
      </c>
      <c r="AK64" s="53">
        <v>1116</v>
      </c>
      <c r="AL64" s="51">
        <v>4</v>
      </c>
      <c r="AM64" s="53">
        <v>279</v>
      </c>
      <c r="AN64" s="51">
        <v>1</v>
      </c>
      <c r="AO64" s="53">
        <v>279</v>
      </c>
      <c r="AP64" s="51">
        <v>1</v>
      </c>
      <c r="AQ64" s="53">
        <v>279</v>
      </c>
      <c r="AR64" s="51">
        <v>1</v>
      </c>
      <c r="AS64" s="53">
        <v>1668</v>
      </c>
      <c r="AT64" s="51">
        <v>8</v>
      </c>
      <c r="AU64" s="53">
        <v>185</v>
      </c>
      <c r="AV64" s="51">
        <v>1</v>
      </c>
      <c r="AW64" s="53">
        <v>764</v>
      </c>
      <c r="AX64" s="51">
        <v>4</v>
      </c>
      <c r="AY64" s="53">
        <v>804</v>
      </c>
      <c r="AZ64" s="51">
        <v>4</v>
      </c>
      <c r="BA64" s="53">
        <v>613</v>
      </c>
      <c r="BB64" s="51">
        <v>3</v>
      </c>
      <c r="BC64" s="53">
        <v>1560</v>
      </c>
      <c r="BD64" s="51">
        <v>8</v>
      </c>
      <c r="BE64" s="53">
        <v>925</v>
      </c>
      <c r="BF64" s="51">
        <v>5</v>
      </c>
      <c r="BG64" s="53">
        <v>1110</v>
      </c>
      <c r="BH64" s="51">
        <v>6</v>
      </c>
      <c r="BI64" s="53">
        <v>1375</v>
      </c>
      <c r="BJ64" s="51">
        <v>7</v>
      </c>
      <c r="BK64" s="53">
        <v>1190</v>
      </c>
      <c r="BL64" s="51">
        <v>6</v>
      </c>
      <c r="BM64" s="53">
        <v>764</v>
      </c>
      <c r="BN64" s="54">
        <v>4</v>
      </c>
    </row>
    <row r="65" spans="1:66" ht="15.75" customHeight="1">
      <c r="A65" s="8"/>
      <c r="B65" s="55" t="s">
        <v>13</v>
      </c>
      <c r="C65" s="56" t="s">
        <v>101</v>
      </c>
      <c r="D65" s="57" t="s">
        <v>147</v>
      </c>
      <c r="E65" s="58">
        <v>0</v>
      </c>
      <c r="F65" s="56">
        <v>0</v>
      </c>
      <c r="G65" s="58">
        <v>0</v>
      </c>
      <c r="H65" s="56">
        <v>0</v>
      </c>
      <c r="I65" s="58">
        <v>0</v>
      </c>
      <c r="J65" s="56">
        <v>0</v>
      </c>
      <c r="K65" s="58">
        <v>0</v>
      </c>
      <c r="L65" s="56">
        <v>0</v>
      </c>
      <c r="M65" s="58">
        <v>0</v>
      </c>
      <c r="N65" s="56">
        <v>0</v>
      </c>
      <c r="O65" s="58">
        <v>0</v>
      </c>
      <c r="P65" s="56">
        <v>0</v>
      </c>
      <c r="Q65" s="58">
        <v>0</v>
      </c>
      <c r="R65" s="56">
        <v>0</v>
      </c>
      <c r="S65" s="58">
        <v>0</v>
      </c>
      <c r="T65" s="56">
        <v>0</v>
      </c>
      <c r="U65" s="58">
        <v>0</v>
      </c>
      <c r="V65" s="56">
        <v>0</v>
      </c>
      <c r="W65" s="58">
        <v>0</v>
      </c>
      <c r="X65" s="56">
        <v>0</v>
      </c>
      <c r="Y65" s="58">
        <v>0</v>
      </c>
      <c r="Z65" s="56">
        <v>0</v>
      </c>
      <c r="AA65" s="58">
        <v>0</v>
      </c>
      <c r="AB65" s="56">
        <v>0</v>
      </c>
      <c r="AC65" s="58">
        <v>0</v>
      </c>
      <c r="AD65" s="56">
        <v>0</v>
      </c>
      <c r="AE65" s="58">
        <v>0</v>
      </c>
      <c r="AF65" s="56">
        <v>0</v>
      </c>
      <c r="AG65" s="58">
        <v>0</v>
      </c>
      <c r="AH65" s="56">
        <v>0</v>
      </c>
      <c r="AI65" s="58">
        <v>0</v>
      </c>
      <c r="AJ65" s="56">
        <v>0</v>
      </c>
      <c r="AK65" s="58">
        <v>0</v>
      </c>
      <c r="AL65" s="56">
        <v>0</v>
      </c>
      <c r="AM65" s="58">
        <v>479</v>
      </c>
      <c r="AN65" s="56">
        <v>1</v>
      </c>
      <c r="AO65" s="58">
        <v>0</v>
      </c>
      <c r="AP65" s="56">
        <v>0</v>
      </c>
      <c r="AQ65" s="58">
        <v>0</v>
      </c>
      <c r="AR65" s="56">
        <v>0</v>
      </c>
      <c r="AS65" s="58">
        <v>0</v>
      </c>
      <c r="AT65" s="56">
        <v>0</v>
      </c>
      <c r="AU65" s="58">
        <v>0</v>
      </c>
      <c r="AV65" s="56">
        <v>0</v>
      </c>
      <c r="AW65" s="58">
        <v>0</v>
      </c>
      <c r="AX65" s="56">
        <v>0</v>
      </c>
      <c r="AY65" s="58">
        <v>0</v>
      </c>
      <c r="AZ65" s="56">
        <v>0</v>
      </c>
      <c r="BA65" s="58">
        <v>0</v>
      </c>
      <c r="BB65" s="56">
        <v>0</v>
      </c>
      <c r="BC65" s="58">
        <v>0</v>
      </c>
      <c r="BD65" s="56">
        <v>0</v>
      </c>
      <c r="BE65" s="58">
        <v>0</v>
      </c>
      <c r="BF65" s="56">
        <v>0</v>
      </c>
      <c r="BG65" s="58">
        <v>0</v>
      </c>
      <c r="BH65" s="56">
        <v>0</v>
      </c>
      <c r="BI65" s="58">
        <v>0</v>
      </c>
      <c r="BJ65" s="56">
        <v>0</v>
      </c>
      <c r="BK65" s="58">
        <v>0</v>
      </c>
      <c r="BL65" s="56">
        <v>0</v>
      </c>
      <c r="BM65" s="58">
        <v>0</v>
      </c>
      <c r="BN65" s="59">
        <v>0</v>
      </c>
    </row>
    <row r="66" spans="1:66" ht="15.75" customHeight="1">
      <c r="A66" s="8"/>
      <c r="B66" s="55" t="s">
        <v>67</v>
      </c>
      <c r="C66" s="56" t="s">
        <v>104</v>
      </c>
      <c r="D66" s="57" t="s">
        <v>144</v>
      </c>
      <c r="E66" s="58">
        <v>10148</v>
      </c>
      <c r="F66" s="56">
        <v>12</v>
      </c>
      <c r="G66" s="58">
        <v>5228</v>
      </c>
      <c r="H66" s="56">
        <v>6</v>
      </c>
      <c r="I66" s="58">
        <v>6806</v>
      </c>
      <c r="J66" s="56">
        <v>8</v>
      </c>
      <c r="K66" s="58">
        <v>8548</v>
      </c>
      <c r="L66" s="56">
        <v>10</v>
      </c>
      <c r="M66" s="58">
        <v>15358</v>
      </c>
      <c r="N66" s="56">
        <v>18</v>
      </c>
      <c r="O66" s="58">
        <v>14441</v>
      </c>
      <c r="P66" s="56">
        <v>17</v>
      </c>
      <c r="Q66" s="58">
        <v>10126</v>
      </c>
      <c r="R66" s="56">
        <v>12</v>
      </c>
      <c r="S66" s="58">
        <v>16087</v>
      </c>
      <c r="T66" s="56">
        <v>19</v>
      </c>
      <c r="U66" s="58">
        <v>5118</v>
      </c>
      <c r="V66" s="56">
        <v>6</v>
      </c>
      <c r="W66" s="58">
        <v>10969</v>
      </c>
      <c r="X66" s="56">
        <v>13</v>
      </c>
      <c r="Y66" s="58">
        <v>14400</v>
      </c>
      <c r="Z66" s="56">
        <v>17</v>
      </c>
      <c r="AA66" s="58">
        <v>12823</v>
      </c>
      <c r="AB66" s="56">
        <v>15</v>
      </c>
      <c r="AC66" s="58">
        <v>10199</v>
      </c>
      <c r="AD66" s="56">
        <v>12</v>
      </c>
      <c r="AE66" s="58">
        <v>16253</v>
      </c>
      <c r="AF66" s="56">
        <v>19</v>
      </c>
      <c r="AG66" s="58">
        <v>9447</v>
      </c>
      <c r="AH66" s="56">
        <v>11</v>
      </c>
      <c r="AI66" s="58">
        <v>10291</v>
      </c>
      <c r="AJ66" s="56">
        <v>12</v>
      </c>
      <c r="AK66" s="58">
        <v>8548</v>
      </c>
      <c r="AL66" s="56">
        <v>10</v>
      </c>
      <c r="AM66" s="58">
        <v>7815</v>
      </c>
      <c r="AN66" s="56">
        <v>9</v>
      </c>
      <c r="AO66" s="58">
        <v>10166</v>
      </c>
      <c r="AP66" s="56">
        <v>12</v>
      </c>
      <c r="AQ66" s="58">
        <v>10996</v>
      </c>
      <c r="AR66" s="56">
        <v>13</v>
      </c>
      <c r="AS66" s="58">
        <v>12606</v>
      </c>
      <c r="AT66" s="56">
        <v>15</v>
      </c>
      <c r="AU66" s="58">
        <v>11059</v>
      </c>
      <c r="AV66" s="56">
        <v>13</v>
      </c>
      <c r="AW66" s="58">
        <v>7573</v>
      </c>
      <c r="AX66" s="56">
        <v>9</v>
      </c>
      <c r="AY66" s="58">
        <v>9307</v>
      </c>
      <c r="AZ66" s="56">
        <v>11</v>
      </c>
      <c r="BA66" s="58">
        <v>9053</v>
      </c>
      <c r="BB66" s="56">
        <v>11</v>
      </c>
      <c r="BC66" s="58">
        <v>12958</v>
      </c>
      <c r="BD66" s="56">
        <v>19</v>
      </c>
      <c r="BE66" s="58">
        <v>13147</v>
      </c>
      <c r="BF66" s="56">
        <v>19</v>
      </c>
      <c r="BG66" s="58">
        <v>19374</v>
      </c>
      <c r="BH66" s="56">
        <v>28</v>
      </c>
      <c r="BI66" s="58">
        <v>13147</v>
      </c>
      <c r="BJ66" s="56">
        <v>19</v>
      </c>
      <c r="BK66" s="58">
        <v>11071</v>
      </c>
      <c r="BL66" s="56">
        <v>16</v>
      </c>
      <c r="BM66" s="58">
        <v>7573</v>
      </c>
      <c r="BN66" s="59">
        <v>9</v>
      </c>
    </row>
    <row r="67" spans="1:66" ht="15.75" customHeight="1">
      <c r="A67" s="8"/>
      <c r="B67" s="50" t="s">
        <v>89</v>
      </c>
      <c r="C67" s="51" t="s">
        <v>102</v>
      </c>
      <c r="D67" s="52" t="s">
        <v>149</v>
      </c>
      <c r="E67" s="53">
        <v>0</v>
      </c>
      <c r="F67" s="51">
        <v>0</v>
      </c>
      <c r="G67" s="53">
        <v>0</v>
      </c>
      <c r="H67" s="51">
        <v>0</v>
      </c>
      <c r="I67" s="53">
        <v>0</v>
      </c>
      <c r="J67" s="51">
        <v>0</v>
      </c>
      <c r="K67" s="53">
        <v>538</v>
      </c>
      <c r="L67" s="51">
        <v>2</v>
      </c>
      <c r="M67" s="53">
        <v>0</v>
      </c>
      <c r="N67" s="51">
        <v>0</v>
      </c>
      <c r="O67" s="53">
        <v>0</v>
      </c>
      <c r="P67" s="51">
        <v>0</v>
      </c>
      <c r="Q67" s="53">
        <v>309</v>
      </c>
      <c r="R67" s="51">
        <v>1</v>
      </c>
      <c r="S67" s="53">
        <v>0</v>
      </c>
      <c r="T67" s="51">
        <v>0</v>
      </c>
      <c r="U67" s="53">
        <v>0</v>
      </c>
      <c r="V67" s="51">
        <v>0</v>
      </c>
      <c r="W67" s="53">
        <v>0</v>
      </c>
      <c r="X67" s="51">
        <v>0</v>
      </c>
      <c r="Y67" s="53">
        <v>269</v>
      </c>
      <c r="Z67" s="51">
        <v>1</v>
      </c>
      <c r="AA67" s="53">
        <v>0</v>
      </c>
      <c r="AB67" s="51">
        <v>0</v>
      </c>
      <c r="AC67" s="53">
        <v>269</v>
      </c>
      <c r="AD67" s="51">
        <v>1</v>
      </c>
      <c r="AE67" s="53">
        <v>0</v>
      </c>
      <c r="AF67" s="51">
        <v>0</v>
      </c>
      <c r="AG67" s="53">
        <v>0</v>
      </c>
      <c r="AH67" s="51">
        <v>0</v>
      </c>
      <c r="AI67" s="53">
        <v>0</v>
      </c>
      <c r="AJ67" s="51">
        <v>0</v>
      </c>
      <c r="AK67" s="53">
        <v>0</v>
      </c>
      <c r="AL67" s="51">
        <v>0</v>
      </c>
      <c r="AM67" s="53">
        <v>0</v>
      </c>
      <c r="AN67" s="51">
        <v>0</v>
      </c>
      <c r="AO67" s="53">
        <v>1216</v>
      </c>
      <c r="AP67" s="51">
        <v>4</v>
      </c>
      <c r="AQ67" s="53">
        <v>0</v>
      </c>
      <c r="AR67" s="51">
        <v>0</v>
      </c>
      <c r="AS67" s="53">
        <v>309</v>
      </c>
      <c r="AT67" s="51">
        <v>1</v>
      </c>
      <c r="AU67" s="53">
        <v>0</v>
      </c>
      <c r="AV67" s="51">
        <v>0</v>
      </c>
      <c r="AW67" s="53">
        <v>269</v>
      </c>
      <c r="AX67" s="51">
        <v>1</v>
      </c>
      <c r="AY67" s="53">
        <v>269</v>
      </c>
      <c r="AZ67" s="51">
        <v>1</v>
      </c>
      <c r="BA67" s="53">
        <v>0</v>
      </c>
      <c r="BB67" s="51">
        <v>0</v>
      </c>
      <c r="BC67" s="53">
        <v>0</v>
      </c>
      <c r="BD67" s="51">
        <v>0</v>
      </c>
      <c r="BE67" s="53">
        <v>269</v>
      </c>
      <c r="BF67" s="51">
        <v>1</v>
      </c>
      <c r="BG67" s="53">
        <v>0</v>
      </c>
      <c r="BH67" s="51">
        <v>0</v>
      </c>
      <c r="BI67" s="53">
        <v>0</v>
      </c>
      <c r="BJ67" s="51">
        <v>0</v>
      </c>
      <c r="BK67" s="53">
        <v>-267</v>
      </c>
      <c r="BL67" s="51">
        <v>-1</v>
      </c>
      <c r="BM67" s="53">
        <v>269</v>
      </c>
      <c r="BN67" s="54">
        <v>1</v>
      </c>
    </row>
    <row r="68" spans="1:66" ht="15.75" customHeight="1">
      <c r="A68" s="8"/>
      <c r="B68" s="50" t="s">
        <v>44</v>
      </c>
      <c r="C68" s="51" t="s">
        <v>103</v>
      </c>
      <c r="D68" s="52" t="s">
        <v>146</v>
      </c>
      <c r="E68" s="53">
        <v>3335</v>
      </c>
      <c r="F68" s="51">
        <v>23</v>
      </c>
      <c r="G68" s="53">
        <v>2320</v>
      </c>
      <c r="H68" s="51">
        <v>16</v>
      </c>
      <c r="I68" s="53">
        <v>1305</v>
      </c>
      <c r="J68" s="51">
        <v>9</v>
      </c>
      <c r="K68" s="53">
        <v>2030</v>
      </c>
      <c r="L68" s="51">
        <v>14</v>
      </c>
      <c r="M68" s="53">
        <v>1015</v>
      </c>
      <c r="N68" s="51">
        <v>7</v>
      </c>
      <c r="O68" s="53">
        <v>1305</v>
      </c>
      <c r="P68" s="51">
        <v>9</v>
      </c>
      <c r="Q68" s="53">
        <v>3335</v>
      </c>
      <c r="R68" s="51">
        <v>23</v>
      </c>
      <c r="S68" s="53">
        <v>2030</v>
      </c>
      <c r="T68" s="51">
        <v>14</v>
      </c>
      <c r="U68" s="53">
        <v>2465</v>
      </c>
      <c r="V68" s="51">
        <v>17</v>
      </c>
      <c r="W68" s="53">
        <v>3335</v>
      </c>
      <c r="X68" s="51">
        <v>23</v>
      </c>
      <c r="Y68" s="53">
        <v>3625</v>
      </c>
      <c r="Z68" s="51">
        <v>25</v>
      </c>
      <c r="AA68" s="53">
        <v>1015</v>
      </c>
      <c r="AB68" s="51">
        <v>7</v>
      </c>
      <c r="AC68" s="53">
        <v>2320</v>
      </c>
      <c r="AD68" s="51">
        <v>16</v>
      </c>
      <c r="AE68" s="53">
        <v>1740</v>
      </c>
      <c r="AF68" s="51">
        <v>12</v>
      </c>
      <c r="AG68" s="53">
        <v>1740</v>
      </c>
      <c r="AH68" s="51">
        <v>12</v>
      </c>
      <c r="AI68" s="53">
        <v>2900</v>
      </c>
      <c r="AJ68" s="51">
        <v>20</v>
      </c>
      <c r="AK68" s="53">
        <v>1740</v>
      </c>
      <c r="AL68" s="51">
        <v>12</v>
      </c>
      <c r="AM68" s="53">
        <v>3625</v>
      </c>
      <c r="AN68" s="51">
        <v>25</v>
      </c>
      <c r="AO68" s="53">
        <v>2175</v>
      </c>
      <c r="AP68" s="51">
        <v>15</v>
      </c>
      <c r="AQ68" s="53">
        <v>1885</v>
      </c>
      <c r="AR68" s="51">
        <v>13</v>
      </c>
      <c r="AS68" s="53">
        <v>1450</v>
      </c>
      <c r="AT68" s="51">
        <v>10</v>
      </c>
      <c r="AU68" s="53">
        <v>2465</v>
      </c>
      <c r="AV68" s="51">
        <v>17</v>
      </c>
      <c r="AW68" s="53">
        <v>2900</v>
      </c>
      <c r="AX68" s="51">
        <v>20</v>
      </c>
      <c r="AY68" s="53">
        <v>5220</v>
      </c>
      <c r="AZ68" s="51">
        <v>36</v>
      </c>
      <c r="BA68" s="53">
        <v>2175</v>
      </c>
      <c r="BB68" s="51">
        <v>15</v>
      </c>
      <c r="BC68" s="53">
        <v>2175</v>
      </c>
      <c r="BD68" s="51">
        <v>15</v>
      </c>
      <c r="BE68" s="53">
        <v>1885</v>
      </c>
      <c r="BF68" s="51">
        <v>13</v>
      </c>
      <c r="BG68" s="53">
        <v>2160</v>
      </c>
      <c r="BH68" s="51">
        <v>16</v>
      </c>
      <c r="BI68" s="53">
        <v>2430</v>
      </c>
      <c r="BJ68" s="51">
        <v>18</v>
      </c>
      <c r="BK68" s="53">
        <v>2835</v>
      </c>
      <c r="BL68" s="51">
        <v>21</v>
      </c>
      <c r="BM68" s="53">
        <v>2900</v>
      </c>
      <c r="BN68" s="54">
        <v>20</v>
      </c>
    </row>
    <row r="69" spans="1:66" ht="15.75" customHeight="1">
      <c r="A69" s="8"/>
      <c r="B69" s="55" t="s">
        <v>46</v>
      </c>
      <c r="C69" s="56" t="s">
        <v>102</v>
      </c>
      <c r="D69" s="57" t="s">
        <v>154</v>
      </c>
      <c r="E69" s="58">
        <v>0</v>
      </c>
      <c r="F69" s="56">
        <v>0</v>
      </c>
      <c r="G69" s="58">
        <v>0</v>
      </c>
      <c r="H69" s="56">
        <v>0</v>
      </c>
      <c r="I69" s="58">
        <v>0</v>
      </c>
      <c r="J69" s="56">
        <v>0</v>
      </c>
      <c r="K69" s="58">
        <v>0</v>
      </c>
      <c r="L69" s="56">
        <v>0</v>
      </c>
      <c r="M69" s="58">
        <v>0</v>
      </c>
      <c r="N69" s="56">
        <v>0</v>
      </c>
      <c r="O69" s="58">
        <v>0</v>
      </c>
      <c r="P69" s="56">
        <v>0</v>
      </c>
      <c r="Q69" s="58">
        <v>0</v>
      </c>
      <c r="R69" s="56">
        <v>0</v>
      </c>
      <c r="S69" s="58">
        <v>0</v>
      </c>
      <c r="T69" s="56">
        <v>0</v>
      </c>
      <c r="U69" s="58">
        <v>0</v>
      </c>
      <c r="V69" s="56">
        <v>0</v>
      </c>
      <c r="W69" s="58">
        <v>0</v>
      </c>
      <c r="X69" s="56">
        <v>0</v>
      </c>
      <c r="Y69" s="58">
        <v>0</v>
      </c>
      <c r="Z69" s="56">
        <v>0</v>
      </c>
      <c r="AA69" s="58">
        <v>0</v>
      </c>
      <c r="AB69" s="56">
        <v>0</v>
      </c>
      <c r="AC69" s="58">
        <v>0</v>
      </c>
      <c r="AD69" s="56">
        <v>0</v>
      </c>
      <c r="AE69" s="58">
        <v>0</v>
      </c>
      <c r="AF69" s="56">
        <v>0</v>
      </c>
      <c r="AG69" s="58">
        <v>0</v>
      </c>
      <c r="AH69" s="56">
        <v>0</v>
      </c>
      <c r="AI69" s="58">
        <v>0</v>
      </c>
      <c r="AJ69" s="56">
        <v>0</v>
      </c>
      <c r="AK69" s="58">
        <v>0</v>
      </c>
      <c r="AL69" s="56">
        <v>0</v>
      </c>
      <c r="AM69" s="58">
        <v>0</v>
      </c>
      <c r="AN69" s="56">
        <v>0</v>
      </c>
      <c r="AO69" s="58">
        <v>0</v>
      </c>
      <c r="AP69" s="56">
        <v>0</v>
      </c>
      <c r="AQ69" s="58">
        <v>0</v>
      </c>
      <c r="AR69" s="56">
        <v>0</v>
      </c>
      <c r="AS69" s="58">
        <v>0</v>
      </c>
      <c r="AT69" s="56">
        <v>0</v>
      </c>
      <c r="AU69" s="58">
        <v>0</v>
      </c>
      <c r="AV69" s="56">
        <v>0</v>
      </c>
      <c r="AW69" s="58">
        <v>0</v>
      </c>
      <c r="AX69" s="56">
        <v>0</v>
      </c>
      <c r="AY69" s="58">
        <v>0</v>
      </c>
      <c r="AZ69" s="56">
        <v>0</v>
      </c>
      <c r="BA69" s="58">
        <v>0</v>
      </c>
      <c r="BB69" s="56">
        <v>0</v>
      </c>
      <c r="BC69" s="58">
        <v>0</v>
      </c>
      <c r="BD69" s="56">
        <v>0</v>
      </c>
      <c r="BE69" s="58">
        <v>0</v>
      </c>
      <c r="BF69" s="56">
        <v>0</v>
      </c>
      <c r="BG69" s="58">
        <v>0</v>
      </c>
      <c r="BH69" s="56">
        <v>0</v>
      </c>
      <c r="BI69" s="58">
        <v>0</v>
      </c>
      <c r="BJ69" s="56">
        <v>0</v>
      </c>
      <c r="BK69" s="58">
        <v>0</v>
      </c>
      <c r="BL69" s="56">
        <v>0</v>
      </c>
      <c r="BM69" s="58">
        <v>0</v>
      </c>
      <c r="BN69" s="59">
        <v>0</v>
      </c>
    </row>
    <row r="70" spans="1:66" ht="15.75" customHeight="1">
      <c r="A70" s="8"/>
      <c r="B70" s="50" t="s">
        <v>23</v>
      </c>
      <c r="C70" s="51" t="s">
        <v>102</v>
      </c>
      <c r="D70" s="52" t="s">
        <v>150</v>
      </c>
      <c r="E70" s="53">
        <v>8058</v>
      </c>
      <c r="F70" s="51">
        <v>42</v>
      </c>
      <c r="G70" s="53">
        <v>8138</v>
      </c>
      <c r="H70" s="51">
        <v>42</v>
      </c>
      <c r="I70" s="53">
        <v>5870</v>
      </c>
      <c r="J70" s="51">
        <v>30</v>
      </c>
      <c r="K70" s="53">
        <v>8625</v>
      </c>
      <c r="L70" s="51">
        <v>45</v>
      </c>
      <c r="M70" s="53">
        <v>7531</v>
      </c>
      <c r="N70" s="51">
        <v>39</v>
      </c>
      <c r="O70" s="53">
        <v>7044</v>
      </c>
      <c r="P70" s="51">
        <v>36</v>
      </c>
      <c r="Q70" s="53">
        <v>4885</v>
      </c>
      <c r="R70" s="51">
        <v>25</v>
      </c>
      <c r="S70" s="53">
        <v>9506</v>
      </c>
      <c r="T70" s="51">
        <v>50</v>
      </c>
      <c r="U70" s="53">
        <v>7995</v>
      </c>
      <c r="V70" s="51">
        <v>41</v>
      </c>
      <c r="W70" s="53">
        <v>6248</v>
      </c>
      <c r="X70" s="51">
        <v>32</v>
      </c>
      <c r="Y70" s="53">
        <v>8367</v>
      </c>
      <c r="Z70" s="51">
        <v>43</v>
      </c>
      <c r="AA70" s="53">
        <v>7374</v>
      </c>
      <c r="AB70" s="51">
        <v>38</v>
      </c>
      <c r="AC70" s="53">
        <v>7576</v>
      </c>
      <c r="AD70" s="51">
        <v>40</v>
      </c>
      <c r="AE70" s="53">
        <v>8790</v>
      </c>
      <c r="AF70" s="51">
        <v>46</v>
      </c>
      <c r="AG70" s="53">
        <v>10106</v>
      </c>
      <c r="AH70" s="51">
        <v>52</v>
      </c>
      <c r="AI70" s="53">
        <v>8506</v>
      </c>
      <c r="AJ70" s="51">
        <v>44</v>
      </c>
      <c r="AK70" s="53">
        <v>8665</v>
      </c>
      <c r="AL70" s="51">
        <v>45</v>
      </c>
      <c r="AM70" s="53">
        <v>8436</v>
      </c>
      <c r="AN70" s="51">
        <v>44</v>
      </c>
      <c r="AO70" s="53">
        <v>6687</v>
      </c>
      <c r="AP70" s="51">
        <v>35</v>
      </c>
      <c r="AQ70" s="53">
        <v>7831</v>
      </c>
      <c r="AR70" s="51">
        <v>39</v>
      </c>
      <c r="AS70" s="53">
        <v>8138</v>
      </c>
      <c r="AT70" s="51">
        <v>42</v>
      </c>
      <c r="AU70" s="53">
        <v>7740</v>
      </c>
      <c r="AV70" s="51">
        <v>40</v>
      </c>
      <c r="AW70" s="53">
        <v>2170</v>
      </c>
      <c r="AX70" s="51">
        <v>10</v>
      </c>
      <c r="AY70" s="53">
        <v>5385</v>
      </c>
      <c r="AZ70" s="51">
        <v>25</v>
      </c>
      <c r="BA70" s="53">
        <v>3215</v>
      </c>
      <c r="BB70" s="51">
        <v>15</v>
      </c>
      <c r="BC70" s="53">
        <v>3344</v>
      </c>
      <c r="BD70" s="51">
        <v>16</v>
      </c>
      <c r="BE70" s="53">
        <v>3633</v>
      </c>
      <c r="BF70" s="51">
        <v>17</v>
      </c>
      <c r="BG70" s="53">
        <v>2966</v>
      </c>
      <c r="BH70" s="51">
        <v>14</v>
      </c>
      <c r="BI70" s="53">
        <v>4011</v>
      </c>
      <c r="BJ70" s="51">
        <v>19</v>
      </c>
      <c r="BK70" s="53">
        <v>1712</v>
      </c>
      <c r="BL70" s="51">
        <v>8</v>
      </c>
      <c r="BM70" s="53">
        <v>2170</v>
      </c>
      <c r="BN70" s="54">
        <v>10</v>
      </c>
    </row>
    <row r="71" spans="1:66" ht="15.75" customHeight="1">
      <c r="A71" s="8"/>
      <c r="B71" s="50" t="s">
        <v>42</v>
      </c>
      <c r="C71" s="51" t="s">
        <v>101</v>
      </c>
      <c r="D71" s="52" t="s">
        <v>152</v>
      </c>
      <c r="E71" s="53">
        <v>9087</v>
      </c>
      <c r="F71" s="51">
        <v>13</v>
      </c>
      <c r="G71" s="53">
        <v>6291</v>
      </c>
      <c r="H71" s="51">
        <v>9</v>
      </c>
      <c r="I71" s="53">
        <v>6990</v>
      </c>
      <c r="J71" s="51">
        <v>10</v>
      </c>
      <c r="K71" s="53">
        <v>8388</v>
      </c>
      <c r="L71" s="51">
        <v>12</v>
      </c>
      <c r="M71" s="53">
        <v>7689</v>
      </c>
      <c r="N71" s="51">
        <v>11</v>
      </c>
      <c r="O71" s="53">
        <v>7689</v>
      </c>
      <c r="P71" s="51">
        <v>11</v>
      </c>
      <c r="Q71" s="53">
        <v>9087</v>
      </c>
      <c r="R71" s="51">
        <v>13</v>
      </c>
      <c r="S71" s="53">
        <v>11184</v>
      </c>
      <c r="T71" s="51">
        <v>16</v>
      </c>
      <c r="U71" s="53">
        <v>11883</v>
      </c>
      <c r="V71" s="51">
        <v>17</v>
      </c>
      <c r="W71" s="53">
        <v>12582</v>
      </c>
      <c r="X71" s="51">
        <v>18</v>
      </c>
      <c r="Y71" s="53">
        <v>11883</v>
      </c>
      <c r="Z71" s="51">
        <v>17</v>
      </c>
      <c r="AA71" s="53">
        <v>11883</v>
      </c>
      <c r="AB71" s="51">
        <v>17</v>
      </c>
      <c r="AC71" s="53">
        <v>10784</v>
      </c>
      <c r="AD71" s="51">
        <v>16</v>
      </c>
      <c r="AE71" s="53">
        <v>16874</v>
      </c>
      <c r="AF71" s="51">
        <v>26</v>
      </c>
      <c r="AG71" s="53">
        <v>12980</v>
      </c>
      <c r="AH71" s="51">
        <v>20</v>
      </c>
      <c r="AI71" s="53">
        <v>15856</v>
      </c>
      <c r="AJ71" s="51">
        <v>24</v>
      </c>
      <c r="AK71" s="53">
        <v>15576</v>
      </c>
      <c r="AL71" s="51">
        <v>24</v>
      </c>
      <c r="AM71" s="53">
        <v>13629</v>
      </c>
      <c r="AN71" s="51">
        <v>21</v>
      </c>
      <c r="AO71" s="53">
        <v>15576</v>
      </c>
      <c r="AP71" s="51">
        <v>24</v>
      </c>
      <c r="AQ71" s="53">
        <v>18172</v>
      </c>
      <c r="AR71" s="51">
        <v>28</v>
      </c>
      <c r="AS71" s="53">
        <v>11033</v>
      </c>
      <c r="AT71" s="51">
        <v>17</v>
      </c>
      <c r="AU71" s="53">
        <v>17523</v>
      </c>
      <c r="AV71" s="51">
        <v>27</v>
      </c>
      <c r="AW71" s="53">
        <v>22066</v>
      </c>
      <c r="AX71" s="51">
        <v>34</v>
      </c>
      <c r="AY71" s="53">
        <v>16225</v>
      </c>
      <c r="AZ71" s="51">
        <v>25</v>
      </c>
      <c r="BA71" s="53">
        <v>14927</v>
      </c>
      <c r="BB71" s="51">
        <v>23</v>
      </c>
      <c r="BC71" s="53">
        <v>18172</v>
      </c>
      <c r="BD71" s="51">
        <v>28</v>
      </c>
      <c r="BE71" s="53">
        <v>20119</v>
      </c>
      <c r="BF71" s="51">
        <v>31</v>
      </c>
      <c r="BG71" s="53">
        <v>23750</v>
      </c>
      <c r="BH71" s="51">
        <v>38</v>
      </c>
      <c r="BI71" s="53">
        <v>20000</v>
      </c>
      <c r="BJ71" s="51">
        <v>32</v>
      </c>
      <c r="BK71" s="53">
        <v>13750</v>
      </c>
      <c r="BL71" s="51">
        <v>22</v>
      </c>
      <c r="BM71" s="53">
        <v>22066</v>
      </c>
      <c r="BN71" s="54">
        <v>34</v>
      </c>
    </row>
    <row r="72" spans="1:66" ht="15.75" customHeight="1">
      <c r="A72" s="8"/>
      <c r="B72" s="55" t="s">
        <v>92</v>
      </c>
      <c r="C72" s="56" t="s">
        <v>104</v>
      </c>
      <c r="D72" s="57" t="s">
        <v>144</v>
      </c>
      <c r="E72" s="58">
        <v>0</v>
      </c>
      <c r="F72" s="56">
        <v>0</v>
      </c>
      <c r="G72" s="58">
        <v>244</v>
      </c>
      <c r="H72" s="56">
        <v>1</v>
      </c>
      <c r="I72" s="58">
        <v>488</v>
      </c>
      <c r="J72" s="56">
        <v>2</v>
      </c>
      <c r="K72" s="58">
        <v>244</v>
      </c>
      <c r="L72" s="56">
        <v>1</v>
      </c>
      <c r="M72" s="58">
        <v>0</v>
      </c>
      <c r="N72" s="56">
        <v>0</v>
      </c>
      <c r="O72" s="58">
        <v>488</v>
      </c>
      <c r="P72" s="56">
        <v>2</v>
      </c>
      <c r="Q72" s="58">
        <v>244</v>
      </c>
      <c r="R72" s="56">
        <v>1</v>
      </c>
      <c r="S72" s="58">
        <v>0</v>
      </c>
      <c r="T72" s="56">
        <v>0</v>
      </c>
      <c r="U72" s="58">
        <v>812</v>
      </c>
      <c r="V72" s="56">
        <v>3</v>
      </c>
      <c r="W72" s="58">
        <v>772</v>
      </c>
      <c r="X72" s="56">
        <v>3</v>
      </c>
      <c r="Y72" s="58">
        <v>0</v>
      </c>
      <c r="Z72" s="56">
        <v>0</v>
      </c>
      <c r="AA72" s="58">
        <v>488</v>
      </c>
      <c r="AB72" s="56">
        <v>2</v>
      </c>
      <c r="AC72" s="58">
        <v>0</v>
      </c>
      <c r="AD72" s="56">
        <v>0</v>
      </c>
      <c r="AE72" s="58">
        <v>0</v>
      </c>
      <c r="AF72" s="56">
        <v>0</v>
      </c>
      <c r="AG72" s="58">
        <v>244</v>
      </c>
      <c r="AH72" s="56">
        <v>1</v>
      </c>
      <c r="AI72" s="58">
        <v>0</v>
      </c>
      <c r="AJ72" s="56">
        <v>0</v>
      </c>
      <c r="AK72" s="58">
        <v>0</v>
      </c>
      <c r="AL72" s="56">
        <v>0</v>
      </c>
      <c r="AM72" s="58">
        <v>0</v>
      </c>
      <c r="AN72" s="56">
        <v>0</v>
      </c>
      <c r="AO72" s="58">
        <v>244</v>
      </c>
      <c r="AP72" s="56">
        <v>1</v>
      </c>
      <c r="AQ72" s="58">
        <v>244</v>
      </c>
      <c r="AR72" s="56">
        <v>1</v>
      </c>
      <c r="AS72" s="58">
        <v>732</v>
      </c>
      <c r="AT72" s="56">
        <v>3</v>
      </c>
      <c r="AU72" s="58">
        <v>0</v>
      </c>
      <c r="AV72" s="56">
        <v>0</v>
      </c>
      <c r="AW72" s="58">
        <v>0</v>
      </c>
      <c r="AX72" s="56">
        <v>0</v>
      </c>
      <c r="AY72" s="58">
        <v>0</v>
      </c>
      <c r="AZ72" s="56">
        <v>0</v>
      </c>
      <c r="BA72" s="58">
        <v>0</v>
      </c>
      <c r="BB72" s="56">
        <v>0</v>
      </c>
      <c r="BC72" s="58">
        <v>732</v>
      </c>
      <c r="BD72" s="56">
        <v>3</v>
      </c>
      <c r="BE72" s="58">
        <v>732</v>
      </c>
      <c r="BF72" s="56">
        <v>3</v>
      </c>
      <c r="BG72" s="58">
        <v>732</v>
      </c>
      <c r="BH72" s="56">
        <v>3</v>
      </c>
      <c r="BI72" s="58">
        <v>732</v>
      </c>
      <c r="BJ72" s="56">
        <v>3</v>
      </c>
      <c r="BK72" s="58">
        <v>0</v>
      </c>
      <c r="BL72" s="56">
        <v>0</v>
      </c>
      <c r="BM72" s="58">
        <v>0</v>
      </c>
      <c r="BN72" s="59">
        <v>0</v>
      </c>
    </row>
    <row r="73" spans="1:66" ht="15.75" customHeight="1">
      <c r="A73" s="8"/>
      <c r="B73" s="55" t="s">
        <v>63</v>
      </c>
      <c r="C73" s="56" t="s">
        <v>103</v>
      </c>
      <c r="D73" s="57" t="s">
        <v>151</v>
      </c>
      <c r="E73" s="58">
        <v>10148</v>
      </c>
      <c r="F73" s="56">
        <v>12</v>
      </c>
      <c r="G73" s="58">
        <v>5228</v>
      </c>
      <c r="H73" s="56">
        <v>6</v>
      </c>
      <c r="I73" s="58">
        <v>6806</v>
      </c>
      <c r="J73" s="56">
        <v>8</v>
      </c>
      <c r="K73" s="58">
        <v>8548</v>
      </c>
      <c r="L73" s="56">
        <v>10</v>
      </c>
      <c r="M73" s="58">
        <v>15358</v>
      </c>
      <c r="N73" s="56">
        <v>18</v>
      </c>
      <c r="O73" s="58">
        <v>14441</v>
      </c>
      <c r="P73" s="56">
        <v>17</v>
      </c>
      <c r="Q73" s="58">
        <v>10126</v>
      </c>
      <c r="R73" s="56">
        <v>12</v>
      </c>
      <c r="S73" s="58">
        <v>16087</v>
      </c>
      <c r="T73" s="56">
        <v>19</v>
      </c>
      <c r="U73" s="58">
        <v>5118</v>
      </c>
      <c r="V73" s="56">
        <v>6</v>
      </c>
      <c r="W73" s="58">
        <v>10969</v>
      </c>
      <c r="X73" s="56">
        <v>13</v>
      </c>
      <c r="Y73" s="58">
        <v>14400</v>
      </c>
      <c r="Z73" s="56">
        <v>17</v>
      </c>
      <c r="AA73" s="58">
        <v>12823</v>
      </c>
      <c r="AB73" s="56">
        <v>15</v>
      </c>
      <c r="AC73" s="58">
        <v>10199</v>
      </c>
      <c r="AD73" s="56">
        <v>12</v>
      </c>
      <c r="AE73" s="58">
        <v>16253</v>
      </c>
      <c r="AF73" s="56">
        <v>19</v>
      </c>
      <c r="AG73" s="58">
        <v>9447</v>
      </c>
      <c r="AH73" s="56">
        <v>11</v>
      </c>
      <c r="AI73" s="58">
        <v>10291</v>
      </c>
      <c r="AJ73" s="56">
        <v>12</v>
      </c>
      <c r="AK73" s="58">
        <v>8548</v>
      </c>
      <c r="AL73" s="56">
        <v>10</v>
      </c>
      <c r="AM73" s="58">
        <v>7815</v>
      </c>
      <c r="AN73" s="56">
        <v>9</v>
      </c>
      <c r="AO73" s="58">
        <v>10166</v>
      </c>
      <c r="AP73" s="56">
        <v>12</v>
      </c>
      <c r="AQ73" s="58">
        <v>10996</v>
      </c>
      <c r="AR73" s="56">
        <v>13</v>
      </c>
      <c r="AS73" s="58">
        <v>12606</v>
      </c>
      <c r="AT73" s="56">
        <v>15</v>
      </c>
      <c r="AU73" s="58">
        <v>11059</v>
      </c>
      <c r="AV73" s="56">
        <v>13</v>
      </c>
      <c r="AW73" s="58">
        <v>7573</v>
      </c>
      <c r="AX73" s="56">
        <v>9</v>
      </c>
      <c r="AY73" s="58">
        <v>9307</v>
      </c>
      <c r="AZ73" s="56">
        <v>11</v>
      </c>
      <c r="BA73" s="58">
        <v>9053</v>
      </c>
      <c r="BB73" s="56">
        <v>11</v>
      </c>
      <c r="BC73" s="58">
        <v>12958</v>
      </c>
      <c r="BD73" s="56">
        <v>19</v>
      </c>
      <c r="BE73" s="58">
        <v>13147</v>
      </c>
      <c r="BF73" s="56">
        <v>19</v>
      </c>
      <c r="BG73" s="58">
        <v>19374</v>
      </c>
      <c r="BH73" s="56">
        <v>28</v>
      </c>
      <c r="BI73" s="58">
        <v>13147</v>
      </c>
      <c r="BJ73" s="56">
        <v>19</v>
      </c>
      <c r="BK73" s="58">
        <v>11071</v>
      </c>
      <c r="BL73" s="56">
        <v>16</v>
      </c>
      <c r="BM73" s="58">
        <v>7573</v>
      </c>
      <c r="BN73" s="59">
        <v>9</v>
      </c>
    </row>
    <row r="74" spans="1:66" ht="15.75" customHeight="1">
      <c r="A74" s="8"/>
      <c r="B74" s="50" t="s">
        <v>74</v>
      </c>
      <c r="C74" s="51" t="s">
        <v>103</v>
      </c>
      <c r="D74" s="52" t="s">
        <v>151</v>
      </c>
      <c r="E74" s="53">
        <v>1161</v>
      </c>
      <c r="F74" s="51">
        <v>9</v>
      </c>
      <c r="G74" s="53">
        <v>129</v>
      </c>
      <c r="H74" s="51">
        <v>1</v>
      </c>
      <c r="I74" s="53">
        <v>1161</v>
      </c>
      <c r="J74" s="51">
        <v>9</v>
      </c>
      <c r="K74" s="53">
        <v>1032</v>
      </c>
      <c r="L74" s="51">
        <v>8</v>
      </c>
      <c r="M74" s="53">
        <v>516</v>
      </c>
      <c r="N74" s="51">
        <v>4</v>
      </c>
      <c r="O74" s="53">
        <v>645</v>
      </c>
      <c r="P74" s="51">
        <v>5</v>
      </c>
      <c r="Q74" s="53">
        <v>645</v>
      </c>
      <c r="R74" s="51">
        <v>5</v>
      </c>
      <c r="S74" s="53">
        <v>1419</v>
      </c>
      <c r="T74" s="51">
        <v>11</v>
      </c>
      <c r="U74" s="53">
        <v>903</v>
      </c>
      <c r="V74" s="51">
        <v>7</v>
      </c>
      <c r="W74" s="53">
        <v>1032</v>
      </c>
      <c r="X74" s="51">
        <v>8</v>
      </c>
      <c r="Y74" s="53">
        <v>645</v>
      </c>
      <c r="Z74" s="51">
        <v>5</v>
      </c>
      <c r="AA74" s="53">
        <v>387</v>
      </c>
      <c r="AB74" s="51">
        <v>3</v>
      </c>
      <c r="AC74" s="53">
        <v>1419</v>
      </c>
      <c r="AD74" s="51">
        <v>11</v>
      </c>
      <c r="AE74" s="53">
        <v>645</v>
      </c>
      <c r="AF74" s="51">
        <v>5</v>
      </c>
      <c r="AG74" s="53">
        <v>645</v>
      </c>
      <c r="AH74" s="51">
        <v>5</v>
      </c>
      <c r="AI74" s="53">
        <v>645</v>
      </c>
      <c r="AJ74" s="51">
        <v>5</v>
      </c>
      <c r="AK74" s="53">
        <v>1290</v>
      </c>
      <c r="AL74" s="51">
        <v>10</v>
      </c>
      <c r="AM74" s="53">
        <v>258</v>
      </c>
      <c r="AN74" s="51">
        <v>2</v>
      </c>
      <c r="AO74" s="53">
        <v>516</v>
      </c>
      <c r="AP74" s="51">
        <v>4</v>
      </c>
      <c r="AQ74" s="53">
        <v>1806</v>
      </c>
      <c r="AR74" s="51">
        <v>14</v>
      </c>
      <c r="AS74" s="53">
        <v>645</v>
      </c>
      <c r="AT74" s="51">
        <v>5</v>
      </c>
      <c r="AU74" s="53">
        <v>1419</v>
      </c>
      <c r="AV74" s="51">
        <v>11</v>
      </c>
      <c r="AW74" s="53">
        <v>2493</v>
      </c>
      <c r="AX74" s="51">
        <v>19</v>
      </c>
      <c r="AY74" s="53">
        <v>2064</v>
      </c>
      <c r="AZ74" s="51">
        <v>16</v>
      </c>
      <c r="BA74" s="53">
        <v>1161</v>
      </c>
      <c r="BB74" s="51">
        <v>9</v>
      </c>
      <c r="BC74" s="53">
        <v>1161</v>
      </c>
      <c r="BD74" s="51">
        <v>9</v>
      </c>
      <c r="BE74" s="53">
        <v>1719</v>
      </c>
      <c r="BF74" s="51">
        <v>13</v>
      </c>
      <c r="BG74" s="53">
        <v>595</v>
      </c>
      <c r="BH74" s="51">
        <v>5</v>
      </c>
      <c r="BI74" s="53">
        <v>833</v>
      </c>
      <c r="BJ74" s="51">
        <v>7</v>
      </c>
      <c r="BK74" s="53">
        <v>357</v>
      </c>
      <c r="BL74" s="51">
        <v>3</v>
      </c>
      <c r="BM74" s="53">
        <v>2493</v>
      </c>
      <c r="BN74" s="54">
        <v>19</v>
      </c>
    </row>
    <row r="75" spans="1:66" ht="15.75" customHeight="1">
      <c r="A75" s="8"/>
      <c r="B75" s="50" t="s">
        <v>64</v>
      </c>
      <c r="C75" s="51" t="s">
        <v>103</v>
      </c>
      <c r="D75" s="52" t="s">
        <v>145</v>
      </c>
      <c r="E75" s="53">
        <v>9087</v>
      </c>
      <c r="F75" s="51">
        <v>13</v>
      </c>
      <c r="G75" s="53">
        <v>6291</v>
      </c>
      <c r="H75" s="51">
        <v>9</v>
      </c>
      <c r="I75" s="53">
        <v>6990</v>
      </c>
      <c r="J75" s="51">
        <v>10</v>
      </c>
      <c r="K75" s="53">
        <v>8388</v>
      </c>
      <c r="L75" s="51">
        <v>12</v>
      </c>
      <c r="M75" s="53">
        <v>7689</v>
      </c>
      <c r="N75" s="51">
        <v>11</v>
      </c>
      <c r="O75" s="53">
        <v>7689</v>
      </c>
      <c r="P75" s="51">
        <v>11</v>
      </c>
      <c r="Q75" s="53">
        <v>9087</v>
      </c>
      <c r="R75" s="51">
        <v>13</v>
      </c>
      <c r="S75" s="53">
        <v>11184</v>
      </c>
      <c r="T75" s="51">
        <v>16</v>
      </c>
      <c r="U75" s="53">
        <v>11883</v>
      </c>
      <c r="V75" s="51">
        <v>17</v>
      </c>
      <c r="W75" s="53">
        <v>12582</v>
      </c>
      <c r="X75" s="51">
        <v>18</v>
      </c>
      <c r="Y75" s="53">
        <v>11883</v>
      </c>
      <c r="Z75" s="51">
        <v>17</v>
      </c>
      <c r="AA75" s="53">
        <v>11883</v>
      </c>
      <c r="AB75" s="51">
        <v>17</v>
      </c>
      <c r="AC75" s="53">
        <v>10784</v>
      </c>
      <c r="AD75" s="51">
        <v>16</v>
      </c>
      <c r="AE75" s="53">
        <v>16874</v>
      </c>
      <c r="AF75" s="51">
        <v>26</v>
      </c>
      <c r="AG75" s="53">
        <v>12980</v>
      </c>
      <c r="AH75" s="51">
        <v>20</v>
      </c>
      <c r="AI75" s="53">
        <v>15856</v>
      </c>
      <c r="AJ75" s="51">
        <v>24</v>
      </c>
      <c r="AK75" s="53">
        <v>15576</v>
      </c>
      <c r="AL75" s="51">
        <v>24</v>
      </c>
      <c r="AM75" s="53">
        <v>13629</v>
      </c>
      <c r="AN75" s="51">
        <v>21</v>
      </c>
      <c r="AO75" s="53">
        <v>15576</v>
      </c>
      <c r="AP75" s="51">
        <v>24</v>
      </c>
      <c r="AQ75" s="53">
        <v>18172</v>
      </c>
      <c r="AR75" s="51">
        <v>28</v>
      </c>
      <c r="AS75" s="53">
        <v>11033</v>
      </c>
      <c r="AT75" s="51">
        <v>17</v>
      </c>
      <c r="AU75" s="53">
        <v>17523</v>
      </c>
      <c r="AV75" s="51">
        <v>27</v>
      </c>
      <c r="AW75" s="53">
        <v>22066</v>
      </c>
      <c r="AX75" s="51">
        <v>34</v>
      </c>
      <c r="AY75" s="53">
        <v>16225</v>
      </c>
      <c r="AZ75" s="51">
        <v>25</v>
      </c>
      <c r="BA75" s="53">
        <v>14927</v>
      </c>
      <c r="BB75" s="51">
        <v>23</v>
      </c>
      <c r="BC75" s="53">
        <v>18172</v>
      </c>
      <c r="BD75" s="51">
        <v>28</v>
      </c>
      <c r="BE75" s="53">
        <v>20119</v>
      </c>
      <c r="BF75" s="51">
        <v>31</v>
      </c>
      <c r="BG75" s="53">
        <v>23750</v>
      </c>
      <c r="BH75" s="51">
        <v>38</v>
      </c>
      <c r="BI75" s="53">
        <v>20000</v>
      </c>
      <c r="BJ75" s="51">
        <v>32</v>
      </c>
      <c r="BK75" s="53">
        <v>13750</v>
      </c>
      <c r="BL75" s="51">
        <v>22</v>
      </c>
      <c r="BM75" s="53">
        <v>22066</v>
      </c>
      <c r="BN75" s="54">
        <v>34</v>
      </c>
    </row>
    <row r="76" spans="1:66" ht="15.75" customHeight="1">
      <c r="A76" s="8"/>
      <c r="B76" s="50" t="s">
        <v>83</v>
      </c>
      <c r="C76" s="51" t="s">
        <v>103</v>
      </c>
      <c r="D76" s="52" t="s">
        <v>146</v>
      </c>
      <c r="E76" s="53">
        <v>10472</v>
      </c>
      <c r="F76" s="51">
        <v>17</v>
      </c>
      <c r="G76" s="53">
        <v>6776</v>
      </c>
      <c r="H76" s="51">
        <v>11</v>
      </c>
      <c r="I76" s="53">
        <v>7629</v>
      </c>
      <c r="J76" s="51">
        <v>12</v>
      </c>
      <c r="K76" s="53">
        <v>7392</v>
      </c>
      <c r="L76" s="51">
        <v>12</v>
      </c>
      <c r="M76" s="53">
        <v>8394</v>
      </c>
      <c r="N76" s="51">
        <v>16</v>
      </c>
      <c r="O76" s="53">
        <v>6120</v>
      </c>
      <c r="P76" s="51">
        <v>10</v>
      </c>
      <c r="Q76" s="53">
        <v>11767</v>
      </c>
      <c r="R76" s="51">
        <v>23</v>
      </c>
      <c r="S76" s="53">
        <v>8697</v>
      </c>
      <c r="T76" s="51">
        <v>17</v>
      </c>
      <c r="U76" s="53">
        <v>17394</v>
      </c>
      <c r="V76" s="51">
        <v>34</v>
      </c>
      <c r="W76" s="53">
        <v>9209</v>
      </c>
      <c r="X76" s="51">
        <v>18</v>
      </c>
      <c r="Y76" s="53">
        <v>9720</v>
      </c>
      <c r="Z76" s="51">
        <v>19</v>
      </c>
      <c r="AA76" s="53">
        <v>14730</v>
      </c>
      <c r="AB76" s="51">
        <v>29</v>
      </c>
      <c r="AC76" s="53">
        <v>7181</v>
      </c>
      <c r="AD76" s="51">
        <v>14</v>
      </c>
      <c r="AE76" s="53">
        <v>12600</v>
      </c>
      <c r="AF76" s="51">
        <v>25</v>
      </c>
      <c r="AG76" s="53">
        <v>11592</v>
      </c>
      <c r="AH76" s="51">
        <v>23</v>
      </c>
      <c r="AI76" s="53">
        <v>12883</v>
      </c>
      <c r="AJ76" s="51">
        <v>31</v>
      </c>
      <c r="AK76" s="53">
        <v>11152</v>
      </c>
      <c r="AL76" s="51">
        <v>31</v>
      </c>
      <c r="AM76" s="53">
        <v>10072</v>
      </c>
      <c r="AN76" s="51">
        <v>28</v>
      </c>
      <c r="AO76" s="53">
        <v>13310</v>
      </c>
      <c r="AP76" s="51">
        <v>37</v>
      </c>
      <c r="AQ76" s="53">
        <v>10792</v>
      </c>
      <c r="AR76" s="51">
        <v>30</v>
      </c>
      <c r="AS76" s="53">
        <v>11871</v>
      </c>
      <c r="AT76" s="51">
        <v>33</v>
      </c>
      <c r="AU76" s="53">
        <v>12950</v>
      </c>
      <c r="AV76" s="51">
        <v>36</v>
      </c>
      <c r="AW76" s="53">
        <v>17986</v>
      </c>
      <c r="AX76" s="51">
        <v>50</v>
      </c>
      <c r="AY76" s="53">
        <v>15109</v>
      </c>
      <c r="AZ76" s="51">
        <v>42</v>
      </c>
      <c r="BA76" s="53">
        <v>14749</v>
      </c>
      <c r="BB76" s="51">
        <v>41</v>
      </c>
      <c r="BC76" s="53">
        <v>15828</v>
      </c>
      <c r="BD76" s="51">
        <v>44</v>
      </c>
      <c r="BE76" s="53">
        <v>19785</v>
      </c>
      <c r="BF76" s="51">
        <v>55</v>
      </c>
      <c r="BG76" s="53">
        <v>14749</v>
      </c>
      <c r="BH76" s="51">
        <v>41</v>
      </c>
      <c r="BI76" s="53">
        <v>14749</v>
      </c>
      <c r="BJ76" s="51">
        <v>41</v>
      </c>
      <c r="BK76" s="53">
        <v>14389</v>
      </c>
      <c r="BL76" s="51">
        <v>40</v>
      </c>
      <c r="BM76" s="53">
        <v>17986</v>
      </c>
      <c r="BN76" s="54">
        <v>50</v>
      </c>
    </row>
    <row r="77" spans="1:66" ht="15.75" customHeight="1">
      <c r="A77" s="8"/>
      <c r="B77" s="50" t="s">
        <v>10</v>
      </c>
      <c r="C77" s="51" t="s">
        <v>105</v>
      </c>
      <c r="D77" s="52" t="s">
        <v>153</v>
      </c>
      <c r="E77" s="53">
        <v>0</v>
      </c>
      <c r="F77" s="51">
        <v>0</v>
      </c>
      <c r="G77" s="53">
        <v>0</v>
      </c>
      <c r="H77" s="51">
        <v>0</v>
      </c>
      <c r="I77" s="53">
        <v>0</v>
      </c>
      <c r="J77" s="51">
        <v>0</v>
      </c>
      <c r="K77" s="53">
        <v>0</v>
      </c>
      <c r="L77" s="51">
        <v>0</v>
      </c>
      <c r="M77" s="53">
        <v>0</v>
      </c>
      <c r="N77" s="51">
        <v>0</v>
      </c>
      <c r="O77" s="53">
        <v>0</v>
      </c>
      <c r="P77" s="51">
        <v>0</v>
      </c>
      <c r="Q77" s="53">
        <v>0</v>
      </c>
      <c r="R77" s="51">
        <v>0</v>
      </c>
      <c r="S77" s="53">
        <v>0</v>
      </c>
      <c r="T77" s="51">
        <v>0</v>
      </c>
      <c r="U77" s="53">
        <v>0</v>
      </c>
      <c r="V77" s="51">
        <v>0</v>
      </c>
      <c r="W77" s="53">
        <v>0</v>
      </c>
      <c r="X77" s="51">
        <v>0</v>
      </c>
      <c r="Y77" s="53">
        <v>0</v>
      </c>
      <c r="Z77" s="51">
        <v>0</v>
      </c>
      <c r="AA77" s="53">
        <v>0</v>
      </c>
      <c r="AB77" s="51">
        <v>0</v>
      </c>
      <c r="AC77" s="53">
        <v>1316</v>
      </c>
      <c r="AD77" s="51">
        <v>4</v>
      </c>
      <c r="AE77" s="53">
        <v>658</v>
      </c>
      <c r="AF77" s="51">
        <v>2</v>
      </c>
      <c r="AG77" s="53">
        <v>0</v>
      </c>
      <c r="AH77" s="51">
        <v>0</v>
      </c>
      <c r="AI77" s="53">
        <v>0</v>
      </c>
      <c r="AJ77" s="51">
        <v>0</v>
      </c>
      <c r="AK77" s="53">
        <v>0</v>
      </c>
      <c r="AL77" s="51">
        <v>0</v>
      </c>
      <c r="AM77" s="53">
        <v>0</v>
      </c>
      <c r="AN77" s="51">
        <v>0</v>
      </c>
      <c r="AO77" s="53">
        <v>0</v>
      </c>
      <c r="AP77" s="51">
        <v>0</v>
      </c>
      <c r="AQ77" s="53">
        <v>0</v>
      </c>
      <c r="AR77" s="51">
        <v>0</v>
      </c>
      <c r="AS77" s="53">
        <v>0</v>
      </c>
      <c r="AT77" s="51">
        <v>0</v>
      </c>
      <c r="AU77" s="53">
        <v>0</v>
      </c>
      <c r="AV77" s="51">
        <v>0</v>
      </c>
      <c r="AW77" s="53">
        <v>0</v>
      </c>
      <c r="AX77" s="51">
        <v>0</v>
      </c>
      <c r="AY77" s="53">
        <v>0</v>
      </c>
      <c r="AZ77" s="51">
        <v>0</v>
      </c>
      <c r="BA77" s="53">
        <v>0</v>
      </c>
      <c r="BB77" s="51">
        <v>0</v>
      </c>
      <c r="BC77" s="53">
        <v>0</v>
      </c>
      <c r="BD77" s="51">
        <v>0</v>
      </c>
      <c r="BE77" s="53">
        <v>0</v>
      </c>
      <c r="BF77" s="51">
        <v>0</v>
      </c>
      <c r="BG77" s="53">
        <v>0</v>
      </c>
      <c r="BH77" s="51">
        <v>0</v>
      </c>
      <c r="BI77" s="53">
        <v>0</v>
      </c>
      <c r="BJ77" s="51">
        <v>0</v>
      </c>
      <c r="BK77" s="53">
        <v>0</v>
      </c>
      <c r="BL77" s="51">
        <v>0</v>
      </c>
      <c r="BM77" s="53">
        <v>0</v>
      </c>
      <c r="BN77" s="54">
        <v>0</v>
      </c>
    </row>
    <row r="78" spans="1:66" ht="15.75" customHeight="1">
      <c r="A78" s="8"/>
      <c r="B78" s="55" t="s">
        <v>2</v>
      </c>
      <c r="C78" s="56" t="s">
        <v>101</v>
      </c>
      <c r="D78" s="57" t="s">
        <v>152</v>
      </c>
      <c r="E78" s="58">
        <v>4116</v>
      </c>
      <c r="F78" s="56">
        <v>2</v>
      </c>
      <c r="G78" s="58">
        <v>14392</v>
      </c>
      <c r="H78" s="56">
        <v>8</v>
      </c>
      <c r="I78" s="58">
        <v>34181</v>
      </c>
      <c r="J78" s="56">
        <v>19</v>
      </c>
      <c r="K78" s="58">
        <v>16191</v>
      </c>
      <c r="L78" s="56">
        <v>9</v>
      </c>
      <c r="M78" s="58">
        <v>25815</v>
      </c>
      <c r="N78" s="56">
        <v>15</v>
      </c>
      <c r="O78" s="58">
        <v>42905</v>
      </c>
      <c r="P78" s="56">
        <v>25</v>
      </c>
      <c r="Q78" s="58">
        <v>18799</v>
      </c>
      <c r="R78" s="56">
        <v>11</v>
      </c>
      <c r="S78" s="58">
        <v>22217</v>
      </c>
      <c r="T78" s="56">
        <v>13</v>
      </c>
      <c r="U78" s="58">
        <v>15381</v>
      </c>
      <c r="V78" s="56">
        <v>9</v>
      </c>
      <c r="W78" s="58">
        <v>27344</v>
      </c>
      <c r="X78" s="56">
        <v>16</v>
      </c>
      <c r="Y78" s="58">
        <v>20508</v>
      </c>
      <c r="Z78" s="56">
        <v>12</v>
      </c>
      <c r="AA78" s="58">
        <v>25635</v>
      </c>
      <c r="AB78" s="56">
        <v>15</v>
      </c>
      <c r="AC78" s="58">
        <v>27344</v>
      </c>
      <c r="AD78" s="56">
        <v>16</v>
      </c>
      <c r="AE78" s="58">
        <v>34180</v>
      </c>
      <c r="AF78" s="56">
        <v>20</v>
      </c>
      <c r="AG78" s="58">
        <v>23926</v>
      </c>
      <c r="AH78" s="56">
        <v>14</v>
      </c>
      <c r="AI78" s="58">
        <v>18799</v>
      </c>
      <c r="AJ78" s="56">
        <v>11</v>
      </c>
      <c r="AK78" s="58">
        <v>30762</v>
      </c>
      <c r="AL78" s="56">
        <v>18</v>
      </c>
      <c r="AM78" s="58">
        <v>20528</v>
      </c>
      <c r="AN78" s="56">
        <v>12</v>
      </c>
      <c r="AO78" s="58">
        <v>13692</v>
      </c>
      <c r="AP78" s="56">
        <v>8</v>
      </c>
      <c r="AQ78" s="58">
        <v>18809</v>
      </c>
      <c r="AR78" s="56">
        <v>11</v>
      </c>
      <c r="AS78" s="58">
        <v>13592</v>
      </c>
      <c r="AT78" s="56">
        <v>8</v>
      </c>
      <c r="AU78" s="58">
        <v>5507</v>
      </c>
      <c r="AV78" s="56">
        <v>3</v>
      </c>
      <c r="AW78" s="58">
        <v>8405</v>
      </c>
      <c r="AX78" s="56">
        <v>5</v>
      </c>
      <c r="AY78" s="58">
        <v>17000</v>
      </c>
      <c r="AZ78" s="56">
        <v>10</v>
      </c>
      <c r="BA78" s="58">
        <v>6706</v>
      </c>
      <c r="BB78" s="56">
        <v>4</v>
      </c>
      <c r="BC78" s="58">
        <v>12423</v>
      </c>
      <c r="BD78" s="56">
        <v>7</v>
      </c>
      <c r="BE78" s="58">
        <v>-1099</v>
      </c>
      <c r="BF78" s="56">
        <v>-1</v>
      </c>
      <c r="BG78" s="58">
        <v>39677</v>
      </c>
      <c r="BH78" s="56">
        <v>23</v>
      </c>
      <c r="BI78" s="58">
        <v>15291</v>
      </c>
      <c r="BJ78" s="56">
        <v>9</v>
      </c>
      <c r="BK78" s="58">
        <v>15301</v>
      </c>
      <c r="BL78" s="56">
        <v>9</v>
      </c>
      <c r="BM78" s="58">
        <v>8405</v>
      </c>
      <c r="BN78" s="59">
        <v>5</v>
      </c>
    </row>
    <row r="79" spans="1:66" ht="15.75" customHeight="1">
      <c r="A79" s="8"/>
      <c r="B79" s="55" t="s">
        <v>94</v>
      </c>
      <c r="C79" s="56" t="s">
        <v>104</v>
      </c>
      <c r="D79" s="57" t="s">
        <v>142</v>
      </c>
      <c r="E79" s="58">
        <v>10994</v>
      </c>
      <c r="F79" s="56">
        <v>13</v>
      </c>
      <c r="G79" s="58">
        <v>10291</v>
      </c>
      <c r="H79" s="56">
        <v>12</v>
      </c>
      <c r="I79" s="58">
        <v>11979</v>
      </c>
      <c r="J79" s="56">
        <v>14</v>
      </c>
      <c r="K79" s="58">
        <v>9447</v>
      </c>
      <c r="L79" s="56">
        <v>11</v>
      </c>
      <c r="M79" s="58">
        <v>4221</v>
      </c>
      <c r="N79" s="56">
        <v>5</v>
      </c>
      <c r="O79" s="58">
        <v>2477</v>
      </c>
      <c r="P79" s="56">
        <v>3</v>
      </c>
      <c r="Q79" s="58">
        <v>12878</v>
      </c>
      <c r="R79" s="56">
        <v>15</v>
      </c>
      <c r="S79" s="58">
        <v>11190</v>
      </c>
      <c r="T79" s="56">
        <v>13</v>
      </c>
      <c r="U79" s="58">
        <v>7649</v>
      </c>
      <c r="V79" s="56">
        <v>9</v>
      </c>
      <c r="W79" s="58">
        <v>6916</v>
      </c>
      <c r="X79" s="56">
        <v>8</v>
      </c>
      <c r="Y79" s="58">
        <v>12878</v>
      </c>
      <c r="Z79" s="56">
        <v>15</v>
      </c>
      <c r="AA79" s="58">
        <v>9282</v>
      </c>
      <c r="AB79" s="56">
        <v>11</v>
      </c>
      <c r="AC79" s="58">
        <v>11868</v>
      </c>
      <c r="AD79" s="56">
        <v>14</v>
      </c>
      <c r="AE79" s="58">
        <v>13666</v>
      </c>
      <c r="AF79" s="56">
        <v>16</v>
      </c>
      <c r="AG79" s="58">
        <v>10181</v>
      </c>
      <c r="AH79" s="56">
        <v>12</v>
      </c>
      <c r="AI79" s="58">
        <v>8438</v>
      </c>
      <c r="AJ79" s="56">
        <v>10</v>
      </c>
      <c r="AK79" s="58">
        <v>5907</v>
      </c>
      <c r="AL79" s="56">
        <v>7</v>
      </c>
      <c r="AM79" s="58">
        <v>5063</v>
      </c>
      <c r="AN79" s="56">
        <v>6</v>
      </c>
      <c r="AO79" s="58">
        <v>5876</v>
      </c>
      <c r="AP79" s="56">
        <v>7</v>
      </c>
      <c r="AQ79" s="58">
        <v>5853</v>
      </c>
      <c r="AR79" s="56">
        <v>7</v>
      </c>
      <c r="AS79" s="58">
        <v>7526</v>
      </c>
      <c r="AT79" s="56">
        <v>9</v>
      </c>
      <c r="AU79" s="58">
        <v>6690</v>
      </c>
      <c r="AV79" s="56">
        <v>8</v>
      </c>
      <c r="AW79" s="58">
        <v>5840</v>
      </c>
      <c r="AX79" s="56">
        <v>7</v>
      </c>
      <c r="AY79" s="58">
        <v>6674</v>
      </c>
      <c r="AZ79" s="56">
        <v>8</v>
      </c>
      <c r="BA79" s="58">
        <v>5006</v>
      </c>
      <c r="BB79" s="56">
        <v>6</v>
      </c>
      <c r="BC79" s="58">
        <v>10846</v>
      </c>
      <c r="BD79" s="56">
        <v>13</v>
      </c>
      <c r="BE79" s="58">
        <v>5840</v>
      </c>
      <c r="BF79" s="56">
        <v>7</v>
      </c>
      <c r="BG79" s="58">
        <v>6769</v>
      </c>
      <c r="BH79" s="56">
        <v>8</v>
      </c>
      <c r="BI79" s="58">
        <v>10969</v>
      </c>
      <c r="BJ79" s="56">
        <v>13</v>
      </c>
      <c r="BK79" s="58">
        <v>5907</v>
      </c>
      <c r="BL79" s="56">
        <v>7</v>
      </c>
      <c r="BM79" s="58">
        <v>5840</v>
      </c>
      <c r="BN79" s="59">
        <v>7</v>
      </c>
    </row>
    <row r="80" spans="1:66" ht="15.75" customHeight="1">
      <c r="A80" s="8"/>
      <c r="B80" s="50" t="s">
        <v>75</v>
      </c>
      <c r="C80" s="51" t="s">
        <v>102</v>
      </c>
      <c r="D80" s="52" t="s">
        <v>149</v>
      </c>
      <c r="E80" s="53">
        <v>10994</v>
      </c>
      <c r="F80" s="51">
        <v>13</v>
      </c>
      <c r="G80" s="53">
        <v>10291</v>
      </c>
      <c r="H80" s="51">
        <v>12</v>
      </c>
      <c r="I80" s="53">
        <v>11979</v>
      </c>
      <c r="J80" s="51">
        <v>14</v>
      </c>
      <c r="K80" s="53">
        <v>9447</v>
      </c>
      <c r="L80" s="51">
        <v>11</v>
      </c>
      <c r="M80" s="53">
        <v>4221</v>
      </c>
      <c r="N80" s="51">
        <v>5</v>
      </c>
      <c r="O80" s="53">
        <v>2477</v>
      </c>
      <c r="P80" s="51">
        <v>3</v>
      </c>
      <c r="Q80" s="53">
        <v>12878</v>
      </c>
      <c r="R80" s="51">
        <v>15</v>
      </c>
      <c r="S80" s="53">
        <v>11190</v>
      </c>
      <c r="T80" s="51">
        <v>13</v>
      </c>
      <c r="U80" s="53">
        <v>7649</v>
      </c>
      <c r="V80" s="51">
        <v>9</v>
      </c>
      <c r="W80" s="53">
        <v>6916</v>
      </c>
      <c r="X80" s="51">
        <v>8</v>
      </c>
      <c r="Y80" s="53">
        <v>12878</v>
      </c>
      <c r="Z80" s="51">
        <v>15</v>
      </c>
      <c r="AA80" s="53">
        <v>9282</v>
      </c>
      <c r="AB80" s="51">
        <v>11</v>
      </c>
      <c r="AC80" s="53">
        <v>11868</v>
      </c>
      <c r="AD80" s="51">
        <v>14</v>
      </c>
      <c r="AE80" s="53">
        <v>13666</v>
      </c>
      <c r="AF80" s="51">
        <v>16</v>
      </c>
      <c r="AG80" s="53">
        <v>10181</v>
      </c>
      <c r="AH80" s="51">
        <v>12</v>
      </c>
      <c r="AI80" s="53">
        <v>8438</v>
      </c>
      <c r="AJ80" s="51">
        <v>10</v>
      </c>
      <c r="AK80" s="53">
        <v>5907</v>
      </c>
      <c r="AL80" s="51">
        <v>7</v>
      </c>
      <c r="AM80" s="53">
        <v>5063</v>
      </c>
      <c r="AN80" s="51">
        <v>6</v>
      </c>
      <c r="AO80" s="53">
        <v>5876</v>
      </c>
      <c r="AP80" s="51">
        <v>7</v>
      </c>
      <c r="AQ80" s="53">
        <v>5853</v>
      </c>
      <c r="AR80" s="51">
        <v>7</v>
      </c>
      <c r="AS80" s="53">
        <v>7526</v>
      </c>
      <c r="AT80" s="51">
        <v>9</v>
      </c>
      <c r="AU80" s="53">
        <v>6690</v>
      </c>
      <c r="AV80" s="51">
        <v>8</v>
      </c>
      <c r="AW80" s="53">
        <v>5840</v>
      </c>
      <c r="AX80" s="51">
        <v>7</v>
      </c>
      <c r="AY80" s="53">
        <v>6674</v>
      </c>
      <c r="AZ80" s="51">
        <v>8</v>
      </c>
      <c r="BA80" s="53">
        <v>5006</v>
      </c>
      <c r="BB80" s="51">
        <v>6</v>
      </c>
      <c r="BC80" s="53">
        <v>10846</v>
      </c>
      <c r="BD80" s="51">
        <v>13</v>
      </c>
      <c r="BE80" s="53">
        <v>5840</v>
      </c>
      <c r="BF80" s="51">
        <v>7</v>
      </c>
      <c r="BG80" s="53">
        <v>6769</v>
      </c>
      <c r="BH80" s="51">
        <v>8</v>
      </c>
      <c r="BI80" s="53">
        <v>10969</v>
      </c>
      <c r="BJ80" s="51">
        <v>13</v>
      </c>
      <c r="BK80" s="53">
        <v>5907</v>
      </c>
      <c r="BL80" s="51">
        <v>7</v>
      </c>
      <c r="BM80" s="53">
        <v>5840</v>
      </c>
      <c r="BN80" s="54">
        <v>7</v>
      </c>
    </row>
    <row r="81" spans="1:66" ht="15.75" customHeight="1">
      <c r="A81" s="8"/>
      <c r="B81" s="50" t="s">
        <v>86</v>
      </c>
      <c r="C81" s="51" t="s">
        <v>104</v>
      </c>
      <c r="D81" s="52" t="s">
        <v>144</v>
      </c>
      <c r="E81" s="53">
        <v>0</v>
      </c>
      <c r="F81" s="51">
        <v>0</v>
      </c>
      <c r="G81" s="53">
        <v>0</v>
      </c>
      <c r="H81" s="51">
        <v>0</v>
      </c>
      <c r="I81" s="53">
        <v>0</v>
      </c>
      <c r="J81" s="51">
        <v>0</v>
      </c>
      <c r="K81" s="53">
        <v>538</v>
      </c>
      <c r="L81" s="51">
        <v>2</v>
      </c>
      <c r="M81" s="53">
        <v>0</v>
      </c>
      <c r="N81" s="51">
        <v>0</v>
      </c>
      <c r="O81" s="53">
        <v>0</v>
      </c>
      <c r="P81" s="51">
        <v>0</v>
      </c>
      <c r="Q81" s="53">
        <v>309</v>
      </c>
      <c r="R81" s="51">
        <v>1</v>
      </c>
      <c r="S81" s="53">
        <v>0</v>
      </c>
      <c r="T81" s="51">
        <v>0</v>
      </c>
      <c r="U81" s="53">
        <v>0</v>
      </c>
      <c r="V81" s="51">
        <v>0</v>
      </c>
      <c r="W81" s="53">
        <v>0</v>
      </c>
      <c r="X81" s="51">
        <v>0</v>
      </c>
      <c r="Y81" s="53">
        <v>269</v>
      </c>
      <c r="Z81" s="51">
        <v>1</v>
      </c>
      <c r="AA81" s="53">
        <v>0</v>
      </c>
      <c r="AB81" s="51">
        <v>0</v>
      </c>
      <c r="AC81" s="53">
        <v>269</v>
      </c>
      <c r="AD81" s="51">
        <v>1</v>
      </c>
      <c r="AE81" s="53">
        <v>0</v>
      </c>
      <c r="AF81" s="51">
        <v>0</v>
      </c>
      <c r="AG81" s="53">
        <v>0</v>
      </c>
      <c r="AH81" s="51">
        <v>0</v>
      </c>
      <c r="AI81" s="53">
        <v>0</v>
      </c>
      <c r="AJ81" s="51">
        <v>0</v>
      </c>
      <c r="AK81" s="53">
        <v>0</v>
      </c>
      <c r="AL81" s="51">
        <v>0</v>
      </c>
      <c r="AM81" s="53">
        <v>0</v>
      </c>
      <c r="AN81" s="51">
        <v>0</v>
      </c>
      <c r="AO81" s="53">
        <v>1216</v>
      </c>
      <c r="AP81" s="51">
        <v>4</v>
      </c>
      <c r="AQ81" s="53">
        <v>0</v>
      </c>
      <c r="AR81" s="51">
        <v>0</v>
      </c>
      <c r="AS81" s="53">
        <v>309</v>
      </c>
      <c r="AT81" s="51">
        <v>1</v>
      </c>
      <c r="AU81" s="53">
        <v>0</v>
      </c>
      <c r="AV81" s="51">
        <v>0</v>
      </c>
      <c r="AW81" s="53">
        <v>269</v>
      </c>
      <c r="AX81" s="51">
        <v>1</v>
      </c>
      <c r="AY81" s="53">
        <v>269</v>
      </c>
      <c r="AZ81" s="51">
        <v>1</v>
      </c>
      <c r="BA81" s="53">
        <v>0</v>
      </c>
      <c r="BB81" s="51">
        <v>0</v>
      </c>
      <c r="BC81" s="53">
        <v>0</v>
      </c>
      <c r="BD81" s="51">
        <v>0</v>
      </c>
      <c r="BE81" s="53">
        <v>269</v>
      </c>
      <c r="BF81" s="51">
        <v>1</v>
      </c>
      <c r="BG81" s="53">
        <v>0</v>
      </c>
      <c r="BH81" s="51">
        <v>0</v>
      </c>
      <c r="BI81" s="53">
        <v>0</v>
      </c>
      <c r="BJ81" s="51">
        <v>0</v>
      </c>
      <c r="BK81" s="53">
        <v>-267</v>
      </c>
      <c r="BL81" s="51">
        <v>-1</v>
      </c>
      <c r="BM81" s="53">
        <v>269</v>
      </c>
      <c r="BN81" s="54">
        <v>1</v>
      </c>
    </row>
    <row r="82" spans="1:66" ht="15.75" customHeight="1">
      <c r="A82" s="8"/>
      <c r="B82" s="50" t="s">
        <v>49</v>
      </c>
      <c r="C82" s="51" t="s">
        <v>104</v>
      </c>
      <c r="D82" s="52" t="s">
        <v>142</v>
      </c>
      <c r="E82" s="53">
        <v>0</v>
      </c>
      <c r="F82" s="51">
        <v>0</v>
      </c>
      <c r="G82" s="53">
        <v>0</v>
      </c>
      <c r="H82" s="51">
        <v>0</v>
      </c>
      <c r="I82" s="53">
        <v>0</v>
      </c>
      <c r="J82" s="51">
        <v>0</v>
      </c>
      <c r="K82" s="53">
        <v>0</v>
      </c>
      <c r="L82" s="51">
        <v>0</v>
      </c>
      <c r="M82" s="53">
        <v>0</v>
      </c>
      <c r="N82" s="51">
        <v>0</v>
      </c>
      <c r="O82" s="53">
        <v>0</v>
      </c>
      <c r="P82" s="51">
        <v>0</v>
      </c>
      <c r="Q82" s="53">
        <v>0</v>
      </c>
      <c r="R82" s="51">
        <v>0</v>
      </c>
      <c r="S82" s="53">
        <v>0</v>
      </c>
      <c r="T82" s="51">
        <v>0</v>
      </c>
      <c r="U82" s="53">
        <v>0</v>
      </c>
      <c r="V82" s="51">
        <v>0</v>
      </c>
      <c r="W82" s="53">
        <v>0</v>
      </c>
      <c r="X82" s="51">
        <v>0</v>
      </c>
      <c r="Y82" s="53">
        <v>0</v>
      </c>
      <c r="Z82" s="51">
        <v>0</v>
      </c>
      <c r="AA82" s="53">
        <v>0</v>
      </c>
      <c r="AB82" s="51">
        <v>0</v>
      </c>
      <c r="AC82" s="53">
        <v>0</v>
      </c>
      <c r="AD82" s="51">
        <v>0</v>
      </c>
      <c r="AE82" s="53">
        <v>0</v>
      </c>
      <c r="AF82" s="51">
        <v>0</v>
      </c>
      <c r="AG82" s="53">
        <v>0</v>
      </c>
      <c r="AH82" s="51">
        <v>0</v>
      </c>
      <c r="AI82" s="53">
        <v>0</v>
      </c>
      <c r="AJ82" s="51">
        <v>0</v>
      </c>
      <c r="AK82" s="53">
        <v>0</v>
      </c>
      <c r="AL82" s="51">
        <v>0</v>
      </c>
      <c r="AM82" s="53">
        <v>479</v>
      </c>
      <c r="AN82" s="51">
        <v>1</v>
      </c>
      <c r="AO82" s="53">
        <v>0</v>
      </c>
      <c r="AP82" s="51">
        <v>0</v>
      </c>
      <c r="AQ82" s="53">
        <v>0</v>
      </c>
      <c r="AR82" s="51">
        <v>0</v>
      </c>
      <c r="AS82" s="53">
        <v>0</v>
      </c>
      <c r="AT82" s="51">
        <v>0</v>
      </c>
      <c r="AU82" s="53">
        <v>0</v>
      </c>
      <c r="AV82" s="51">
        <v>0</v>
      </c>
      <c r="AW82" s="53">
        <v>0</v>
      </c>
      <c r="AX82" s="51">
        <v>0</v>
      </c>
      <c r="AY82" s="53">
        <v>0</v>
      </c>
      <c r="AZ82" s="51">
        <v>0</v>
      </c>
      <c r="BA82" s="53">
        <v>0</v>
      </c>
      <c r="BB82" s="51">
        <v>0</v>
      </c>
      <c r="BC82" s="53">
        <v>0</v>
      </c>
      <c r="BD82" s="51">
        <v>0</v>
      </c>
      <c r="BE82" s="53">
        <v>0</v>
      </c>
      <c r="BF82" s="51">
        <v>0</v>
      </c>
      <c r="BG82" s="53">
        <v>0</v>
      </c>
      <c r="BH82" s="51">
        <v>0</v>
      </c>
      <c r="BI82" s="53">
        <v>0</v>
      </c>
      <c r="BJ82" s="51">
        <v>0</v>
      </c>
      <c r="BK82" s="53">
        <v>0</v>
      </c>
      <c r="BL82" s="51">
        <v>0</v>
      </c>
      <c r="BM82" s="53">
        <v>0</v>
      </c>
      <c r="BN82" s="54">
        <v>0</v>
      </c>
    </row>
    <row r="83" spans="1:66" ht="15.75" customHeight="1">
      <c r="A83" s="8"/>
      <c r="B83" s="50" t="s">
        <v>25</v>
      </c>
      <c r="C83" s="51" t="s">
        <v>103</v>
      </c>
      <c r="D83" s="52" t="s">
        <v>146</v>
      </c>
      <c r="E83" s="53">
        <v>0</v>
      </c>
      <c r="F83" s="51">
        <v>0</v>
      </c>
      <c r="G83" s="53">
        <v>0</v>
      </c>
      <c r="H83" s="51">
        <v>0</v>
      </c>
      <c r="I83" s="53">
        <v>0</v>
      </c>
      <c r="J83" s="51">
        <v>0</v>
      </c>
      <c r="K83" s="53">
        <v>538</v>
      </c>
      <c r="L83" s="51">
        <v>2</v>
      </c>
      <c r="M83" s="53">
        <v>0</v>
      </c>
      <c r="N83" s="51">
        <v>0</v>
      </c>
      <c r="O83" s="53">
        <v>0</v>
      </c>
      <c r="P83" s="51">
        <v>0</v>
      </c>
      <c r="Q83" s="53">
        <v>309</v>
      </c>
      <c r="R83" s="51">
        <v>1</v>
      </c>
      <c r="S83" s="53">
        <v>0</v>
      </c>
      <c r="T83" s="51">
        <v>0</v>
      </c>
      <c r="U83" s="53">
        <v>0</v>
      </c>
      <c r="V83" s="51">
        <v>0</v>
      </c>
      <c r="W83" s="53">
        <v>0</v>
      </c>
      <c r="X83" s="51">
        <v>0</v>
      </c>
      <c r="Y83" s="53">
        <v>269</v>
      </c>
      <c r="Z83" s="51">
        <v>1</v>
      </c>
      <c r="AA83" s="53">
        <v>0</v>
      </c>
      <c r="AB83" s="51">
        <v>0</v>
      </c>
      <c r="AC83" s="53">
        <v>269</v>
      </c>
      <c r="AD83" s="51">
        <v>1</v>
      </c>
      <c r="AE83" s="53">
        <v>0</v>
      </c>
      <c r="AF83" s="51">
        <v>0</v>
      </c>
      <c r="AG83" s="53">
        <v>0</v>
      </c>
      <c r="AH83" s="51">
        <v>0</v>
      </c>
      <c r="AI83" s="53">
        <v>0</v>
      </c>
      <c r="AJ83" s="51">
        <v>0</v>
      </c>
      <c r="AK83" s="53">
        <v>0</v>
      </c>
      <c r="AL83" s="51">
        <v>0</v>
      </c>
      <c r="AM83" s="53">
        <v>0</v>
      </c>
      <c r="AN83" s="51">
        <v>0</v>
      </c>
      <c r="AO83" s="53">
        <v>1216</v>
      </c>
      <c r="AP83" s="51">
        <v>4</v>
      </c>
      <c r="AQ83" s="53">
        <v>0</v>
      </c>
      <c r="AR83" s="51">
        <v>0</v>
      </c>
      <c r="AS83" s="53">
        <v>309</v>
      </c>
      <c r="AT83" s="51">
        <v>1</v>
      </c>
      <c r="AU83" s="53">
        <v>0</v>
      </c>
      <c r="AV83" s="51">
        <v>0</v>
      </c>
      <c r="AW83" s="53">
        <v>269</v>
      </c>
      <c r="AX83" s="51">
        <v>1</v>
      </c>
      <c r="AY83" s="53">
        <v>269</v>
      </c>
      <c r="AZ83" s="51">
        <v>1</v>
      </c>
      <c r="BA83" s="53">
        <v>0</v>
      </c>
      <c r="BB83" s="51">
        <v>0</v>
      </c>
      <c r="BC83" s="53">
        <v>0</v>
      </c>
      <c r="BD83" s="51">
        <v>0</v>
      </c>
      <c r="BE83" s="53">
        <v>269</v>
      </c>
      <c r="BF83" s="51">
        <v>1</v>
      </c>
      <c r="BG83" s="53">
        <v>0</v>
      </c>
      <c r="BH83" s="51">
        <v>0</v>
      </c>
      <c r="BI83" s="53">
        <v>0</v>
      </c>
      <c r="BJ83" s="51">
        <v>0</v>
      </c>
      <c r="BK83" s="53">
        <v>-267</v>
      </c>
      <c r="BL83" s="51">
        <v>-1</v>
      </c>
      <c r="BM83" s="53">
        <v>269</v>
      </c>
      <c r="BN83" s="54">
        <v>1</v>
      </c>
    </row>
    <row r="84" spans="1:66" ht="15.75" customHeight="1">
      <c r="A84" s="8"/>
      <c r="B84" s="50" t="s">
        <v>70</v>
      </c>
      <c r="C84" s="51" t="s">
        <v>102</v>
      </c>
      <c r="D84" s="52" t="s">
        <v>149</v>
      </c>
      <c r="E84" s="53">
        <v>501</v>
      </c>
      <c r="F84" s="51">
        <v>3</v>
      </c>
      <c r="G84" s="53">
        <v>1877</v>
      </c>
      <c r="H84" s="51">
        <v>11</v>
      </c>
      <c r="I84" s="53">
        <v>1583</v>
      </c>
      <c r="J84" s="51">
        <v>9</v>
      </c>
      <c r="K84" s="53">
        <v>1209</v>
      </c>
      <c r="L84" s="51">
        <v>7</v>
      </c>
      <c r="M84" s="53">
        <v>1416</v>
      </c>
      <c r="N84" s="51">
        <v>8</v>
      </c>
      <c r="O84" s="53">
        <v>1837</v>
      </c>
      <c r="P84" s="51">
        <v>11</v>
      </c>
      <c r="Q84" s="53">
        <v>1543</v>
      </c>
      <c r="R84" s="51">
        <v>9</v>
      </c>
      <c r="S84" s="53">
        <v>1002</v>
      </c>
      <c r="T84" s="51">
        <v>6</v>
      </c>
      <c r="U84" s="53">
        <v>132</v>
      </c>
      <c r="V84" s="51">
        <v>1</v>
      </c>
      <c r="W84" s="53">
        <v>668</v>
      </c>
      <c r="X84" s="51">
        <v>4</v>
      </c>
      <c r="Y84" s="53">
        <v>334</v>
      </c>
      <c r="Z84" s="51">
        <v>2</v>
      </c>
      <c r="AA84" s="53">
        <v>1042</v>
      </c>
      <c r="AB84" s="51">
        <v>6</v>
      </c>
      <c r="AC84" s="53">
        <v>2545</v>
      </c>
      <c r="AD84" s="51">
        <v>15</v>
      </c>
      <c r="AE84" s="53">
        <v>1381</v>
      </c>
      <c r="AF84" s="51">
        <v>8</v>
      </c>
      <c r="AG84" s="53">
        <v>501</v>
      </c>
      <c r="AH84" s="51">
        <v>3</v>
      </c>
      <c r="AI84" s="53">
        <v>2124</v>
      </c>
      <c r="AJ84" s="51">
        <v>12</v>
      </c>
      <c r="AK84" s="53">
        <v>668</v>
      </c>
      <c r="AL84" s="51">
        <v>4</v>
      </c>
      <c r="AM84" s="53">
        <v>2164</v>
      </c>
      <c r="AN84" s="51">
        <v>12</v>
      </c>
      <c r="AO84" s="53">
        <v>1209</v>
      </c>
      <c r="AP84" s="51">
        <v>7</v>
      </c>
      <c r="AQ84" s="53">
        <v>2004</v>
      </c>
      <c r="AR84" s="51">
        <v>12</v>
      </c>
      <c r="AS84" s="53">
        <v>1543</v>
      </c>
      <c r="AT84" s="51">
        <v>9</v>
      </c>
      <c r="AU84" s="53">
        <v>1427</v>
      </c>
      <c r="AV84" s="51">
        <v>8</v>
      </c>
      <c r="AW84" s="53">
        <v>1682</v>
      </c>
      <c r="AX84" s="51">
        <v>9</v>
      </c>
      <c r="AY84" s="53">
        <v>1464</v>
      </c>
      <c r="AZ84" s="51">
        <v>8</v>
      </c>
      <c r="BA84" s="53">
        <v>2394</v>
      </c>
      <c r="BB84" s="51">
        <v>13</v>
      </c>
      <c r="BC84" s="53">
        <v>2354</v>
      </c>
      <c r="BD84" s="51">
        <v>13</v>
      </c>
      <c r="BE84" s="53">
        <v>2038</v>
      </c>
      <c r="BF84" s="51">
        <v>11</v>
      </c>
      <c r="BG84" s="53">
        <v>3146</v>
      </c>
      <c r="BH84" s="51">
        <v>17</v>
      </c>
      <c r="BI84" s="53">
        <v>2354</v>
      </c>
      <c r="BJ84" s="51">
        <v>13</v>
      </c>
      <c r="BK84" s="53">
        <v>1820</v>
      </c>
      <c r="BL84" s="51">
        <v>10</v>
      </c>
      <c r="BM84" s="53">
        <v>1682</v>
      </c>
      <c r="BN84" s="54">
        <v>9</v>
      </c>
    </row>
    <row r="85" spans="1:66" ht="15.75" customHeight="1">
      <c r="A85" s="8"/>
      <c r="B85" s="55" t="s">
        <v>3</v>
      </c>
      <c r="C85" s="56" t="s">
        <v>101</v>
      </c>
      <c r="D85" s="57" t="s">
        <v>148</v>
      </c>
      <c r="E85" s="58">
        <v>1693</v>
      </c>
      <c r="F85" s="56">
        <v>2</v>
      </c>
      <c r="G85" s="58">
        <v>7596</v>
      </c>
      <c r="H85" s="56">
        <v>9</v>
      </c>
      <c r="I85" s="58">
        <v>844</v>
      </c>
      <c r="J85" s="56">
        <v>1</v>
      </c>
      <c r="K85" s="58">
        <v>8436</v>
      </c>
      <c r="L85" s="56">
        <v>10</v>
      </c>
      <c r="M85" s="58">
        <v>2533</v>
      </c>
      <c r="N85" s="56">
        <v>3</v>
      </c>
      <c r="O85" s="58">
        <v>7819</v>
      </c>
      <c r="P85" s="56">
        <v>9</v>
      </c>
      <c r="Q85" s="58">
        <v>7594</v>
      </c>
      <c r="R85" s="56">
        <v>9</v>
      </c>
      <c r="S85" s="58">
        <v>5063</v>
      </c>
      <c r="T85" s="56">
        <v>6</v>
      </c>
      <c r="U85" s="58">
        <v>3375</v>
      </c>
      <c r="V85" s="56">
        <v>4</v>
      </c>
      <c r="W85" s="58">
        <v>3375</v>
      </c>
      <c r="X85" s="56">
        <v>4</v>
      </c>
      <c r="Y85" s="58">
        <v>5907</v>
      </c>
      <c r="Z85" s="56">
        <v>7</v>
      </c>
      <c r="AA85" s="58">
        <v>7594</v>
      </c>
      <c r="AB85" s="56">
        <v>9</v>
      </c>
      <c r="AC85" s="58">
        <v>2531</v>
      </c>
      <c r="AD85" s="56">
        <v>3</v>
      </c>
      <c r="AE85" s="58">
        <v>8438</v>
      </c>
      <c r="AF85" s="56">
        <v>10</v>
      </c>
      <c r="AG85" s="58">
        <v>4219</v>
      </c>
      <c r="AH85" s="56">
        <v>5</v>
      </c>
      <c r="AI85" s="58">
        <v>4219</v>
      </c>
      <c r="AJ85" s="56">
        <v>5</v>
      </c>
      <c r="AK85" s="58">
        <v>4219</v>
      </c>
      <c r="AL85" s="56">
        <v>5</v>
      </c>
      <c r="AM85" s="58">
        <v>5907</v>
      </c>
      <c r="AN85" s="56">
        <v>7</v>
      </c>
      <c r="AO85" s="58">
        <v>3375</v>
      </c>
      <c r="AP85" s="56">
        <v>4</v>
      </c>
      <c r="AQ85" s="58">
        <v>1672</v>
      </c>
      <c r="AR85" s="56">
        <v>2</v>
      </c>
      <c r="AS85" s="58">
        <v>8362</v>
      </c>
      <c r="AT85" s="56">
        <v>10</v>
      </c>
      <c r="AU85" s="58">
        <v>3345</v>
      </c>
      <c r="AV85" s="56">
        <v>4</v>
      </c>
      <c r="AW85" s="58">
        <v>4172</v>
      </c>
      <c r="AX85" s="56">
        <v>5</v>
      </c>
      <c r="AY85" s="58">
        <v>7509</v>
      </c>
      <c r="AZ85" s="56">
        <v>9</v>
      </c>
      <c r="BA85" s="58">
        <v>8969</v>
      </c>
      <c r="BB85" s="56">
        <v>11</v>
      </c>
      <c r="BC85" s="58">
        <v>6569</v>
      </c>
      <c r="BD85" s="56">
        <v>9</v>
      </c>
      <c r="BE85" s="58">
        <v>5109</v>
      </c>
      <c r="BF85" s="56">
        <v>7</v>
      </c>
      <c r="BG85" s="58">
        <v>11678</v>
      </c>
      <c r="BH85" s="56">
        <v>16</v>
      </c>
      <c r="BI85" s="58">
        <v>5109</v>
      </c>
      <c r="BJ85" s="56">
        <v>7</v>
      </c>
      <c r="BK85" s="58">
        <v>5109</v>
      </c>
      <c r="BL85" s="56">
        <v>7</v>
      </c>
      <c r="BM85" s="58">
        <v>4172</v>
      </c>
      <c r="BN85" s="59">
        <v>5</v>
      </c>
    </row>
    <row r="86" spans="1:66" ht="15.75" customHeight="1">
      <c r="A86" s="8"/>
      <c r="B86" s="55" t="s">
        <v>91</v>
      </c>
      <c r="C86" s="56" t="s">
        <v>103</v>
      </c>
      <c r="D86" s="57" t="s">
        <v>145</v>
      </c>
      <c r="E86" s="58">
        <v>0</v>
      </c>
      <c r="F86" s="56">
        <v>0</v>
      </c>
      <c r="G86" s="58">
        <v>244</v>
      </c>
      <c r="H86" s="56">
        <v>1</v>
      </c>
      <c r="I86" s="58">
        <v>488</v>
      </c>
      <c r="J86" s="56">
        <v>2</v>
      </c>
      <c r="K86" s="58">
        <v>244</v>
      </c>
      <c r="L86" s="56">
        <v>1</v>
      </c>
      <c r="M86" s="58">
        <v>0</v>
      </c>
      <c r="N86" s="56">
        <v>0</v>
      </c>
      <c r="O86" s="58">
        <v>488</v>
      </c>
      <c r="P86" s="56">
        <v>2</v>
      </c>
      <c r="Q86" s="58">
        <v>244</v>
      </c>
      <c r="R86" s="56">
        <v>1</v>
      </c>
      <c r="S86" s="58">
        <v>0</v>
      </c>
      <c r="T86" s="56">
        <v>0</v>
      </c>
      <c r="U86" s="58">
        <v>812</v>
      </c>
      <c r="V86" s="56">
        <v>3</v>
      </c>
      <c r="W86" s="58">
        <v>772</v>
      </c>
      <c r="X86" s="56">
        <v>3</v>
      </c>
      <c r="Y86" s="58">
        <v>0</v>
      </c>
      <c r="Z86" s="56">
        <v>0</v>
      </c>
      <c r="AA86" s="58">
        <v>488</v>
      </c>
      <c r="AB86" s="56">
        <v>2</v>
      </c>
      <c r="AC86" s="58">
        <v>0</v>
      </c>
      <c r="AD86" s="56">
        <v>0</v>
      </c>
      <c r="AE86" s="58">
        <v>0</v>
      </c>
      <c r="AF86" s="56">
        <v>0</v>
      </c>
      <c r="AG86" s="58">
        <v>244</v>
      </c>
      <c r="AH86" s="56">
        <v>1</v>
      </c>
      <c r="AI86" s="58">
        <v>0</v>
      </c>
      <c r="AJ86" s="56">
        <v>0</v>
      </c>
      <c r="AK86" s="58">
        <v>0</v>
      </c>
      <c r="AL86" s="56">
        <v>0</v>
      </c>
      <c r="AM86" s="58">
        <v>0</v>
      </c>
      <c r="AN86" s="56">
        <v>0</v>
      </c>
      <c r="AO86" s="58">
        <v>244</v>
      </c>
      <c r="AP86" s="56">
        <v>1</v>
      </c>
      <c r="AQ86" s="58">
        <v>244</v>
      </c>
      <c r="AR86" s="56">
        <v>1</v>
      </c>
      <c r="AS86" s="58">
        <v>732</v>
      </c>
      <c r="AT86" s="56">
        <v>3</v>
      </c>
      <c r="AU86" s="58">
        <v>0</v>
      </c>
      <c r="AV86" s="56">
        <v>0</v>
      </c>
      <c r="AW86" s="58">
        <v>0</v>
      </c>
      <c r="AX86" s="56">
        <v>0</v>
      </c>
      <c r="AY86" s="58">
        <v>0</v>
      </c>
      <c r="AZ86" s="56">
        <v>0</v>
      </c>
      <c r="BA86" s="58">
        <v>0</v>
      </c>
      <c r="BB86" s="56">
        <v>0</v>
      </c>
      <c r="BC86" s="58">
        <v>732</v>
      </c>
      <c r="BD86" s="56">
        <v>3</v>
      </c>
      <c r="BE86" s="58">
        <v>732</v>
      </c>
      <c r="BF86" s="56">
        <v>3</v>
      </c>
      <c r="BG86" s="58">
        <v>732</v>
      </c>
      <c r="BH86" s="56">
        <v>3</v>
      </c>
      <c r="BI86" s="58">
        <v>732</v>
      </c>
      <c r="BJ86" s="56">
        <v>3</v>
      </c>
      <c r="BK86" s="58">
        <v>0</v>
      </c>
      <c r="BL86" s="56">
        <v>0</v>
      </c>
      <c r="BM86" s="58">
        <v>0</v>
      </c>
      <c r="BN86" s="59">
        <v>0</v>
      </c>
    </row>
    <row r="87" spans="1:66" ht="15.75" customHeight="1">
      <c r="A87" s="8"/>
      <c r="B87" s="55" t="s">
        <v>11</v>
      </c>
      <c r="C87" s="56" t="s">
        <v>104</v>
      </c>
      <c r="D87" s="57" t="s">
        <v>144</v>
      </c>
      <c r="E87" s="58">
        <v>0</v>
      </c>
      <c r="F87" s="56">
        <v>0</v>
      </c>
      <c r="G87" s="58">
        <v>0</v>
      </c>
      <c r="H87" s="56">
        <v>0</v>
      </c>
      <c r="I87" s="58">
        <v>0</v>
      </c>
      <c r="J87" s="56">
        <v>0</v>
      </c>
      <c r="K87" s="58">
        <v>0</v>
      </c>
      <c r="L87" s="56">
        <v>0</v>
      </c>
      <c r="M87" s="58">
        <v>0</v>
      </c>
      <c r="N87" s="56">
        <v>0</v>
      </c>
      <c r="O87" s="58">
        <v>0</v>
      </c>
      <c r="P87" s="56">
        <v>0</v>
      </c>
      <c r="Q87" s="58">
        <v>0</v>
      </c>
      <c r="R87" s="56">
        <v>0</v>
      </c>
      <c r="S87" s="58">
        <v>0</v>
      </c>
      <c r="T87" s="56">
        <v>0</v>
      </c>
      <c r="U87" s="58">
        <v>0</v>
      </c>
      <c r="V87" s="56">
        <v>0</v>
      </c>
      <c r="W87" s="58">
        <v>0</v>
      </c>
      <c r="X87" s="56">
        <v>0</v>
      </c>
      <c r="Y87" s="58">
        <v>0</v>
      </c>
      <c r="Z87" s="56">
        <v>0</v>
      </c>
      <c r="AA87" s="58">
        <v>0</v>
      </c>
      <c r="AB87" s="56">
        <v>0</v>
      </c>
      <c r="AC87" s="58">
        <v>0</v>
      </c>
      <c r="AD87" s="56">
        <v>0</v>
      </c>
      <c r="AE87" s="58">
        <v>0</v>
      </c>
      <c r="AF87" s="56">
        <v>0</v>
      </c>
      <c r="AG87" s="58">
        <v>0</v>
      </c>
      <c r="AH87" s="56">
        <v>0</v>
      </c>
      <c r="AI87" s="58">
        <v>0</v>
      </c>
      <c r="AJ87" s="56">
        <v>0</v>
      </c>
      <c r="AK87" s="58">
        <v>0</v>
      </c>
      <c r="AL87" s="56">
        <v>0</v>
      </c>
      <c r="AM87" s="58">
        <v>0</v>
      </c>
      <c r="AN87" s="56">
        <v>0</v>
      </c>
      <c r="AO87" s="58">
        <v>0</v>
      </c>
      <c r="AP87" s="56">
        <v>0</v>
      </c>
      <c r="AQ87" s="58">
        <v>0</v>
      </c>
      <c r="AR87" s="56">
        <v>0</v>
      </c>
      <c r="AS87" s="58">
        <v>0</v>
      </c>
      <c r="AT87" s="56">
        <v>0</v>
      </c>
      <c r="AU87" s="58">
        <v>0</v>
      </c>
      <c r="AV87" s="56">
        <v>0</v>
      </c>
      <c r="AW87" s="58">
        <v>0</v>
      </c>
      <c r="AX87" s="56">
        <v>0</v>
      </c>
      <c r="AY87" s="58">
        <v>0</v>
      </c>
      <c r="AZ87" s="56">
        <v>0</v>
      </c>
      <c r="BA87" s="58">
        <v>0</v>
      </c>
      <c r="BB87" s="56">
        <v>0</v>
      </c>
      <c r="BC87" s="58">
        <v>0</v>
      </c>
      <c r="BD87" s="56">
        <v>0</v>
      </c>
      <c r="BE87" s="58">
        <v>0</v>
      </c>
      <c r="BF87" s="56">
        <v>0</v>
      </c>
      <c r="BG87" s="58">
        <v>0</v>
      </c>
      <c r="BH87" s="56">
        <v>0</v>
      </c>
      <c r="BI87" s="58">
        <v>0</v>
      </c>
      <c r="BJ87" s="56">
        <v>0</v>
      </c>
      <c r="BK87" s="58">
        <v>0</v>
      </c>
      <c r="BL87" s="56">
        <v>0</v>
      </c>
      <c r="BM87" s="58">
        <v>0</v>
      </c>
      <c r="BN87" s="59">
        <v>0</v>
      </c>
    </row>
    <row r="88" spans="1:66" ht="15.75" customHeight="1">
      <c r="A88" s="8"/>
      <c r="B88" s="50" t="s">
        <v>88</v>
      </c>
      <c r="C88" s="51" t="s">
        <v>101</v>
      </c>
      <c r="D88" s="52" t="s">
        <v>148</v>
      </c>
      <c r="E88" s="53">
        <v>891</v>
      </c>
      <c r="F88" s="51">
        <v>1</v>
      </c>
      <c r="G88" s="53">
        <v>1860</v>
      </c>
      <c r="H88" s="51">
        <v>2</v>
      </c>
      <c r="I88" s="53">
        <v>1783</v>
      </c>
      <c r="J88" s="51">
        <v>2</v>
      </c>
      <c r="K88" s="53">
        <v>1783</v>
      </c>
      <c r="L88" s="51">
        <v>2</v>
      </c>
      <c r="M88" s="53">
        <v>2674</v>
      </c>
      <c r="N88" s="51">
        <v>3</v>
      </c>
      <c r="O88" s="53">
        <v>912</v>
      </c>
      <c r="P88" s="51">
        <v>1</v>
      </c>
      <c r="Q88" s="53">
        <v>891</v>
      </c>
      <c r="R88" s="51">
        <v>1</v>
      </c>
      <c r="S88" s="53">
        <v>891</v>
      </c>
      <c r="T88" s="51">
        <v>1</v>
      </c>
      <c r="U88" s="53">
        <v>1783</v>
      </c>
      <c r="V88" s="51">
        <v>2</v>
      </c>
      <c r="W88" s="53">
        <v>1783</v>
      </c>
      <c r="X88" s="51">
        <v>2</v>
      </c>
      <c r="Y88" s="53">
        <v>891</v>
      </c>
      <c r="Z88" s="51">
        <v>1</v>
      </c>
      <c r="AA88" s="53">
        <v>2537</v>
      </c>
      <c r="AB88" s="51">
        <v>3</v>
      </c>
      <c r="AC88" s="53">
        <v>846</v>
      </c>
      <c r="AD88" s="51">
        <v>1</v>
      </c>
      <c r="AE88" s="53">
        <v>1691</v>
      </c>
      <c r="AF88" s="51">
        <v>2</v>
      </c>
      <c r="AG88" s="53">
        <v>0</v>
      </c>
      <c r="AH88" s="51">
        <v>0</v>
      </c>
      <c r="AI88" s="53">
        <v>846</v>
      </c>
      <c r="AJ88" s="51">
        <v>1</v>
      </c>
      <c r="AK88" s="53">
        <v>1691</v>
      </c>
      <c r="AL88" s="51">
        <v>2</v>
      </c>
      <c r="AM88" s="53">
        <v>1691</v>
      </c>
      <c r="AN88" s="51">
        <v>2</v>
      </c>
      <c r="AO88" s="53">
        <v>846</v>
      </c>
      <c r="AP88" s="51">
        <v>1</v>
      </c>
      <c r="AQ88" s="53">
        <v>1672</v>
      </c>
      <c r="AR88" s="51">
        <v>2</v>
      </c>
      <c r="AS88" s="53">
        <v>0</v>
      </c>
      <c r="AT88" s="51">
        <v>0</v>
      </c>
      <c r="AU88" s="53">
        <v>836</v>
      </c>
      <c r="AV88" s="51">
        <v>1</v>
      </c>
      <c r="AW88" s="53">
        <v>901</v>
      </c>
      <c r="AX88" s="51">
        <v>1</v>
      </c>
      <c r="AY88" s="53">
        <v>1801</v>
      </c>
      <c r="AZ88" s="51">
        <v>2</v>
      </c>
      <c r="BA88" s="53">
        <v>901</v>
      </c>
      <c r="BB88" s="51">
        <v>1</v>
      </c>
      <c r="BC88" s="53">
        <v>1889</v>
      </c>
      <c r="BD88" s="51">
        <v>2</v>
      </c>
      <c r="BE88" s="53">
        <v>944</v>
      </c>
      <c r="BF88" s="51">
        <v>1</v>
      </c>
      <c r="BG88" s="53">
        <v>910</v>
      </c>
      <c r="BH88" s="51">
        <v>1</v>
      </c>
      <c r="BI88" s="53">
        <v>910</v>
      </c>
      <c r="BJ88" s="51">
        <v>1</v>
      </c>
      <c r="BK88" s="53">
        <v>910</v>
      </c>
      <c r="BL88" s="51">
        <v>1</v>
      </c>
      <c r="BM88" s="53">
        <v>901</v>
      </c>
      <c r="BN88" s="54">
        <v>1</v>
      </c>
    </row>
    <row r="89" spans="1:66" ht="15.75" customHeight="1">
      <c r="A89" s="8"/>
      <c r="B89" s="55" t="s">
        <v>40</v>
      </c>
      <c r="C89" s="56" t="s">
        <v>104</v>
      </c>
      <c r="D89" s="57" t="s">
        <v>143</v>
      </c>
      <c r="E89" s="58">
        <v>10148</v>
      </c>
      <c r="F89" s="56">
        <v>12</v>
      </c>
      <c r="G89" s="58">
        <v>5228</v>
      </c>
      <c r="H89" s="56">
        <v>6</v>
      </c>
      <c r="I89" s="58">
        <v>6806</v>
      </c>
      <c r="J89" s="56">
        <v>8</v>
      </c>
      <c r="K89" s="58">
        <v>8548</v>
      </c>
      <c r="L89" s="56">
        <v>10</v>
      </c>
      <c r="M89" s="58">
        <v>15358</v>
      </c>
      <c r="N89" s="56">
        <v>18</v>
      </c>
      <c r="O89" s="58">
        <v>14441</v>
      </c>
      <c r="P89" s="56">
        <v>17</v>
      </c>
      <c r="Q89" s="58">
        <v>10126</v>
      </c>
      <c r="R89" s="56">
        <v>12</v>
      </c>
      <c r="S89" s="58">
        <v>16087</v>
      </c>
      <c r="T89" s="56">
        <v>19</v>
      </c>
      <c r="U89" s="58">
        <v>5118</v>
      </c>
      <c r="V89" s="56">
        <v>6</v>
      </c>
      <c r="W89" s="58">
        <v>10969</v>
      </c>
      <c r="X89" s="56">
        <v>13</v>
      </c>
      <c r="Y89" s="58">
        <v>14400</v>
      </c>
      <c r="Z89" s="56">
        <v>17</v>
      </c>
      <c r="AA89" s="58">
        <v>12823</v>
      </c>
      <c r="AB89" s="56">
        <v>15</v>
      </c>
      <c r="AC89" s="58">
        <v>10199</v>
      </c>
      <c r="AD89" s="56">
        <v>12</v>
      </c>
      <c r="AE89" s="58">
        <v>16253</v>
      </c>
      <c r="AF89" s="56">
        <v>19</v>
      </c>
      <c r="AG89" s="58">
        <v>9447</v>
      </c>
      <c r="AH89" s="56">
        <v>11</v>
      </c>
      <c r="AI89" s="58">
        <v>10291</v>
      </c>
      <c r="AJ89" s="56">
        <v>12</v>
      </c>
      <c r="AK89" s="58">
        <v>8548</v>
      </c>
      <c r="AL89" s="56">
        <v>10</v>
      </c>
      <c r="AM89" s="58">
        <v>7815</v>
      </c>
      <c r="AN89" s="56">
        <v>9</v>
      </c>
      <c r="AO89" s="58">
        <v>10166</v>
      </c>
      <c r="AP89" s="56">
        <v>12</v>
      </c>
      <c r="AQ89" s="58">
        <v>10996</v>
      </c>
      <c r="AR89" s="56">
        <v>13</v>
      </c>
      <c r="AS89" s="58">
        <v>12606</v>
      </c>
      <c r="AT89" s="56">
        <v>15</v>
      </c>
      <c r="AU89" s="58">
        <v>11059</v>
      </c>
      <c r="AV89" s="56">
        <v>13</v>
      </c>
      <c r="AW89" s="58">
        <v>7573</v>
      </c>
      <c r="AX89" s="56">
        <v>9</v>
      </c>
      <c r="AY89" s="58">
        <v>9307</v>
      </c>
      <c r="AZ89" s="56">
        <v>11</v>
      </c>
      <c r="BA89" s="58">
        <v>9053</v>
      </c>
      <c r="BB89" s="56">
        <v>11</v>
      </c>
      <c r="BC89" s="58">
        <v>12958</v>
      </c>
      <c r="BD89" s="56">
        <v>19</v>
      </c>
      <c r="BE89" s="58">
        <v>13147</v>
      </c>
      <c r="BF89" s="56">
        <v>19</v>
      </c>
      <c r="BG89" s="58">
        <v>19374</v>
      </c>
      <c r="BH89" s="56">
        <v>28</v>
      </c>
      <c r="BI89" s="58">
        <v>13147</v>
      </c>
      <c r="BJ89" s="56">
        <v>19</v>
      </c>
      <c r="BK89" s="58">
        <v>11071</v>
      </c>
      <c r="BL89" s="56">
        <v>16</v>
      </c>
      <c r="BM89" s="58">
        <v>7573</v>
      </c>
      <c r="BN89" s="59">
        <v>9</v>
      </c>
    </row>
    <row r="90" spans="1:66" ht="15.75" customHeight="1">
      <c r="A90" s="8"/>
      <c r="B90" s="55" t="s">
        <v>62</v>
      </c>
      <c r="C90" s="56" t="s">
        <v>102</v>
      </c>
      <c r="D90" s="57" t="s">
        <v>150</v>
      </c>
      <c r="E90" s="58">
        <v>10994</v>
      </c>
      <c r="F90" s="56">
        <v>13</v>
      </c>
      <c r="G90" s="58">
        <v>10291</v>
      </c>
      <c r="H90" s="56">
        <v>12</v>
      </c>
      <c r="I90" s="58">
        <v>11979</v>
      </c>
      <c r="J90" s="56">
        <v>14</v>
      </c>
      <c r="K90" s="58">
        <v>9447</v>
      </c>
      <c r="L90" s="56">
        <v>11</v>
      </c>
      <c r="M90" s="58">
        <v>4221</v>
      </c>
      <c r="N90" s="56">
        <v>5</v>
      </c>
      <c r="O90" s="58">
        <v>2477</v>
      </c>
      <c r="P90" s="56">
        <v>3</v>
      </c>
      <c r="Q90" s="58">
        <v>12878</v>
      </c>
      <c r="R90" s="56">
        <v>15</v>
      </c>
      <c r="S90" s="58">
        <v>11190</v>
      </c>
      <c r="T90" s="56">
        <v>13</v>
      </c>
      <c r="U90" s="58">
        <v>7649</v>
      </c>
      <c r="V90" s="56">
        <v>9</v>
      </c>
      <c r="W90" s="58">
        <v>6916</v>
      </c>
      <c r="X90" s="56">
        <v>8</v>
      </c>
      <c r="Y90" s="58">
        <v>12878</v>
      </c>
      <c r="Z90" s="56">
        <v>15</v>
      </c>
      <c r="AA90" s="58">
        <v>9282</v>
      </c>
      <c r="AB90" s="56">
        <v>11</v>
      </c>
      <c r="AC90" s="58">
        <v>11868</v>
      </c>
      <c r="AD90" s="56">
        <v>14</v>
      </c>
      <c r="AE90" s="58">
        <v>13666</v>
      </c>
      <c r="AF90" s="56">
        <v>16</v>
      </c>
      <c r="AG90" s="58">
        <v>10181</v>
      </c>
      <c r="AH90" s="56">
        <v>12</v>
      </c>
      <c r="AI90" s="58">
        <v>8438</v>
      </c>
      <c r="AJ90" s="56">
        <v>10</v>
      </c>
      <c r="AK90" s="58">
        <v>5907</v>
      </c>
      <c r="AL90" s="56">
        <v>7</v>
      </c>
      <c r="AM90" s="58">
        <v>5063</v>
      </c>
      <c r="AN90" s="56">
        <v>6</v>
      </c>
      <c r="AO90" s="58">
        <v>5876</v>
      </c>
      <c r="AP90" s="56">
        <v>7</v>
      </c>
      <c r="AQ90" s="58">
        <v>5853</v>
      </c>
      <c r="AR90" s="56">
        <v>7</v>
      </c>
      <c r="AS90" s="58">
        <v>7526</v>
      </c>
      <c r="AT90" s="56">
        <v>9</v>
      </c>
      <c r="AU90" s="58">
        <v>6690</v>
      </c>
      <c r="AV90" s="56">
        <v>8</v>
      </c>
      <c r="AW90" s="58">
        <v>5840</v>
      </c>
      <c r="AX90" s="56">
        <v>7</v>
      </c>
      <c r="AY90" s="58">
        <v>6674</v>
      </c>
      <c r="AZ90" s="56">
        <v>8</v>
      </c>
      <c r="BA90" s="58">
        <v>5006</v>
      </c>
      <c r="BB90" s="56">
        <v>6</v>
      </c>
      <c r="BC90" s="58">
        <v>10846</v>
      </c>
      <c r="BD90" s="56">
        <v>13</v>
      </c>
      <c r="BE90" s="58">
        <v>5840</v>
      </c>
      <c r="BF90" s="56">
        <v>7</v>
      </c>
      <c r="BG90" s="58">
        <v>6769</v>
      </c>
      <c r="BH90" s="56">
        <v>8</v>
      </c>
      <c r="BI90" s="58">
        <v>10969</v>
      </c>
      <c r="BJ90" s="56">
        <v>13</v>
      </c>
      <c r="BK90" s="58">
        <v>5907</v>
      </c>
      <c r="BL90" s="56">
        <v>7</v>
      </c>
      <c r="BM90" s="58">
        <v>5840</v>
      </c>
      <c r="BN90" s="59">
        <v>7</v>
      </c>
    </row>
    <row r="91" spans="1:66" ht="15.75" customHeight="1">
      <c r="A91" s="8"/>
      <c r="B91" s="50" t="s">
        <v>26</v>
      </c>
      <c r="C91" s="51" t="s">
        <v>102</v>
      </c>
      <c r="D91" s="52" t="s">
        <v>149</v>
      </c>
      <c r="E91" s="53">
        <v>10472</v>
      </c>
      <c r="F91" s="51">
        <v>17</v>
      </c>
      <c r="G91" s="53">
        <v>6776</v>
      </c>
      <c r="H91" s="51">
        <v>11</v>
      </c>
      <c r="I91" s="53">
        <v>7629</v>
      </c>
      <c r="J91" s="51">
        <v>12</v>
      </c>
      <c r="K91" s="53">
        <v>7392</v>
      </c>
      <c r="L91" s="51">
        <v>12</v>
      </c>
      <c r="M91" s="53">
        <v>8394</v>
      </c>
      <c r="N91" s="51">
        <v>16</v>
      </c>
      <c r="O91" s="53">
        <v>6120</v>
      </c>
      <c r="P91" s="51">
        <v>10</v>
      </c>
      <c r="Q91" s="53">
        <v>11767</v>
      </c>
      <c r="R91" s="51">
        <v>23</v>
      </c>
      <c r="S91" s="53">
        <v>8697</v>
      </c>
      <c r="T91" s="51">
        <v>17</v>
      </c>
      <c r="U91" s="53">
        <v>17394</v>
      </c>
      <c r="V91" s="51">
        <v>34</v>
      </c>
      <c r="W91" s="53">
        <v>9209</v>
      </c>
      <c r="X91" s="51">
        <v>18</v>
      </c>
      <c r="Y91" s="53">
        <v>9720</v>
      </c>
      <c r="Z91" s="51">
        <v>19</v>
      </c>
      <c r="AA91" s="53">
        <v>14730</v>
      </c>
      <c r="AB91" s="51">
        <v>29</v>
      </c>
      <c r="AC91" s="53">
        <v>7181</v>
      </c>
      <c r="AD91" s="51">
        <v>14</v>
      </c>
      <c r="AE91" s="53">
        <v>12600</v>
      </c>
      <c r="AF91" s="51">
        <v>25</v>
      </c>
      <c r="AG91" s="53">
        <v>11592</v>
      </c>
      <c r="AH91" s="51">
        <v>23</v>
      </c>
      <c r="AI91" s="53">
        <v>12883</v>
      </c>
      <c r="AJ91" s="51">
        <v>31</v>
      </c>
      <c r="AK91" s="53">
        <v>11152</v>
      </c>
      <c r="AL91" s="51">
        <v>31</v>
      </c>
      <c r="AM91" s="53">
        <v>10072</v>
      </c>
      <c r="AN91" s="51">
        <v>28</v>
      </c>
      <c r="AO91" s="53">
        <v>13310</v>
      </c>
      <c r="AP91" s="51">
        <v>37</v>
      </c>
      <c r="AQ91" s="53">
        <v>10792</v>
      </c>
      <c r="AR91" s="51">
        <v>30</v>
      </c>
      <c r="AS91" s="53">
        <v>11871</v>
      </c>
      <c r="AT91" s="51">
        <v>33</v>
      </c>
      <c r="AU91" s="53">
        <v>12950</v>
      </c>
      <c r="AV91" s="51">
        <v>36</v>
      </c>
      <c r="AW91" s="53">
        <v>17986</v>
      </c>
      <c r="AX91" s="51">
        <v>50</v>
      </c>
      <c r="AY91" s="53">
        <v>15109</v>
      </c>
      <c r="AZ91" s="51">
        <v>42</v>
      </c>
      <c r="BA91" s="53">
        <v>14749</v>
      </c>
      <c r="BB91" s="51">
        <v>41</v>
      </c>
      <c r="BC91" s="53">
        <v>15828</v>
      </c>
      <c r="BD91" s="51">
        <v>44</v>
      </c>
      <c r="BE91" s="53">
        <v>19785</v>
      </c>
      <c r="BF91" s="51">
        <v>55</v>
      </c>
      <c r="BG91" s="53">
        <v>14749</v>
      </c>
      <c r="BH91" s="51">
        <v>41</v>
      </c>
      <c r="BI91" s="53">
        <v>14749</v>
      </c>
      <c r="BJ91" s="51">
        <v>41</v>
      </c>
      <c r="BK91" s="53">
        <v>14389</v>
      </c>
      <c r="BL91" s="51">
        <v>40</v>
      </c>
      <c r="BM91" s="53">
        <v>17986</v>
      </c>
      <c r="BN91" s="54">
        <v>50</v>
      </c>
    </row>
    <row r="92" spans="1:66" ht="15.75" customHeight="1">
      <c r="A92" s="8"/>
      <c r="B92" s="55" t="s">
        <v>5</v>
      </c>
      <c r="C92" s="56" t="s">
        <v>103</v>
      </c>
      <c r="D92" s="57" t="s">
        <v>151</v>
      </c>
      <c r="E92" s="58">
        <v>0</v>
      </c>
      <c r="F92" s="56">
        <v>0</v>
      </c>
      <c r="G92" s="58">
        <v>0</v>
      </c>
      <c r="H92" s="56">
        <v>0</v>
      </c>
      <c r="I92" s="58">
        <v>0</v>
      </c>
      <c r="J92" s="56">
        <v>0</v>
      </c>
      <c r="K92" s="58">
        <v>0</v>
      </c>
      <c r="L92" s="56">
        <v>0</v>
      </c>
      <c r="M92" s="58">
        <v>0</v>
      </c>
      <c r="N92" s="56">
        <v>0</v>
      </c>
      <c r="O92" s="58">
        <v>0</v>
      </c>
      <c r="P92" s="56">
        <v>0</v>
      </c>
      <c r="Q92" s="58">
        <v>0</v>
      </c>
      <c r="R92" s="56">
        <v>0</v>
      </c>
      <c r="S92" s="58">
        <v>0</v>
      </c>
      <c r="T92" s="56">
        <v>0</v>
      </c>
      <c r="U92" s="58">
        <v>0</v>
      </c>
      <c r="V92" s="56">
        <v>0</v>
      </c>
      <c r="W92" s="58">
        <v>0</v>
      </c>
      <c r="X92" s="56">
        <v>0</v>
      </c>
      <c r="Y92" s="58">
        <v>0</v>
      </c>
      <c r="Z92" s="56">
        <v>0</v>
      </c>
      <c r="AA92" s="58">
        <v>0</v>
      </c>
      <c r="AB92" s="56">
        <v>0</v>
      </c>
      <c r="AC92" s="58">
        <v>0</v>
      </c>
      <c r="AD92" s="56">
        <v>0</v>
      </c>
      <c r="AE92" s="58">
        <v>0</v>
      </c>
      <c r="AF92" s="56">
        <v>0</v>
      </c>
      <c r="AG92" s="58">
        <v>0</v>
      </c>
      <c r="AH92" s="56">
        <v>0</v>
      </c>
      <c r="AI92" s="58">
        <v>0</v>
      </c>
      <c r="AJ92" s="56">
        <v>0</v>
      </c>
      <c r="AK92" s="58">
        <v>0</v>
      </c>
      <c r="AL92" s="56">
        <v>0</v>
      </c>
      <c r="AM92" s="58">
        <v>479</v>
      </c>
      <c r="AN92" s="56">
        <v>1</v>
      </c>
      <c r="AO92" s="58">
        <v>0</v>
      </c>
      <c r="AP92" s="56">
        <v>0</v>
      </c>
      <c r="AQ92" s="58">
        <v>0</v>
      </c>
      <c r="AR92" s="56">
        <v>0</v>
      </c>
      <c r="AS92" s="58">
        <v>0</v>
      </c>
      <c r="AT92" s="56">
        <v>0</v>
      </c>
      <c r="AU92" s="58">
        <v>0</v>
      </c>
      <c r="AV92" s="56">
        <v>0</v>
      </c>
      <c r="AW92" s="58">
        <v>0</v>
      </c>
      <c r="AX92" s="56">
        <v>0</v>
      </c>
      <c r="AY92" s="58">
        <v>0</v>
      </c>
      <c r="AZ92" s="56">
        <v>0</v>
      </c>
      <c r="BA92" s="58">
        <v>0</v>
      </c>
      <c r="BB92" s="56">
        <v>0</v>
      </c>
      <c r="BC92" s="58">
        <v>0</v>
      </c>
      <c r="BD92" s="56">
        <v>0</v>
      </c>
      <c r="BE92" s="58">
        <v>0</v>
      </c>
      <c r="BF92" s="56">
        <v>0</v>
      </c>
      <c r="BG92" s="58">
        <v>0</v>
      </c>
      <c r="BH92" s="56">
        <v>0</v>
      </c>
      <c r="BI92" s="58">
        <v>0</v>
      </c>
      <c r="BJ92" s="56">
        <v>0</v>
      </c>
      <c r="BK92" s="58">
        <v>0</v>
      </c>
      <c r="BL92" s="56">
        <v>0</v>
      </c>
      <c r="BM92" s="58">
        <v>0</v>
      </c>
      <c r="BN92" s="59">
        <v>0</v>
      </c>
    </row>
    <row r="93" spans="1:66" ht="15.75" customHeight="1">
      <c r="A93" s="8"/>
      <c r="B93" s="55" t="s">
        <v>55</v>
      </c>
      <c r="C93" s="56" t="s">
        <v>103</v>
      </c>
      <c r="D93" s="57" t="s">
        <v>151</v>
      </c>
      <c r="E93" s="58">
        <v>21600</v>
      </c>
      <c r="F93" s="56">
        <v>160</v>
      </c>
      <c r="G93" s="58">
        <v>19035</v>
      </c>
      <c r="H93" s="56">
        <v>141</v>
      </c>
      <c r="I93" s="58">
        <v>18495</v>
      </c>
      <c r="J93" s="56">
        <v>137</v>
      </c>
      <c r="K93" s="58">
        <v>19170</v>
      </c>
      <c r="L93" s="56">
        <v>142</v>
      </c>
      <c r="M93" s="58">
        <v>15930</v>
      </c>
      <c r="N93" s="56">
        <v>118</v>
      </c>
      <c r="O93" s="58">
        <v>19049</v>
      </c>
      <c r="P93" s="56">
        <v>141</v>
      </c>
      <c r="Q93" s="58">
        <v>20250</v>
      </c>
      <c r="R93" s="56">
        <v>150</v>
      </c>
      <c r="S93" s="58">
        <v>20115</v>
      </c>
      <c r="T93" s="56">
        <v>149</v>
      </c>
      <c r="U93" s="58">
        <v>17955</v>
      </c>
      <c r="V93" s="56">
        <v>133</v>
      </c>
      <c r="W93" s="58">
        <v>20115</v>
      </c>
      <c r="X93" s="56">
        <v>149</v>
      </c>
      <c r="Y93" s="58">
        <v>9720</v>
      </c>
      <c r="Z93" s="56">
        <v>72</v>
      </c>
      <c r="AA93" s="58">
        <v>675</v>
      </c>
      <c r="AB93" s="56">
        <v>5</v>
      </c>
      <c r="AC93" s="58">
        <v>2295</v>
      </c>
      <c r="AD93" s="56">
        <v>17</v>
      </c>
      <c r="AE93" s="58">
        <v>945</v>
      </c>
      <c r="AF93" s="56">
        <v>7</v>
      </c>
      <c r="AG93" s="58">
        <v>24030</v>
      </c>
      <c r="AH93" s="56">
        <v>178</v>
      </c>
      <c r="AI93" s="58">
        <v>29685</v>
      </c>
      <c r="AJ93" s="56">
        <v>216</v>
      </c>
      <c r="AK93" s="58">
        <v>34830</v>
      </c>
      <c r="AL93" s="56">
        <v>258</v>
      </c>
      <c r="AM93" s="58">
        <v>27540</v>
      </c>
      <c r="AN93" s="56">
        <v>204</v>
      </c>
      <c r="AO93" s="58">
        <v>26190</v>
      </c>
      <c r="AP93" s="56">
        <v>194</v>
      </c>
      <c r="AQ93" s="58">
        <v>27270</v>
      </c>
      <c r="AR93" s="56">
        <v>202</v>
      </c>
      <c r="AS93" s="58">
        <v>23909</v>
      </c>
      <c r="AT93" s="56">
        <v>177</v>
      </c>
      <c r="AU93" s="58">
        <v>32940</v>
      </c>
      <c r="AV93" s="56">
        <v>244</v>
      </c>
      <c r="AW93" s="58">
        <v>32265</v>
      </c>
      <c r="AX93" s="56">
        <v>239</v>
      </c>
      <c r="AY93" s="58">
        <v>25785</v>
      </c>
      <c r="AZ93" s="56">
        <v>191</v>
      </c>
      <c r="BA93" s="58">
        <v>20250</v>
      </c>
      <c r="BB93" s="56">
        <v>150</v>
      </c>
      <c r="BC93" s="58">
        <v>10530</v>
      </c>
      <c r="BD93" s="56">
        <v>78</v>
      </c>
      <c r="BE93" s="58">
        <v>8259</v>
      </c>
      <c r="BF93" s="56">
        <v>61</v>
      </c>
      <c r="BG93" s="58">
        <v>27369</v>
      </c>
      <c r="BH93" s="56">
        <v>212</v>
      </c>
      <c r="BI93" s="58">
        <v>30187</v>
      </c>
      <c r="BJ93" s="56">
        <v>234</v>
      </c>
      <c r="BK93" s="58">
        <v>27994</v>
      </c>
      <c r="BL93" s="56">
        <v>217</v>
      </c>
      <c r="BM93" s="58">
        <v>32265</v>
      </c>
      <c r="BN93" s="59">
        <v>239</v>
      </c>
    </row>
    <row r="94" spans="1:66" ht="15.75" customHeight="1">
      <c r="A94" s="8"/>
      <c r="B94" s="55" t="s">
        <v>17</v>
      </c>
      <c r="C94" s="56" t="s">
        <v>102</v>
      </c>
      <c r="D94" s="57" t="s">
        <v>154</v>
      </c>
      <c r="E94" s="58">
        <v>17132</v>
      </c>
      <c r="F94" s="56">
        <v>41</v>
      </c>
      <c r="G94" s="58">
        <v>23400</v>
      </c>
      <c r="H94" s="56">
        <v>56</v>
      </c>
      <c r="I94" s="58">
        <v>30086</v>
      </c>
      <c r="J94" s="56">
        <v>72</v>
      </c>
      <c r="K94" s="58">
        <v>17132</v>
      </c>
      <c r="L94" s="56">
        <v>41</v>
      </c>
      <c r="M94" s="58">
        <v>18804</v>
      </c>
      <c r="N94" s="56">
        <v>45</v>
      </c>
      <c r="O94" s="58">
        <v>16714</v>
      </c>
      <c r="P94" s="56">
        <v>40</v>
      </c>
      <c r="Q94" s="58">
        <v>12536</v>
      </c>
      <c r="R94" s="56">
        <v>30</v>
      </c>
      <c r="S94" s="58">
        <v>20475</v>
      </c>
      <c r="T94" s="56">
        <v>49</v>
      </c>
      <c r="U94" s="58">
        <v>21729</v>
      </c>
      <c r="V94" s="56">
        <v>52</v>
      </c>
      <c r="W94" s="58">
        <v>24236</v>
      </c>
      <c r="X94" s="56">
        <v>58</v>
      </c>
      <c r="Y94" s="58">
        <v>21311</v>
      </c>
      <c r="Z94" s="56">
        <v>51</v>
      </c>
      <c r="AA94" s="58">
        <v>19222</v>
      </c>
      <c r="AB94" s="56">
        <v>46</v>
      </c>
      <c r="AC94" s="58">
        <v>15880</v>
      </c>
      <c r="AD94" s="56">
        <v>38</v>
      </c>
      <c r="AE94" s="58">
        <v>11282</v>
      </c>
      <c r="AF94" s="56">
        <v>27</v>
      </c>
      <c r="AG94" s="58">
        <v>18804</v>
      </c>
      <c r="AH94" s="56">
        <v>45</v>
      </c>
      <c r="AI94" s="58">
        <v>13372</v>
      </c>
      <c r="AJ94" s="56">
        <v>32</v>
      </c>
      <c r="AK94" s="58">
        <v>11282</v>
      </c>
      <c r="AL94" s="56">
        <v>27</v>
      </c>
      <c r="AM94" s="58">
        <v>13789</v>
      </c>
      <c r="AN94" s="56">
        <v>33</v>
      </c>
      <c r="AO94" s="58">
        <v>13372</v>
      </c>
      <c r="AP94" s="56">
        <v>32</v>
      </c>
      <c r="AQ94" s="58">
        <v>11700</v>
      </c>
      <c r="AR94" s="56">
        <v>28</v>
      </c>
      <c r="AS94" s="58">
        <v>15461</v>
      </c>
      <c r="AT94" s="56">
        <v>37</v>
      </c>
      <c r="AU94" s="58">
        <v>15879</v>
      </c>
      <c r="AV94" s="56">
        <v>38</v>
      </c>
      <c r="AW94" s="58">
        <v>14625</v>
      </c>
      <c r="AX94" s="56">
        <v>35</v>
      </c>
      <c r="AY94" s="58">
        <v>16297</v>
      </c>
      <c r="AZ94" s="56">
        <v>39</v>
      </c>
      <c r="BA94" s="58">
        <v>16714</v>
      </c>
      <c r="BB94" s="56">
        <v>40</v>
      </c>
      <c r="BC94" s="58">
        <v>17132</v>
      </c>
      <c r="BD94" s="56">
        <v>41</v>
      </c>
      <c r="BE94" s="58">
        <v>10447</v>
      </c>
      <c r="BF94" s="56">
        <v>25</v>
      </c>
      <c r="BG94" s="58">
        <v>8775</v>
      </c>
      <c r="BH94" s="56">
        <v>21</v>
      </c>
      <c r="BI94" s="58">
        <v>9193</v>
      </c>
      <c r="BJ94" s="56">
        <v>22</v>
      </c>
      <c r="BK94" s="58">
        <v>11282</v>
      </c>
      <c r="BL94" s="56">
        <v>27</v>
      </c>
      <c r="BM94" s="58">
        <v>14625</v>
      </c>
      <c r="BN94" s="59">
        <v>35</v>
      </c>
    </row>
    <row r="95" spans="1:66" ht="15.75" customHeight="1">
      <c r="A95" s="8"/>
      <c r="B95" s="55" t="s">
        <v>32</v>
      </c>
      <c r="C95" s="56" t="s">
        <v>101</v>
      </c>
      <c r="D95" s="57" t="s">
        <v>147</v>
      </c>
      <c r="E95" s="58">
        <v>10994</v>
      </c>
      <c r="F95" s="56">
        <v>13</v>
      </c>
      <c r="G95" s="58">
        <v>10291</v>
      </c>
      <c r="H95" s="56">
        <v>12</v>
      </c>
      <c r="I95" s="58">
        <v>11979</v>
      </c>
      <c r="J95" s="56">
        <v>14</v>
      </c>
      <c r="K95" s="58">
        <v>9447</v>
      </c>
      <c r="L95" s="56">
        <v>11</v>
      </c>
      <c r="M95" s="58">
        <v>4221</v>
      </c>
      <c r="N95" s="56">
        <v>5</v>
      </c>
      <c r="O95" s="58">
        <v>2477</v>
      </c>
      <c r="P95" s="56">
        <v>3</v>
      </c>
      <c r="Q95" s="58">
        <v>12878</v>
      </c>
      <c r="R95" s="56">
        <v>15</v>
      </c>
      <c r="S95" s="58">
        <v>11190</v>
      </c>
      <c r="T95" s="56">
        <v>13</v>
      </c>
      <c r="U95" s="58">
        <v>7649</v>
      </c>
      <c r="V95" s="56">
        <v>9</v>
      </c>
      <c r="W95" s="58">
        <v>6916</v>
      </c>
      <c r="X95" s="56">
        <v>8</v>
      </c>
      <c r="Y95" s="58">
        <v>12878</v>
      </c>
      <c r="Z95" s="56">
        <v>15</v>
      </c>
      <c r="AA95" s="58">
        <v>9282</v>
      </c>
      <c r="AB95" s="56">
        <v>11</v>
      </c>
      <c r="AC95" s="58">
        <v>11868</v>
      </c>
      <c r="AD95" s="56">
        <v>14</v>
      </c>
      <c r="AE95" s="58">
        <v>13666</v>
      </c>
      <c r="AF95" s="56">
        <v>16</v>
      </c>
      <c r="AG95" s="58">
        <v>10181</v>
      </c>
      <c r="AH95" s="56">
        <v>12</v>
      </c>
      <c r="AI95" s="58">
        <v>8438</v>
      </c>
      <c r="AJ95" s="56">
        <v>10</v>
      </c>
      <c r="AK95" s="58">
        <v>5907</v>
      </c>
      <c r="AL95" s="56">
        <v>7</v>
      </c>
      <c r="AM95" s="58">
        <v>5063</v>
      </c>
      <c r="AN95" s="56">
        <v>6</v>
      </c>
      <c r="AO95" s="58">
        <v>5876</v>
      </c>
      <c r="AP95" s="56">
        <v>7</v>
      </c>
      <c r="AQ95" s="58">
        <v>5853</v>
      </c>
      <c r="AR95" s="56">
        <v>7</v>
      </c>
      <c r="AS95" s="58">
        <v>7526</v>
      </c>
      <c r="AT95" s="56">
        <v>9</v>
      </c>
      <c r="AU95" s="58">
        <v>6690</v>
      </c>
      <c r="AV95" s="56">
        <v>8</v>
      </c>
      <c r="AW95" s="58">
        <v>5840</v>
      </c>
      <c r="AX95" s="56">
        <v>7</v>
      </c>
      <c r="AY95" s="58">
        <v>6674</v>
      </c>
      <c r="AZ95" s="56">
        <v>8</v>
      </c>
      <c r="BA95" s="58">
        <v>5006</v>
      </c>
      <c r="BB95" s="56">
        <v>6</v>
      </c>
      <c r="BC95" s="58">
        <v>10846</v>
      </c>
      <c r="BD95" s="56">
        <v>13</v>
      </c>
      <c r="BE95" s="58">
        <v>5840</v>
      </c>
      <c r="BF95" s="56">
        <v>7</v>
      </c>
      <c r="BG95" s="58">
        <v>6769</v>
      </c>
      <c r="BH95" s="56">
        <v>8</v>
      </c>
      <c r="BI95" s="58">
        <v>10969</v>
      </c>
      <c r="BJ95" s="56">
        <v>13</v>
      </c>
      <c r="BK95" s="58">
        <v>5907</v>
      </c>
      <c r="BL95" s="56">
        <v>7</v>
      </c>
      <c r="BM95" s="58">
        <v>5840</v>
      </c>
      <c r="BN95" s="59">
        <v>7</v>
      </c>
    </row>
    <row r="96" spans="1:66" ht="15.75" customHeight="1">
      <c r="A96" s="8"/>
      <c r="B96" s="55" t="s">
        <v>51</v>
      </c>
      <c r="C96" s="56" t="s">
        <v>101</v>
      </c>
      <c r="D96" s="57" t="s">
        <v>148</v>
      </c>
      <c r="E96" s="58">
        <v>487</v>
      </c>
      <c r="F96" s="56">
        <v>3</v>
      </c>
      <c r="G96" s="58">
        <v>1163</v>
      </c>
      <c r="H96" s="56">
        <v>7</v>
      </c>
      <c r="I96" s="58">
        <v>1083</v>
      </c>
      <c r="J96" s="56">
        <v>7</v>
      </c>
      <c r="K96" s="58">
        <v>487</v>
      </c>
      <c r="L96" s="56">
        <v>3</v>
      </c>
      <c r="M96" s="58">
        <v>716</v>
      </c>
      <c r="N96" s="56">
        <v>4</v>
      </c>
      <c r="O96" s="58">
        <v>447</v>
      </c>
      <c r="P96" s="56">
        <v>3</v>
      </c>
      <c r="Q96" s="58">
        <v>984</v>
      </c>
      <c r="R96" s="56">
        <v>6</v>
      </c>
      <c r="S96" s="58">
        <v>785</v>
      </c>
      <c r="T96" s="56">
        <v>5</v>
      </c>
      <c r="U96" s="58">
        <v>865</v>
      </c>
      <c r="V96" s="56">
        <v>5</v>
      </c>
      <c r="W96" s="58">
        <v>636</v>
      </c>
      <c r="X96" s="56">
        <v>4</v>
      </c>
      <c r="Y96" s="58">
        <v>596</v>
      </c>
      <c r="Z96" s="56">
        <v>4</v>
      </c>
      <c r="AA96" s="58">
        <v>1014</v>
      </c>
      <c r="AB96" s="56">
        <v>6</v>
      </c>
      <c r="AC96" s="58">
        <v>447</v>
      </c>
      <c r="AD96" s="56">
        <v>3</v>
      </c>
      <c r="AE96" s="58">
        <v>487</v>
      </c>
      <c r="AF96" s="56">
        <v>3</v>
      </c>
      <c r="AG96" s="58">
        <v>447</v>
      </c>
      <c r="AH96" s="56">
        <v>3</v>
      </c>
      <c r="AI96" s="58">
        <v>905</v>
      </c>
      <c r="AJ96" s="56">
        <v>5</v>
      </c>
      <c r="AK96" s="58">
        <v>865</v>
      </c>
      <c r="AL96" s="56">
        <v>5</v>
      </c>
      <c r="AM96" s="58">
        <v>189</v>
      </c>
      <c r="AN96" s="56">
        <v>1</v>
      </c>
      <c r="AO96" s="58">
        <v>785</v>
      </c>
      <c r="AP96" s="56">
        <v>5</v>
      </c>
      <c r="AQ96" s="58">
        <v>338</v>
      </c>
      <c r="AR96" s="56">
        <v>2</v>
      </c>
      <c r="AS96" s="58">
        <v>1075</v>
      </c>
      <c r="AT96" s="56">
        <v>5</v>
      </c>
      <c r="AU96" s="58">
        <v>1314</v>
      </c>
      <c r="AV96" s="56">
        <v>6</v>
      </c>
      <c r="AW96" s="58">
        <v>1632</v>
      </c>
      <c r="AX96" s="56">
        <v>8</v>
      </c>
      <c r="AY96" s="58">
        <v>1075</v>
      </c>
      <c r="AZ96" s="56">
        <v>5</v>
      </c>
      <c r="BA96" s="58">
        <v>2349</v>
      </c>
      <c r="BB96" s="56">
        <v>11</v>
      </c>
      <c r="BC96" s="58">
        <v>677</v>
      </c>
      <c r="BD96" s="56">
        <v>3</v>
      </c>
      <c r="BE96" s="58">
        <v>1234</v>
      </c>
      <c r="BF96" s="56">
        <v>6</v>
      </c>
      <c r="BG96" s="58">
        <v>1632</v>
      </c>
      <c r="BH96" s="56">
        <v>8</v>
      </c>
      <c r="BI96" s="58">
        <v>1115</v>
      </c>
      <c r="BJ96" s="56">
        <v>5</v>
      </c>
      <c r="BK96" s="58">
        <v>1075</v>
      </c>
      <c r="BL96" s="56">
        <v>5</v>
      </c>
      <c r="BM96" s="58">
        <v>1632</v>
      </c>
      <c r="BN96" s="59">
        <v>8</v>
      </c>
    </row>
    <row r="97" spans="1:66" ht="15.75" customHeight="1">
      <c r="A97" s="8"/>
      <c r="B97" s="50" t="s">
        <v>31</v>
      </c>
      <c r="C97" s="51" t="s">
        <v>101</v>
      </c>
      <c r="D97" s="52" t="s">
        <v>148</v>
      </c>
      <c r="E97" s="53">
        <v>2716</v>
      </c>
      <c r="F97" s="51">
        <v>4</v>
      </c>
      <c r="G97" s="53">
        <v>3395</v>
      </c>
      <c r="H97" s="51">
        <v>5</v>
      </c>
      <c r="I97" s="53">
        <v>2037</v>
      </c>
      <c r="J97" s="51">
        <v>3</v>
      </c>
      <c r="K97" s="53">
        <v>2037</v>
      </c>
      <c r="L97" s="51">
        <v>3</v>
      </c>
      <c r="M97" s="53">
        <v>2037</v>
      </c>
      <c r="N97" s="51">
        <v>3</v>
      </c>
      <c r="O97" s="53">
        <v>4753</v>
      </c>
      <c r="P97" s="51">
        <v>7</v>
      </c>
      <c r="Q97" s="53">
        <v>4074</v>
      </c>
      <c r="R97" s="51">
        <v>6</v>
      </c>
      <c r="S97" s="53">
        <v>4074</v>
      </c>
      <c r="T97" s="51">
        <v>6</v>
      </c>
      <c r="U97" s="53">
        <v>1358</v>
      </c>
      <c r="V97" s="51">
        <v>2</v>
      </c>
      <c r="W97" s="53">
        <v>2037</v>
      </c>
      <c r="X97" s="51">
        <v>3</v>
      </c>
      <c r="Y97" s="53">
        <v>2716</v>
      </c>
      <c r="Z97" s="51">
        <v>4</v>
      </c>
      <c r="AA97" s="53">
        <v>3395</v>
      </c>
      <c r="AB97" s="51">
        <v>5</v>
      </c>
      <c r="AC97" s="53">
        <v>2007</v>
      </c>
      <c r="AD97" s="51">
        <v>3</v>
      </c>
      <c r="AE97" s="53">
        <v>4543</v>
      </c>
      <c r="AF97" s="51">
        <v>7</v>
      </c>
      <c r="AG97" s="53">
        <v>7788</v>
      </c>
      <c r="AH97" s="51">
        <v>12</v>
      </c>
      <c r="AI97" s="53">
        <v>3245</v>
      </c>
      <c r="AJ97" s="51">
        <v>5</v>
      </c>
      <c r="AK97" s="53">
        <v>5841</v>
      </c>
      <c r="AL97" s="51">
        <v>9</v>
      </c>
      <c r="AM97" s="53">
        <v>2596</v>
      </c>
      <c r="AN97" s="51">
        <v>4</v>
      </c>
      <c r="AO97" s="53">
        <v>5192</v>
      </c>
      <c r="AP97" s="51">
        <v>8</v>
      </c>
      <c r="AQ97" s="53">
        <v>5192</v>
      </c>
      <c r="AR97" s="51">
        <v>8</v>
      </c>
      <c r="AS97" s="53">
        <v>3894</v>
      </c>
      <c r="AT97" s="51">
        <v>6</v>
      </c>
      <c r="AU97" s="53">
        <v>6490</v>
      </c>
      <c r="AV97" s="51">
        <v>10</v>
      </c>
      <c r="AW97" s="53">
        <v>9735</v>
      </c>
      <c r="AX97" s="51">
        <v>15</v>
      </c>
      <c r="AY97" s="53">
        <v>12331</v>
      </c>
      <c r="AZ97" s="51">
        <v>19</v>
      </c>
      <c r="BA97" s="53">
        <v>5192</v>
      </c>
      <c r="BB97" s="51">
        <v>8</v>
      </c>
      <c r="BC97" s="53">
        <v>9086</v>
      </c>
      <c r="BD97" s="51">
        <v>14</v>
      </c>
      <c r="BE97" s="53">
        <v>5192</v>
      </c>
      <c r="BF97" s="51">
        <v>8</v>
      </c>
      <c r="BG97" s="53">
        <v>8985</v>
      </c>
      <c r="BH97" s="51">
        <v>15</v>
      </c>
      <c r="BI97" s="53">
        <v>11381</v>
      </c>
      <c r="BJ97" s="51">
        <v>19</v>
      </c>
      <c r="BK97" s="53">
        <v>7787</v>
      </c>
      <c r="BL97" s="51">
        <v>13</v>
      </c>
      <c r="BM97" s="53">
        <v>9735</v>
      </c>
      <c r="BN97" s="54">
        <v>15</v>
      </c>
    </row>
    <row r="98" spans="1:66" ht="15.75" customHeight="1">
      <c r="A98" s="8"/>
      <c r="B98" s="55" t="s">
        <v>76</v>
      </c>
      <c r="C98" s="56" t="s">
        <v>104</v>
      </c>
      <c r="D98" s="57" t="s">
        <v>142</v>
      </c>
      <c r="E98" s="58">
        <v>21600</v>
      </c>
      <c r="F98" s="56">
        <v>160</v>
      </c>
      <c r="G98" s="58">
        <v>19035</v>
      </c>
      <c r="H98" s="56">
        <v>141</v>
      </c>
      <c r="I98" s="58">
        <v>18495</v>
      </c>
      <c r="J98" s="56">
        <v>137</v>
      </c>
      <c r="K98" s="58">
        <v>19170</v>
      </c>
      <c r="L98" s="56">
        <v>142</v>
      </c>
      <c r="M98" s="58">
        <v>15930</v>
      </c>
      <c r="N98" s="56">
        <v>118</v>
      </c>
      <c r="O98" s="58">
        <v>19049</v>
      </c>
      <c r="P98" s="56">
        <v>141</v>
      </c>
      <c r="Q98" s="58">
        <v>20250</v>
      </c>
      <c r="R98" s="56">
        <v>150</v>
      </c>
      <c r="S98" s="58">
        <v>20115</v>
      </c>
      <c r="T98" s="56">
        <v>149</v>
      </c>
      <c r="U98" s="58">
        <v>17955</v>
      </c>
      <c r="V98" s="56">
        <v>133</v>
      </c>
      <c r="W98" s="58">
        <v>20115</v>
      </c>
      <c r="X98" s="56">
        <v>149</v>
      </c>
      <c r="Y98" s="58">
        <v>9720</v>
      </c>
      <c r="Z98" s="56">
        <v>72</v>
      </c>
      <c r="AA98" s="58">
        <v>675</v>
      </c>
      <c r="AB98" s="56">
        <v>5</v>
      </c>
      <c r="AC98" s="58">
        <v>2295</v>
      </c>
      <c r="AD98" s="56">
        <v>17</v>
      </c>
      <c r="AE98" s="58">
        <v>945</v>
      </c>
      <c r="AF98" s="56">
        <v>7</v>
      </c>
      <c r="AG98" s="58">
        <v>24030</v>
      </c>
      <c r="AH98" s="56">
        <v>178</v>
      </c>
      <c r="AI98" s="58">
        <v>29685</v>
      </c>
      <c r="AJ98" s="56">
        <v>216</v>
      </c>
      <c r="AK98" s="58">
        <v>34830</v>
      </c>
      <c r="AL98" s="56">
        <v>258</v>
      </c>
      <c r="AM98" s="58">
        <v>27540</v>
      </c>
      <c r="AN98" s="56">
        <v>204</v>
      </c>
      <c r="AO98" s="58">
        <v>26190</v>
      </c>
      <c r="AP98" s="56">
        <v>194</v>
      </c>
      <c r="AQ98" s="58">
        <v>27270</v>
      </c>
      <c r="AR98" s="56">
        <v>202</v>
      </c>
      <c r="AS98" s="58">
        <v>23909</v>
      </c>
      <c r="AT98" s="56">
        <v>177</v>
      </c>
      <c r="AU98" s="58">
        <v>32940</v>
      </c>
      <c r="AV98" s="56">
        <v>244</v>
      </c>
      <c r="AW98" s="58">
        <v>32265</v>
      </c>
      <c r="AX98" s="56">
        <v>239</v>
      </c>
      <c r="AY98" s="58">
        <v>25785</v>
      </c>
      <c r="AZ98" s="56">
        <v>191</v>
      </c>
      <c r="BA98" s="58">
        <v>20250</v>
      </c>
      <c r="BB98" s="56">
        <v>150</v>
      </c>
      <c r="BC98" s="58">
        <v>10530</v>
      </c>
      <c r="BD98" s="56">
        <v>78</v>
      </c>
      <c r="BE98" s="58">
        <v>8259</v>
      </c>
      <c r="BF98" s="56">
        <v>61</v>
      </c>
      <c r="BG98" s="58">
        <v>27369</v>
      </c>
      <c r="BH98" s="56">
        <v>212</v>
      </c>
      <c r="BI98" s="58">
        <v>30187</v>
      </c>
      <c r="BJ98" s="56">
        <v>234</v>
      </c>
      <c r="BK98" s="58">
        <v>27994</v>
      </c>
      <c r="BL98" s="56">
        <v>217</v>
      </c>
      <c r="BM98" s="58">
        <v>32265</v>
      </c>
      <c r="BN98" s="59">
        <v>239</v>
      </c>
    </row>
    <row r="99" spans="1:66" ht="15.75" customHeight="1">
      <c r="A99" s="8"/>
      <c r="B99" s="50" t="s">
        <v>24</v>
      </c>
      <c r="C99" s="51" t="s">
        <v>103</v>
      </c>
      <c r="D99" s="52" t="s">
        <v>151</v>
      </c>
      <c r="E99" s="53">
        <v>2716</v>
      </c>
      <c r="F99" s="51">
        <v>4</v>
      </c>
      <c r="G99" s="53">
        <v>3395</v>
      </c>
      <c r="H99" s="51">
        <v>5</v>
      </c>
      <c r="I99" s="53">
        <v>2037</v>
      </c>
      <c r="J99" s="51">
        <v>3</v>
      </c>
      <c r="K99" s="53">
        <v>2037</v>
      </c>
      <c r="L99" s="51">
        <v>3</v>
      </c>
      <c r="M99" s="53">
        <v>2037</v>
      </c>
      <c r="N99" s="51">
        <v>3</v>
      </c>
      <c r="O99" s="53">
        <v>4753</v>
      </c>
      <c r="P99" s="51">
        <v>7</v>
      </c>
      <c r="Q99" s="53">
        <v>4074</v>
      </c>
      <c r="R99" s="51">
        <v>6</v>
      </c>
      <c r="S99" s="53">
        <v>4074</v>
      </c>
      <c r="T99" s="51">
        <v>6</v>
      </c>
      <c r="U99" s="53">
        <v>1358</v>
      </c>
      <c r="V99" s="51">
        <v>2</v>
      </c>
      <c r="W99" s="53">
        <v>2037</v>
      </c>
      <c r="X99" s="51">
        <v>3</v>
      </c>
      <c r="Y99" s="53">
        <v>2716</v>
      </c>
      <c r="Z99" s="51">
        <v>4</v>
      </c>
      <c r="AA99" s="53">
        <v>3395</v>
      </c>
      <c r="AB99" s="51">
        <v>5</v>
      </c>
      <c r="AC99" s="53">
        <v>2007</v>
      </c>
      <c r="AD99" s="51">
        <v>3</v>
      </c>
      <c r="AE99" s="53">
        <v>4543</v>
      </c>
      <c r="AF99" s="51">
        <v>7</v>
      </c>
      <c r="AG99" s="53">
        <v>7788</v>
      </c>
      <c r="AH99" s="51">
        <v>12</v>
      </c>
      <c r="AI99" s="53">
        <v>3245</v>
      </c>
      <c r="AJ99" s="51">
        <v>5</v>
      </c>
      <c r="AK99" s="53">
        <v>5841</v>
      </c>
      <c r="AL99" s="51">
        <v>9</v>
      </c>
      <c r="AM99" s="53">
        <v>2596</v>
      </c>
      <c r="AN99" s="51">
        <v>4</v>
      </c>
      <c r="AO99" s="53">
        <v>5192</v>
      </c>
      <c r="AP99" s="51">
        <v>8</v>
      </c>
      <c r="AQ99" s="53">
        <v>5192</v>
      </c>
      <c r="AR99" s="51">
        <v>8</v>
      </c>
      <c r="AS99" s="53">
        <v>3894</v>
      </c>
      <c r="AT99" s="51">
        <v>6</v>
      </c>
      <c r="AU99" s="53">
        <v>6490</v>
      </c>
      <c r="AV99" s="51">
        <v>10</v>
      </c>
      <c r="AW99" s="53">
        <v>9735</v>
      </c>
      <c r="AX99" s="51">
        <v>15</v>
      </c>
      <c r="AY99" s="53">
        <v>12331</v>
      </c>
      <c r="AZ99" s="51">
        <v>19</v>
      </c>
      <c r="BA99" s="53">
        <v>5192</v>
      </c>
      <c r="BB99" s="51">
        <v>8</v>
      </c>
      <c r="BC99" s="53">
        <v>9086</v>
      </c>
      <c r="BD99" s="51">
        <v>14</v>
      </c>
      <c r="BE99" s="53">
        <v>5192</v>
      </c>
      <c r="BF99" s="51">
        <v>8</v>
      </c>
      <c r="BG99" s="53">
        <v>8985</v>
      </c>
      <c r="BH99" s="51">
        <v>15</v>
      </c>
      <c r="BI99" s="53">
        <v>11381</v>
      </c>
      <c r="BJ99" s="51">
        <v>19</v>
      </c>
      <c r="BK99" s="53">
        <v>7787</v>
      </c>
      <c r="BL99" s="51">
        <v>13</v>
      </c>
      <c r="BM99" s="53">
        <v>9735</v>
      </c>
      <c r="BN99" s="54">
        <v>15</v>
      </c>
    </row>
    <row r="100" spans="1:66" ht="15.75" customHeight="1">
      <c r="A100" s="8"/>
      <c r="B100" s="50" t="s">
        <v>99</v>
      </c>
      <c r="C100" s="51" t="s">
        <v>103</v>
      </c>
      <c r="D100" s="52" t="s">
        <v>146</v>
      </c>
      <c r="E100" s="53">
        <v>227</v>
      </c>
      <c r="F100" s="51">
        <v>1</v>
      </c>
      <c r="G100" s="53">
        <v>0</v>
      </c>
      <c r="H100" s="51">
        <v>0</v>
      </c>
      <c r="I100" s="53">
        <v>359</v>
      </c>
      <c r="J100" s="51">
        <v>2</v>
      </c>
      <c r="K100" s="53">
        <v>0</v>
      </c>
      <c r="L100" s="51">
        <v>0</v>
      </c>
      <c r="M100" s="53">
        <v>0</v>
      </c>
      <c r="N100" s="51">
        <v>0</v>
      </c>
      <c r="O100" s="53">
        <v>362</v>
      </c>
      <c r="P100" s="51">
        <v>2</v>
      </c>
      <c r="Q100" s="53">
        <v>0</v>
      </c>
      <c r="R100" s="51">
        <v>0</v>
      </c>
      <c r="S100" s="53">
        <v>179</v>
      </c>
      <c r="T100" s="51">
        <v>1</v>
      </c>
      <c r="U100" s="53">
        <v>179</v>
      </c>
      <c r="V100" s="51">
        <v>1</v>
      </c>
      <c r="W100" s="53">
        <v>179</v>
      </c>
      <c r="X100" s="51">
        <v>1</v>
      </c>
      <c r="Y100" s="53">
        <v>0</v>
      </c>
      <c r="Z100" s="51">
        <v>0</v>
      </c>
      <c r="AA100" s="53">
        <v>179</v>
      </c>
      <c r="AB100" s="51">
        <v>1</v>
      </c>
      <c r="AC100" s="53">
        <v>179</v>
      </c>
      <c r="AD100" s="51">
        <v>1</v>
      </c>
      <c r="AE100" s="53">
        <v>0</v>
      </c>
      <c r="AF100" s="51">
        <v>0</v>
      </c>
      <c r="AG100" s="53">
        <v>0</v>
      </c>
      <c r="AH100" s="51">
        <v>0</v>
      </c>
      <c r="AI100" s="53">
        <v>179</v>
      </c>
      <c r="AJ100" s="51">
        <v>1</v>
      </c>
      <c r="AK100" s="53">
        <v>0</v>
      </c>
      <c r="AL100" s="51">
        <v>0</v>
      </c>
      <c r="AM100" s="53">
        <v>538</v>
      </c>
      <c r="AN100" s="51">
        <v>3</v>
      </c>
      <c r="AO100" s="53">
        <v>179</v>
      </c>
      <c r="AP100" s="51">
        <v>1</v>
      </c>
      <c r="AQ100" s="53">
        <v>172</v>
      </c>
      <c r="AR100" s="51">
        <v>1</v>
      </c>
      <c r="AS100" s="53">
        <v>0</v>
      </c>
      <c r="AT100" s="51">
        <v>0</v>
      </c>
      <c r="AU100" s="53">
        <v>172</v>
      </c>
      <c r="AV100" s="51">
        <v>1</v>
      </c>
      <c r="AW100" s="53">
        <v>170</v>
      </c>
      <c r="AX100" s="51">
        <v>1</v>
      </c>
      <c r="AY100" s="53">
        <v>170</v>
      </c>
      <c r="AZ100" s="51">
        <v>1</v>
      </c>
      <c r="BA100" s="53">
        <v>340</v>
      </c>
      <c r="BB100" s="51">
        <v>2</v>
      </c>
      <c r="BC100" s="53">
        <v>0</v>
      </c>
      <c r="BD100" s="51">
        <v>0</v>
      </c>
      <c r="BE100" s="53">
        <v>0</v>
      </c>
      <c r="BF100" s="51">
        <v>0</v>
      </c>
      <c r="BG100" s="53">
        <v>402</v>
      </c>
      <c r="BH100" s="51">
        <v>2</v>
      </c>
      <c r="BI100" s="53">
        <v>0</v>
      </c>
      <c r="BJ100" s="51">
        <v>0</v>
      </c>
      <c r="BK100" s="53">
        <v>170</v>
      </c>
      <c r="BL100" s="51">
        <v>1</v>
      </c>
      <c r="BM100" s="53">
        <v>170</v>
      </c>
      <c r="BN100" s="54">
        <v>1</v>
      </c>
    </row>
    <row r="101" spans="1:66" ht="15.75" customHeight="1">
      <c r="A101" s="8"/>
      <c r="B101" s="50" t="s">
        <v>57</v>
      </c>
      <c r="C101" s="51" t="s">
        <v>104</v>
      </c>
      <c r="D101" s="52" t="s">
        <v>144</v>
      </c>
      <c r="E101" s="53">
        <v>0</v>
      </c>
      <c r="F101" s="51">
        <v>0</v>
      </c>
      <c r="G101" s="53">
        <v>632</v>
      </c>
      <c r="H101" s="51">
        <v>2</v>
      </c>
      <c r="I101" s="53">
        <v>0</v>
      </c>
      <c r="J101" s="51">
        <v>0</v>
      </c>
      <c r="K101" s="53">
        <v>0</v>
      </c>
      <c r="L101" s="51">
        <v>0</v>
      </c>
      <c r="M101" s="53">
        <v>316</v>
      </c>
      <c r="N101" s="51">
        <v>1</v>
      </c>
      <c r="O101" s="53">
        <v>632</v>
      </c>
      <c r="P101" s="51">
        <v>2</v>
      </c>
      <c r="Q101" s="53">
        <v>672</v>
      </c>
      <c r="R101" s="51">
        <v>2</v>
      </c>
      <c r="S101" s="53">
        <v>632</v>
      </c>
      <c r="T101" s="51">
        <v>2</v>
      </c>
      <c r="U101" s="53">
        <v>316</v>
      </c>
      <c r="V101" s="51">
        <v>1</v>
      </c>
      <c r="W101" s="53">
        <v>1304</v>
      </c>
      <c r="X101" s="51">
        <v>4</v>
      </c>
      <c r="Y101" s="53">
        <v>316</v>
      </c>
      <c r="Z101" s="51">
        <v>1</v>
      </c>
      <c r="AA101" s="53">
        <v>672</v>
      </c>
      <c r="AB101" s="51">
        <v>2</v>
      </c>
      <c r="AC101" s="53">
        <v>632</v>
      </c>
      <c r="AD101" s="51">
        <v>2</v>
      </c>
      <c r="AE101" s="53">
        <v>712</v>
      </c>
      <c r="AF101" s="51">
        <v>2</v>
      </c>
      <c r="AG101" s="53">
        <v>1620</v>
      </c>
      <c r="AH101" s="51">
        <v>5</v>
      </c>
      <c r="AI101" s="53">
        <v>672</v>
      </c>
      <c r="AJ101" s="51">
        <v>2</v>
      </c>
      <c r="AK101" s="53">
        <v>316</v>
      </c>
      <c r="AL101" s="51">
        <v>1</v>
      </c>
      <c r="AM101" s="53">
        <v>2252</v>
      </c>
      <c r="AN101" s="51">
        <v>7</v>
      </c>
      <c r="AO101" s="53">
        <v>632</v>
      </c>
      <c r="AP101" s="51">
        <v>2</v>
      </c>
      <c r="AQ101" s="53">
        <v>0</v>
      </c>
      <c r="AR101" s="51">
        <v>0</v>
      </c>
      <c r="AS101" s="53">
        <v>672</v>
      </c>
      <c r="AT101" s="51">
        <v>2</v>
      </c>
      <c r="AU101" s="53">
        <v>948</v>
      </c>
      <c r="AV101" s="51">
        <v>3</v>
      </c>
      <c r="AW101" s="53">
        <v>0</v>
      </c>
      <c r="AX101" s="51">
        <v>0</v>
      </c>
      <c r="AY101" s="53">
        <v>0</v>
      </c>
      <c r="AZ101" s="51">
        <v>0</v>
      </c>
      <c r="BA101" s="53">
        <v>0</v>
      </c>
      <c r="BB101" s="51">
        <v>0</v>
      </c>
      <c r="BC101" s="53">
        <v>1896</v>
      </c>
      <c r="BD101" s="51">
        <v>6</v>
      </c>
      <c r="BE101" s="53">
        <v>316</v>
      </c>
      <c r="BF101" s="51">
        <v>1</v>
      </c>
      <c r="BG101" s="53">
        <v>672</v>
      </c>
      <c r="BH101" s="51">
        <v>2</v>
      </c>
      <c r="BI101" s="53">
        <v>316</v>
      </c>
      <c r="BJ101" s="51">
        <v>1</v>
      </c>
      <c r="BK101" s="53">
        <v>1304</v>
      </c>
      <c r="BL101" s="51">
        <v>4</v>
      </c>
      <c r="BM101" s="53">
        <v>0</v>
      </c>
      <c r="BN101" s="54">
        <v>0</v>
      </c>
    </row>
    <row r="102" spans="1:66" ht="15.75" customHeight="1">
      <c r="A102" s="8"/>
      <c r="B102" s="60" t="s">
        <v>7</v>
      </c>
      <c r="C102" s="61" t="s">
        <v>104</v>
      </c>
      <c r="D102" s="62" t="s">
        <v>144</v>
      </c>
      <c r="E102" s="63">
        <v>16450</v>
      </c>
      <c r="F102" s="61">
        <v>33</v>
      </c>
      <c r="G102" s="63">
        <v>15769</v>
      </c>
      <c r="H102" s="61">
        <v>32</v>
      </c>
      <c r="I102" s="63">
        <v>19212</v>
      </c>
      <c r="J102" s="61">
        <v>39</v>
      </c>
      <c r="K102" s="63">
        <v>24138</v>
      </c>
      <c r="L102" s="61">
        <v>49</v>
      </c>
      <c r="M102" s="63">
        <v>21245</v>
      </c>
      <c r="N102" s="61">
        <v>43</v>
      </c>
      <c r="O102" s="63">
        <v>22283</v>
      </c>
      <c r="P102" s="61">
        <v>45</v>
      </c>
      <c r="Q102" s="63">
        <v>20197</v>
      </c>
      <c r="R102" s="61">
        <v>41</v>
      </c>
      <c r="S102" s="63">
        <v>17734</v>
      </c>
      <c r="T102" s="61">
        <v>36</v>
      </c>
      <c r="U102" s="63">
        <v>20197</v>
      </c>
      <c r="V102" s="61">
        <v>41</v>
      </c>
      <c r="W102" s="63">
        <v>24138</v>
      </c>
      <c r="X102" s="61">
        <v>49</v>
      </c>
      <c r="Y102" s="63">
        <v>24631</v>
      </c>
      <c r="Z102" s="61">
        <v>50</v>
      </c>
      <c r="AA102" s="63">
        <v>13793</v>
      </c>
      <c r="AB102" s="61">
        <v>28</v>
      </c>
      <c r="AC102" s="63">
        <v>17242</v>
      </c>
      <c r="AD102" s="61">
        <v>35</v>
      </c>
      <c r="AE102" s="63">
        <v>14778</v>
      </c>
      <c r="AF102" s="61">
        <v>30</v>
      </c>
      <c r="AG102" s="63">
        <v>17734</v>
      </c>
      <c r="AH102" s="61">
        <v>36</v>
      </c>
      <c r="AI102" s="63">
        <v>15271</v>
      </c>
      <c r="AJ102" s="61">
        <v>31</v>
      </c>
      <c r="AK102" s="63">
        <v>24631</v>
      </c>
      <c r="AL102" s="61">
        <v>50</v>
      </c>
      <c r="AM102" s="63">
        <v>22660</v>
      </c>
      <c r="AN102" s="61">
        <v>46</v>
      </c>
      <c r="AO102" s="63">
        <v>23645</v>
      </c>
      <c r="AP102" s="61">
        <v>48</v>
      </c>
      <c r="AQ102" s="63">
        <v>23153</v>
      </c>
      <c r="AR102" s="61">
        <v>47</v>
      </c>
      <c r="AS102" s="63">
        <v>27094</v>
      </c>
      <c r="AT102" s="61">
        <v>55</v>
      </c>
      <c r="AU102" s="63">
        <v>38441</v>
      </c>
      <c r="AV102" s="61">
        <v>78</v>
      </c>
      <c r="AW102" s="63">
        <v>43964</v>
      </c>
      <c r="AX102" s="61">
        <v>91</v>
      </c>
      <c r="AY102" s="63">
        <v>50245</v>
      </c>
      <c r="AZ102" s="61">
        <v>104</v>
      </c>
      <c r="BA102" s="63">
        <v>31403</v>
      </c>
      <c r="BB102" s="61">
        <v>65</v>
      </c>
      <c r="BC102" s="63">
        <v>30437</v>
      </c>
      <c r="BD102" s="61">
        <v>63</v>
      </c>
      <c r="BE102" s="63">
        <v>34785</v>
      </c>
      <c r="BF102" s="61">
        <v>72</v>
      </c>
      <c r="BG102" s="63">
        <v>29631</v>
      </c>
      <c r="BH102" s="61">
        <v>60</v>
      </c>
      <c r="BI102" s="63">
        <v>27586</v>
      </c>
      <c r="BJ102" s="61">
        <v>56</v>
      </c>
      <c r="BK102" s="63">
        <v>21182</v>
      </c>
      <c r="BL102" s="61">
        <v>43</v>
      </c>
      <c r="BM102" s="63">
        <v>43964</v>
      </c>
      <c r="BN102" s="64">
        <v>91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sortState xmlns:xlrd2="http://schemas.microsoft.com/office/spreadsheetml/2017/richdata2" ref="B3:BN102">
    <sortCondition ref="B2:B102"/>
  </sortState>
  <customSheetViews>
    <customSheetView guid="{E9D49E64-4288-4A4D-ABE0-221BFB49DA21}" filter="1" showAutoFilter="1">
      <pageMargins left="0.7" right="0.7" top="0.75" bottom="0.75" header="0.3" footer="0.3"/>
      <autoFilter ref="A2:DB3137" xr:uid="{89D11F9A-6B10-45C6-A55F-BD760EEB73B9}">
        <filterColumn colId="3">
          <filters blank="1">
            <filter val="SBR"/>
          </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2EF63CE3-F8AB-4AE8-B8DB-8A47F60EBAE0}">
        <filterColumn colId="2">
          <filters blank="1">
            <filter val="BEC"/>
          </filters>
        </filterColumn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0AF6259D-EC0B-4F93-B246-6598E11E46EA}">
        <filterColumn colId="12">
          <customFilters>
            <customFilter operator="greaterThan" val="500"/>
          </custom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A87DA304-BB5F-44CA-A478-70670682A893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9439E85E-AD23-4F43-A005-3C423862EBA5}">
        <filterColumn colId="2">
          <filters blank="1">
            <filter val="BEC"/>
          </filters>
        </filterColumn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E0DA42D5-07A9-4B64-BB3B-6B2B320CD926}">
        <filterColumn colId="2">
          <filters>
            <filter val="SBR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9EFA44B7-5ADC-4BCC-A035-7CE7786ED207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02E668B4-A07C-4C89-B84F-DDAA6AECDF49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5F68B3E5-BAD2-4A84-B832-542F8673A599}">
        <filterColumn colId="2">
          <filters blank="1">
            <filter val="AUR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30CDBDFE-4CAE-452F-9ED8-310C5344B478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989A2583-BCFB-4C97-A56A-031BFAAEB87F}" filter="1" showAutoFilter="1">
      <pageMargins left="0.7" right="0.7" top="0.75" bottom="0.75" header="0.3" footer="0.3"/>
      <autoFilter ref="A2:DB3235" xr:uid="{8E33A36C-F86A-426D-8635-00604795A20A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41D9D0B5-0C22-4D7D-841D-D9A96BB50BF2}"/>
    </customSheetView>
    <customSheetView guid="{F31FD0FE-72E9-4553-AFE9-797E5DBAFB89}" filter="1" showAutoFilter="1">
      <pageMargins left="0.7" right="0.7" top="0.75" bottom="0.75" header="0.3" footer="0.3"/>
      <autoFilter ref="B1:DB3385" xr:uid="{223D85E2-0F57-43AA-BE1E-3DE3975F819E}">
        <filterColumn colId="2">
          <filters blank="1">
            <filter val="BEC"/>
            <filter val="Brand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919E9EEC-2D98-467B-95AF-0902DA836CAF}"/>
    </customSheetView>
    <customSheetView guid="{9EC96D60-79EB-45DE-8605-7B9E67A0C4FE}" filter="1" showAutoFilter="1">
      <pageMargins left="0.7" right="0.7" top="0.75" bottom="0.75" header="0.3" footer="0.3"/>
      <autoFilter ref="A2:DB2626" xr:uid="{14A3C041-1F1B-4F16-8BFB-C4C8576F13A9}">
        <filterColumn colId="3">
          <filters>
            <filter val="BEC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E55EDC55-2002-4AD5-8A33-C74885D7C5E3}">
        <filterColumn colId="2">
          <filters>
            <filter val="BEC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8256058A-6715-4FD9-A89F-2ECC16AB727F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A9FAD067-E94B-4918-AB21-13AD52EED6B3}" filter="1" showAutoFilter="1">
      <pageMargins left="0.7" right="0.7" top="0.75" bottom="0.75" header="0.3" footer="0.3"/>
      <autoFilter ref="A2:DC2793" xr:uid="{A1DBB99F-9B3A-48F4-BC86-C1101C035E94}">
        <filterColumn colId="3">
          <filters>
            <filter val="KTS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BBF1F2FA-B1FE-49FD-9413-6661B13DC868}"/>
    </customSheetView>
    <customSheetView guid="{05FEC557-51C6-47D8-BF78-A3B430D054CA}" filter="1" showAutoFilter="1">
      <pageMargins left="0.7" right="0.7" top="0.75" bottom="0.75" header="0.3" footer="0.3"/>
      <autoFilter ref="A2:DB1809" xr:uid="{552C3974-172E-4D1C-A8AC-A848F9C35A00}">
        <filterColumn colId="3">
          <filters>
            <filter val="BEC"/>
          </filters>
        </filterColumn>
      </autoFilter>
    </customSheetView>
    <customSheetView guid="{01481C5D-5D0F-4C04-BD26-D68098B09128}" filter="1" showAutoFilter="1">
      <pageMargins left="0.7" right="0.7" top="0.75" bottom="0.75" header="0.3" footer="0.3"/>
      <autoFilter ref="B1:DB5139" xr:uid="{E53DCF56-D616-4E71-AF50-FAD2DD902768}"/>
    </customSheetView>
    <customSheetView guid="{7E302A77-6612-4525-8C85-9E3855AAECE3}" filter="1" showAutoFilter="1">
      <pageMargins left="0.7" right="0.7" top="0.75" bottom="0.75" header="0.3" footer="0.3"/>
      <autoFilter ref="O1:AN3385" xr:uid="{33605291-73FE-4982-9919-1E472A9E12F9}"/>
    </customSheetView>
  </customSheetViews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D88F-B5C1-45D9-91CA-E5AED76A4E0E}">
  <dimension ref="A1:BO826"/>
  <sheetViews>
    <sheetView topLeftCell="A93" zoomScale="85" zoomScaleNormal="85" workbookViewId="0">
      <selection activeCell="E671" sqref="E671"/>
    </sheetView>
  </sheetViews>
  <sheetFormatPr defaultRowHeight="13.2"/>
  <cols>
    <col min="1" max="1" width="34.6640625" customWidth="1"/>
    <col min="2" max="2" width="11.109375" customWidth="1"/>
    <col min="3" max="3" width="15.33203125" customWidth="1"/>
    <col min="4" max="9" width="10.44140625" customWidth="1"/>
    <col min="10" max="65" width="11.44140625" customWidth="1"/>
  </cols>
  <sheetData>
    <row r="1" spans="1:65" ht="14.4">
      <c r="A1" s="6" t="s">
        <v>106</v>
      </c>
      <c r="B1" s="6" t="s">
        <v>140</v>
      </c>
      <c r="C1" s="6" t="s">
        <v>141</v>
      </c>
      <c r="D1" s="5" t="s">
        <v>184</v>
      </c>
      <c r="E1" s="6" t="s">
        <v>185</v>
      </c>
      <c r="F1" s="5" t="s">
        <v>186</v>
      </c>
      <c r="G1" s="6" t="s">
        <v>187</v>
      </c>
      <c r="H1" s="5" t="s">
        <v>188</v>
      </c>
      <c r="I1" s="6" t="s">
        <v>189</v>
      </c>
      <c r="J1" s="5" t="s">
        <v>190</v>
      </c>
      <c r="K1" s="6" t="s">
        <v>191</v>
      </c>
      <c r="L1" s="5" t="s">
        <v>192</v>
      </c>
      <c r="M1" s="6" t="s">
        <v>193</v>
      </c>
      <c r="N1" s="5" t="s">
        <v>194</v>
      </c>
      <c r="O1" s="6" t="s">
        <v>195</v>
      </c>
      <c r="P1" s="5" t="s">
        <v>196</v>
      </c>
      <c r="Q1" s="6" t="s">
        <v>197</v>
      </c>
      <c r="R1" s="5" t="s">
        <v>198</v>
      </c>
      <c r="S1" s="6" t="s">
        <v>199</v>
      </c>
      <c r="T1" s="5" t="s">
        <v>200</v>
      </c>
      <c r="U1" s="6" t="s">
        <v>201</v>
      </c>
      <c r="V1" s="5" t="s">
        <v>202</v>
      </c>
      <c r="W1" s="6" t="s">
        <v>203</v>
      </c>
      <c r="X1" s="5" t="s">
        <v>204</v>
      </c>
      <c r="Y1" s="6" t="s">
        <v>205</v>
      </c>
      <c r="Z1" s="5" t="s">
        <v>206</v>
      </c>
      <c r="AA1" s="6" t="s">
        <v>207</v>
      </c>
      <c r="AB1" s="5" t="s">
        <v>208</v>
      </c>
      <c r="AC1" s="6" t="s">
        <v>209</v>
      </c>
      <c r="AD1" s="5" t="s">
        <v>210</v>
      </c>
      <c r="AE1" s="6" t="s">
        <v>211</v>
      </c>
      <c r="AF1" s="5" t="s">
        <v>212</v>
      </c>
      <c r="AG1" s="6" t="s">
        <v>213</v>
      </c>
      <c r="AH1" s="5" t="s">
        <v>214</v>
      </c>
      <c r="AI1" s="6" t="s">
        <v>215</v>
      </c>
      <c r="AJ1" s="5" t="s">
        <v>216</v>
      </c>
      <c r="AK1" s="6" t="s">
        <v>217</v>
      </c>
      <c r="AL1" s="5" t="s">
        <v>218</v>
      </c>
      <c r="AM1" s="6" t="s">
        <v>219</v>
      </c>
      <c r="AN1" s="5" t="s">
        <v>220</v>
      </c>
      <c r="AO1" s="6" t="s">
        <v>221</v>
      </c>
      <c r="AP1" s="5" t="s">
        <v>222</v>
      </c>
      <c r="AQ1" s="6" t="s">
        <v>223</v>
      </c>
      <c r="AR1" s="5" t="s">
        <v>224</v>
      </c>
      <c r="AS1" s="6" t="s">
        <v>225</v>
      </c>
      <c r="AT1" s="5" t="s">
        <v>226</v>
      </c>
      <c r="AU1" s="6" t="s">
        <v>227</v>
      </c>
      <c r="AV1" s="5" t="s">
        <v>228</v>
      </c>
      <c r="AW1" s="6" t="s">
        <v>229</v>
      </c>
      <c r="AX1" s="5" t="s">
        <v>230</v>
      </c>
      <c r="AY1" s="6" t="s">
        <v>231</v>
      </c>
      <c r="AZ1" s="5" t="s">
        <v>232</v>
      </c>
      <c r="BA1" s="6" t="s">
        <v>233</v>
      </c>
      <c r="BB1" s="5" t="s">
        <v>234</v>
      </c>
      <c r="BC1" s="6" t="s">
        <v>235</v>
      </c>
      <c r="BD1" s="5" t="s">
        <v>236</v>
      </c>
      <c r="BE1" s="6" t="s">
        <v>237</v>
      </c>
      <c r="BF1" s="5" t="s">
        <v>238</v>
      </c>
      <c r="BG1" s="6" t="s">
        <v>239</v>
      </c>
      <c r="BH1" s="5" t="s">
        <v>240</v>
      </c>
      <c r="BI1" s="6" t="s">
        <v>241</v>
      </c>
      <c r="BJ1" s="5" t="s">
        <v>242</v>
      </c>
      <c r="BK1" s="6" t="s">
        <v>243</v>
      </c>
      <c r="BL1" s="5" t="s">
        <v>244</v>
      </c>
      <c r="BM1" s="6" t="s">
        <v>245</v>
      </c>
    </row>
    <row r="2" spans="1:65" ht="14.4">
      <c r="A2" s="2" t="s">
        <v>2</v>
      </c>
      <c r="B2" s="10" t="s">
        <v>101</v>
      </c>
      <c r="C2" s="11" t="s">
        <v>152</v>
      </c>
      <c r="D2" s="9">
        <v>4116</v>
      </c>
      <c r="E2" s="10">
        <v>2</v>
      </c>
      <c r="F2" s="9">
        <v>14392</v>
      </c>
      <c r="G2" s="10">
        <v>8</v>
      </c>
      <c r="H2" s="9">
        <v>34181</v>
      </c>
      <c r="I2" s="10">
        <v>19</v>
      </c>
      <c r="J2" s="9">
        <v>16191</v>
      </c>
      <c r="K2" s="10">
        <v>9</v>
      </c>
      <c r="L2" s="9">
        <v>25815</v>
      </c>
      <c r="M2" s="10">
        <v>15</v>
      </c>
      <c r="N2" s="9">
        <v>42905</v>
      </c>
      <c r="O2" s="10">
        <v>25</v>
      </c>
      <c r="P2" s="9">
        <v>18799</v>
      </c>
      <c r="Q2" s="10">
        <v>11</v>
      </c>
      <c r="R2" s="9">
        <v>22217</v>
      </c>
      <c r="S2" s="10">
        <v>13</v>
      </c>
      <c r="T2" s="9">
        <v>15381</v>
      </c>
      <c r="U2" s="10">
        <v>9</v>
      </c>
      <c r="V2" s="9">
        <v>27344</v>
      </c>
      <c r="W2" s="10">
        <v>16</v>
      </c>
      <c r="X2" s="9">
        <v>20508</v>
      </c>
      <c r="Y2" s="10">
        <v>12</v>
      </c>
      <c r="Z2" s="9">
        <v>25635</v>
      </c>
      <c r="AA2" s="10">
        <v>15</v>
      </c>
      <c r="AB2" s="9">
        <v>27344</v>
      </c>
      <c r="AC2" s="10">
        <v>16</v>
      </c>
      <c r="AD2" s="9">
        <v>34180</v>
      </c>
      <c r="AE2" s="10">
        <v>20</v>
      </c>
      <c r="AF2" s="9">
        <v>23926</v>
      </c>
      <c r="AG2" s="10">
        <v>14</v>
      </c>
      <c r="AH2" s="9">
        <v>18799</v>
      </c>
      <c r="AI2" s="10">
        <v>11</v>
      </c>
      <c r="AJ2" s="9">
        <v>30762</v>
      </c>
      <c r="AK2" s="10">
        <v>18</v>
      </c>
      <c r="AL2" s="9">
        <v>20528</v>
      </c>
      <c r="AM2" s="10">
        <v>12</v>
      </c>
      <c r="AN2" s="9">
        <v>13692</v>
      </c>
      <c r="AO2" s="10">
        <v>8</v>
      </c>
      <c r="AP2" s="9">
        <v>18809</v>
      </c>
      <c r="AQ2" s="10">
        <v>11</v>
      </c>
      <c r="AR2" s="9">
        <v>13592</v>
      </c>
      <c r="AS2" s="10">
        <v>8</v>
      </c>
      <c r="AT2" s="9">
        <v>5507</v>
      </c>
      <c r="AU2" s="10">
        <v>3</v>
      </c>
      <c r="AV2" s="9">
        <v>8405</v>
      </c>
      <c r="AW2" s="10">
        <v>5</v>
      </c>
      <c r="AX2" s="9">
        <v>17000</v>
      </c>
      <c r="AY2" s="10">
        <v>10</v>
      </c>
      <c r="AZ2" s="9">
        <v>6706</v>
      </c>
      <c r="BA2" s="10">
        <v>4</v>
      </c>
      <c r="BB2" s="9">
        <v>12423</v>
      </c>
      <c r="BC2" s="10">
        <v>7</v>
      </c>
      <c r="BD2" s="9">
        <v>-1099</v>
      </c>
      <c r="BE2" s="10">
        <v>-1</v>
      </c>
      <c r="BF2" s="9">
        <v>39677</v>
      </c>
      <c r="BG2" s="10">
        <v>23</v>
      </c>
      <c r="BH2" s="9">
        <v>15291</v>
      </c>
      <c r="BI2" s="10">
        <v>9</v>
      </c>
      <c r="BJ2" s="9">
        <v>15301</v>
      </c>
      <c r="BK2" s="10">
        <v>9</v>
      </c>
      <c r="BL2" s="9">
        <v>8405</v>
      </c>
      <c r="BM2" s="10">
        <v>5</v>
      </c>
    </row>
    <row r="3" spans="1:65" ht="14.4">
      <c r="A3" s="2" t="s">
        <v>8</v>
      </c>
      <c r="B3" s="10" t="s">
        <v>101</v>
      </c>
      <c r="C3" s="11" t="s">
        <v>147</v>
      </c>
      <c r="D3" s="9">
        <v>0</v>
      </c>
      <c r="E3" s="10">
        <v>0</v>
      </c>
      <c r="F3" s="9">
        <v>1135</v>
      </c>
      <c r="G3" s="10">
        <v>4</v>
      </c>
      <c r="H3" s="9">
        <v>851</v>
      </c>
      <c r="I3" s="10">
        <v>3</v>
      </c>
      <c r="J3" s="9">
        <v>2838</v>
      </c>
      <c r="K3" s="10">
        <v>10</v>
      </c>
      <c r="L3" s="9">
        <v>3406</v>
      </c>
      <c r="M3" s="10">
        <v>12</v>
      </c>
      <c r="N3" s="9">
        <v>1014</v>
      </c>
      <c r="O3" s="10">
        <v>4</v>
      </c>
      <c r="P3" s="9">
        <v>1987</v>
      </c>
      <c r="Q3" s="10">
        <v>7</v>
      </c>
      <c r="R3" s="9">
        <v>2554</v>
      </c>
      <c r="S3" s="10">
        <v>9</v>
      </c>
      <c r="T3" s="9">
        <v>568</v>
      </c>
      <c r="U3" s="10">
        <v>2</v>
      </c>
      <c r="V3" s="9">
        <v>1987</v>
      </c>
      <c r="W3" s="10">
        <v>7</v>
      </c>
      <c r="X3" s="9">
        <v>2554</v>
      </c>
      <c r="Y3" s="10">
        <v>9</v>
      </c>
      <c r="Z3" s="9">
        <v>3122</v>
      </c>
      <c r="AA3" s="10">
        <v>11</v>
      </c>
      <c r="AB3" s="9">
        <v>1524</v>
      </c>
      <c r="AC3" s="10">
        <v>5</v>
      </c>
      <c r="AD3" s="9">
        <v>3122</v>
      </c>
      <c r="AE3" s="10">
        <v>11</v>
      </c>
      <c r="AF3" s="9">
        <v>1987</v>
      </c>
      <c r="AG3" s="10">
        <v>7</v>
      </c>
      <c r="AH3" s="9">
        <v>2838</v>
      </c>
      <c r="AI3" s="10">
        <v>10</v>
      </c>
      <c r="AJ3" s="9">
        <v>2554</v>
      </c>
      <c r="AK3" s="10">
        <v>9</v>
      </c>
      <c r="AL3" s="9">
        <v>1419</v>
      </c>
      <c r="AM3" s="10">
        <v>5</v>
      </c>
      <c r="AN3" s="9">
        <v>2270</v>
      </c>
      <c r="AO3" s="10">
        <v>8</v>
      </c>
      <c r="AP3" s="9">
        <v>2270</v>
      </c>
      <c r="AQ3" s="10">
        <v>8</v>
      </c>
      <c r="AR3" s="9">
        <v>1987</v>
      </c>
      <c r="AS3" s="10">
        <v>7</v>
      </c>
      <c r="AT3" s="9">
        <v>4541</v>
      </c>
      <c r="AU3" s="10">
        <v>16</v>
      </c>
      <c r="AV3" s="9">
        <v>2838</v>
      </c>
      <c r="AW3" s="10">
        <v>10</v>
      </c>
      <c r="AX3" s="9">
        <v>3689</v>
      </c>
      <c r="AY3" s="10">
        <v>13</v>
      </c>
      <c r="AZ3" s="9">
        <v>3689</v>
      </c>
      <c r="BA3" s="10">
        <v>13</v>
      </c>
      <c r="BB3" s="9">
        <v>1703</v>
      </c>
      <c r="BC3" s="10">
        <v>6</v>
      </c>
      <c r="BD3" s="9">
        <v>1135</v>
      </c>
      <c r="BE3" s="10">
        <v>4</v>
      </c>
      <c r="BF3" s="9">
        <v>1135</v>
      </c>
      <c r="BG3" s="10">
        <v>4</v>
      </c>
      <c r="BH3" s="9">
        <v>568</v>
      </c>
      <c r="BI3" s="10">
        <v>2</v>
      </c>
      <c r="BJ3" s="9">
        <v>1135</v>
      </c>
      <c r="BK3" s="10">
        <v>4</v>
      </c>
      <c r="BL3" s="9">
        <v>2838</v>
      </c>
      <c r="BM3" s="10">
        <v>10</v>
      </c>
    </row>
    <row r="4" spans="1:65" ht="14.4">
      <c r="A4" s="2" t="s">
        <v>12</v>
      </c>
      <c r="B4" s="10" t="s">
        <v>101</v>
      </c>
      <c r="C4" s="11" t="s">
        <v>148</v>
      </c>
      <c r="D4" s="9">
        <v>16450</v>
      </c>
      <c r="E4" s="10">
        <v>33</v>
      </c>
      <c r="F4" s="9">
        <v>15769</v>
      </c>
      <c r="G4" s="10">
        <v>32</v>
      </c>
      <c r="H4" s="9">
        <v>19212</v>
      </c>
      <c r="I4" s="10">
        <v>39</v>
      </c>
      <c r="J4" s="9">
        <v>24138</v>
      </c>
      <c r="K4" s="10">
        <v>49</v>
      </c>
      <c r="L4" s="9">
        <v>21245</v>
      </c>
      <c r="M4" s="10">
        <v>43</v>
      </c>
      <c r="N4" s="9">
        <v>22283</v>
      </c>
      <c r="O4" s="10">
        <v>45</v>
      </c>
      <c r="P4" s="9">
        <v>20197</v>
      </c>
      <c r="Q4" s="10">
        <v>41</v>
      </c>
      <c r="R4" s="9">
        <v>17734</v>
      </c>
      <c r="S4" s="10">
        <v>36</v>
      </c>
      <c r="T4" s="9">
        <v>20197</v>
      </c>
      <c r="U4" s="10">
        <v>41</v>
      </c>
      <c r="V4" s="9">
        <v>24138</v>
      </c>
      <c r="W4" s="10">
        <v>49</v>
      </c>
      <c r="X4" s="9">
        <v>24631</v>
      </c>
      <c r="Y4" s="10">
        <v>50</v>
      </c>
      <c r="Z4" s="9">
        <v>13793</v>
      </c>
      <c r="AA4" s="10">
        <v>28</v>
      </c>
      <c r="AB4" s="9">
        <v>17242</v>
      </c>
      <c r="AC4" s="10">
        <v>35</v>
      </c>
      <c r="AD4" s="9">
        <v>14778</v>
      </c>
      <c r="AE4" s="10">
        <v>30</v>
      </c>
      <c r="AF4" s="9">
        <v>17734</v>
      </c>
      <c r="AG4" s="10">
        <v>36</v>
      </c>
      <c r="AH4" s="9">
        <v>15271</v>
      </c>
      <c r="AI4" s="10">
        <v>31</v>
      </c>
      <c r="AJ4" s="9">
        <v>24631</v>
      </c>
      <c r="AK4" s="10">
        <v>50</v>
      </c>
      <c r="AL4" s="9">
        <v>22660</v>
      </c>
      <c r="AM4" s="10">
        <v>46</v>
      </c>
      <c r="AN4" s="9">
        <v>23645</v>
      </c>
      <c r="AO4" s="10">
        <v>48</v>
      </c>
      <c r="AP4" s="9">
        <v>23153</v>
      </c>
      <c r="AQ4" s="10">
        <v>47</v>
      </c>
      <c r="AR4" s="9">
        <v>27094</v>
      </c>
      <c r="AS4" s="10">
        <v>55</v>
      </c>
      <c r="AT4" s="9">
        <v>38441</v>
      </c>
      <c r="AU4" s="10">
        <v>78</v>
      </c>
      <c r="AV4" s="9">
        <v>43964</v>
      </c>
      <c r="AW4" s="10">
        <v>91</v>
      </c>
      <c r="AX4" s="9">
        <v>50245</v>
      </c>
      <c r="AY4" s="10">
        <v>104</v>
      </c>
      <c r="AZ4" s="9">
        <v>31403</v>
      </c>
      <c r="BA4" s="10">
        <v>65</v>
      </c>
      <c r="BB4" s="9">
        <v>30437</v>
      </c>
      <c r="BC4" s="10">
        <v>63</v>
      </c>
      <c r="BD4" s="9">
        <v>34785</v>
      </c>
      <c r="BE4" s="10">
        <v>72</v>
      </c>
      <c r="BF4" s="9">
        <v>29631</v>
      </c>
      <c r="BG4" s="10">
        <v>60</v>
      </c>
      <c r="BH4" s="9">
        <v>27586</v>
      </c>
      <c r="BI4" s="10">
        <v>56</v>
      </c>
      <c r="BJ4" s="9">
        <v>21182</v>
      </c>
      <c r="BK4" s="10">
        <v>43</v>
      </c>
      <c r="BL4" s="9">
        <v>43964</v>
      </c>
      <c r="BM4" s="10">
        <v>91</v>
      </c>
    </row>
    <row r="5" spans="1:65" ht="14.4">
      <c r="A5" s="2" t="s">
        <v>41</v>
      </c>
      <c r="B5" s="10" t="s">
        <v>101</v>
      </c>
      <c r="C5" s="11" t="s">
        <v>147</v>
      </c>
      <c r="D5" s="9">
        <v>10994</v>
      </c>
      <c r="E5" s="10">
        <v>13</v>
      </c>
      <c r="F5" s="9">
        <v>10291</v>
      </c>
      <c r="G5" s="10">
        <v>12</v>
      </c>
      <c r="H5" s="9">
        <v>11979</v>
      </c>
      <c r="I5" s="10">
        <v>14</v>
      </c>
      <c r="J5" s="9">
        <v>9447</v>
      </c>
      <c r="K5" s="10">
        <v>11</v>
      </c>
      <c r="L5" s="9">
        <v>4221</v>
      </c>
      <c r="M5" s="10">
        <v>5</v>
      </c>
      <c r="N5" s="9">
        <v>2477</v>
      </c>
      <c r="O5" s="10">
        <v>3</v>
      </c>
      <c r="P5" s="9">
        <v>12878</v>
      </c>
      <c r="Q5" s="10">
        <v>15</v>
      </c>
      <c r="R5" s="9">
        <v>11190</v>
      </c>
      <c r="S5" s="10">
        <v>13</v>
      </c>
      <c r="T5" s="9">
        <v>7649</v>
      </c>
      <c r="U5" s="10">
        <v>9</v>
      </c>
      <c r="V5" s="9">
        <v>6916</v>
      </c>
      <c r="W5" s="10">
        <v>8</v>
      </c>
      <c r="X5" s="9">
        <v>12878</v>
      </c>
      <c r="Y5" s="10">
        <v>15</v>
      </c>
      <c r="Z5" s="9">
        <v>9282</v>
      </c>
      <c r="AA5" s="10">
        <v>11</v>
      </c>
      <c r="AB5" s="9">
        <v>11868</v>
      </c>
      <c r="AC5" s="10">
        <v>14</v>
      </c>
      <c r="AD5" s="9">
        <v>13666</v>
      </c>
      <c r="AE5" s="10">
        <v>16</v>
      </c>
      <c r="AF5" s="9">
        <v>10181</v>
      </c>
      <c r="AG5" s="10">
        <v>12</v>
      </c>
      <c r="AH5" s="9">
        <v>8438</v>
      </c>
      <c r="AI5" s="10">
        <v>10</v>
      </c>
      <c r="AJ5" s="9">
        <v>5907</v>
      </c>
      <c r="AK5" s="10">
        <v>7</v>
      </c>
      <c r="AL5" s="9">
        <v>5063</v>
      </c>
      <c r="AM5" s="10">
        <v>6</v>
      </c>
      <c r="AN5" s="9">
        <v>5876</v>
      </c>
      <c r="AO5" s="10">
        <v>7</v>
      </c>
      <c r="AP5" s="9">
        <v>5853</v>
      </c>
      <c r="AQ5" s="10">
        <v>7</v>
      </c>
      <c r="AR5" s="9">
        <v>7526</v>
      </c>
      <c r="AS5" s="10">
        <v>9</v>
      </c>
      <c r="AT5" s="9">
        <v>6690</v>
      </c>
      <c r="AU5" s="10">
        <v>8</v>
      </c>
      <c r="AV5" s="9">
        <v>5840</v>
      </c>
      <c r="AW5" s="10">
        <v>7</v>
      </c>
      <c r="AX5" s="9">
        <v>6674</v>
      </c>
      <c r="AY5" s="10">
        <v>8</v>
      </c>
      <c r="AZ5" s="9">
        <v>5006</v>
      </c>
      <c r="BA5" s="10">
        <v>6</v>
      </c>
      <c r="BB5" s="9">
        <v>10846</v>
      </c>
      <c r="BC5" s="10">
        <v>13</v>
      </c>
      <c r="BD5" s="9">
        <v>5840</v>
      </c>
      <c r="BE5" s="10">
        <v>7</v>
      </c>
      <c r="BF5" s="9">
        <v>6769</v>
      </c>
      <c r="BG5" s="10">
        <v>8</v>
      </c>
      <c r="BH5" s="9">
        <v>10969</v>
      </c>
      <c r="BI5" s="10">
        <v>13</v>
      </c>
      <c r="BJ5" s="9">
        <v>5907</v>
      </c>
      <c r="BK5" s="10">
        <v>7</v>
      </c>
      <c r="BL5" s="9">
        <v>5840</v>
      </c>
      <c r="BM5" s="10">
        <v>7</v>
      </c>
    </row>
    <row r="6" spans="1:65" ht="14.4">
      <c r="A6" s="2" t="s">
        <v>78</v>
      </c>
      <c r="B6" s="10" t="s">
        <v>101</v>
      </c>
      <c r="C6" s="11" t="s">
        <v>152</v>
      </c>
      <c r="D6" s="9">
        <v>227</v>
      </c>
      <c r="E6" s="10">
        <v>1</v>
      </c>
      <c r="F6" s="9">
        <v>0</v>
      </c>
      <c r="G6" s="10">
        <v>0</v>
      </c>
      <c r="H6" s="9">
        <v>359</v>
      </c>
      <c r="I6" s="10">
        <v>2</v>
      </c>
      <c r="J6" s="9">
        <v>0</v>
      </c>
      <c r="K6" s="10">
        <v>0</v>
      </c>
      <c r="L6" s="9">
        <v>0</v>
      </c>
      <c r="M6" s="10">
        <v>0</v>
      </c>
      <c r="N6" s="9">
        <v>362</v>
      </c>
      <c r="O6" s="10">
        <v>2</v>
      </c>
      <c r="P6" s="9">
        <v>0</v>
      </c>
      <c r="Q6" s="10">
        <v>0</v>
      </c>
      <c r="R6" s="9">
        <v>179</v>
      </c>
      <c r="S6" s="10">
        <v>1</v>
      </c>
      <c r="T6" s="9">
        <v>179</v>
      </c>
      <c r="U6" s="10">
        <v>1</v>
      </c>
      <c r="V6" s="9">
        <v>179</v>
      </c>
      <c r="W6" s="10">
        <v>1</v>
      </c>
      <c r="X6" s="9">
        <v>0</v>
      </c>
      <c r="Y6" s="10">
        <v>0</v>
      </c>
      <c r="Z6" s="9">
        <v>179</v>
      </c>
      <c r="AA6" s="10">
        <v>1</v>
      </c>
      <c r="AB6" s="9">
        <v>179</v>
      </c>
      <c r="AC6" s="10">
        <v>1</v>
      </c>
      <c r="AD6" s="9">
        <v>0</v>
      </c>
      <c r="AE6" s="10">
        <v>0</v>
      </c>
      <c r="AF6" s="9">
        <v>0</v>
      </c>
      <c r="AG6" s="10">
        <v>0</v>
      </c>
      <c r="AH6" s="9">
        <v>179</v>
      </c>
      <c r="AI6" s="10">
        <v>1</v>
      </c>
      <c r="AJ6" s="9">
        <v>0</v>
      </c>
      <c r="AK6" s="10">
        <v>0</v>
      </c>
      <c r="AL6" s="9">
        <v>538</v>
      </c>
      <c r="AM6" s="10">
        <v>3</v>
      </c>
      <c r="AN6" s="9">
        <v>179</v>
      </c>
      <c r="AO6" s="10">
        <v>1</v>
      </c>
      <c r="AP6" s="9">
        <v>172</v>
      </c>
      <c r="AQ6" s="10">
        <v>1</v>
      </c>
      <c r="AR6" s="9">
        <v>0</v>
      </c>
      <c r="AS6" s="10">
        <v>0</v>
      </c>
      <c r="AT6" s="9">
        <v>172</v>
      </c>
      <c r="AU6" s="10">
        <v>1</v>
      </c>
      <c r="AV6" s="9">
        <v>170</v>
      </c>
      <c r="AW6" s="10">
        <v>1</v>
      </c>
      <c r="AX6" s="9">
        <v>170</v>
      </c>
      <c r="AY6" s="10">
        <v>1</v>
      </c>
      <c r="AZ6" s="9">
        <v>340</v>
      </c>
      <c r="BA6" s="10">
        <v>2</v>
      </c>
      <c r="BB6" s="9">
        <v>0</v>
      </c>
      <c r="BC6" s="10">
        <v>0</v>
      </c>
      <c r="BD6" s="9">
        <v>0</v>
      </c>
      <c r="BE6" s="10">
        <v>0</v>
      </c>
      <c r="BF6" s="9">
        <v>402</v>
      </c>
      <c r="BG6" s="10">
        <v>2</v>
      </c>
      <c r="BH6" s="9">
        <v>0</v>
      </c>
      <c r="BI6" s="10">
        <v>0</v>
      </c>
      <c r="BJ6" s="9">
        <v>170</v>
      </c>
      <c r="BK6" s="10">
        <v>1</v>
      </c>
      <c r="BL6" s="9">
        <v>170</v>
      </c>
      <c r="BM6" s="10">
        <v>1</v>
      </c>
    </row>
    <row r="7" spans="1:65" ht="14.4">
      <c r="A7" s="2" t="s">
        <v>21</v>
      </c>
      <c r="B7" s="10" t="s">
        <v>101</v>
      </c>
      <c r="C7" s="11" t="s">
        <v>152</v>
      </c>
      <c r="D7" s="9">
        <v>10148</v>
      </c>
      <c r="E7" s="10">
        <v>12</v>
      </c>
      <c r="F7" s="9">
        <v>5228</v>
      </c>
      <c r="G7" s="10">
        <v>6</v>
      </c>
      <c r="H7" s="9">
        <v>6806</v>
      </c>
      <c r="I7" s="10">
        <v>8</v>
      </c>
      <c r="J7" s="9">
        <v>8548</v>
      </c>
      <c r="K7" s="10">
        <v>10</v>
      </c>
      <c r="L7" s="9">
        <v>15358</v>
      </c>
      <c r="M7" s="10">
        <v>18</v>
      </c>
      <c r="N7" s="9">
        <v>14441</v>
      </c>
      <c r="O7" s="10">
        <v>17</v>
      </c>
      <c r="P7" s="9">
        <v>10126</v>
      </c>
      <c r="Q7" s="10">
        <v>12</v>
      </c>
      <c r="R7" s="9">
        <v>16087</v>
      </c>
      <c r="S7" s="10">
        <v>19</v>
      </c>
      <c r="T7" s="9">
        <v>5118</v>
      </c>
      <c r="U7" s="10">
        <v>6</v>
      </c>
      <c r="V7" s="9">
        <v>10969</v>
      </c>
      <c r="W7" s="10">
        <v>13</v>
      </c>
      <c r="X7" s="9">
        <v>14400</v>
      </c>
      <c r="Y7" s="10">
        <v>17</v>
      </c>
      <c r="Z7" s="9">
        <v>12823</v>
      </c>
      <c r="AA7" s="10">
        <v>15</v>
      </c>
      <c r="AB7" s="9">
        <v>10199</v>
      </c>
      <c r="AC7" s="10">
        <v>12</v>
      </c>
      <c r="AD7" s="9">
        <v>16253</v>
      </c>
      <c r="AE7" s="10">
        <v>19</v>
      </c>
      <c r="AF7" s="9">
        <v>9447</v>
      </c>
      <c r="AG7" s="10">
        <v>11</v>
      </c>
      <c r="AH7" s="9">
        <v>10291</v>
      </c>
      <c r="AI7" s="10">
        <v>12</v>
      </c>
      <c r="AJ7" s="9">
        <v>8548</v>
      </c>
      <c r="AK7" s="10">
        <v>10</v>
      </c>
      <c r="AL7" s="9">
        <v>7815</v>
      </c>
      <c r="AM7" s="10">
        <v>9</v>
      </c>
      <c r="AN7" s="9">
        <v>10166</v>
      </c>
      <c r="AO7" s="10">
        <v>12</v>
      </c>
      <c r="AP7" s="9">
        <v>10996</v>
      </c>
      <c r="AQ7" s="10">
        <v>13</v>
      </c>
      <c r="AR7" s="9">
        <v>12606</v>
      </c>
      <c r="AS7" s="10">
        <v>15</v>
      </c>
      <c r="AT7" s="9">
        <v>11059</v>
      </c>
      <c r="AU7" s="10">
        <v>13</v>
      </c>
      <c r="AV7" s="9">
        <v>7573</v>
      </c>
      <c r="AW7" s="10">
        <v>9</v>
      </c>
      <c r="AX7" s="9">
        <v>9307</v>
      </c>
      <c r="AY7" s="10">
        <v>11</v>
      </c>
      <c r="AZ7" s="9">
        <v>9053</v>
      </c>
      <c r="BA7" s="10">
        <v>11</v>
      </c>
      <c r="BB7" s="9">
        <v>12958</v>
      </c>
      <c r="BC7" s="10">
        <v>19</v>
      </c>
      <c r="BD7" s="9">
        <v>13147</v>
      </c>
      <c r="BE7" s="10">
        <v>19</v>
      </c>
      <c r="BF7" s="9">
        <v>19374</v>
      </c>
      <c r="BG7" s="10">
        <v>28</v>
      </c>
      <c r="BH7" s="9">
        <v>13147</v>
      </c>
      <c r="BI7" s="10">
        <v>19</v>
      </c>
      <c r="BJ7" s="9">
        <v>11071</v>
      </c>
      <c r="BK7" s="10">
        <v>16</v>
      </c>
      <c r="BL7" s="9">
        <v>7573</v>
      </c>
      <c r="BM7" s="10">
        <v>9</v>
      </c>
    </row>
    <row r="8" spans="1:65" ht="14.4">
      <c r="A8" s="2" t="s">
        <v>69</v>
      </c>
      <c r="B8" s="10" t="s">
        <v>101</v>
      </c>
      <c r="C8" s="11" t="s">
        <v>147</v>
      </c>
      <c r="D8" s="9">
        <v>10472</v>
      </c>
      <c r="E8" s="10">
        <v>17</v>
      </c>
      <c r="F8" s="9">
        <v>6776</v>
      </c>
      <c r="G8" s="10">
        <v>11</v>
      </c>
      <c r="H8" s="9">
        <v>7629</v>
      </c>
      <c r="I8" s="10">
        <v>12</v>
      </c>
      <c r="J8" s="9">
        <v>7392</v>
      </c>
      <c r="K8" s="10">
        <v>12</v>
      </c>
      <c r="L8" s="9">
        <v>8394</v>
      </c>
      <c r="M8" s="10">
        <v>16</v>
      </c>
      <c r="N8" s="9">
        <v>6120</v>
      </c>
      <c r="O8" s="10">
        <v>10</v>
      </c>
      <c r="P8" s="9">
        <v>11767</v>
      </c>
      <c r="Q8" s="10">
        <v>23</v>
      </c>
      <c r="R8" s="9">
        <v>8697</v>
      </c>
      <c r="S8" s="10">
        <v>17</v>
      </c>
      <c r="T8" s="9">
        <v>17394</v>
      </c>
      <c r="U8" s="10">
        <v>34</v>
      </c>
      <c r="V8" s="9">
        <v>9209</v>
      </c>
      <c r="W8" s="10">
        <v>18</v>
      </c>
      <c r="X8" s="9">
        <v>9720</v>
      </c>
      <c r="Y8" s="10">
        <v>19</v>
      </c>
      <c r="Z8" s="9">
        <v>14730</v>
      </c>
      <c r="AA8" s="10">
        <v>29</v>
      </c>
      <c r="AB8" s="9">
        <v>7181</v>
      </c>
      <c r="AC8" s="10">
        <v>14</v>
      </c>
      <c r="AD8" s="9">
        <v>12600</v>
      </c>
      <c r="AE8" s="10">
        <v>25</v>
      </c>
      <c r="AF8" s="9">
        <v>11592</v>
      </c>
      <c r="AG8" s="10">
        <v>23</v>
      </c>
      <c r="AH8" s="9">
        <v>12883</v>
      </c>
      <c r="AI8" s="10">
        <v>31</v>
      </c>
      <c r="AJ8" s="9">
        <v>11152</v>
      </c>
      <c r="AK8" s="10">
        <v>31</v>
      </c>
      <c r="AL8" s="9">
        <v>10072</v>
      </c>
      <c r="AM8" s="10">
        <v>28</v>
      </c>
      <c r="AN8" s="9">
        <v>13310</v>
      </c>
      <c r="AO8" s="10">
        <v>37</v>
      </c>
      <c r="AP8" s="9">
        <v>10792</v>
      </c>
      <c r="AQ8" s="10">
        <v>30</v>
      </c>
      <c r="AR8" s="9">
        <v>11871</v>
      </c>
      <c r="AS8" s="10">
        <v>33</v>
      </c>
      <c r="AT8" s="9">
        <v>12950</v>
      </c>
      <c r="AU8" s="10">
        <v>36</v>
      </c>
      <c r="AV8" s="9">
        <v>17986</v>
      </c>
      <c r="AW8" s="10">
        <v>50</v>
      </c>
      <c r="AX8" s="9">
        <v>15109</v>
      </c>
      <c r="AY8" s="10">
        <v>42</v>
      </c>
      <c r="AZ8" s="9">
        <v>14749</v>
      </c>
      <c r="BA8" s="10">
        <v>41</v>
      </c>
      <c r="BB8" s="9">
        <v>15828</v>
      </c>
      <c r="BC8" s="10">
        <v>44</v>
      </c>
      <c r="BD8" s="9">
        <v>19785</v>
      </c>
      <c r="BE8" s="10">
        <v>55</v>
      </c>
      <c r="BF8" s="9">
        <v>14749</v>
      </c>
      <c r="BG8" s="10">
        <v>41</v>
      </c>
      <c r="BH8" s="9">
        <v>14749</v>
      </c>
      <c r="BI8" s="10">
        <v>41</v>
      </c>
      <c r="BJ8" s="9">
        <v>14389</v>
      </c>
      <c r="BK8" s="10">
        <v>40</v>
      </c>
      <c r="BL8" s="9">
        <v>17986</v>
      </c>
      <c r="BM8" s="10">
        <v>50</v>
      </c>
    </row>
    <row r="9" spans="1:65" ht="14.4">
      <c r="A9" s="2" t="s">
        <v>32</v>
      </c>
      <c r="B9" s="10" t="s">
        <v>101</v>
      </c>
      <c r="C9" s="11" t="s">
        <v>147</v>
      </c>
      <c r="D9" s="9">
        <v>10994</v>
      </c>
      <c r="E9" s="10">
        <v>13</v>
      </c>
      <c r="F9" s="9">
        <v>10291</v>
      </c>
      <c r="G9" s="10">
        <v>12</v>
      </c>
      <c r="H9" s="9">
        <v>11979</v>
      </c>
      <c r="I9" s="10">
        <v>14</v>
      </c>
      <c r="J9" s="9">
        <v>9447</v>
      </c>
      <c r="K9" s="10">
        <v>11</v>
      </c>
      <c r="L9" s="9">
        <v>4221</v>
      </c>
      <c r="M9" s="10">
        <v>5</v>
      </c>
      <c r="N9" s="9">
        <v>2477</v>
      </c>
      <c r="O9" s="10">
        <v>3</v>
      </c>
      <c r="P9" s="9">
        <v>12878</v>
      </c>
      <c r="Q9" s="10">
        <v>15</v>
      </c>
      <c r="R9" s="9">
        <v>11190</v>
      </c>
      <c r="S9" s="10">
        <v>13</v>
      </c>
      <c r="T9" s="9">
        <v>7649</v>
      </c>
      <c r="U9" s="10">
        <v>9</v>
      </c>
      <c r="V9" s="9">
        <v>6916</v>
      </c>
      <c r="W9" s="10">
        <v>8</v>
      </c>
      <c r="X9" s="9">
        <v>12878</v>
      </c>
      <c r="Y9" s="10">
        <v>15</v>
      </c>
      <c r="Z9" s="9">
        <v>9282</v>
      </c>
      <c r="AA9" s="10">
        <v>11</v>
      </c>
      <c r="AB9" s="9">
        <v>11868</v>
      </c>
      <c r="AC9" s="10">
        <v>14</v>
      </c>
      <c r="AD9" s="9">
        <v>13666</v>
      </c>
      <c r="AE9" s="10">
        <v>16</v>
      </c>
      <c r="AF9" s="9">
        <v>10181</v>
      </c>
      <c r="AG9" s="10">
        <v>12</v>
      </c>
      <c r="AH9" s="9">
        <v>8438</v>
      </c>
      <c r="AI9" s="10">
        <v>10</v>
      </c>
      <c r="AJ9" s="9">
        <v>5907</v>
      </c>
      <c r="AK9" s="10">
        <v>7</v>
      </c>
      <c r="AL9" s="9">
        <v>5063</v>
      </c>
      <c r="AM9" s="10">
        <v>6</v>
      </c>
      <c r="AN9" s="9">
        <v>5876</v>
      </c>
      <c r="AO9" s="10">
        <v>7</v>
      </c>
      <c r="AP9" s="9">
        <v>5853</v>
      </c>
      <c r="AQ9" s="10">
        <v>7</v>
      </c>
      <c r="AR9" s="9">
        <v>7526</v>
      </c>
      <c r="AS9" s="10">
        <v>9</v>
      </c>
      <c r="AT9" s="9">
        <v>6690</v>
      </c>
      <c r="AU9" s="10">
        <v>8</v>
      </c>
      <c r="AV9" s="9">
        <v>5840</v>
      </c>
      <c r="AW9" s="10">
        <v>7</v>
      </c>
      <c r="AX9" s="9">
        <v>6674</v>
      </c>
      <c r="AY9" s="10">
        <v>8</v>
      </c>
      <c r="AZ9" s="9">
        <v>5006</v>
      </c>
      <c r="BA9" s="10">
        <v>6</v>
      </c>
      <c r="BB9" s="9">
        <v>10846</v>
      </c>
      <c r="BC9" s="10">
        <v>13</v>
      </c>
      <c r="BD9" s="9">
        <v>5840</v>
      </c>
      <c r="BE9" s="10">
        <v>7</v>
      </c>
      <c r="BF9" s="9">
        <v>6769</v>
      </c>
      <c r="BG9" s="10">
        <v>8</v>
      </c>
      <c r="BH9" s="9">
        <v>10969</v>
      </c>
      <c r="BI9" s="10">
        <v>13</v>
      </c>
      <c r="BJ9" s="9">
        <v>5907</v>
      </c>
      <c r="BK9" s="10">
        <v>7</v>
      </c>
      <c r="BL9" s="9">
        <v>5840</v>
      </c>
      <c r="BM9" s="10">
        <v>7</v>
      </c>
    </row>
    <row r="10" spans="1:65" ht="14.4">
      <c r="A10" s="2" t="s">
        <v>42</v>
      </c>
      <c r="B10" s="10" t="s">
        <v>101</v>
      </c>
      <c r="C10" s="11" t="s">
        <v>152</v>
      </c>
      <c r="D10" s="9">
        <v>9087</v>
      </c>
      <c r="E10" s="10">
        <v>13</v>
      </c>
      <c r="F10" s="9">
        <v>6291</v>
      </c>
      <c r="G10" s="10">
        <v>9</v>
      </c>
      <c r="H10" s="9">
        <v>6990</v>
      </c>
      <c r="I10" s="10">
        <v>10</v>
      </c>
      <c r="J10" s="9">
        <v>8388</v>
      </c>
      <c r="K10" s="10">
        <v>12</v>
      </c>
      <c r="L10" s="9">
        <v>7689</v>
      </c>
      <c r="M10" s="10">
        <v>11</v>
      </c>
      <c r="N10" s="9">
        <v>7689</v>
      </c>
      <c r="O10" s="10">
        <v>11</v>
      </c>
      <c r="P10" s="9">
        <v>9087</v>
      </c>
      <c r="Q10" s="10">
        <v>13</v>
      </c>
      <c r="R10" s="9">
        <v>11184</v>
      </c>
      <c r="S10" s="10">
        <v>16</v>
      </c>
      <c r="T10" s="9">
        <v>11883</v>
      </c>
      <c r="U10" s="10">
        <v>17</v>
      </c>
      <c r="V10" s="9">
        <v>12582</v>
      </c>
      <c r="W10" s="10">
        <v>18</v>
      </c>
      <c r="X10" s="9">
        <v>11883</v>
      </c>
      <c r="Y10" s="10">
        <v>17</v>
      </c>
      <c r="Z10" s="9">
        <v>11883</v>
      </c>
      <c r="AA10" s="10">
        <v>17</v>
      </c>
      <c r="AB10" s="9">
        <v>10784</v>
      </c>
      <c r="AC10" s="10">
        <v>16</v>
      </c>
      <c r="AD10" s="9">
        <v>16874</v>
      </c>
      <c r="AE10" s="10">
        <v>26</v>
      </c>
      <c r="AF10" s="9">
        <v>12980</v>
      </c>
      <c r="AG10" s="10">
        <v>20</v>
      </c>
      <c r="AH10" s="9">
        <v>15856</v>
      </c>
      <c r="AI10" s="10">
        <v>24</v>
      </c>
      <c r="AJ10" s="9">
        <v>15576</v>
      </c>
      <c r="AK10" s="10">
        <v>24</v>
      </c>
      <c r="AL10" s="9">
        <v>13629</v>
      </c>
      <c r="AM10" s="10">
        <v>21</v>
      </c>
      <c r="AN10" s="9">
        <v>15576</v>
      </c>
      <c r="AO10" s="10">
        <v>24</v>
      </c>
      <c r="AP10" s="9">
        <v>18172</v>
      </c>
      <c r="AQ10" s="10">
        <v>28</v>
      </c>
      <c r="AR10" s="9">
        <v>11033</v>
      </c>
      <c r="AS10" s="10">
        <v>17</v>
      </c>
      <c r="AT10" s="9">
        <v>17523</v>
      </c>
      <c r="AU10" s="10">
        <v>27</v>
      </c>
      <c r="AV10" s="9">
        <v>22066</v>
      </c>
      <c r="AW10" s="10">
        <v>34</v>
      </c>
      <c r="AX10" s="9">
        <v>16225</v>
      </c>
      <c r="AY10" s="10">
        <v>25</v>
      </c>
      <c r="AZ10" s="9">
        <v>14927</v>
      </c>
      <c r="BA10" s="10">
        <v>23</v>
      </c>
      <c r="BB10" s="9">
        <v>18172</v>
      </c>
      <c r="BC10" s="10">
        <v>28</v>
      </c>
      <c r="BD10" s="9">
        <v>20119</v>
      </c>
      <c r="BE10" s="10">
        <v>31</v>
      </c>
      <c r="BF10" s="9">
        <v>23750</v>
      </c>
      <c r="BG10" s="10">
        <v>38</v>
      </c>
      <c r="BH10" s="9">
        <v>20000</v>
      </c>
      <c r="BI10" s="10">
        <v>32</v>
      </c>
      <c r="BJ10" s="9">
        <v>13750</v>
      </c>
      <c r="BK10" s="10">
        <v>22</v>
      </c>
      <c r="BL10" s="9">
        <v>22066</v>
      </c>
      <c r="BM10" s="10">
        <v>34</v>
      </c>
    </row>
    <row r="11" spans="1:65" ht="14.4">
      <c r="A11" s="2" t="s">
        <v>31</v>
      </c>
      <c r="B11" s="10" t="s">
        <v>101</v>
      </c>
      <c r="C11" s="11" t="s">
        <v>148</v>
      </c>
      <c r="D11" s="9">
        <v>2716</v>
      </c>
      <c r="E11" s="10">
        <v>4</v>
      </c>
      <c r="F11" s="9">
        <v>3395</v>
      </c>
      <c r="G11" s="10">
        <v>5</v>
      </c>
      <c r="H11" s="9">
        <v>2037</v>
      </c>
      <c r="I11" s="10">
        <v>3</v>
      </c>
      <c r="J11" s="9">
        <v>2037</v>
      </c>
      <c r="K11" s="10">
        <v>3</v>
      </c>
      <c r="L11" s="9">
        <v>2037</v>
      </c>
      <c r="M11" s="10">
        <v>3</v>
      </c>
      <c r="N11" s="9">
        <v>4753</v>
      </c>
      <c r="O11" s="10">
        <v>7</v>
      </c>
      <c r="P11" s="9">
        <v>4074</v>
      </c>
      <c r="Q11" s="10">
        <v>6</v>
      </c>
      <c r="R11" s="9">
        <v>4074</v>
      </c>
      <c r="S11" s="10">
        <v>6</v>
      </c>
      <c r="T11" s="9">
        <v>1358</v>
      </c>
      <c r="U11" s="10">
        <v>2</v>
      </c>
      <c r="V11" s="9">
        <v>2037</v>
      </c>
      <c r="W11" s="10">
        <v>3</v>
      </c>
      <c r="X11" s="9">
        <v>2716</v>
      </c>
      <c r="Y11" s="10">
        <v>4</v>
      </c>
      <c r="Z11" s="9">
        <v>3395</v>
      </c>
      <c r="AA11" s="10">
        <v>5</v>
      </c>
      <c r="AB11" s="9">
        <v>2007</v>
      </c>
      <c r="AC11" s="10">
        <v>3</v>
      </c>
      <c r="AD11" s="9">
        <v>4543</v>
      </c>
      <c r="AE11" s="10">
        <v>7</v>
      </c>
      <c r="AF11" s="9">
        <v>7788</v>
      </c>
      <c r="AG11" s="10">
        <v>12</v>
      </c>
      <c r="AH11" s="9">
        <v>3245</v>
      </c>
      <c r="AI11" s="10">
        <v>5</v>
      </c>
      <c r="AJ11" s="9">
        <v>5841</v>
      </c>
      <c r="AK11" s="10">
        <v>9</v>
      </c>
      <c r="AL11" s="9">
        <v>2596</v>
      </c>
      <c r="AM11" s="10">
        <v>4</v>
      </c>
      <c r="AN11" s="9">
        <v>5192</v>
      </c>
      <c r="AO11" s="10">
        <v>8</v>
      </c>
      <c r="AP11" s="9">
        <v>5192</v>
      </c>
      <c r="AQ11" s="10">
        <v>8</v>
      </c>
      <c r="AR11" s="9">
        <v>3894</v>
      </c>
      <c r="AS11" s="10">
        <v>6</v>
      </c>
      <c r="AT11" s="9">
        <v>6490</v>
      </c>
      <c r="AU11" s="10">
        <v>10</v>
      </c>
      <c r="AV11" s="9">
        <v>9735</v>
      </c>
      <c r="AW11" s="10">
        <v>15</v>
      </c>
      <c r="AX11" s="9">
        <v>12331</v>
      </c>
      <c r="AY11" s="10">
        <v>19</v>
      </c>
      <c r="AZ11" s="9">
        <v>5192</v>
      </c>
      <c r="BA11" s="10">
        <v>8</v>
      </c>
      <c r="BB11" s="9">
        <v>9086</v>
      </c>
      <c r="BC11" s="10">
        <v>14</v>
      </c>
      <c r="BD11" s="9">
        <v>5192</v>
      </c>
      <c r="BE11" s="10">
        <v>8</v>
      </c>
      <c r="BF11" s="9">
        <v>8985</v>
      </c>
      <c r="BG11" s="10">
        <v>15</v>
      </c>
      <c r="BH11" s="9">
        <v>11381</v>
      </c>
      <c r="BI11" s="10">
        <v>19</v>
      </c>
      <c r="BJ11" s="9">
        <v>7787</v>
      </c>
      <c r="BK11" s="10">
        <v>13</v>
      </c>
      <c r="BL11" s="9">
        <v>9735</v>
      </c>
      <c r="BM11" s="10">
        <v>15</v>
      </c>
    </row>
    <row r="12" spans="1:65" ht="14.4">
      <c r="A12" s="2" t="s">
        <v>87</v>
      </c>
      <c r="B12" s="10" t="s">
        <v>101</v>
      </c>
      <c r="C12" s="11" t="s">
        <v>148</v>
      </c>
      <c r="D12" s="9">
        <v>17132</v>
      </c>
      <c r="E12" s="10">
        <v>41</v>
      </c>
      <c r="F12" s="9">
        <v>23400</v>
      </c>
      <c r="G12" s="10">
        <v>56</v>
      </c>
      <c r="H12" s="9">
        <v>30086</v>
      </c>
      <c r="I12" s="10">
        <v>72</v>
      </c>
      <c r="J12" s="9">
        <v>17132</v>
      </c>
      <c r="K12" s="10">
        <v>41</v>
      </c>
      <c r="L12" s="9">
        <v>18804</v>
      </c>
      <c r="M12" s="10">
        <v>45</v>
      </c>
      <c r="N12" s="9">
        <v>16714</v>
      </c>
      <c r="O12" s="10">
        <v>40</v>
      </c>
      <c r="P12" s="9">
        <v>12536</v>
      </c>
      <c r="Q12" s="10">
        <v>30</v>
      </c>
      <c r="R12" s="9">
        <v>20475</v>
      </c>
      <c r="S12" s="10">
        <v>49</v>
      </c>
      <c r="T12" s="9">
        <v>21729</v>
      </c>
      <c r="U12" s="10">
        <v>52</v>
      </c>
      <c r="V12" s="9">
        <v>24236</v>
      </c>
      <c r="W12" s="10">
        <v>58</v>
      </c>
      <c r="X12" s="9">
        <v>21311</v>
      </c>
      <c r="Y12" s="10">
        <v>51</v>
      </c>
      <c r="Z12" s="9">
        <v>19222</v>
      </c>
      <c r="AA12" s="10">
        <v>46</v>
      </c>
      <c r="AB12" s="9">
        <v>15880</v>
      </c>
      <c r="AC12" s="10">
        <v>38</v>
      </c>
      <c r="AD12" s="9">
        <v>11282</v>
      </c>
      <c r="AE12" s="10">
        <v>27</v>
      </c>
      <c r="AF12" s="9">
        <v>18804</v>
      </c>
      <c r="AG12" s="10">
        <v>45</v>
      </c>
      <c r="AH12" s="9">
        <v>13372</v>
      </c>
      <c r="AI12" s="10">
        <v>32</v>
      </c>
      <c r="AJ12" s="9">
        <v>11282</v>
      </c>
      <c r="AK12" s="10">
        <v>27</v>
      </c>
      <c r="AL12" s="9">
        <v>13789</v>
      </c>
      <c r="AM12" s="10">
        <v>33</v>
      </c>
      <c r="AN12" s="9">
        <v>13372</v>
      </c>
      <c r="AO12" s="10">
        <v>32</v>
      </c>
      <c r="AP12" s="9">
        <v>11700</v>
      </c>
      <c r="AQ12" s="10">
        <v>28</v>
      </c>
      <c r="AR12" s="9">
        <v>15461</v>
      </c>
      <c r="AS12" s="10">
        <v>37</v>
      </c>
      <c r="AT12" s="9">
        <v>15879</v>
      </c>
      <c r="AU12" s="10">
        <v>38</v>
      </c>
      <c r="AV12" s="9">
        <v>14625</v>
      </c>
      <c r="AW12" s="10">
        <v>35</v>
      </c>
      <c r="AX12" s="9">
        <v>16297</v>
      </c>
      <c r="AY12" s="10">
        <v>39</v>
      </c>
      <c r="AZ12" s="9">
        <v>16714</v>
      </c>
      <c r="BA12" s="10">
        <v>40</v>
      </c>
      <c r="BB12" s="9">
        <v>17132</v>
      </c>
      <c r="BC12" s="10">
        <v>41</v>
      </c>
      <c r="BD12" s="9">
        <v>10447</v>
      </c>
      <c r="BE12" s="10">
        <v>25</v>
      </c>
      <c r="BF12" s="9">
        <v>8775</v>
      </c>
      <c r="BG12" s="10">
        <v>21</v>
      </c>
      <c r="BH12" s="9">
        <v>9193</v>
      </c>
      <c r="BI12" s="10">
        <v>22</v>
      </c>
      <c r="BJ12" s="9">
        <v>11282</v>
      </c>
      <c r="BK12" s="10">
        <v>27</v>
      </c>
      <c r="BL12" s="9">
        <v>14625</v>
      </c>
      <c r="BM12" s="10">
        <v>35</v>
      </c>
    </row>
    <row r="13" spans="1:65" ht="14.4">
      <c r="A13" s="2" t="s">
        <v>98</v>
      </c>
      <c r="B13" s="10" t="s">
        <v>101</v>
      </c>
      <c r="C13" s="11" t="s">
        <v>152</v>
      </c>
      <c r="D13" s="9">
        <v>21600</v>
      </c>
      <c r="E13" s="10">
        <v>160</v>
      </c>
      <c r="F13" s="9">
        <v>19035</v>
      </c>
      <c r="G13" s="10">
        <v>141</v>
      </c>
      <c r="H13" s="9">
        <v>18495</v>
      </c>
      <c r="I13" s="10">
        <v>137</v>
      </c>
      <c r="J13" s="9">
        <v>19170</v>
      </c>
      <c r="K13" s="10">
        <v>142</v>
      </c>
      <c r="L13" s="9">
        <v>15930</v>
      </c>
      <c r="M13" s="10">
        <v>118</v>
      </c>
      <c r="N13" s="9">
        <v>19049</v>
      </c>
      <c r="O13" s="10">
        <v>141</v>
      </c>
      <c r="P13" s="9">
        <v>20250</v>
      </c>
      <c r="Q13" s="10">
        <v>150</v>
      </c>
      <c r="R13" s="9">
        <v>20115</v>
      </c>
      <c r="S13" s="10">
        <v>149</v>
      </c>
      <c r="T13" s="9">
        <v>17955</v>
      </c>
      <c r="U13" s="10">
        <v>133</v>
      </c>
      <c r="V13" s="9">
        <v>20115</v>
      </c>
      <c r="W13" s="10">
        <v>149</v>
      </c>
      <c r="X13" s="9">
        <v>9720</v>
      </c>
      <c r="Y13" s="10">
        <v>72</v>
      </c>
      <c r="Z13" s="9">
        <v>675</v>
      </c>
      <c r="AA13" s="10">
        <v>5</v>
      </c>
      <c r="AB13" s="9">
        <v>2295</v>
      </c>
      <c r="AC13" s="10">
        <v>17</v>
      </c>
      <c r="AD13" s="9">
        <v>945</v>
      </c>
      <c r="AE13" s="10">
        <v>7</v>
      </c>
      <c r="AF13" s="9">
        <v>24030</v>
      </c>
      <c r="AG13" s="10">
        <v>178</v>
      </c>
      <c r="AH13" s="9">
        <v>29685</v>
      </c>
      <c r="AI13" s="10">
        <v>216</v>
      </c>
      <c r="AJ13" s="9">
        <v>34830</v>
      </c>
      <c r="AK13" s="10">
        <v>258</v>
      </c>
      <c r="AL13" s="9">
        <v>27540</v>
      </c>
      <c r="AM13" s="10">
        <v>204</v>
      </c>
      <c r="AN13" s="9">
        <v>26190</v>
      </c>
      <c r="AO13" s="10">
        <v>194</v>
      </c>
      <c r="AP13" s="9">
        <v>27270</v>
      </c>
      <c r="AQ13" s="10">
        <v>202</v>
      </c>
      <c r="AR13" s="9">
        <v>23909</v>
      </c>
      <c r="AS13" s="10">
        <v>177</v>
      </c>
      <c r="AT13" s="9">
        <v>32940</v>
      </c>
      <c r="AU13" s="10">
        <v>244</v>
      </c>
      <c r="AV13" s="9">
        <v>32265</v>
      </c>
      <c r="AW13" s="10">
        <v>239</v>
      </c>
      <c r="AX13" s="9">
        <v>25785</v>
      </c>
      <c r="AY13" s="10">
        <v>191</v>
      </c>
      <c r="AZ13" s="9">
        <v>20250</v>
      </c>
      <c r="BA13" s="10">
        <v>150</v>
      </c>
      <c r="BB13" s="9">
        <v>10530</v>
      </c>
      <c r="BC13" s="10">
        <v>78</v>
      </c>
      <c r="BD13" s="9">
        <v>8259</v>
      </c>
      <c r="BE13" s="10">
        <v>61</v>
      </c>
      <c r="BF13" s="9">
        <v>27369</v>
      </c>
      <c r="BG13" s="10">
        <v>212</v>
      </c>
      <c r="BH13" s="9">
        <v>30187</v>
      </c>
      <c r="BI13" s="10">
        <v>234</v>
      </c>
      <c r="BJ13" s="9">
        <v>27994</v>
      </c>
      <c r="BK13" s="10">
        <v>217</v>
      </c>
      <c r="BL13" s="9">
        <v>32265</v>
      </c>
      <c r="BM13" s="10">
        <v>239</v>
      </c>
    </row>
    <row r="14" spans="1:65" ht="14.4">
      <c r="A14" s="2" t="s">
        <v>60</v>
      </c>
      <c r="B14" s="10" t="s">
        <v>101</v>
      </c>
      <c r="C14" s="11" t="s">
        <v>152</v>
      </c>
      <c r="D14" s="9">
        <v>877</v>
      </c>
      <c r="E14" s="10">
        <v>3</v>
      </c>
      <c r="F14" s="9">
        <v>767</v>
      </c>
      <c r="G14" s="10">
        <v>3</v>
      </c>
      <c r="H14" s="9">
        <v>1196</v>
      </c>
      <c r="I14" s="10">
        <v>4</v>
      </c>
      <c r="J14" s="9">
        <v>837</v>
      </c>
      <c r="K14" s="10">
        <v>3</v>
      </c>
      <c r="L14" s="9">
        <v>877</v>
      </c>
      <c r="M14" s="10">
        <v>3</v>
      </c>
      <c r="N14" s="9">
        <v>957</v>
      </c>
      <c r="O14" s="10">
        <v>3</v>
      </c>
      <c r="P14" s="9">
        <v>1156</v>
      </c>
      <c r="Q14" s="10">
        <v>4</v>
      </c>
      <c r="R14" s="9">
        <v>1196</v>
      </c>
      <c r="S14" s="10">
        <v>4</v>
      </c>
      <c r="T14" s="9">
        <v>3348</v>
      </c>
      <c r="U14" s="10">
        <v>12</v>
      </c>
      <c r="V14" s="9">
        <v>279</v>
      </c>
      <c r="W14" s="10">
        <v>1</v>
      </c>
      <c r="X14" s="9">
        <v>558</v>
      </c>
      <c r="Y14" s="10">
        <v>2</v>
      </c>
      <c r="Z14" s="9">
        <v>837</v>
      </c>
      <c r="AA14" s="10">
        <v>3</v>
      </c>
      <c r="AB14" s="9">
        <v>2073</v>
      </c>
      <c r="AC14" s="10">
        <v>7</v>
      </c>
      <c r="AD14" s="9">
        <v>558</v>
      </c>
      <c r="AE14" s="10">
        <v>2</v>
      </c>
      <c r="AF14" s="9">
        <v>1714</v>
      </c>
      <c r="AG14" s="10">
        <v>6</v>
      </c>
      <c r="AH14" s="9">
        <v>1395</v>
      </c>
      <c r="AI14" s="10">
        <v>5</v>
      </c>
      <c r="AJ14" s="9">
        <v>1116</v>
      </c>
      <c r="AK14" s="10">
        <v>4</v>
      </c>
      <c r="AL14" s="9">
        <v>279</v>
      </c>
      <c r="AM14" s="10">
        <v>1</v>
      </c>
      <c r="AN14" s="9">
        <v>279</v>
      </c>
      <c r="AO14" s="10">
        <v>1</v>
      </c>
      <c r="AP14" s="9">
        <v>279</v>
      </c>
      <c r="AQ14" s="10">
        <v>1</v>
      </c>
      <c r="AR14" s="9">
        <v>1668</v>
      </c>
      <c r="AS14" s="10">
        <v>8</v>
      </c>
      <c r="AT14" s="9">
        <v>185</v>
      </c>
      <c r="AU14" s="10">
        <v>1</v>
      </c>
      <c r="AV14" s="9">
        <v>764</v>
      </c>
      <c r="AW14" s="10">
        <v>4</v>
      </c>
      <c r="AX14" s="9">
        <v>804</v>
      </c>
      <c r="AY14" s="10">
        <v>4</v>
      </c>
      <c r="AZ14" s="9">
        <v>613</v>
      </c>
      <c r="BA14" s="10">
        <v>3</v>
      </c>
      <c r="BB14" s="9">
        <v>1560</v>
      </c>
      <c r="BC14" s="10">
        <v>8</v>
      </c>
      <c r="BD14" s="9">
        <v>925</v>
      </c>
      <c r="BE14" s="10">
        <v>5</v>
      </c>
      <c r="BF14" s="9">
        <v>1110</v>
      </c>
      <c r="BG14" s="10">
        <v>6</v>
      </c>
      <c r="BH14" s="9">
        <v>1375</v>
      </c>
      <c r="BI14" s="10">
        <v>7</v>
      </c>
      <c r="BJ14" s="9">
        <v>1190</v>
      </c>
      <c r="BK14" s="10">
        <v>6</v>
      </c>
      <c r="BL14" s="9">
        <v>764</v>
      </c>
      <c r="BM14" s="10">
        <v>4</v>
      </c>
    </row>
    <row r="15" spans="1:65" ht="14.4">
      <c r="A15" s="2" t="s">
        <v>51</v>
      </c>
      <c r="B15" s="10" t="s">
        <v>101</v>
      </c>
      <c r="C15" s="11" t="s">
        <v>148</v>
      </c>
      <c r="D15" s="9">
        <v>487</v>
      </c>
      <c r="E15" s="10">
        <v>3</v>
      </c>
      <c r="F15" s="9">
        <v>1163</v>
      </c>
      <c r="G15" s="10">
        <v>7</v>
      </c>
      <c r="H15" s="9">
        <v>1083</v>
      </c>
      <c r="I15" s="10">
        <v>7</v>
      </c>
      <c r="J15" s="9">
        <v>487</v>
      </c>
      <c r="K15" s="10">
        <v>3</v>
      </c>
      <c r="L15" s="9">
        <v>716</v>
      </c>
      <c r="M15" s="10">
        <v>4</v>
      </c>
      <c r="N15" s="9">
        <v>447</v>
      </c>
      <c r="O15" s="10">
        <v>3</v>
      </c>
      <c r="P15" s="9">
        <v>984</v>
      </c>
      <c r="Q15" s="10">
        <v>6</v>
      </c>
      <c r="R15" s="9">
        <v>785</v>
      </c>
      <c r="S15" s="10">
        <v>5</v>
      </c>
      <c r="T15" s="9">
        <v>865</v>
      </c>
      <c r="U15" s="10">
        <v>5</v>
      </c>
      <c r="V15" s="9">
        <v>636</v>
      </c>
      <c r="W15" s="10">
        <v>4</v>
      </c>
      <c r="X15" s="9">
        <v>596</v>
      </c>
      <c r="Y15" s="10">
        <v>4</v>
      </c>
      <c r="Z15" s="9">
        <v>1014</v>
      </c>
      <c r="AA15" s="10">
        <v>6</v>
      </c>
      <c r="AB15" s="9">
        <v>447</v>
      </c>
      <c r="AC15" s="10">
        <v>3</v>
      </c>
      <c r="AD15" s="9">
        <v>487</v>
      </c>
      <c r="AE15" s="10">
        <v>3</v>
      </c>
      <c r="AF15" s="9">
        <v>447</v>
      </c>
      <c r="AG15" s="10">
        <v>3</v>
      </c>
      <c r="AH15" s="9">
        <v>905</v>
      </c>
      <c r="AI15" s="10">
        <v>5</v>
      </c>
      <c r="AJ15" s="9">
        <v>865</v>
      </c>
      <c r="AK15" s="10">
        <v>5</v>
      </c>
      <c r="AL15" s="9">
        <v>189</v>
      </c>
      <c r="AM15" s="10">
        <v>1</v>
      </c>
      <c r="AN15" s="9">
        <v>785</v>
      </c>
      <c r="AO15" s="10">
        <v>5</v>
      </c>
      <c r="AP15" s="9">
        <v>338</v>
      </c>
      <c r="AQ15" s="10">
        <v>2</v>
      </c>
      <c r="AR15" s="9">
        <v>1075</v>
      </c>
      <c r="AS15" s="10">
        <v>5</v>
      </c>
      <c r="AT15" s="9">
        <v>1314</v>
      </c>
      <c r="AU15" s="10">
        <v>6</v>
      </c>
      <c r="AV15" s="9">
        <v>1632</v>
      </c>
      <c r="AW15" s="10">
        <v>8</v>
      </c>
      <c r="AX15" s="9">
        <v>1075</v>
      </c>
      <c r="AY15" s="10">
        <v>5</v>
      </c>
      <c r="AZ15" s="9">
        <v>2349</v>
      </c>
      <c r="BA15" s="10">
        <v>11</v>
      </c>
      <c r="BB15" s="9">
        <v>677</v>
      </c>
      <c r="BC15" s="10">
        <v>3</v>
      </c>
      <c r="BD15" s="9">
        <v>1234</v>
      </c>
      <c r="BE15" s="10">
        <v>6</v>
      </c>
      <c r="BF15" s="9">
        <v>1632</v>
      </c>
      <c r="BG15" s="10">
        <v>8</v>
      </c>
      <c r="BH15" s="9">
        <v>1115</v>
      </c>
      <c r="BI15" s="10">
        <v>5</v>
      </c>
      <c r="BJ15" s="9">
        <v>1075</v>
      </c>
      <c r="BK15" s="10">
        <v>5</v>
      </c>
      <c r="BL15" s="9">
        <v>1632</v>
      </c>
      <c r="BM15" s="10">
        <v>8</v>
      </c>
    </row>
    <row r="16" spans="1:65" ht="14.4">
      <c r="A16" s="2" t="s">
        <v>13</v>
      </c>
      <c r="B16" s="10" t="s">
        <v>101</v>
      </c>
      <c r="C16" s="11" t="s">
        <v>147</v>
      </c>
      <c r="D16" s="9">
        <v>0</v>
      </c>
      <c r="E16" s="10">
        <v>0</v>
      </c>
      <c r="F16" s="9">
        <v>0</v>
      </c>
      <c r="G16" s="10">
        <v>0</v>
      </c>
      <c r="H16" s="9">
        <v>0</v>
      </c>
      <c r="I16" s="10">
        <v>0</v>
      </c>
      <c r="J16" s="9">
        <v>0</v>
      </c>
      <c r="K16" s="10">
        <v>0</v>
      </c>
      <c r="L16" s="9">
        <v>0</v>
      </c>
      <c r="M16" s="10">
        <v>0</v>
      </c>
      <c r="N16" s="9">
        <v>0</v>
      </c>
      <c r="O16" s="10">
        <v>0</v>
      </c>
      <c r="P16" s="9">
        <v>0</v>
      </c>
      <c r="Q16" s="10">
        <v>0</v>
      </c>
      <c r="R16" s="9">
        <v>0</v>
      </c>
      <c r="S16" s="10">
        <v>0</v>
      </c>
      <c r="T16" s="9">
        <v>0</v>
      </c>
      <c r="U16" s="10">
        <v>0</v>
      </c>
      <c r="V16" s="9">
        <v>0</v>
      </c>
      <c r="W16" s="10">
        <v>0</v>
      </c>
      <c r="X16" s="9">
        <v>0</v>
      </c>
      <c r="Y16" s="10">
        <v>0</v>
      </c>
      <c r="Z16" s="9">
        <v>0</v>
      </c>
      <c r="AA16" s="10">
        <v>0</v>
      </c>
      <c r="AB16" s="9">
        <v>0</v>
      </c>
      <c r="AC16" s="10">
        <v>0</v>
      </c>
      <c r="AD16" s="9">
        <v>0</v>
      </c>
      <c r="AE16" s="10">
        <v>0</v>
      </c>
      <c r="AF16" s="9">
        <v>0</v>
      </c>
      <c r="AG16" s="10">
        <v>0</v>
      </c>
      <c r="AH16" s="9">
        <v>0</v>
      </c>
      <c r="AI16" s="10">
        <v>0</v>
      </c>
      <c r="AJ16" s="9">
        <v>0</v>
      </c>
      <c r="AK16" s="10">
        <v>0</v>
      </c>
      <c r="AL16" s="9">
        <v>479</v>
      </c>
      <c r="AM16" s="10">
        <v>1</v>
      </c>
      <c r="AN16" s="9">
        <v>0</v>
      </c>
      <c r="AO16" s="10">
        <v>0</v>
      </c>
      <c r="AP16" s="9">
        <v>0</v>
      </c>
      <c r="AQ16" s="10">
        <v>0</v>
      </c>
      <c r="AR16" s="9">
        <v>0</v>
      </c>
      <c r="AS16" s="10">
        <v>0</v>
      </c>
      <c r="AT16" s="9">
        <v>0</v>
      </c>
      <c r="AU16" s="10">
        <v>0</v>
      </c>
      <c r="AV16" s="9">
        <v>0</v>
      </c>
      <c r="AW16" s="10">
        <v>0</v>
      </c>
      <c r="AX16" s="9">
        <v>0</v>
      </c>
      <c r="AY16" s="10">
        <v>0</v>
      </c>
      <c r="AZ16" s="9">
        <v>0</v>
      </c>
      <c r="BA16" s="10">
        <v>0</v>
      </c>
      <c r="BB16" s="9">
        <v>0</v>
      </c>
      <c r="BC16" s="10">
        <v>0</v>
      </c>
      <c r="BD16" s="9">
        <v>0</v>
      </c>
      <c r="BE16" s="10">
        <v>0</v>
      </c>
      <c r="BF16" s="9">
        <v>0</v>
      </c>
      <c r="BG16" s="10">
        <v>0</v>
      </c>
      <c r="BH16" s="9">
        <v>0</v>
      </c>
      <c r="BI16" s="10">
        <v>0</v>
      </c>
      <c r="BJ16" s="9">
        <v>0</v>
      </c>
      <c r="BK16" s="10">
        <v>0</v>
      </c>
      <c r="BL16" s="9">
        <v>0</v>
      </c>
      <c r="BM16" s="10">
        <v>0</v>
      </c>
    </row>
    <row r="17" spans="1:65" ht="14.4">
      <c r="A17" s="2" t="s">
        <v>48</v>
      </c>
      <c r="B17" s="10" t="s">
        <v>101</v>
      </c>
      <c r="C17" s="11" t="s">
        <v>147</v>
      </c>
      <c r="D17" s="9">
        <v>0</v>
      </c>
      <c r="E17" s="10">
        <v>0</v>
      </c>
      <c r="F17" s="9">
        <v>244</v>
      </c>
      <c r="G17" s="10">
        <v>1</v>
      </c>
      <c r="H17" s="9">
        <v>488</v>
      </c>
      <c r="I17" s="10">
        <v>2</v>
      </c>
      <c r="J17" s="9">
        <v>244</v>
      </c>
      <c r="K17" s="10">
        <v>1</v>
      </c>
      <c r="L17" s="9">
        <v>0</v>
      </c>
      <c r="M17" s="10">
        <v>0</v>
      </c>
      <c r="N17" s="9">
        <v>488</v>
      </c>
      <c r="O17" s="10">
        <v>2</v>
      </c>
      <c r="P17" s="9">
        <v>244</v>
      </c>
      <c r="Q17" s="10">
        <v>1</v>
      </c>
      <c r="R17" s="9">
        <v>0</v>
      </c>
      <c r="S17" s="10">
        <v>0</v>
      </c>
      <c r="T17" s="9">
        <v>812</v>
      </c>
      <c r="U17" s="10">
        <v>3</v>
      </c>
      <c r="V17" s="9">
        <v>772</v>
      </c>
      <c r="W17" s="10">
        <v>3</v>
      </c>
      <c r="X17" s="9">
        <v>0</v>
      </c>
      <c r="Y17" s="10">
        <v>0</v>
      </c>
      <c r="Z17" s="9">
        <v>488</v>
      </c>
      <c r="AA17" s="10">
        <v>2</v>
      </c>
      <c r="AB17" s="9">
        <v>0</v>
      </c>
      <c r="AC17" s="10">
        <v>0</v>
      </c>
      <c r="AD17" s="9">
        <v>0</v>
      </c>
      <c r="AE17" s="10">
        <v>0</v>
      </c>
      <c r="AF17" s="9">
        <v>244</v>
      </c>
      <c r="AG17" s="10">
        <v>1</v>
      </c>
      <c r="AH17" s="9">
        <v>0</v>
      </c>
      <c r="AI17" s="10">
        <v>0</v>
      </c>
      <c r="AJ17" s="9">
        <v>0</v>
      </c>
      <c r="AK17" s="10">
        <v>0</v>
      </c>
      <c r="AL17" s="9">
        <v>0</v>
      </c>
      <c r="AM17" s="10">
        <v>0</v>
      </c>
      <c r="AN17" s="9">
        <v>244</v>
      </c>
      <c r="AO17" s="10">
        <v>1</v>
      </c>
      <c r="AP17" s="9">
        <v>244</v>
      </c>
      <c r="AQ17" s="10">
        <v>1</v>
      </c>
      <c r="AR17" s="9">
        <v>732</v>
      </c>
      <c r="AS17" s="10">
        <v>3</v>
      </c>
      <c r="AT17" s="9">
        <v>0</v>
      </c>
      <c r="AU17" s="10">
        <v>0</v>
      </c>
      <c r="AV17" s="9">
        <v>0</v>
      </c>
      <c r="AW17" s="10">
        <v>0</v>
      </c>
      <c r="AX17" s="9">
        <v>0</v>
      </c>
      <c r="AY17" s="10">
        <v>0</v>
      </c>
      <c r="AZ17" s="9">
        <v>0</v>
      </c>
      <c r="BA17" s="10">
        <v>0</v>
      </c>
      <c r="BB17" s="9">
        <v>732</v>
      </c>
      <c r="BC17" s="10">
        <v>3</v>
      </c>
      <c r="BD17" s="9">
        <v>732</v>
      </c>
      <c r="BE17" s="10">
        <v>3</v>
      </c>
      <c r="BF17" s="9">
        <v>732</v>
      </c>
      <c r="BG17" s="10">
        <v>3</v>
      </c>
      <c r="BH17" s="9">
        <v>732</v>
      </c>
      <c r="BI17" s="10">
        <v>3</v>
      </c>
      <c r="BJ17" s="9">
        <v>0</v>
      </c>
      <c r="BK17" s="10">
        <v>0</v>
      </c>
      <c r="BL17" s="9">
        <v>0</v>
      </c>
      <c r="BM17" s="10">
        <v>0</v>
      </c>
    </row>
    <row r="18" spans="1:65" ht="14.4">
      <c r="A18" s="2" t="s">
        <v>3</v>
      </c>
      <c r="B18" s="10" t="s">
        <v>101</v>
      </c>
      <c r="C18" s="11" t="s">
        <v>148</v>
      </c>
      <c r="D18" s="9">
        <v>1693</v>
      </c>
      <c r="E18" s="10">
        <v>2</v>
      </c>
      <c r="F18" s="9">
        <v>7596</v>
      </c>
      <c r="G18" s="10">
        <v>9</v>
      </c>
      <c r="H18" s="9">
        <v>844</v>
      </c>
      <c r="I18" s="10">
        <v>1</v>
      </c>
      <c r="J18" s="9">
        <v>8436</v>
      </c>
      <c r="K18" s="10">
        <v>10</v>
      </c>
      <c r="L18" s="9">
        <v>2533</v>
      </c>
      <c r="M18" s="10">
        <v>3</v>
      </c>
      <c r="N18" s="9">
        <v>7819</v>
      </c>
      <c r="O18" s="10">
        <v>9</v>
      </c>
      <c r="P18" s="9">
        <v>7594</v>
      </c>
      <c r="Q18" s="10">
        <v>9</v>
      </c>
      <c r="R18" s="9">
        <v>5063</v>
      </c>
      <c r="S18" s="10">
        <v>6</v>
      </c>
      <c r="T18" s="9">
        <v>3375</v>
      </c>
      <c r="U18" s="10">
        <v>4</v>
      </c>
      <c r="V18" s="9">
        <v>3375</v>
      </c>
      <c r="W18" s="10">
        <v>4</v>
      </c>
      <c r="X18" s="9">
        <v>5907</v>
      </c>
      <c r="Y18" s="10">
        <v>7</v>
      </c>
      <c r="Z18" s="9">
        <v>7594</v>
      </c>
      <c r="AA18" s="10">
        <v>9</v>
      </c>
      <c r="AB18" s="9">
        <v>2531</v>
      </c>
      <c r="AC18" s="10">
        <v>3</v>
      </c>
      <c r="AD18" s="9">
        <v>8438</v>
      </c>
      <c r="AE18" s="10">
        <v>10</v>
      </c>
      <c r="AF18" s="9">
        <v>4219</v>
      </c>
      <c r="AG18" s="10">
        <v>5</v>
      </c>
      <c r="AH18" s="9">
        <v>4219</v>
      </c>
      <c r="AI18" s="10">
        <v>5</v>
      </c>
      <c r="AJ18" s="9">
        <v>4219</v>
      </c>
      <c r="AK18" s="10">
        <v>5</v>
      </c>
      <c r="AL18" s="9">
        <v>5907</v>
      </c>
      <c r="AM18" s="10">
        <v>7</v>
      </c>
      <c r="AN18" s="9">
        <v>3375</v>
      </c>
      <c r="AO18" s="10">
        <v>4</v>
      </c>
      <c r="AP18" s="9">
        <v>1672</v>
      </c>
      <c r="AQ18" s="10">
        <v>2</v>
      </c>
      <c r="AR18" s="9">
        <v>8362</v>
      </c>
      <c r="AS18" s="10">
        <v>10</v>
      </c>
      <c r="AT18" s="9">
        <v>3345</v>
      </c>
      <c r="AU18" s="10">
        <v>4</v>
      </c>
      <c r="AV18" s="9">
        <v>4172</v>
      </c>
      <c r="AW18" s="10">
        <v>5</v>
      </c>
      <c r="AX18" s="9">
        <v>7509</v>
      </c>
      <c r="AY18" s="10">
        <v>9</v>
      </c>
      <c r="AZ18" s="9">
        <v>8969</v>
      </c>
      <c r="BA18" s="10">
        <v>11</v>
      </c>
      <c r="BB18" s="9">
        <v>6569</v>
      </c>
      <c r="BC18" s="10">
        <v>9</v>
      </c>
      <c r="BD18" s="9">
        <v>5109</v>
      </c>
      <c r="BE18" s="10">
        <v>7</v>
      </c>
      <c r="BF18" s="9">
        <v>11678</v>
      </c>
      <c r="BG18" s="10">
        <v>16</v>
      </c>
      <c r="BH18" s="9">
        <v>5109</v>
      </c>
      <c r="BI18" s="10">
        <v>7</v>
      </c>
      <c r="BJ18" s="9">
        <v>5109</v>
      </c>
      <c r="BK18" s="10">
        <v>7</v>
      </c>
      <c r="BL18" s="9">
        <v>4172</v>
      </c>
      <c r="BM18" s="10">
        <v>5</v>
      </c>
    </row>
    <row r="19" spans="1:65" ht="14.4">
      <c r="A19" s="2" t="s">
        <v>61</v>
      </c>
      <c r="B19" s="10" t="s">
        <v>101</v>
      </c>
      <c r="C19" s="11" t="s">
        <v>147</v>
      </c>
      <c r="D19" s="9">
        <v>2368</v>
      </c>
      <c r="E19" s="10">
        <v>5</v>
      </c>
      <c r="F19" s="9">
        <v>3249</v>
      </c>
      <c r="G19" s="10">
        <v>7</v>
      </c>
      <c r="H19" s="9">
        <v>928</v>
      </c>
      <c r="I19" s="10">
        <v>2</v>
      </c>
      <c r="J19" s="9">
        <v>464</v>
      </c>
      <c r="K19" s="10">
        <v>1</v>
      </c>
      <c r="L19" s="9">
        <v>928</v>
      </c>
      <c r="M19" s="10">
        <v>2</v>
      </c>
      <c r="N19" s="9">
        <v>928</v>
      </c>
      <c r="O19" s="10">
        <v>2</v>
      </c>
      <c r="P19" s="9">
        <v>928</v>
      </c>
      <c r="Q19" s="10">
        <v>2</v>
      </c>
      <c r="R19" s="9">
        <v>1392</v>
      </c>
      <c r="S19" s="10">
        <v>3</v>
      </c>
      <c r="T19" s="9">
        <v>928</v>
      </c>
      <c r="U19" s="10">
        <v>2</v>
      </c>
      <c r="V19" s="9">
        <v>2321</v>
      </c>
      <c r="W19" s="10">
        <v>5</v>
      </c>
      <c r="X19" s="9">
        <v>464</v>
      </c>
      <c r="Y19" s="10">
        <v>1</v>
      </c>
      <c r="Z19" s="9">
        <v>464</v>
      </c>
      <c r="AA19" s="10">
        <v>1</v>
      </c>
      <c r="AB19" s="9">
        <v>0</v>
      </c>
      <c r="AC19" s="10">
        <v>0</v>
      </c>
      <c r="AD19" s="9">
        <v>0</v>
      </c>
      <c r="AE19" s="10">
        <v>0</v>
      </c>
      <c r="AF19" s="9">
        <v>3249</v>
      </c>
      <c r="AG19" s="10">
        <v>7</v>
      </c>
      <c r="AH19" s="9">
        <v>464</v>
      </c>
      <c r="AI19" s="10">
        <v>1</v>
      </c>
      <c r="AJ19" s="9">
        <v>928</v>
      </c>
      <c r="AK19" s="10">
        <v>2</v>
      </c>
      <c r="AL19" s="9">
        <v>1392</v>
      </c>
      <c r="AM19" s="10">
        <v>3</v>
      </c>
      <c r="AN19" s="9">
        <v>2785</v>
      </c>
      <c r="AO19" s="10">
        <v>6</v>
      </c>
      <c r="AP19" s="9">
        <v>1392</v>
      </c>
      <c r="AQ19" s="10">
        <v>3</v>
      </c>
      <c r="AR19" s="9">
        <v>464</v>
      </c>
      <c r="AS19" s="10">
        <v>1</v>
      </c>
      <c r="AT19" s="9">
        <v>1402</v>
      </c>
      <c r="AU19" s="10">
        <v>3</v>
      </c>
      <c r="AV19" s="9">
        <v>0</v>
      </c>
      <c r="AW19" s="10">
        <v>0</v>
      </c>
      <c r="AX19" s="9">
        <v>455</v>
      </c>
      <c r="AY19" s="10">
        <v>1</v>
      </c>
      <c r="AZ19" s="9">
        <v>0</v>
      </c>
      <c r="BA19" s="10">
        <v>0</v>
      </c>
      <c r="BB19" s="9">
        <v>0</v>
      </c>
      <c r="BC19" s="10">
        <v>0</v>
      </c>
      <c r="BD19" s="9">
        <v>0</v>
      </c>
      <c r="BE19" s="10">
        <v>0</v>
      </c>
      <c r="BF19" s="9">
        <v>0</v>
      </c>
      <c r="BG19" s="10">
        <v>0</v>
      </c>
      <c r="BH19" s="9">
        <v>2083</v>
      </c>
      <c r="BI19" s="10">
        <v>5</v>
      </c>
      <c r="BJ19" s="9">
        <v>1667</v>
      </c>
      <c r="BK19" s="10">
        <v>4</v>
      </c>
      <c r="BL19" s="9">
        <v>0</v>
      </c>
      <c r="BM19" s="10">
        <v>0</v>
      </c>
    </row>
    <row r="20" spans="1:65" ht="14.4">
      <c r="A20" s="2" t="s">
        <v>88</v>
      </c>
      <c r="B20" s="10" t="s">
        <v>101</v>
      </c>
      <c r="C20" s="11" t="s">
        <v>148</v>
      </c>
      <c r="D20" s="9">
        <v>891</v>
      </c>
      <c r="E20" s="10">
        <v>1</v>
      </c>
      <c r="F20" s="9">
        <v>1860</v>
      </c>
      <c r="G20" s="10">
        <v>2</v>
      </c>
      <c r="H20" s="9">
        <v>1783</v>
      </c>
      <c r="I20" s="10">
        <v>2</v>
      </c>
      <c r="J20" s="9">
        <v>1783</v>
      </c>
      <c r="K20" s="10">
        <v>2</v>
      </c>
      <c r="L20" s="9">
        <v>2674</v>
      </c>
      <c r="M20" s="10">
        <v>3</v>
      </c>
      <c r="N20" s="9">
        <v>912</v>
      </c>
      <c r="O20" s="10">
        <v>1</v>
      </c>
      <c r="P20" s="9">
        <v>891</v>
      </c>
      <c r="Q20" s="10">
        <v>1</v>
      </c>
      <c r="R20" s="9">
        <v>891</v>
      </c>
      <c r="S20" s="10">
        <v>1</v>
      </c>
      <c r="T20" s="9">
        <v>1783</v>
      </c>
      <c r="U20" s="10">
        <v>2</v>
      </c>
      <c r="V20" s="9">
        <v>1783</v>
      </c>
      <c r="W20" s="10">
        <v>2</v>
      </c>
      <c r="X20" s="9">
        <v>891</v>
      </c>
      <c r="Y20" s="10">
        <v>1</v>
      </c>
      <c r="Z20" s="9">
        <v>2537</v>
      </c>
      <c r="AA20" s="10">
        <v>3</v>
      </c>
      <c r="AB20" s="9">
        <v>846</v>
      </c>
      <c r="AC20" s="10">
        <v>1</v>
      </c>
      <c r="AD20" s="9">
        <v>1691</v>
      </c>
      <c r="AE20" s="10">
        <v>2</v>
      </c>
      <c r="AF20" s="9">
        <v>0</v>
      </c>
      <c r="AG20" s="10">
        <v>0</v>
      </c>
      <c r="AH20" s="9">
        <v>846</v>
      </c>
      <c r="AI20" s="10">
        <v>1</v>
      </c>
      <c r="AJ20" s="9">
        <v>1691</v>
      </c>
      <c r="AK20" s="10">
        <v>2</v>
      </c>
      <c r="AL20" s="9">
        <v>1691</v>
      </c>
      <c r="AM20" s="10">
        <v>2</v>
      </c>
      <c r="AN20" s="9">
        <v>846</v>
      </c>
      <c r="AO20" s="10">
        <v>1</v>
      </c>
      <c r="AP20" s="9">
        <v>1672</v>
      </c>
      <c r="AQ20" s="10">
        <v>2</v>
      </c>
      <c r="AR20" s="9">
        <v>0</v>
      </c>
      <c r="AS20" s="10">
        <v>0</v>
      </c>
      <c r="AT20" s="9">
        <v>836</v>
      </c>
      <c r="AU20" s="10">
        <v>1</v>
      </c>
      <c r="AV20" s="9">
        <v>901</v>
      </c>
      <c r="AW20" s="10">
        <v>1</v>
      </c>
      <c r="AX20" s="9">
        <v>1801</v>
      </c>
      <c r="AY20" s="10">
        <v>2</v>
      </c>
      <c r="AZ20" s="9">
        <v>901</v>
      </c>
      <c r="BA20" s="10">
        <v>1</v>
      </c>
      <c r="BB20" s="9">
        <v>1889</v>
      </c>
      <c r="BC20" s="10">
        <v>2</v>
      </c>
      <c r="BD20" s="9">
        <v>944</v>
      </c>
      <c r="BE20" s="10">
        <v>1</v>
      </c>
      <c r="BF20" s="9">
        <v>910</v>
      </c>
      <c r="BG20" s="10">
        <v>1</v>
      </c>
      <c r="BH20" s="9">
        <v>910</v>
      </c>
      <c r="BI20" s="10">
        <v>1</v>
      </c>
      <c r="BJ20" s="9">
        <v>910</v>
      </c>
      <c r="BK20" s="10">
        <v>1</v>
      </c>
      <c r="BL20" s="9">
        <v>901</v>
      </c>
      <c r="BM20" s="10">
        <v>1</v>
      </c>
    </row>
    <row r="21" spans="1:65" ht="14.4">
      <c r="A21" s="2" t="s">
        <v>22</v>
      </c>
      <c r="B21" s="10" t="s">
        <v>101</v>
      </c>
      <c r="C21" s="11" t="s">
        <v>147</v>
      </c>
      <c r="D21" s="9">
        <v>0</v>
      </c>
      <c r="E21" s="10">
        <v>0</v>
      </c>
      <c r="F21" s="9">
        <v>1798</v>
      </c>
      <c r="G21" s="10">
        <v>2</v>
      </c>
      <c r="H21" s="9">
        <v>2697</v>
      </c>
      <c r="I21" s="10">
        <v>3</v>
      </c>
      <c r="J21" s="9">
        <v>2697</v>
      </c>
      <c r="K21" s="10">
        <v>3</v>
      </c>
      <c r="L21" s="9">
        <v>1798</v>
      </c>
      <c r="M21" s="10">
        <v>2</v>
      </c>
      <c r="N21" s="9">
        <v>0</v>
      </c>
      <c r="O21" s="10">
        <v>0</v>
      </c>
      <c r="P21" s="9">
        <v>0</v>
      </c>
      <c r="Q21" s="10">
        <v>0</v>
      </c>
      <c r="R21" s="9">
        <v>0</v>
      </c>
      <c r="S21" s="10">
        <v>0</v>
      </c>
      <c r="T21" s="9">
        <v>844</v>
      </c>
      <c r="U21" s="10">
        <v>1</v>
      </c>
      <c r="V21" s="9">
        <v>5907</v>
      </c>
      <c r="W21" s="10">
        <v>7</v>
      </c>
      <c r="X21" s="9">
        <v>3375</v>
      </c>
      <c r="Y21" s="10">
        <v>4</v>
      </c>
      <c r="Z21" s="9">
        <v>3375</v>
      </c>
      <c r="AA21" s="10">
        <v>4</v>
      </c>
      <c r="AB21" s="9">
        <v>2531</v>
      </c>
      <c r="AC21" s="10">
        <v>3</v>
      </c>
      <c r="AD21" s="9">
        <v>4219</v>
      </c>
      <c r="AE21" s="10">
        <v>5</v>
      </c>
      <c r="AF21" s="9">
        <v>1688</v>
      </c>
      <c r="AG21" s="10">
        <v>2</v>
      </c>
      <c r="AH21" s="9">
        <v>1688</v>
      </c>
      <c r="AI21" s="10">
        <v>2</v>
      </c>
      <c r="AJ21" s="9">
        <v>2531</v>
      </c>
      <c r="AK21" s="10">
        <v>3</v>
      </c>
      <c r="AL21" s="9">
        <v>1688</v>
      </c>
      <c r="AM21" s="10">
        <v>2</v>
      </c>
      <c r="AN21" s="9">
        <v>1672</v>
      </c>
      <c r="AO21" s="10">
        <v>2</v>
      </c>
      <c r="AP21" s="9">
        <v>836</v>
      </c>
      <c r="AQ21" s="10">
        <v>1</v>
      </c>
      <c r="AR21" s="9">
        <v>1680</v>
      </c>
      <c r="AS21" s="10">
        <v>2</v>
      </c>
      <c r="AT21" s="9">
        <v>853</v>
      </c>
      <c r="AU21" s="10">
        <v>1</v>
      </c>
      <c r="AV21" s="9">
        <v>10846</v>
      </c>
      <c r="AW21" s="10">
        <v>13</v>
      </c>
      <c r="AX21" s="9">
        <v>5840</v>
      </c>
      <c r="AY21" s="10">
        <v>7</v>
      </c>
      <c r="AZ21" s="9">
        <v>5840</v>
      </c>
      <c r="BA21" s="10">
        <v>7</v>
      </c>
      <c r="BB21" s="9">
        <v>4172</v>
      </c>
      <c r="BC21" s="10">
        <v>5</v>
      </c>
      <c r="BD21" s="9">
        <v>5840</v>
      </c>
      <c r="BE21" s="10">
        <v>7</v>
      </c>
      <c r="BF21" s="9">
        <v>4882</v>
      </c>
      <c r="BG21" s="10">
        <v>6</v>
      </c>
      <c r="BH21" s="9">
        <v>8864</v>
      </c>
      <c r="BI21" s="10">
        <v>11</v>
      </c>
      <c r="BJ21" s="9">
        <v>5641</v>
      </c>
      <c r="BK21" s="10">
        <v>7</v>
      </c>
      <c r="BL21" s="9">
        <v>10846</v>
      </c>
      <c r="BM21" s="10">
        <v>13</v>
      </c>
    </row>
    <row r="22" spans="1:65" ht="14.4">
      <c r="A22" s="2" t="s">
        <v>52</v>
      </c>
      <c r="B22" s="10" t="s">
        <v>101</v>
      </c>
      <c r="C22" s="11" t="s">
        <v>148</v>
      </c>
      <c r="D22" s="9">
        <v>17132</v>
      </c>
      <c r="E22" s="10">
        <v>41</v>
      </c>
      <c r="F22" s="9">
        <v>23400</v>
      </c>
      <c r="G22" s="10">
        <v>56</v>
      </c>
      <c r="H22" s="9">
        <v>30086</v>
      </c>
      <c r="I22" s="10">
        <v>72</v>
      </c>
      <c r="J22" s="9">
        <v>17132</v>
      </c>
      <c r="K22" s="10">
        <v>41</v>
      </c>
      <c r="L22" s="9">
        <v>18804</v>
      </c>
      <c r="M22" s="10">
        <v>45</v>
      </c>
      <c r="N22" s="9">
        <v>16714</v>
      </c>
      <c r="O22" s="10">
        <v>40</v>
      </c>
      <c r="P22" s="9">
        <v>12536</v>
      </c>
      <c r="Q22" s="10">
        <v>30</v>
      </c>
      <c r="R22" s="9">
        <v>20475</v>
      </c>
      <c r="S22" s="10">
        <v>49</v>
      </c>
      <c r="T22" s="9">
        <v>21729</v>
      </c>
      <c r="U22" s="10">
        <v>52</v>
      </c>
      <c r="V22" s="9">
        <v>24236</v>
      </c>
      <c r="W22" s="10">
        <v>58</v>
      </c>
      <c r="X22" s="9">
        <v>21311</v>
      </c>
      <c r="Y22" s="10">
        <v>51</v>
      </c>
      <c r="Z22" s="9">
        <v>19222</v>
      </c>
      <c r="AA22" s="10">
        <v>46</v>
      </c>
      <c r="AB22" s="9">
        <v>15880</v>
      </c>
      <c r="AC22" s="10">
        <v>38</v>
      </c>
      <c r="AD22" s="9">
        <v>11282</v>
      </c>
      <c r="AE22" s="10">
        <v>27</v>
      </c>
      <c r="AF22" s="9">
        <v>18804</v>
      </c>
      <c r="AG22" s="10">
        <v>45</v>
      </c>
      <c r="AH22" s="9">
        <v>13372</v>
      </c>
      <c r="AI22" s="10">
        <v>32</v>
      </c>
      <c r="AJ22" s="9">
        <v>11282</v>
      </c>
      <c r="AK22" s="10">
        <v>27</v>
      </c>
      <c r="AL22" s="9">
        <v>13789</v>
      </c>
      <c r="AM22" s="10">
        <v>33</v>
      </c>
      <c r="AN22" s="9">
        <v>13372</v>
      </c>
      <c r="AO22" s="10">
        <v>32</v>
      </c>
      <c r="AP22" s="9">
        <v>11700</v>
      </c>
      <c r="AQ22" s="10">
        <v>28</v>
      </c>
      <c r="AR22" s="9">
        <v>15461</v>
      </c>
      <c r="AS22" s="10">
        <v>37</v>
      </c>
      <c r="AT22" s="9">
        <v>15879</v>
      </c>
      <c r="AU22" s="10">
        <v>38</v>
      </c>
      <c r="AV22" s="9">
        <v>14625</v>
      </c>
      <c r="AW22" s="10">
        <v>35</v>
      </c>
      <c r="AX22" s="9">
        <v>16297</v>
      </c>
      <c r="AY22" s="10">
        <v>39</v>
      </c>
      <c r="AZ22" s="9">
        <v>16714</v>
      </c>
      <c r="BA22" s="10">
        <v>40</v>
      </c>
      <c r="BB22" s="9">
        <v>17132</v>
      </c>
      <c r="BC22" s="10">
        <v>41</v>
      </c>
      <c r="BD22" s="9">
        <v>10447</v>
      </c>
      <c r="BE22" s="10">
        <v>25</v>
      </c>
      <c r="BF22" s="9">
        <v>8775</v>
      </c>
      <c r="BG22" s="10">
        <v>21</v>
      </c>
      <c r="BH22" s="9">
        <v>9193</v>
      </c>
      <c r="BI22" s="10">
        <v>22</v>
      </c>
      <c r="BJ22" s="9">
        <v>11282</v>
      </c>
      <c r="BK22" s="10">
        <v>27</v>
      </c>
      <c r="BL22" s="9">
        <v>14625</v>
      </c>
      <c r="BM22" s="10">
        <v>35</v>
      </c>
    </row>
    <row r="23" spans="1:65" ht="14.4">
      <c r="A23" s="2" t="s">
        <v>97</v>
      </c>
      <c r="B23" s="10" t="s">
        <v>101</v>
      </c>
      <c r="C23" s="11" t="s">
        <v>148</v>
      </c>
      <c r="D23" s="9">
        <v>0</v>
      </c>
      <c r="E23" s="10">
        <v>0</v>
      </c>
      <c r="F23" s="9">
        <v>244</v>
      </c>
      <c r="G23" s="10">
        <v>1</v>
      </c>
      <c r="H23" s="9">
        <v>488</v>
      </c>
      <c r="I23" s="10">
        <v>2</v>
      </c>
      <c r="J23" s="9">
        <v>244</v>
      </c>
      <c r="K23" s="10">
        <v>1</v>
      </c>
      <c r="L23" s="9">
        <v>0</v>
      </c>
      <c r="M23" s="10">
        <v>0</v>
      </c>
      <c r="N23" s="9">
        <v>488</v>
      </c>
      <c r="O23" s="10">
        <v>2</v>
      </c>
      <c r="P23" s="9">
        <v>244</v>
      </c>
      <c r="Q23" s="10">
        <v>1</v>
      </c>
      <c r="R23" s="9">
        <v>0</v>
      </c>
      <c r="S23" s="10">
        <v>0</v>
      </c>
      <c r="T23" s="9">
        <v>812</v>
      </c>
      <c r="U23" s="10">
        <v>3</v>
      </c>
      <c r="V23" s="9">
        <v>772</v>
      </c>
      <c r="W23" s="10">
        <v>3</v>
      </c>
      <c r="X23" s="9">
        <v>0</v>
      </c>
      <c r="Y23" s="10">
        <v>0</v>
      </c>
      <c r="Z23" s="9">
        <v>488</v>
      </c>
      <c r="AA23" s="10">
        <v>2</v>
      </c>
      <c r="AB23" s="9">
        <v>0</v>
      </c>
      <c r="AC23" s="10">
        <v>0</v>
      </c>
      <c r="AD23" s="9">
        <v>0</v>
      </c>
      <c r="AE23" s="10">
        <v>0</v>
      </c>
      <c r="AF23" s="9">
        <v>244</v>
      </c>
      <c r="AG23" s="10">
        <v>1</v>
      </c>
      <c r="AH23" s="9">
        <v>0</v>
      </c>
      <c r="AI23" s="10">
        <v>0</v>
      </c>
      <c r="AJ23" s="9">
        <v>0</v>
      </c>
      <c r="AK23" s="10">
        <v>0</v>
      </c>
      <c r="AL23" s="9">
        <v>0</v>
      </c>
      <c r="AM23" s="10">
        <v>0</v>
      </c>
      <c r="AN23" s="9">
        <v>244</v>
      </c>
      <c r="AO23" s="10">
        <v>1</v>
      </c>
      <c r="AP23" s="9">
        <v>244</v>
      </c>
      <c r="AQ23" s="10">
        <v>1</v>
      </c>
      <c r="AR23" s="9">
        <v>732</v>
      </c>
      <c r="AS23" s="10">
        <v>3</v>
      </c>
      <c r="AT23" s="9">
        <v>0</v>
      </c>
      <c r="AU23" s="10">
        <v>0</v>
      </c>
      <c r="AV23" s="9">
        <v>0</v>
      </c>
      <c r="AW23" s="10">
        <v>0</v>
      </c>
      <c r="AX23" s="9">
        <v>0</v>
      </c>
      <c r="AY23" s="10">
        <v>0</v>
      </c>
      <c r="AZ23" s="9">
        <v>0</v>
      </c>
      <c r="BA23" s="10">
        <v>0</v>
      </c>
      <c r="BB23" s="9">
        <v>732</v>
      </c>
      <c r="BC23" s="10">
        <v>3</v>
      </c>
      <c r="BD23" s="9">
        <v>732</v>
      </c>
      <c r="BE23" s="10">
        <v>3</v>
      </c>
      <c r="BF23" s="9">
        <v>732</v>
      </c>
      <c r="BG23" s="10">
        <v>3</v>
      </c>
      <c r="BH23" s="9">
        <v>732</v>
      </c>
      <c r="BI23" s="10">
        <v>3</v>
      </c>
      <c r="BJ23" s="9">
        <v>0</v>
      </c>
      <c r="BK23" s="10">
        <v>0</v>
      </c>
      <c r="BL23" s="9">
        <v>0</v>
      </c>
      <c r="BM23" s="10">
        <v>0</v>
      </c>
    </row>
    <row r="24" spans="1:65" ht="14.4">
      <c r="A24" s="2" t="s">
        <v>10</v>
      </c>
      <c r="B24" s="10" t="s">
        <v>105</v>
      </c>
      <c r="C24" s="11" t="s">
        <v>153</v>
      </c>
      <c r="D24" s="9">
        <v>0</v>
      </c>
      <c r="E24" s="10">
        <v>0</v>
      </c>
      <c r="F24" s="9">
        <v>0</v>
      </c>
      <c r="G24" s="10">
        <v>0</v>
      </c>
      <c r="H24" s="9">
        <v>0</v>
      </c>
      <c r="I24" s="10">
        <v>0</v>
      </c>
      <c r="J24" s="9">
        <v>0</v>
      </c>
      <c r="K24" s="10">
        <v>0</v>
      </c>
      <c r="L24" s="9">
        <v>0</v>
      </c>
      <c r="M24" s="10">
        <v>0</v>
      </c>
      <c r="N24" s="9">
        <v>0</v>
      </c>
      <c r="O24" s="10">
        <v>0</v>
      </c>
      <c r="P24" s="9">
        <v>0</v>
      </c>
      <c r="Q24" s="10">
        <v>0</v>
      </c>
      <c r="R24" s="9">
        <v>0</v>
      </c>
      <c r="S24" s="10">
        <v>0</v>
      </c>
      <c r="T24" s="9">
        <v>0</v>
      </c>
      <c r="U24" s="10">
        <v>0</v>
      </c>
      <c r="V24" s="9">
        <v>0</v>
      </c>
      <c r="W24" s="10">
        <v>0</v>
      </c>
      <c r="X24" s="9">
        <v>0</v>
      </c>
      <c r="Y24" s="10">
        <v>0</v>
      </c>
      <c r="Z24" s="9">
        <v>0</v>
      </c>
      <c r="AA24" s="10">
        <v>0</v>
      </c>
      <c r="AB24" s="9">
        <v>1316</v>
      </c>
      <c r="AC24" s="10">
        <v>4</v>
      </c>
      <c r="AD24" s="9">
        <v>658</v>
      </c>
      <c r="AE24" s="10">
        <v>2</v>
      </c>
      <c r="AF24" s="9">
        <v>0</v>
      </c>
      <c r="AG24" s="10">
        <v>0</v>
      </c>
      <c r="AH24" s="9">
        <v>0</v>
      </c>
      <c r="AI24" s="10">
        <v>0</v>
      </c>
      <c r="AJ24" s="9">
        <v>0</v>
      </c>
      <c r="AK24" s="10">
        <v>0</v>
      </c>
      <c r="AL24" s="9">
        <v>0</v>
      </c>
      <c r="AM24" s="10">
        <v>0</v>
      </c>
      <c r="AN24" s="9">
        <v>0</v>
      </c>
      <c r="AO24" s="10">
        <v>0</v>
      </c>
      <c r="AP24" s="9">
        <v>0</v>
      </c>
      <c r="AQ24" s="10">
        <v>0</v>
      </c>
      <c r="AR24" s="9">
        <v>0</v>
      </c>
      <c r="AS24" s="10">
        <v>0</v>
      </c>
      <c r="AT24" s="9">
        <v>0</v>
      </c>
      <c r="AU24" s="10">
        <v>0</v>
      </c>
      <c r="AV24" s="9">
        <v>0</v>
      </c>
      <c r="AW24" s="10">
        <v>0</v>
      </c>
      <c r="AX24" s="9">
        <v>0</v>
      </c>
      <c r="AY24" s="10">
        <v>0</v>
      </c>
      <c r="AZ24" s="9">
        <v>0</v>
      </c>
      <c r="BA24" s="10">
        <v>0</v>
      </c>
      <c r="BB24" s="9">
        <v>0</v>
      </c>
      <c r="BC24" s="10">
        <v>0</v>
      </c>
      <c r="BD24" s="9">
        <v>0</v>
      </c>
      <c r="BE24" s="10">
        <v>0</v>
      </c>
      <c r="BF24" s="9">
        <v>0</v>
      </c>
      <c r="BG24" s="10">
        <v>0</v>
      </c>
      <c r="BH24" s="9">
        <v>0</v>
      </c>
      <c r="BI24" s="10">
        <v>0</v>
      </c>
      <c r="BJ24" s="9">
        <v>0</v>
      </c>
      <c r="BK24" s="10">
        <v>0</v>
      </c>
      <c r="BL24" s="9">
        <v>0</v>
      </c>
      <c r="BM24" s="10">
        <v>0</v>
      </c>
    </row>
    <row r="25" spans="1:65" ht="14.4">
      <c r="A25" s="2" t="s">
        <v>36</v>
      </c>
      <c r="B25" s="10" t="s">
        <v>104</v>
      </c>
      <c r="C25" s="11" t="s">
        <v>143</v>
      </c>
      <c r="D25" s="9">
        <v>0</v>
      </c>
      <c r="E25" s="10">
        <v>0</v>
      </c>
      <c r="F25" s="9">
        <v>852</v>
      </c>
      <c r="G25" s="10">
        <v>3</v>
      </c>
      <c r="H25" s="9">
        <v>284</v>
      </c>
      <c r="I25" s="10">
        <v>1</v>
      </c>
      <c r="J25" s="9">
        <v>0</v>
      </c>
      <c r="K25" s="10">
        <v>0</v>
      </c>
      <c r="L25" s="9">
        <v>568</v>
      </c>
      <c r="M25" s="10">
        <v>2</v>
      </c>
      <c r="N25" s="9">
        <v>284</v>
      </c>
      <c r="O25" s="10">
        <v>1</v>
      </c>
      <c r="P25" s="9">
        <v>852</v>
      </c>
      <c r="Q25" s="10">
        <v>3</v>
      </c>
      <c r="R25" s="9">
        <v>0</v>
      </c>
      <c r="S25" s="10">
        <v>0</v>
      </c>
      <c r="T25" s="9">
        <v>0</v>
      </c>
      <c r="U25" s="10">
        <v>0</v>
      </c>
      <c r="V25" s="9">
        <v>568</v>
      </c>
      <c r="W25" s="10">
        <v>2</v>
      </c>
      <c r="X25" s="9">
        <v>0</v>
      </c>
      <c r="Y25" s="10">
        <v>0</v>
      </c>
      <c r="Z25" s="9">
        <v>284</v>
      </c>
      <c r="AA25" s="10">
        <v>1</v>
      </c>
      <c r="AB25" s="9">
        <v>0</v>
      </c>
      <c r="AC25" s="10">
        <v>0</v>
      </c>
      <c r="AD25" s="9">
        <v>0</v>
      </c>
      <c r="AE25" s="10">
        <v>0</v>
      </c>
      <c r="AF25" s="9">
        <v>573</v>
      </c>
      <c r="AG25" s="10">
        <v>2</v>
      </c>
      <c r="AH25" s="9">
        <v>177</v>
      </c>
      <c r="AI25" s="10">
        <v>1</v>
      </c>
      <c r="AJ25" s="9">
        <v>466</v>
      </c>
      <c r="AK25" s="10">
        <v>2</v>
      </c>
      <c r="AL25" s="9">
        <v>0</v>
      </c>
      <c r="AM25" s="10">
        <v>0</v>
      </c>
      <c r="AN25" s="9">
        <v>857</v>
      </c>
      <c r="AO25" s="10">
        <v>3</v>
      </c>
      <c r="AP25" s="9">
        <v>568</v>
      </c>
      <c r="AQ25" s="10">
        <v>2</v>
      </c>
      <c r="AR25" s="9">
        <v>466</v>
      </c>
      <c r="AS25" s="10">
        <v>2</v>
      </c>
      <c r="AT25" s="9">
        <v>867</v>
      </c>
      <c r="AU25" s="10">
        <v>3</v>
      </c>
      <c r="AV25" s="9">
        <v>2797</v>
      </c>
      <c r="AW25" s="10">
        <v>12</v>
      </c>
      <c r="AX25" s="9">
        <v>1110</v>
      </c>
      <c r="AY25" s="10">
        <v>5</v>
      </c>
      <c r="AZ25" s="9">
        <v>1464</v>
      </c>
      <c r="BA25" s="10">
        <v>7</v>
      </c>
      <c r="BB25" s="9">
        <v>1380</v>
      </c>
      <c r="BC25" s="10">
        <v>5</v>
      </c>
      <c r="BD25" s="9">
        <v>1647</v>
      </c>
      <c r="BE25" s="10">
        <v>6</v>
      </c>
      <c r="BF25" s="9">
        <v>1333</v>
      </c>
      <c r="BG25" s="10">
        <v>5</v>
      </c>
      <c r="BH25" s="9">
        <v>3637</v>
      </c>
      <c r="BI25" s="10">
        <v>18</v>
      </c>
      <c r="BJ25" s="9">
        <v>1221</v>
      </c>
      <c r="BK25" s="10">
        <v>5</v>
      </c>
      <c r="BL25" s="9">
        <v>2797</v>
      </c>
      <c r="BM25" s="10">
        <v>12</v>
      </c>
    </row>
    <row r="26" spans="1:65" ht="14.4">
      <c r="A26" s="2" t="s">
        <v>11</v>
      </c>
      <c r="B26" s="10" t="s">
        <v>104</v>
      </c>
      <c r="C26" s="11" t="s">
        <v>144</v>
      </c>
      <c r="D26" s="9">
        <v>0</v>
      </c>
      <c r="E26" s="10">
        <v>0</v>
      </c>
      <c r="F26" s="9">
        <v>0</v>
      </c>
      <c r="G26" s="10">
        <v>0</v>
      </c>
      <c r="H26" s="9">
        <v>0</v>
      </c>
      <c r="I26" s="10">
        <v>0</v>
      </c>
      <c r="J26" s="9">
        <v>0</v>
      </c>
      <c r="K26" s="10">
        <v>0</v>
      </c>
      <c r="L26" s="9">
        <v>0</v>
      </c>
      <c r="M26" s="10">
        <v>0</v>
      </c>
      <c r="N26" s="9">
        <v>0</v>
      </c>
      <c r="O26" s="10">
        <v>0</v>
      </c>
      <c r="P26" s="9">
        <v>0</v>
      </c>
      <c r="Q26" s="10">
        <v>0</v>
      </c>
      <c r="R26" s="9">
        <v>0</v>
      </c>
      <c r="S26" s="10">
        <v>0</v>
      </c>
      <c r="T26" s="9">
        <v>0</v>
      </c>
      <c r="U26" s="10">
        <v>0</v>
      </c>
      <c r="V26" s="9">
        <v>0</v>
      </c>
      <c r="W26" s="10">
        <v>0</v>
      </c>
      <c r="X26" s="9">
        <v>0</v>
      </c>
      <c r="Y26" s="10">
        <v>0</v>
      </c>
      <c r="Z26" s="9">
        <v>0</v>
      </c>
      <c r="AA26" s="10">
        <v>0</v>
      </c>
      <c r="AB26" s="9">
        <v>0</v>
      </c>
      <c r="AC26" s="10">
        <v>0</v>
      </c>
      <c r="AD26" s="9">
        <v>0</v>
      </c>
      <c r="AE26" s="10">
        <v>0</v>
      </c>
      <c r="AF26" s="9">
        <v>0</v>
      </c>
      <c r="AG26" s="10">
        <v>0</v>
      </c>
      <c r="AH26" s="9">
        <v>0</v>
      </c>
      <c r="AI26" s="10">
        <v>0</v>
      </c>
      <c r="AJ26" s="9">
        <v>0</v>
      </c>
      <c r="AK26" s="10">
        <v>0</v>
      </c>
      <c r="AL26" s="9">
        <v>0</v>
      </c>
      <c r="AM26" s="10">
        <v>0</v>
      </c>
      <c r="AN26" s="9">
        <v>0</v>
      </c>
      <c r="AO26" s="10">
        <v>0</v>
      </c>
      <c r="AP26" s="9">
        <v>0</v>
      </c>
      <c r="AQ26" s="10">
        <v>0</v>
      </c>
      <c r="AR26" s="9">
        <v>0</v>
      </c>
      <c r="AS26" s="10">
        <v>0</v>
      </c>
      <c r="AT26" s="9">
        <v>0</v>
      </c>
      <c r="AU26" s="10">
        <v>0</v>
      </c>
      <c r="AV26" s="9">
        <v>0</v>
      </c>
      <c r="AW26" s="10">
        <v>0</v>
      </c>
      <c r="AX26" s="9">
        <v>0</v>
      </c>
      <c r="AY26" s="10">
        <v>0</v>
      </c>
      <c r="AZ26" s="9">
        <v>0</v>
      </c>
      <c r="BA26" s="10">
        <v>0</v>
      </c>
      <c r="BB26" s="9">
        <v>0</v>
      </c>
      <c r="BC26" s="10">
        <v>0</v>
      </c>
      <c r="BD26" s="9">
        <v>0</v>
      </c>
      <c r="BE26" s="10">
        <v>0</v>
      </c>
      <c r="BF26" s="9">
        <v>0</v>
      </c>
      <c r="BG26" s="10">
        <v>0</v>
      </c>
      <c r="BH26" s="9">
        <v>0</v>
      </c>
      <c r="BI26" s="10">
        <v>0</v>
      </c>
      <c r="BJ26" s="9">
        <v>0</v>
      </c>
      <c r="BK26" s="10">
        <v>0</v>
      </c>
      <c r="BL26" s="9">
        <v>0</v>
      </c>
      <c r="BM26" s="10">
        <v>0</v>
      </c>
    </row>
    <row r="27" spans="1:65" ht="14.4">
      <c r="A27" s="2" t="s">
        <v>56</v>
      </c>
      <c r="B27" s="10" t="s">
        <v>104</v>
      </c>
      <c r="C27" s="11" t="s">
        <v>142</v>
      </c>
      <c r="D27" s="9">
        <v>0</v>
      </c>
      <c r="E27" s="10">
        <v>0</v>
      </c>
      <c r="F27" s="9">
        <v>0</v>
      </c>
      <c r="G27" s="10">
        <v>0</v>
      </c>
      <c r="H27" s="9">
        <v>0</v>
      </c>
      <c r="I27" s="10">
        <v>0</v>
      </c>
      <c r="J27" s="9">
        <v>0</v>
      </c>
      <c r="K27" s="10">
        <v>0</v>
      </c>
      <c r="L27" s="9">
        <v>0</v>
      </c>
      <c r="M27" s="10">
        <v>0</v>
      </c>
      <c r="N27" s="9">
        <v>0</v>
      </c>
      <c r="O27" s="10">
        <v>0</v>
      </c>
      <c r="P27" s="9">
        <v>0</v>
      </c>
      <c r="Q27" s="10">
        <v>0</v>
      </c>
      <c r="R27" s="9">
        <v>0</v>
      </c>
      <c r="S27" s="10">
        <v>0</v>
      </c>
      <c r="T27" s="9">
        <v>0</v>
      </c>
      <c r="U27" s="10">
        <v>0</v>
      </c>
      <c r="V27" s="9">
        <v>0</v>
      </c>
      <c r="W27" s="10">
        <v>0</v>
      </c>
      <c r="X27" s="9">
        <v>0</v>
      </c>
      <c r="Y27" s="10">
        <v>0</v>
      </c>
      <c r="Z27" s="9">
        <v>0</v>
      </c>
      <c r="AA27" s="10">
        <v>0</v>
      </c>
      <c r="AB27" s="9">
        <v>0</v>
      </c>
      <c r="AC27" s="10">
        <v>0</v>
      </c>
      <c r="AD27" s="9">
        <v>0</v>
      </c>
      <c r="AE27" s="10">
        <v>0</v>
      </c>
      <c r="AF27" s="9">
        <v>0</v>
      </c>
      <c r="AG27" s="10">
        <v>0</v>
      </c>
      <c r="AH27" s="9">
        <v>0</v>
      </c>
      <c r="AI27" s="10">
        <v>0</v>
      </c>
      <c r="AJ27" s="9">
        <v>0</v>
      </c>
      <c r="AK27" s="10">
        <v>0</v>
      </c>
      <c r="AL27" s="9">
        <v>0</v>
      </c>
      <c r="AM27" s="10">
        <v>0</v>
      </c>
      <c r="AN27" s="9">
        <v>0</v>
      </c>
      <c r="AO27" s="10">
        <v>0</v>
      </c>
      <c r="AP27" s="9">
        <v>0</v>
      </c>
      <c r="AQ27" s="10">
        <v>0</v>
      </c>
      <c r="AR27" s="9">
        <v>0</v>
      </c>
      <c r="AS27" s="10">
        <v>0</v>
      </c>
      <c r="AT27" s="9">
        <v>0</v>
      </c>
      <c r="AU27" s="10">
        <v>0</v>
      </c>
      <c r="AV27" s="9">
        <v>0</v>
      </c>
      <c r="AW27" s="10">
        <v>0</v>
      </c>
      <c r="AX27" s="9">
        <v>0</v>
      </c>
      <c r="AY27" s="10">
        <v>0</v>
      </c>
      <c r="AZ27" s="9">
        <v>0</v>
      </c>
      <c r="BA27" s="10">
        <v>0</v>
      </c>
      <c r="BB27" s="9">
        <v>0</v>
      </c>
      <c r="BC27" s="10">
        <v>0</v>
      </c>
      <c r="BD27" s="9">
        <v>0</v>
      </c>
      <c r="BE27" s="10">
        <v>0</v>
      </c>
      <c r="BF27" s="9">
        <v>0</v>
      </c>
      <c r="BG27" s="10">
        <v>0</v>
      </c>
      <c r="BH27" s="9">
        <v>0</v>
      </c>
      <c r="BI27" s="10">
        <v>0</v>
      </c>
      <c r="BJ27" s="9">
        <v>0</v>
      </c>
      <c r="BK27" s="10">
        <v>0</v>
      </c>
      <c r="BL27" s="9">
        <v>0</v>
      </c>
      <c r="BM27" s="10">
        <v>0</v>
      </c>
    </row>
    <row r="28" spans="1:65" ht="14.4">
      <c r="A28" s="2" t="s">
        <v>96</v>
      </c>
      <c r="B28" s="10" t="s">
        <v>104</v>
      </c>
      <c r="C28" s="11" t="s">
        <v>142</v>
      </c>
      <c r="D28" s="9">
        <v>0</v>
      </c>
      <c r="E28" s="10">
        <v>0</v>
      </c>
      <c r="F28" s="9">
        <v>0</v>
      </c>
      <c r="G28" s="10">
        <v>0</v>
      </c>
      <c r="H28" s="9">
        <v>0</v>
      </c>
      <c r="I28" s="10">
        <v>0</v>
      </c>
      <c r="J28" s="9">
        <v>0</v>
      </c>
      <c r="K28" s="10">
        <v>0</v>
      </c>
      <c r="L28" s="9">
        <v>0</v>
      </c>
      <c r="M28" s="10">
        <v>0</v>
      </c>
      <c r="N28" s="9">
        <v>0</v>
      </c>
      <c r="O28" s="10">
        <v>0</v>
      </c>
      <c r="P28" s="9">
        <v>0</v>
      </c>
      <c r="Q28" s="10">
        <v>0</v>
      </c>
      <c r="R28" s="9">
        <v>0</v>
      </c>
      <c r="S28" s="10">
        <v>0</v>
      </c>
      <c r="T28" s="9">
        <v>0</v>
      </c>
      <c r="U28" s="10">
        <v>0</v>
      </c>
      <c r="V28" s="9">
        <v>0</v>
      </c>
      <c r="W28" s="10">
        <v>0</v>
      </c>
      <c r="X28" s="9">
        <v>0</v>
      </c>
      <c r="Y28" s="10">
        <v>0</v>
      </c>
      <c r="Z28" s="9">
        <v>0</v>
      </c>
      <c r="AA28" s="10">
        <v>0</v>
      </c>
      <c r="AB28" s="9">
        <v>0</v>
      </c>
      <c r="AC28" s="10">
        <v>0</v>
      </c>
      <c r="AD28" s="9">
        <v>0</v>
      </c>
      <c r="AE28" s="10">
        <v>0</v>
      </c>
      <c r="AF28" s="9">
        <v>0</v>
      </c>
      <c r="AG28" s="10">
        <v>0</v>
      </c>
      <c r="AH28" s="9">
        <v>0</v>
      </c>
      <c r="AI28" s="10">
        <v>0</v>
      </c>
      <c r="AJ28" s="9">
        <v>0</v>
      </c>
      <c r="AK28" s="10">
        <v>0</v>
      </c>
      <c r="AL28" s="9">
        <v>479</v>
      </c>
      <c r="AM28" s="10">
        <v>1</v>
      </c>
      <c r="AN28" s="9">
        <v>0</v>
      </c>
      <c r="AO28" s="10">
        <v>0</v>
      </c>
      <c r="AP28" s="9">
        <v>0</v>
      </c>
      <c r="AQ28" s="10">
        <v>0</v>
      </c>
      <c r="AR28" s="9">
        <v>0</v>
      </c>
      <c r="AS28" s="10">
        <v>0</v>
      </c>
      <c r="AT28" s="9">
        <v>0</v>
      </c>
      <c r="AU28" s="10">
        <v>0</v>
      </c>
      <c r="AV28" s="9">
        <v>0</v>
      </c>
      <c r="AW28" s="10">
        <v>0</v>
      </c>
      <c r="AX28" s="9">
        <v>0</v>
      </c>
      <c r="AY28" s="10">
        <v>0</v>
      </c>
      <c r="AZ28" s="9">
        <v>0</v>
      </c>
      <c r="BA28" s="10">
        <v>0</v>
      </c>
      <c r="BB28" s="9">
        <v>0</v>
      </c>
      <c r="BC28" s="10">
        <v>0</v>
      </c>
      <c r="BD28" s="9">
        <v>0</v>
      </c>
      <c r="BE28" s="10">
        <v>0</v>
      </c>
      <c r="BF28" s="9">
        <v>0</v>
      </c>
      <c r="BG28" s="10">
        <v>0</v>
      </c>
      <c r="BH28" s="9">
        <v>0</v>
      </c>
      <c r="BI28" s="10">
        <v>0</v>
      </c>
      <c r="BJ28" s="9">
        <v>0</v>
      </c>
      <c r="BK28" s="10">
        <v>0</v>
      </c>
      <c r="BL28" s="9">
        <v>0</v>
      </c>
      <c r="BM28" s="10">
        <v>0</v>
      </c>
    </row>
    <row r="29" spans="1:65" ht="14.4">
      <c r="A29" s="2" t="s">
        <v>39</v>
      </c>
      <c r="B29" s="10" t="s">
        <v>104</v>
      </c>
      <c r="C29" s="11" t="s">
        <v>142</v>
      </c>
      <c r="D29" s="9">
        <v>877</v>
      </c>
      <c r="E29" s="10">
        <v>3</v>
      </c>
      <c r="F29" s="9">
        <v>767</v>
      </c>
      <c r="G29" s="10">
        <v>3</v>
      </c>
      <c r="H29" s="9">
        <v>1196</v>
      </c>
      <c r="I29" s="10">
        <v>4</v>
      </c>
      <c r="J29" s="9">
        <v>837</v>
      </c>
      <c r="K29" s="10">
        <v>3</v>
      </c>
      <c r="L29" s="9">
        <v>877</v>
      </c>
      <c r="M29" s="10">
        <v>3</v>
      </c>
      <c r="N29" s="9">
        <v>957</v>
      </c>
      <c r="O29" s="10">
        <v>3</v>
      </c>
      <c r="P29" s="9">
        <v>1156</v>
      </c>
      <c r="Q29" s="10">
        <v>4</v>
      </c>
      <c r="R29" s="9">
        <v>1196</v>
      </c>
      <c r="S29" s="10">
        <v>4</v>
      </c>
      <c r="T29" s="9">
        <v>3348</v>
      </c>
      <c r="U29" s="10">
        <v>12</v>
      </c>
      <c r="V29" s="9">
        <v>279</v>
      </c>
      <c r="W29" s="10">
        <v>1</v>
      </c>
      <c r="X29" s="9">
        <v>558</v>
      </c>
      <c r="Y29" s="10">
        <v>2</v>
      </c>
      <c r="Z29" s="9">
        <v>837</v>
      </c>
      <c r="AA29" s="10">
        <v>3</v>
      </c>
      <c r="AB29" s="9">
        <v>2073</v>
      </c>
      <c r="AC29" s="10">
        <v>7</v>
      </c>
      <c r="AD29" s="9">
        <v>558</v>
      </c>
      <c r="AE29" s="10">
        <v>2</v>
      </c>
      <c r="AF29" s="9">
        <v>1714</v>
      </c>
      <c r="AG29" s="10">
        <v>6</v>
      </c>
      <c r="AH29" s="9">
        <v>1395</v>
      </c>
      <c r="AI29" s="10">
        <v>5</v>
      </c>
      <c r="AJ29" s="9">
        <v>1116</v>
      </c>
      <c r="AK29" s="10">
        <v>4</v>
      </c>
      <c r="AL29" s="9">
        <v>279</v>
      </c>
      <c r="AM29" s="10">
        <v>1</v>
      </c>
      <c r="AN29" s="9">
        <v>279</v>
      </c>
      <c r="AO29" s="10">
        <v>1</v>
      </c>
      <c r="AP29" s="9">
        <v>279</v>
      </c>
      <c r="AQ29" s="10">
        <v>1</v>
      </c>
      <c r="AR29" s="9">
        <v>1668</v>
      </c>
      <c r="AS29" s="10">
        <v>8</v>
      </c>
      <c r="AT29" s="9">
        <v>185</v>
      </c>
      <c r="AU29" s="10">
        <v>1</v>
      </c>
      <c r="AV29" s="9">
        <v>764</v>
      </c>
      <c r="AW29" s="10">
        <v>4</v>
      </c>
      <c r="AX29" s="9">
        <v>804</v>
      </c>
      <c r="AY29" s="10">
        <v>4</v>
      </c>
      <c r="AZ29" s="9">
        <v>613</v>
      </c>
      <c r="BA29" s="10">
        <v>3</v>
      </c>
      <c r="BB29" s="9">
        <v>1560</v>
      </c>
      <c r="BC29" s="10">
        <v>8</v>
      </c>
      <c r="BD29" s="9">
        <v>925</v>
      </c>
      <c r="BE29" s="10">
        <v>5</v>
      </c>
      <c r="BF29" s="9">
        <v>1110</v>
      </c>
      <c r="BG29" s="10">
        <v>6</v>
      </c>
      <c r="BH29" s="9">
        <v>1375</v>
      </c>
      <c r="BI29" s="10">
        <v>7</v>
      </c>
      <c r="BJ29" s="9">
        <v>1190</v>
      </c>
      <c r="BK29" s="10">
        <v>6</v>
      </c>
      <c r="BL29" s="9">
        <v>764</v>
      </c>
      <c r="BM29" s="10">
        <v>4</v>
      </c>
    </row>
    <row r="30" spans="1:65" ht="14.4">
      <c r="A30" s="2" t="s">
        <v>9</v>
      </c>
      <c r="B30" s="10" t="s">
        <v>104</v>
      </c>
      <c r="C30" s="11" t="s">
        <v>142</v>
      </c>
      <c r="D30" s="9">
        <v>0</v>
      </c>
      <c r="E30" s="10">
        <v>0</v>
      </c>
      <c r="F30" s="9">
        <v>632</v>
      </c>
      <c r="G30" s="10">
        <v>2</v>
      </c>
      <c r="H30" s="9">
        <v>0</v>
      </c>
      <c r="I30" s="10">
        <v>0</v>
      </c>
      <c r="J30" s="9">
        <v>0</v>
      </c>
      <c r="K30" s="10">
        <v>0</v>
      </c>
      <c r="L30" s="9">
        <v>316</v>
      </c>
      <c r="M30" s="10">
        <v>1</v>
      </c>
      <c r="N30" s="9">
        <v>632</v>
      </c>
      <c r="O30" s="10">
        <v>2</v>
      </c>
      <c r="P30" s="9">
        <v>672</v>
      </c>
      <c r="Q30" s="10">
        <v>2</v>
      </c>
      <c r="R30" s="9">
        <v>632</v>
      </c>
      <c r="S30" s="10">
        <v>2</v>
      </c>
      <c r="T30" s="9">
        <v>316</v>
      </c>
      <c r="U30" s="10">
        <v>1</v>
      </c>
      <c r="V30" s="9">
        <v>1304</v>
      </c>
      <c r="W30" s="10">
        <v>4</v>
      </c>
      <c r="X30" s="9">
        <v>316</v>
      </c>
      <c r="Y30" s="10">
        <v>1</v>
      </c>
      <c r="Z30" s="9">
        <v>672</v>
      </c>
      <c r="AA30" s="10">
        <v>2</v>
      </c>
      <c r="AB30" s="9">
        <v>632</v>
      </c>
      <c r="AC30" s="10">
        <v>2</v>
      </c>
      <c r="AD30" s="9">
        <v>712</v>
      </c>
      <c r="AE30" s="10">
        <v>2</v>
      </c>
      <c r="AF30" s="9">
        <v>1620</v>
      </c>
      <c r="AG30" s="10">
        <v>5</v>
      </c>
      <c r="AH30" s="9">
        <v>672</v>
      </c>
      <c r="AI30" s="10">
        <v>2</v>
      </c>
      <c r="AJ30" s="9">
        <v>316</v>
      </c>
      <c r="AK30" s="10">
        <v>1</v>
      </c>
      <c r="AL30" s="9">
        <v>2252</v>
      </c>
      <c r="AM30" s="10">
        <v>7</v>
      </c>
      <c r="AN30" s="9">
        <v>632</v>
      </c>
      <c r="AO30" s="10">
        <v>2</v>
      </c>
      <c r="AP30" s="9">
        <v>0</v>
      </c>
      <c r="AQ30" s="10">
        <v>0</v>
      </c>
      <c r="AR30" s="9">
        <v>672</v>
      </c>
      <c r="AS30" s="10">
        <v>2</v>
      </c>
      <c r="AT30" s="9">
        <v>948</v>
      </c>
      <c r="AU30" s="10">
        <v>3</v>
      </c>
      <c r="AV30" s="9">
        <v>0</v>
      </c>
      <c r="AW30" s="10">
        <v>0</v>
      </c>
      <c r="AX30" s="9">
        <v>0</v>
      </c>
      <c r="AY30" s="10">
        <v>0</v>
      </c>
      <c r="AZ30" s="9">
        <v>0</v>
      </c>
      <c r="BA30" s="10">
        <v>0</v>
      </c>
      <c r="BB30" s="9">
        <v>1896</v>
      </c>
      <c r="BC30" s="10">
        <v>6</v>
      </c>
      <c r="BD30" s="9">
        <v>316</v>
      </c>
      <c r="BE30" s="10">
        <v>1</v>
      </c>
      <c r="BF30" s="9">
        <v>672</v>
      </c>
      <c r="BG30" s="10">
        <v>2</v>
      </c>
      <c r="BH30" s="9">
        <v>316</v>
      </c>
      <c r="BI30" s="10">
        <v>1</v>
      </c>
      <c r="BJ30" s="9">
        <v>1304</v>
      </c>
      <c r="BK30" s="10">
        <v>4</v>
      </c>
      <c r="BL30" s="9">
        <v>0</v>
      </c>
      <c r="BM30" s="10">
        <v>0</v>
      </c>
    </row>
    <row r="31" spans="1:65" ht="14.4">
      <c r="A31" s="2" t="s">
        <v>92</v>
      </c>
      <c r="B31" s="10" t="s">
        <v>104</v>
      </c>
      <c r="C31" s="11" t="s">
        <v>144</v>
      </c>
      <c r="D31" s="9">
        <v>0</v>
      </c>
      <c r="E31" s="10">
        <v>0</v>
      </c>
      <c r="F31" s="9">
        <v>244</v>
      </c>
      <c r="G31" s="10">
        <v>1</v>
      </c>
      <c r="H31" s="9">
        <v>488</v>
      </c>
      <c r="I31" s="10">
        <v>2</v>
      </c>
      <c r="J31" s="9">
        <v>244</v>
      </c>
      <c r="K31" s="10">
        <v>1</v>
      </c>
      <c r="L31" s="9">
        <v>0</v>
      </c>
      <c r="M31" s="10">
        <v>0</v>
      </c>
      <c r="N31" s="9">
        <v>488</v>
      </c>
      <c r="O31" s="10">
        <v>2</v>
      </c>
      <c r="P31" s="9">
        <v>244</v>
      </c>
      <c r="Q31" s="10">
        <v>1</v>
      </c>
      <c r="R31" s="9">
        <v>0</v>
      </c>
      <c r="S31" s="10">
        <v>0</v>
      </c>
      <c r="T31" s="9">
        <v>812</v>
      </c>
      <c r="U31" s="10">
        <v>3</v>
      </c>
      <c r="V31" s="9">
        <v>772</v>
      </c>
      <c r="W31" s="10">
        <v>3</v>
      </c>
      <c r="X31" s="9">
        <v>0</v>
      </c>
      <c r="Y31" s="10">
        <v>0</v>
      </c>
      <c r="Z31" s="9">
        <v>488</v>
      </c>
      <c r="AA31" s="10">
        <v>2</v>
      </c>
      <c r="AB31" s="9">
        <v>0</v>
      </c>
      <c r="AC31" s="10">
        <v>0</v>
      </c>
      <c r="AD31" s="9">
        <v>0</v>
      </c>
      <c r="AE31" s="10">
        <v>0</v>
      </c>
      <c r="AF31" s="9">
        <v>244</v>
      </c>
      <c r="AG31" s="10">
        <v>1</v>
      </c>
      <c r="AH31" s="9">
        <v>0</v>
      </c>
      <c r="AI31" s="10">
        <v>0</v>
      </c>
      <c r="AJ31" s="9">
        <v>0</v>
      </c>
      <c r="AK31" s="10">
        <v>0</v>
      </c>
      <c r="AL31" s="9">
        <v>0</v>
      </c>
      <c r="AM31" s="10">
        <v>0</v>
      </c>
      <c r="AN31" s="9">
        <v>244</v>
      </c>
      <c r="AO31" s="10">
        <v>1</v>
      </c>
      <c r="AP31" s="9">
        <v>244</v>
      </c>
      <c r="AQ31" s="10">
        <v>1</v>
      </c>
      <c r="AR31" s="9">
        <v>732</v>
      </c>
      <c r="AS31" s="10">
        <v>3</v>
      </c>
      <c r="AT31" s="9">
        <v>0</v>
      </c>
      <c r="AU31" s="10">
        <v>0</v>
      </c>
      <c r="AV31" s="9">
        <v>0</v>
      </c>
      <c r="AW31" s="10">
        <v>0</v>
      </c>
      <c r="AX31" s="9">
        <v>0</v>
      </c>
      <c r="AY31" s="10">
        <v>0</v>
      </c>
      <c r="AZ31" s="9">
        <v>0</v>
      </c>
      <c r="BA31" s="10">
        <v>0</v>
      </c>
      <c r="BB31" s="9">
        <v>732</v>
      </c>
      <c r="BC31" s="10">
        <v>3</v>
      </c>
      <c r="BD31" s="9">
        <v>732</v>
      </c>
      <c r="BE31" s="10">
        <v>3</v>
      </c>
      <c r="BF31" s="9">
        <v>732</v>
      </c>
      <c r="BG31" s="10">
        <v>3</v>
      </c>
      <c r="BH31" s="9">
        <v>732</v>
      </c>
      <c r="BI31" s="10">
        <v>3</v>
      </c>
      <c r="BJ31" s="9">
        <v>0</v>
      </c>
      <c r="BK31" s="10">
        <v>0</v>
      </c>
      <c r="BL31" s="9">
        <v>0</v>
      </c>
      <c r="BM31" s="10">
        <v>0</v>
      </c>
    </row>
    <row r="32" spans="1:65" ht="14.4">
      <c r="A32" s="2" t="s">
        <v>50</v>
      </c>
      <c r="B32" s="10" t="s">
        <v>104</v>
      </c>
      <c r="C32" s="11" t="s">
        <v>144</v>
      </c>
      <c r="D32" s="9">
        <v>487</v>
      </c>
      <c r="E32" s="10">
        <v>3</v>
      </c>
      <c r="F32" s="9">
        <v>1163</v>
      </c>
      <c r="G32" s="10">
        <v>7</v>
      </c>
      <c r="H32" s="9">
        <v>1083</v>
      </c>
      <c r="I32" s="10">
        <v>7</v>
      </c>
      <c r="J32" s="9">
        <v>487</v>
      </c>
      <c r="K32" s="10">
        <v>3</v>
      </c>
      <c r="L32" s="9">
        <v>716</v>
      </c>
      <c r="M32" s="10">
        <v>4</v>
      </c>
      <c r="N32" s="9">
        <v>447</v>
      </c>
      <c r="O32" s="10">
        <v>3</v>
      </c>
      <c r="P32" s="9">
        <v>984</v>
      </c>
      <c r="Q32" s="10">
        <v>6</v>
      </c>
      <c r="R32" s="9">
        <v>785</v>
      </c>
      <c r="S32" s="10">
        <v>5</v>
      </c>
      <c r="T32" s="9">
        <v>865</v>
      </c>
      <c r="U32" s="10">
        <v>5</v>
      </c>
      <c r="V32" s="9">
        <v>636</v>
      </c>
      <c r="W32" s="10">
        <v>4</v>
      </c>
      <c r="X32" s="9">
        <v>596</v>
      </c>
      <c r="Y32" s="10">
        <v>4</v>
      </c>
      <c r="Z32" s="9">
        <v>1014</v>
      </c>
      <c r="AA32" s="10">
        <v>6</v>
      </c>
      <c r="AB32" s="9">
        <v>447</v>
      </c>
      <c r="AC32" s="10">
        <v>3</v>
      </c>
      <c r="AD32" s="9">
        <v>487</v>
      </c>
      <c r="AE32" s="10">
        <v>3</v>
      </c>
      <c r="AF32" s="9">
        <v>447</v>
      </c>
      <c r="AG32" s="10">
        <v>3</v>
      </c>
      <c r="AH32" s="9">
        <v>905</v>
      </c>
      <c r="AI32" s="10">
        <v>5</v>
      </c>
      <c r="AJ32" s="9">
        <v>865</v>
      </c>
      <c r="AK32" s="10">
        <v>5</v>
      </c>
      <c r="AL32" s="9">
        <v>189</v>
      </c>
      <c r="AM32" s="10">
        <v>1</v>
      </c>
      <c r="AN32" s="9">
        <v>785</v>
      </c>
      <c r="AO32" s="10">
        <v>5</v>
      </c>
      <c r="AP32" s="9">
        <v>338</v>
      </c>
      <c r="AQ32" s="10">
        <v>2</v>
      </c>
      <c r="AR32" s="9">
        <v>1075</v>
      </c>
      <c r="AS32" s="10">
        <v>5</v>
      </c>
      <c r="AT32" s="9">
        <v>1314</v>
      </c>
      <c r="AU32" s="10">
        <v>6</v>
      </c>
      <c r="AV32" s="9">
        <v>1632</v>
      </c>
      <c r="AW32" s="10">
        <v>8</v>
      </c>
      <c r="AX32" s="9">
        <v>1075</v>
      </c>
      <c r="AY32" s="10">
        <v>5</v>
      </c>
      <c r="AZ32" s="9">
        <v>2349</v>
      </c>
      <c r="BA32" s="10">
        <v>11</v>
      </c>
      <c r="BB32" s="9">
        <v>677</v>
      </c>
      <c r="BC32" s="10">
        <v>3</v>
      </c>
      <c r="BD32" s="9">
        <v>1234</v>
      </c>
      <c r="BE32" s="10">
        <v>6</v>
      </c>
      <c r="BF32" s="9">
        <v>1632</v>
      </c>
      <c r="BG32" s="10">
        <v>8</v>
      </c>
      <c r="BH32" s="9">
        <v>1115</v>
      </c>
      <c r="BI32" s="10">
        <v>5</v>
      </c>
      <c r="BJ32" s="9">
        <v>1075</v>
      </c>
      <c r="BK32" s="10">
        <v>5</v>
      </c>
      <c r="BL32" s="9">
        <v>1632</v>
      </c>
      <c r="BM32" s="10">
        <v>8</v>
      </c>
    </row>
    <row r="33" spans="1:65" ht="14.4">
      <c r="A33" s="2" t="s">
        <v>58</v>
      </c>
      <c r="B33" s="10" t="s">
        <v>104</v>
      </c>
      <c r="C33" s="11" t="s">
        <v>142</v>
      </c>
      <c r="D33" s="9">
        <v>0</v>
      </c>
      <c r="E33" s="10">
        <v>0</v>
      </c>
      <c r="F33" s="9">
        <v>0</v>
      </c>
      <c r="G33" s="10">
        <v>0</v>
      </c>
      <c r="H33" s="9">
        <v>0</v>
      </c>
      <c r="I33" s="10">
        <v>0</v>
      </c>
      <c r="J33" s="9">
        <v>0</v>
      </c>
      <c r="K33" s="10">
        <v>0</v>
      </c>
      <c r="L33" s="9">
        <v>0</v>
      </c>
      <c r="M33" s="10">
        <v>0</v>
      </c>
      <c r="N33" s="9">
        <v>0</v>
      </c>
      <c r="O33" s="10">
        <v>0</v>
      </c>
      <c r="P33" s="9">
        <v>0</v>
      </c>
      <c r="Q33" s="10">
        <v>0</v>
      </c>
      <c r="R33" s="9">
        <v>0</v>
      </c>
      <c r="S33" s="10">
        <v>0</v>
      </c>
      <c r="T33" s="9">
        <v>0</v>
      </c>
      <c r="U33" s="10">
        <v>0</v>
      </c>
      <c r="V33" s="9">
        <v>0</v>
      </c>
      <c r="W33" s="10">
        <v>0</v>
      </c>
      <c r="X33" s="9">
        <v>0</v>
      </c>
      <c r="Y33" s="10">
        <v>0</v>
      </c>
      <c r="Z33" s="9">
        <v>0</v>
      </c>
      <c r="AA33" s="10">
        <v>0</v>
      </c>
      <c r="AB33" s="9">
        <v>0</v>
      </c>
      <c r="AC33" s="10">
        <v>0</v>
      </c>
      <c r="AD33" s="9">
        <v>0</v>
      </c>
      <c r="AE33" s="10">
        <v>0</v>
      </c>
      <c r="AF33" s="9">
        <v>0</v>
      </c>
      <c r="AG33" s="10">
        <v>0</v>
      </c>
      <c r="AH33" s="9">
        <v>0</v>
      </c>
      <c r="AI33" s="10">
        <v>0</v>
      </c>
      <c r="AJ33" s="9">
        <v>0</v>
      </c>
      <c r="AK33" s="10">
        <v>0</v>
      </c>
      <c r="AL33" s="9">
        <v>0</v>
      </c>
      <c r="AM33" s="10">
        <v>0</v>
      </c>
      <c r="AN33" s="9">
        <v>0</v>
      </c>
      <c r="AO33" s="10">
        <v>0</v>
      </c>
      <c r="AP33" s="9">
        <v>0</v>
      </c>
      <c r="AQ33" s="10">
        <v>0</v>
      </c>
      <c r="AR33" s="9">
        <v>0</v>
      </c>
      <c r="AS33" s="10">
        <v>0</v>
      </c>
      <c r="AT33" s="9">
        <v>0</v>
      </c>
      <c r="AU33" s="10">
        <v>0</v>
      </c>
      <c r="AV33" s="9">
        <v>0</v>
      </c>
      <c r="AW33" s="10">
        <v>0</v>
      </c>
      <c r="AX33" s="9">
        <v>0</v>
      </c>
      <c r="AY33" s="10">
        <v>0</v>
      </c>
      <c r="AZ33" s="9">
        <v>0</v>
      </c>
      <c r="BA33" s="10">
        <v>0</v>
      </c>
      <c r="BB33" s="9">
        <v>0</v>
      </c>
      <c r="BC33" s="10">
        <v>0</v>
      </c>
      <c r="BD33" s="9">
        <v>0</v>
      </c>
      <c r="BE33" s="10">
        <v>0</v>
      </c>
      <c r="BF33" s="9">
        <v>0</v>
      </c>
      <c r="BG33" s="10">
        <v>0</v>
      </c>
      <c r="BH33" s="9">
        <v>0</v>
      </c>
      <c r="BI33" s="10">
        <v>0</v>
      </c>
      <c r="BJ33" s="9">
        <v>0</v>
      </c>
      <c r="BK33" s="10">
        <v>0</v>
      </c>
      <c r="BL33" s="9">
        <v>0</v>
      </c>
      <c r="BM33" s="10">
        <v>0</v>
      </c>
    </row>
    <row r="34" spans="1:65" ht="14.4">
      <c r="A34" s="2" t="s">
        <v>59</v>
      </c>
      <c r="B34" s="10" t="s">
        <v>104</v>
      </c>
      <c r="C34" s="11" t="s">
        <v>142</v>
      </c>
      <c r="D34" s="9">
        <v>877</v>
      </c>
      <c r="E34" s="10">
        <v>3</v>
      </c>
      <c r="F34" s="9">
        <v>767</v>
      </c>
      <c r="G34" s="10">
        <v>3</v>
      </c>
      <c r="H34" s="9">
        <v>1196</v>
      </c>
      <c r="I34" s="10">
        <v>4</v>
      </c>
      <c r="J34" s="9">
        <v>837</v>
      </c>
      <c r="K34" s="10">
        <v>3</v>
      </c>
      <c r="L34" s="9">
        <v>877</v>
      </c>
      <c r="M34" s="10">
        <v>3</v>
      </c>
      <c r="N34" s="9">
        <v>957</v>
      </c>
      <c r="O34" s="10">
        <v>3</v>
      </c>
      <c r="P34" s="9">
        <v>1156</v>
      </c>
      <c r="Q34" s="10">
        <v>4</v>
      </c>
      <c r="R34" s="9">
        <v>1196</v>
      </c>
      <c r="S34" s="10">
        <v>4</v>
      </c>
      <c r="T34" s="9">
        <v>3348</v>
      </c>
      <c r="U34" s="10">
        <v>12</v>
      </c>
      <c r="V34" s="9">
        <v>279</v>
      </c>
      <c r="W34" s="10">
        <v>1</v>
      </c>
      <c r="X34" s="9">
        <v>558</v>
      </c>
      <c r="Y34" s="10">
        <v>2</v>
      </c>
      <c r="Z34" s="9">
        <v>837</v>
      </c>
      <c r="AA34" s="10">
        <v>3</v>
      </c>
      <c r="AB34" s="9">
        <v>2073</v>
      </c>
      <c r="AC34" s="10">
        <v>7</v>
      </c>
      <c r="AD34" s="9">
        <v>558</v>
      </c>
      <c r="AE34" s="10">
        <v>2</v>
      </c>
      <c r="AF34" s="9">
        <v>1714</v>
      </c>
      <c r="AG34" s="10">
        <v>6</v>
      </c>
      <c r="AH34" s="9">
        <v>1395</v>
      </c>
      <c r="AI34" s="10">
        <v>5</v>
      </c>
      <c r="AJ34" s="9">
        <v>1116</v>
      </c>
      <c r="AK34" s="10">
        <v>4</v>
      </c>
      <c r="AL34" s="9">
        <v>279</v>
      </c>
      <c r="AM34" s="10">
        <v>1</v>
      </c>
      <c r="AN34" s="9">
        <v>279</v>
      </c>
      <c r="AO34" s="10">
        <v>1</v>
      </c>
      <c r="AP34" s="9">
        <v>279</v>
      </c>
      <c r="AQ34" s="10">
        <v>1</v>
      </c>
      <c r="AR34" s="9">
        <v>1668</v>
      </c>
      <c r="AS34" s="10">
        <v>8</v>
      </c>
      <c r="AT34" s="9">
        <v>185</v>
      </c>
      <c r="AU34" s="10">
        <v>1</v>
      </c>
      <c r="AV34" s="9">
        <v>764</v>
      </c>
      <c r="AW34" s="10">
        <v>4</v>
      </c>
      <c r="AX34" s="9">
        <v>804</v>
      </c>
      <c r="AY34" s="10">
        <v>4</v>
      </c>
      <c r="AZ34" s="9">
        <v>613</v>
      </c>
      <c r="BA34" s="10">
        <v>3</v>
      </c>
      <c r="BB34" s="9">
        <v>1560</v>
      </c>
      <c r="BC34" s="10">
        <v>8</v>
      </c>
      <c r="BD34" s="9">
        <v>925</v>
      </c>
      <c r="BE34" s="10">
        <v>5</v>
      </c>
      <c r="BF34" s="9">
        <v>1110</v>
      </c>
      <c r="BG34" s="10">
        <v>6</v>
      </c>
      <c r="BH34" s="9">
        <v>1375</v>
      </c>
      <c r="BI34" s="10">
        <v>7</v>
      </c>
      <c r="BJ34" s="9">
        <v>1190</v>
      </c>
      <c r="BK34" s="10">
        <v>6</v>
      </c>
      <c r="BL34" s="9">
        <v>764</v>
      </c>
      <c r="BM34" s="10">
        <v>4</v>
      </c>
    </row>
    <row r="35" spans="1:65" ht="14.4">
      <c r="A35" s="2" t="s">
        <v>94</v>
      </c>
      <c r="B35" s="10" t="s">
        <v>104</v>
      </c>
      <c r="C35" s="11" t="s">
        <v>142</v>
      </c>
      <c r="D35" s="9">
        <v>10994</v>
      </c>
      <c r="E35" s="10">
        <v>13</v>
      </c>
      <c r="F35" s="9">
        <v>10291</v>
      </c>
      <c r="G35" s="10">
        <v>12</v>
      </c>
      <c r="H35" s="9">
        <v>11979</v>
      </c>
      <c r="I35" s="10">
        <v>14</v>
      </c>
      <c r="J35" s="9">
        <v>9447</v>
      </c>
      <c r="K35" s="10">
        <v>11</v>
      </c>
      <c r="L35" s="9">
        <v>4221</v>
      </c>
      <c r="M35" s="10">
        <v>5</v>
      </c>
      <c r="N35" s="9">
        <v>2477</v>
      </c>
      <c r="O35" s="10">
        <v>3</v>
      </c>
      <c r="P35" s="9">
        <v>12878</v>
      </c>
      <c r="Q35" s="10">
        <v>15</v>
      </c>
      <c r="R35" s="9">
        <v>11190</v>
      </c>
      <c r="S35" s="10">
        <v>13</v>
      </c>
      <c r="T35" s="9">
        <v>7649</v>
      </c>
      <c r="U35" s="10">
        <v>9</v>
      </c>
      <c r="V35" s="9">
        <v>6916</v>
      </c>
      <c r="W35" s="10">
        <v>8</v>
      </c>
      <c r="X35" s="9">
        <v>12878</v>
      </c>
      <c r="Y35" s="10">
        <v>15</v>
      </c>
      <c r="Z35" s="9">
        <v>9282</v>
      </c>
      <c r="AA35" s="10">
        <v>11</v>
      </c>
      <c r="AB35" s="9">
        <v>11868</v>
      </c>
      <c r="AC35" s="10">
        <v>14</v>
      </c>
      <c r="AD35" s="9">
        <v>13666</v>
      </c>
      <c r="AE35" s="10">
        <v>16</v>
      </c>
      <c r="AF35" s="9">
        <v>10181</v>
      </c>
      <c r="AG35" s="10">
        <v>12</v>
      </c>
      <c r="AH35" s="9">
        <v>8438</v>
      </c>
      <c r="AI35" s="10">
        <v>10</v>
      </c>
      <c r="AJ35" s="9">
        <v>5907</v>
      </c>
      <c r="AK35" s="10">
        <v>7</v>
      </c>
      <c r="AL35" s="9">
        <v>5063</v>
      </c>
      <c r="AM35" s="10">
        <v>6</v>
      </c>
      <c r="AN35" s="9">
        <v>5876</v>
      </c>
      <c r="AO35" s="10">
        <v>7</v>
      </c>
      <c r="AP35" s="9">
        <v>5853</v>
      </c>
      <c r="AQ35" s="10">
        <v>7</v>
      </c>
      <c r="AR35" s="9">
        <v>7526</v>
      </c>
      <c r="AS35" s="10">
        <v>9</v>
      </c>
      <c r="AT35" s="9">
        <v>6690</v>
      </c>
      <c r="AU35" s="10">
        <v>8</v>
      </c>
      <c r="AV35" s="9">
        <v>5840</v>
      </c>
      <c r="AW35" s="10">
        <v>7</v>
      </c>
      <c r="AX35" s="9">
        <v>6674</v>
      </c>
      <c r="AY35" s="10">
        <v>8</v>
      </c>
      <c r="AZ35" s="9">
        <v>5006</v>
      </c>
      <c r="BA35" s="10">
        <v>6</v>
      </c>
      <c r="BB35" s="9">
        <v>10846</v>
      </c>
      <c r="BC35" s="10">
        <v>13</v>
      </c>
      <c r="BD35" s="9">
        <v>5840</v>
      </c>
      <c r="BE35" s="10">
        <v>7</v>
      </c>
      <c r="BF35" s="9">
        <v>6769</v>
      </c>
      <c r="BG35" s="10">
        <v>8</v>
      </c>
      <c r="BH35" s="9">
        <v>10969</v>
      </c>
      <c r="BI35" s="10">
        <v>13</v>
      </c>
      <c r="BJ35" s="9">
        <v>5907</v>
      </c>
      <c r="BK35" s="10">
        <v>7</v>
      </c>
      <c r="BL35" s="9">
        <v>5840</v>
      </c>
      <c r="BM35" s="10">
        <v>7</v>
      </c>
    </row>
    <row r="36" spans="1:65" ht="14.4">
      <c r="A36" s="2" t="s">
        <v>38</v>
      </c>
      <c r="B36" s="10" t="s">
        <v>104</v>
      </c>
      <c r="C36" s="11" t="s">
        <v>144</v>
      </c>
      <c r="D36" s="9">
        <v>0</v>
      </c>
      <c r="E36" s="10">
        <v>0</v>
      </c>
      <c r="F36" s="9">
        <v>0</v>
      </c>
      <c r="G36" s="10">
        <v>0</v>
      </c>
      <c r="H36" s="9">
        <v>0</v>
      </c>
      <c r="I36" s="10">
        <v>0</v>
      </c>
      <c r="J36" s="9">
        <v>0</v>
      </c>
      <c r="K36" s="10">
        <v>0</v>
      </c>
      <c r="L36" s="9">
        <v>0</v>
      </c>
      <c r="M36" s="10">
        <v>0</v>
      </c>
      <c r="N36" s="9">
        <v>0</v>
      </c>
      <c r="O36" s="10">
        <v>0</v>
      </c>
      <c r="P36" s="9">
        <v>0</v>
      </c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9">
        <v>0</v>
      </c>
      <c r="W36" s="10">
        <v>0</v>
      </c>
      <c r="X36" s="9">
        <v>0</v>
      </c>
      <c r="Y36" s="10">
        <v>0</v>
      </c>
      <c r="Z36" s="9">
        <v>0</v>
      </c>
      <c r="AA36" s="10">
        <v>0</v>
      </c>
      <c r="AB36" s="9">
        <v>0</v>
      </c>
      <c r="AC36" s="10">
        <v>0</v>
      </c>
      <c r="AD36" s="9">
        <v>0</v>
      </c>
      <c r="AE36" s="10">
        <v>0</v>
      </c>
      <c r="AF36" s="9">
        <v>0</v>
      </c>
      <c r="AG36" s="10">
        <v>0</v>
      </c>
      <c r="AH36" s="9">
        <v>0</v>
      </c>
      <c r="AI36" s="10">
        <v>0</v>
      </c>
      <c r="AJ36" s="9">
        <v>0</v>
      </c>
      <c r="AK36" s="10">
        <v>0</v>
      </c>
      <c r="AL36" s="9">
        <v>0</v>
      </c>
      <c r="AM36" s="10">
        <v>0</v>
      </c>
      <c r="AN36" s="9">
        <v>0</v>
      </c>
      <c r="AO36" s="10">
        <v>0</v>
      </c>
      <c r="AP36" s="9">
        <v>0</v>
      </c>
      <c r="AQ36" s="10">
        <v>0</v>
      </c>
      <c r="AR36" s="9">
        <v>0</v>
      </c>
      <c r="AS36" s="10">
        <v>0</v>
      </c>
      <c r="AT36" s="9">
        <v>0</v>
      </c>
      <c r="AU36" s="10">
        <v>0</v>
      </c>
      <c r="AV36" s="9">
        <v>0</v>
      </c>
      <c r="AW36" s="10">
        <v>0</v>
      </c>
      <c r="AX36" s="9">
        <v>0</v>
      </c>
      <c r="AY36" s="10">
        <v>0</v>
      </c>
      <c r="AZ36" s="9">
        <v>0</v>
      </c>
      <c r="BA36" s="10">
        <v>0</v>
      </c>
      <c r="BB36" s="9">
        <v>0</v>
      </c>
      <c r="BC36" s="10">
        <v>0</v>
      </c>
      <c r="BD36" s="9">
        <v>0</v>
      </c>
      <c r="BE36" s="10">
        <v>0</v>
      </c>
      <c r="BF36" s="9">
        <v>0</v>
      </c>
      <c r="BG36" s="10">
        <v>0</v>
      </c>
      <c r="BH36" s="9">
        <v>0</v>
      </c>
      <c r="BI36" s="10">
        <v>0</v>
      </c>
      <c r="BJ36" s="9">
        <v>0</v>
      </c>
      <c r="BK36" s="10">
        <v>0</v>
      </c>
      <c r="BL36" s="9">
        <v>0</v>
      </c>
      <c r="BM36" s="10">
        <v>0</v>
      </c>
    </row>
    <row r="37" spans="1:65" ht="14.4">
      <c r="A37" s="2" t="s">
        <v>40</v>
      </c>
      <c r="B37" s="10" t="s">
        <v>104</v>
      </c>
      <c r="C37" s="11" t="s">
        <v>143</v>
      </c>
      <c r="D37" s="9">
        <v>10148</v>
      </c>
      <c r="E37" s="10">
        <v>12</v>
      </c>
      <c r="F37" s="9">
        <v>5228</v>
      </c>
      <c r="G37" s="10">
        <v>6</v>
      </c>
      <c r="H37" s="9">
        <v>6806</v>
      </c>
      <c r="I37" s="10">
        <v>8</v>
      </c>
      <c r="J37" s="9">
        <v>8548</v>
      </c>
      <c r="K37" s="10">
        <v>10</v>
      </c>
      <c r="L37" s="9">
        <v>15358</v>
      </c>
      <c r="M37" s="10">
        <v>18</v>
      </c>
      <c r="N37" s="9">
        <v>14441</v>
      </c>
      <c r="O37" s="10">
        <v>17</v>
      </c>
      <c r="P37" s="9">
        <v>10126</v>
      </c>
      <c r="Q37" s="10">
        <v>12</v>
      </c>
      <c r="R37" s="9">
        <v>16087</v>
      </c>
      <c r="S37" s="10">
        <v>19</v>
      </c>
      <c r="T37" s="9">
        <v>5118</v>
      </c>
      <c r="U37" s="10">
        <v>6</v>
      </c>
      <c r="V37" s="9">
        <v>10969</v>
      </c>
      <c r="W37" s="10">
        <v>13</v>
      </c>
      <c r="X37" s="9">
        <v>14400</v>
      </c>
      <c r="Y37" s="10">
        <v>17</v>
      </c>
      <c r="Z37" s="9">
        <v>12823</v>
      </c>
      <c r="AA37" s="10">
        <v>15</v>
      </c>
      <c r="AB37" s="9">
        <v>10199</v>
      </c>
      <c r="AC37" s="10">
        <v>12</v>
      </c>
      <c r="AD37" s="9">
        <v>16253</v>
      </c>
      <c r="AE37" s="10">
        <v>19</v>
      </c>
      <c r="AF37" s="9">
        <v>9447</v>
      </c>
      <c r="AG37" s="10">
        <v>11</v>
      </c>
      <c r="AH37" s="9">
        <v>10291</v>
      </c>
      <c r="AI37" s="10">
        <v>12</v>
      </c>
      <c r="AJ37" s="9">
        <v>8548</v>
      </c>
      <c r="AK37" s="10">
        <v>10</v>
      </c>
      <c r="AL37" s="9">
        <v>7815</v>
      </c>
      <c r="AM37" s="10">
        <v>9</v>
      </c>
      <c r="AN37" s="9">
        <v>10166</v>
      </c>
      <c r="AO37" s="10">
        <v>12</v>
      </c>
      <c r="AP37" s="9">
        <v>10996</v>
      </c>
      <c r="AQ37" s="10">
        <v>13</v>
      </c>
      <c r="AR37" s="9">
        <v>12606</v>
      </c>
      <c r="AS37" s="10">
        <v>15</v>
      </c>
      <c r="AT37" s="9">
        <v>11059</v>
      </c>
      <c r="AU37" s="10">
        <v>13</v>
      </c>
      <c r="AV37" s="9">
        <v>7573</v>
      </c>
      <c r="AW37" s="10">
        <v>9</v>
      </c>
      <c r="AX37" s="9">
        <v>9307</v>
      </c>
      <c r="AY37" s="10">
        <v>11</v>
      </c>
      <c r="AZ37" s="9">
        <v>9053</v>
      </c>
      <c r="BA37" s="10">
        <v>11</v>
      </c>
      <c r="BB37" s="9">
        <v>12958</v>
      </c>
      <c r="BC37" s="10">
        <v>19</v>
      </c>
      <c r="BD37" s="9">
        <v>13147</v>
      </c>
      <c r="BE37" s="10">
        <v>19</v>
      </c>
      <c r="BF37" s="9">
        <v>19374</v>
      </c>
      <c r="BG37" s="10">
        <v>28</v>
      </c>
      <c r="BH37" s="9">
        <v>13147</v>
      </c>
      <c r="BI37" s="10">
        <v>19</v>
      </c>
      <c r="BJ37" s="9">
        <v>11071</v>
      </c>
      <c r="BK37" s="10">
        <v>16</v>
      </c>
      <c r="BL37" s="9">
        <v>7573</v>
      </c>
      <c r="BM37" s="10">
        <v>9</v>
      </c>
    </row>
    <row r="38" spans="1:65" ht="14.4">
      <c r="A38" s="2" t="s">
        <v>86</v>
      </c>
      <c r="B38" s="10" t="s">
        <v>104</v>
      </c>
      <c r="C38" s="11" t="s">
        <v>144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538</v>
      </c>
      <c r="K38" s="10">
        <v>2</v>
      </c>
      <c r="L38" s="9">
        <v>0</v>
      </c>
      <c r="M38" s="10">
        <v>0</v>
      </c>
      <c r="N38" s="9">
        <v>0</v>
      </c>
      <c r="O38" s="10">
        <v>0</v>
      </c>
      <c r="P38" s="9">
        <v>309</v>
      </c>
      <c r="Q38" s="10">
        <v>1</v>
      </c>
      <c r="R38" s="9">
        <v>0</v>
      </c>
      <c r="S38" s="10">
        <v>0</v>
      </c>
      <c r="T38" s="9">
        <v>0</v>
      </c>
      <c r="U38" s="10">
        <v>0</v>
      </c>
      <c r="V38" s="9">
        <v>0</v>
      </c>
      <c r="W38" s="10">
        <v>0</v>
      </c>
      <c r="X38" s="9">
        <v>269</v>
      </c>
      <c r="Y38" s="10">
        <v>1</v>
      </c>
      <c r="Z38" s="9">
        <v>0</v>
      </c>
      <c r="AA38" s="10">
        <v>0</v>
      </c>
      <c r="AB38" s="9">
        <v>269</v>
      </c>
      <c r="AC38" s="10">
        <v>1</v>
      </c>
      <c r="AD38" s="9">
        <v>0</v>
      </c>
      <c r="AE38" s="10">
        <v>0</v>
      </c>
      <c r="AF38" s="9">
        <v>0</v>
      </c>
      <c r="AG38" s="10">
        <v>0</v>
      </c>
      <c r="AH38" s="9">
        <v>0</v>
      </c>
      <c r="AI38" s="10">
        <v>0</v>
      </c>
      <c r="AJ38" s="9">
        <v>0</v>
      </c>
      <c r="AK38" s="10">
        <v>0</v>
      </c>
      <c r="AL38" s="9">
        <v>0</v>
      </c>
      <c r="AM38" s="10">
        <v>0</v>
      </c>
      <c r="AN38" s="9">
        <v>1216</v>
      </c>
      <c r="AO38" s="10">
        <v>4</v>
      </c>
      <c r="AP38" s="9">
        <v>0</v>
      </c>
      <c r="AQ38" s="10">
        <v>0</v>
      </c>
      <c r="AR38" s="9">
        <v>309</v>
      </c>
      <c r="AS38" s="10">
        <v>1</v>
      </c>
      <c r="AT38" s="9">
        <v>0</v>
      </c>
      <c r="AU38" s="10">
        <v>0</v>
      </c>
      <c r="AV38" s="9">
        <v>269</v>
      </c>
      <c r="AW38" s="10">
        <v>1</v>
      </c>
      <c r="AX38" s="9">
        <v>269</v>
      </c>
      <c r="AY38" s="10">
        <v>1</v>
      </c>
      <c r="AZ38" s="9">
        <v>0</v>
      </c>
      <c r="BA38" s="10">
        <v>0</v>
      </c>
      <c r="BB38" s="9">
        <v>0</v>
      </c>
      <c r="BC38" s="10">
        <v>0</v>
      </c>
      <c r="BD38" s="9">
        <v>269</v>
      </c>
      <c r="BE38" s="10">
        <v>1</v>
      </c>
      <c r="BF38" s="9">
        <v>0</v>
      </c>
      <c r="BG38" s="10">
        <v>0</v>
      </c>
      <c r="BH38" s="9">
        <v>0</v>
      </c>
      <c r="BI38" s="10">
        <v>0</v>
      </c>
      <c r="BJ38" s="9">
        <v>-267</v>
      </c>
      <c r="BK38" s="10">
        <v>-1</v>
      </c>
      <c r="BL38" s="9">
        <v>269</v>
      </c>
      <c r="BM38" s="10">
        <v>1</v>
      </c>
    </row>
    <row r="39" spans="1:65" ht="14.4">
      <c r="A39" s="2" t="s">
        <v>20</v>
      </c>
      <c r="B39" s="10" t="s">
        <v>104</v>
      </c>
      <c r="C39" s="11" t="s">
        <v>142</v>
      </c>
      <c r="D39" s="9">
        <v>2716</v>
      </c>
      <c r="E39" s="10">
        <v>4</v>
      </c>
      <c r="F39" s="9">
        <v>3395</v>
      </c>
      <c r="G39" s="10">
        <v>5</v>
      </c>
      <c r="H39" s="9">
        <v>2037</v>
      </c>
      <c r="I39" s="10">
        <v>3</v>
      </c>
      <c r="J39" s="9">
        <v>2037</v>
      </c>
      <c r="K39" s="10">
        <v>3</v>
      </c>
      <c r="L39" s="9">
        <v>2037</v>
      </c>
      <c r="M39" s="10">
        <v>3</v>
      </c>
      <c r="N39" s="9">
        <v>4753</v>
      </c>
      <c r="O39" s="10">
        <v>7</v>
      </c>
      <c r="P39" s="9">
        <v>4074</v>
      </c>
      <c r="Q39" s="10">
        <v>6</v>
      </c>
      <c r="R39" s="9">
        <v>4074</v>
      </c>
      <c r="S39" s="10">
        <v>6</v>
      </c>
      <c r="T39" s="9">
        <v>1358</v>
      </c>
      <c r="U39" s="10">
        <v>2</v>
      </c>
      <c r="V39" s="9">
        <v>2037</v>
      </c>
      <c r="W39" s="10">
        <v>3</v>
      </c>
      <c r="X39" s="9">
        <v>2716</v>
      </c>
      <c r="Y39" s="10">
        <v>4</v>
      </c>
      <c r="Z39" s="9">
        <v>3395</v>
      </c>
      <c r="AA39" s="10">
        <v>5</v>
      </c>
      <c r="AB39" s="9">
        <v>2007</v>
      </c>
      <c r="AC39" s="10">
        <v>3</v>
      </c>
      <c r="AD39" s="9">
        <v>4543</v>
      </c>
      <c r="AE39" s="10">
        <v>7</v>
      </c>
      <c r="AF39" s="9">
        <v>7788</v>
      </c>
      <c r="AG39" s="10">
        <v>12</v>
      </c>
      <c r="AH39" s="9">
        <v>3245</v>
      </c>
      <c r="AI39" s="10">
        <v>5</v>
      </c>
      <c r="AJ39" s="9">
        <v>5841</v>
      </c>
      <c r="AK39" s="10">
        <v>9</v>
      </c>
      <c r="AL39" s="9">
        <v>2596</v>
      </c>
      <c r="AM39" s="10">
        <v>4</v>
      </c>
      <c r="AN39" s="9">
        <v>5192</v>
      </c>
      <c r="AO39" s="10">
        <v>8</v>
      </c>
      <c r="AP39" s="9">
        <v>5192</v>
      </c>
      <c r="AQ39" s="10">
        <v>8</v>
      </c>
      <c r="AR39" s="9">
        <v>3894</v>
      </c>
      <c r="AS39" s="10">
        <v>6</v>
      </c>
      <c r="AT39" s="9">
        <v>6490</v>
      </c>
      <c r="AU39" s="10">
        <v>10</v>
      </c>
      <c r="AV39" s="9">
        <v>9735</v>
      </c>
      <c r="AW39" s="10">
        <v>15</v>
      </c>
      <c r="AX39" s="9">
        <v>12331</v>
      </c>
      <c r="AY39" s="10">
        <v>19</v>
      </c>
      <c r="AZ39" s="9">
        <v>5192</v>
      </c>
      <c r="BA39" s="10">
        <v>8</v>
      </c>
      <c r="BB39" s="9">
        <v>9086</v>
      </c>
      <c r="BC39" s="10">
        <v>14</v>
      </c>
      <c r="BD39" s="9">
        <v>5192</v>
      </c>
      <c r="BE39" s="10">
        <v>8</v>
      </c>
      <c r="BF39" s="9">
        <v>8985</v>
      </c>
      <c r="BG39" s="10">
        <v>15</v>
      </c>
      <c r="BH39" s="9">
        <v>11381</v>
      </c>
      <c r="BI39" s="10">
        <v>19</v>
      </c>
      <c r="BJ39" s="9">
        <v>7787</v>
      </c>
      <c r="BK39" s="10">
        <v>13</v>
      </c>
      <c r="BL39" s="9">
        <v>9735</v>
      </c>
      <c r="BM39" s="10">
        <v>15</v>
      </c>
    </row>
    <row r="40" spans="1:65" ht="14.4">
      <c r="A40" s="2" t="s">
        <v>7</v>
      </c>
      <c r="B40" s="10" t="s">
        <v>104</v>
      </c>
      <c r="C40" s="11" t="s">
        <v>144</v>
      </c>
      <c r="D40" s="9">
        <v>16450</v>
      </c>
      <c r="E40" s="10">
        <v>33</v>
      </c>
      <c r="F40" s="9">
        <v>15769</v>
      </c>
      <c r="G40" s="10">
        <v>32</v>
      </c>
      <c r="H40" s="9">
        <v>19212</v>
      </c>
      <c r="I40" s="10">
        <v>39</v>
      </c>
      <c r="J40" s="9">
        <v>24138</v>
      </c>
      <c r="K40" s="10">
        <v>49</v>
      </c>
      <c r="L40" s="9">
        <v>21245</v>
      </c>
      <c r="M40" s="10">
        <v>43</v>
      </c>
      <c r="N40" s="9">
        <v>22283</v>
      </c>
      <c r="O40" s="10">
        <v>45</v>
      </c>
      <c r="P40" s="9">
        <v>20197</v>
      </c>
      <c r="Q40" s="10">
        <v>41</v>
      </c>
      <c r="R40" s="9">
        <v>17734</v>
      </c>
      <c r="S40" s="10">
        <v>36</v>
      </c>
      <c r="T40" s="9">
        <v>20197</v>
      </c>
      <c r="U40" s="10">
        <v>41</v>
      </c>
      <c r="V40" s="9">
        <v>24138</v>
      </c>
      <c r="W40" s="10">
        <v>49</v>
      </c>
      <c r="X40" s="9">
        <v>24631</v>
      </c>
      <c r="Y40" s="10">
        <v>50</v>
      </c>
      <c r="Z40" s="9">
        <v>13793</v>
      </c>
      <c r="AA40" s="10">
        <v>28</v>
      </c>
      <c r="AB40" s="9">
        <v>17242</v>
      </c>
      <c r="AC40" s="10">
        <v>35</v>
      </c>
      <c r="AD40" s="9">
        <v>14778</v>
      </c>
      <c r="AE40" s="10">
        <v>30</v>
      </c>
      <c r="AF40" s="9">
        <v>17734</v>
      </c>
      <c r="AG40" s="10">
        <v>36</v>
      </c>
      <c r="AH40" s="9">
        <v>15271</v>
      </c>
      <c r="AI40" s="10">
        <v>31</v>
      </c>
      <c r="AJ40" s="9">
        <v>24631</v>
      </c>
      <c r="AK40" s="10">
        <v>50</v>
      </c>
      <c r="AL40" s="9">
        <v>22660</v>
      </c>
      <c r="AM40" s="10">
        <v>46</v>
      </c>
      <c r="AN40" s="9">
        <v>23645</v>
      </c>
      <c r="AO40" s="10">
        <v>48</v>
      </c>
      <c r="AP40" s="9">
        <v>23153</v>
      </c>
      <c r="AQ40" s="10">
        <v>47</v>
      </c>
      <c r="AR40" s="9">
        <v>27094</v>
      </c>
      <c r="AS40" s="10">
        <v>55</v>
      </c>
      <c r="AT40" s="9">
        <v>38441</v>
      </c>
      <c r="AU40" s="10">
        <v>78</v>
      </c>
      <c r="AV40" s="9">
        <v>43964</v>
      </c>
      <c r="AW40" s="10">
        <v>91</v>
      </c>
      <c r="AX40" s="9">
        <v>50245</v>
      </c>
      <c r="AY40" s="10">
        <v>104</v>
      </c>
      <c r="AZ40" s="9">
        <v>31403</v>
      </c>
      <c r="BA40" s="10">
        <v>65</v>
      </c>
      <c r="BB40" s="9">
        <v>30437</v>
      </c>
      <c r="BC40" s="10">
        <v>63</v>
      </c>
      <c r="BD40" s="9">
        <v>34785</v>
      </c>
      <c r="BE40" s="10">
        <v>72</v>
      </c>
      <c r="BF40" s="9">
        <v>29631</v>
      </c>
      <c r="BG40" s="10">
        <v>60</v>
      </c>
      <c r="BH40" s="9">
        <v>27586</v>
      </c>
      <c r="BI40" s="10">
        <v>56</v>
      </c>
      <c r="BJ40" s="9">
        <v>21182</v>
      </c>
      <c r="BK40" s="10">
        <v>43</v>
      </c>
      <c r="BL40" s="9">
        <v>43964</v>
      </c>
      <c r="BM40" s="10">
        <v>91</v>
      </c>
    </row>
    <row r="41" spans="1:65" ht="14.4">
      <c r="A41" s="2" t="s">
        <v>68</v>
      </c>
      <c r="B41" s="10" t="s">
        <v>104</v>
      </c>
      <c r="C41" s="11" t="s">
        <v>143</v>
      </c>
      <c r="D41" s="9">
        <v>227</v>
      </c>
      <c r="E41" s="10">
        <v>1</v>
      </c>
      <c r="F41" s="9">
        <v>0</v>
      </c>
      <c r="G41" s="10">
        <v>0</v>
      </c>
      <c r="H41" s="9">
        <v>359</v>
      </c>
      <c r="I41" s="10">
        <v>2</v>
      </c>
      <c r="J41" s="9">
        <v>0</v>
      </c>
      <c r="K41" s="10">
        <v>0</v>
      </c>
      <c r="L41" s="9">
        <v>0</v>
      </c>
      <c r="M41" s="10">
        <v>0</v>
      </c>
      <c r="N41" s="9">
        <v>362</v>
      </c>
      <c r="O41" s="10">
        <v>2</v>
      </c>
      <c r="P41" s="9">
        <v>0</v>
      </c>
      <c r="Q41" s="10">
        <v>0</v>
      </c>
      <c r="R41" s="9">
        <v>179</v>
      </c>
      <c r="S41" s="10">
        <v>1</v>
      </c>
      <c r="T41" s="9">
        <v>179</v>
      </c>
      <c r="U41" s="10">
        <v>1</v>
      </c>
      <c r="V41" s="9">
        <v>179</v>
      </c>
      <c r="W41" s="10">
        <v>1</v>
      </c>
      <c r="X41" s="9">
        <v>0</v>
      </c>
      <c r="Y41" s="10">
        <v>0</v>
      </c>
      <c r="Z41" s="9">
        <v>179</v>
      </c>
      <c r="AA41" s="10">
        <v>1</v>
      </c>
      <c r="AB41" s="9">
        <v>179</v>
      </c>
      <c r="AC41" s="10">
        <v>1</v>
      </c>
      <c r="AD41" s="9">
        <v>0</v>
      </c>
      <c r="AE41" s="10">
        <v>0</v>
      </c>
      <c r="AF41" s="9">
        <v>0</v>
      </c>
      <c r="AG41" s="10">
        <v>0</v>
      </c>
      <c r="AH41" s="9">
        <v>179</v>
      </c>
      <c r="AI41" s="10">
        <v>1</v>
      </c>
      <c r="AJ41" s="9">
        <v>0</v>
      </c>
      <c r="AK41" s="10">
        <v>0</v>
      </c>
      <c r="AL41" s="9">
        <v>538</v>
      </c>
      <c r="AM41" s="10">
        <v>3</v>
      </c>
      <c r="AN41" s="9">
        <v>179</v>
      </c>
      <c r="AO41" s="10">
        <v>1</v>
      </c>
      <c r="AP41" s="9">
        <v>172</v>
      </c>
      <c r="AQ41" s="10">
        <v>1</v>
      </c>
      <c r="AR41" s="9">
        <v>0</v>
      </c>
      <c r="AS41" s="10">
        <v>0</v>
      </c>
      <c r="AT41" s="9">
        <v>172</v>
      </c>
      <c r="AU41" s="10">
        <v>1</v>
      </c>
      <c r="AV41" s="9">
        <v>170</v>
      </c>
      <c r="AW41" s="10">
        <v>1</v>
      </c>
      <c r="AX41" s="9">
        <v>170</v>
      </c>
      <c r="AY41" s="10">
        <v>1</v>
      </c>
      <c r="AZ41" s="9">
        <v>340</v>
      </c>
      <c r="BA41" s="10">
        <v>2</v>
      </c>
      <c r="BB41" s="9">
        <v>0</v>
      </c>
      <c r="BC41" s="10">
        <v>0</v>
      </c>
      <c r="BD41" s="9">
        <v>0</v>
      </c>
      <c r="BE41" s="10">
        <v>0</v>
      </c>
      <c r="BF41" s="9">
        <v>402</v>
      </c>
      <c r="BG41" s="10">
        <v>2</v>
      </c>
      <c r="BH41" s="9">
        <v>0</v>
      </c>
      <c r="BI41" s="10">
        <v>0</v>
      </c>
      <c r="BJ41" s="9">
        <v>170</v>
      </c>
      <c r="BK41" s="10">
        <v>1</v>
      </c>
      <c r="BL41" s="9">
        <v>170</v>
      </c>
      <c r="BM41" s="10">
        <v>1</v>
      </c>
    </row>
    <row r="42" spans="1:65" ht="14.4">
      <c r="A42" s="2" t="s">
        <v>76</v>
      </c>
      <c r="B42" s="10" t="s">
        <v>104</v>
      </c>
      <c r="C42" s="11" t="s">
        <v>142</v>
      </c>
      <c r="D42" s="9">
        <v>21600</v>
      </c>
      <c r="E42" s="10">
        <v>160</v>
      </c>
      <c r="F42" s="9">
        <v>19035</v>
      </c>
      <c r="G42" s="10">
        <v>141</v>
      </c>
      <c r="H42" s="9">
        <v>18495</v>
      </c>
      <c r="I42" s="10">
        <v>137</v>
      </c>
      <c r="J42" s="9">
        <v>19170</v>
      </c>
      <c r="K42" s="10">
        <v>142</v>
      </c>
      <c r="L42" s="9">
        <v>15930</v>
      </c>
      <c r="M42" s="10">
        <v>118</v>
      </c>
      <c r="N42" s="9">
        <v>19049</v>
      </c>
      <c r="O42" s="10">
        <v>141</v>
      </c>
      <c r="P42" s="9">
        <v>20250</v>
      </c>
      <c r="Q42" s="10">
        <v>150</v>
      </c>
      <c r="R42" s="9">
        <v>20115</v>
      </c>
      <c r="S42" s="10">
        <v>149</v>
      </c>
      <c r="T42" s="9">
        <v>17955</v>
      </c>
      <c r="U42" s="10">
        <v>133</v>
      </c>
      <c r="V42" s="9">
        <v>20115</v>
      </c>
      <c r="W42" s="10">
        <v>149</v>
      </c>
      <c r="X42" s="9">
        <v>9720</v>
      </c>
      <c r="Y42" s="10">
        <v>72</v>
      </c>
      <c r="Z42" s="9">
        <v>675</v>
      </c>
      <c r="AA42" s="10">
        <v>5</v>
      </c>
      <c r="AB42" s="9">
        <v>2295</v>
      </c>
      <c r="AC42" s="10">
        <v>17</v>
      </c>
      <c r="AD42" s="9">
        <v>945</v>
      </c>
      <c r="AE42" s="10">
        <v>7</v>
      </c>
      <c r="AF42" s="9">
        <v>24030</v>
      </c>
      <c r="AG42" s="10">
        <v>178</v>
      </c>
      <c r="AH42" s="9">
        <v>29685</v>
      </c>
      <c r="AI42" s="10">
        <v>216</v>
      </c>
      <c r="AJ42" s="9">
        <v>34830</v>
      </c>
      <c r="AK42" s="10">
        <v>258</v>
      </c>
      <c r="AL42" s="9">
        <v>27540</v>
      </c>
      <c r="AM42" s="10">
        <v>204</v>
      </c>
      <c r="AN42" s="9">
        <v>26190</v>
      </c>
      <c r="AO42" s="10">
        <v>194</v>
      </c>
      <c r="AP42" s="9">
        <v>27270</v>
      </c>
      <c r="AQ42" s="10">
        <v>202</v>
      </c>
      <c r="AR42" s="9">
        <v>23909</v>
      </c>
      <c r="AS42" s="10">
        <v>177</v>
      </c>
      <c r="AT42" s="9">
        <v>32940</v>
      </c>
      <c r="AU42" s="10">
        <v>244</v>
      </c>
      <c r="AV42" s="9">
        <v>32265</v>
      </c>
      <c r="AW42" s="10">
        <v>239</v>
      </c>
      <c r="AX42" s="9">
        <v>25785</v>
      </c>
      <c r="AY42" s="10">
        <v>191</v>
      </c>
      <c r="AZ42" s="9">
        <v>20250</v>
      </c>
      <c r="BA42" s="10">
        <v>150</v>
      </c>
      <c r="BB42" s="9">
        <v>10530</v>
      </c>
      <c r="BC42" s="10">
        <v>78</v>
      </c>
      <c r="BD42" s="9">
        <v>8259</v>
      </c>
      <c r="BE42" s="10">
        <v>61</v>
      </c>
      <c r="BF42" s="9">
        <v>27369</v>
      </c>
      <c r="BG42" s="10">
        <v>212</v>
      </c>
      <c r="BH42" s="9">
        <v>30187</v>
      </c>
      <c r="BI42" s="10">
        <v>234</v>
      </c>
      <c r="BJ42" s="9">
        <v>27994</v>
      </c>
      <c r="BK42" s="10">
        <v>217</v>
      </c>
      <c r="BL42" s="9">
        <v>32265</v>
      </c>
      <c r="BM42" s="10">
        <v>239</v>
      </c>
    </row>
    <row r="43" spans="1:65" ht="14.4">
      <c r="A43" s="2" t="s">
        <v>67</v>
      </c>
      <c r="B43" s="10" t="s">
        <v>104</v>
      </c>
      <c r="C43" s="11" t="s">
        <v>144</v>
      </c>
      <c r="D43" s="9">
        <v>10148</v>
      </c>
      <c r="E43" s="10">
        <v>12</v>
      </c>
      <c r="F43" s="9">
        <v>5228</v>
      </c>
      <c r="G43" s="10">
        <v>6</v>
      </c>
      <c r="H43" s="9">
        <v>6806</v>
      </c>
      <c r="I43" s="10">
        <v>8</v>
      </c>
      <c r="J43" s="9">
        <v>8548</v>
      </c>
      <c r="K43" s="10">
        <v>10</v>
      </c>
      <c r="L43" s="9">
        <v>15358</v>
      </c>
      <c r="M43" s="10">
        <v>18</v>
      </c>
      <c r="N43" s="9">
        <v>14441</v>
      </c>
      <c r="O43" s="10">
        <v>17</v>
      </c>
      <c r="P43" s="9">
        <v>10126</v>
      </c>
      <c r="Q43" s="10">
        <v>12</v>
      </c>
      <c r="R43" s="9">
        <v>16087</v>
      </c>
      <c r="S43" s="10">
        <v>19</v>
      </c>
      <c r="T43" s="9">
        <v>5118</v>
      </c>
      <c r="U43" s="10">
        <v>6</v>
      </c>
      <c r="V43" s="9">
        <v>10969</v>
      </c>
      <c r="W43" s="10">
        <v>13</v>
      </c>
      <c r="X43" s="9">
        <v>14400</v>
      </c>
      <c r="Y43" s="10">
        <v>17</v>
      </c>
      <c r="Z43" s="9">
        <v>12823</v>
      </c>
      <c r="AA43" s="10">
        <v>15</v>
      </c>
      <c r="AB43" s="9">
        <v>10199</v>
      </c>
      <c r="AC43" s="10">
        <v>12</v>
      </c>
      <c r="AD43" s="9">
        <v>16253</v>
      </c>
      <c r="AE43" s="10">
        <v>19</v>
      </c>
      <c r="AF43" s="9">
        <v>9447</v>
      </c>
      <c r="AG43" s="10">
        <v>11</v>
      </c>
      <c r="AH43" s="9">
        <v>10291</v>
      </c>
      <c r="AI43" s="10">
        <v>12</v>
      </c>
      <c r="AJ43" s="9">
        <v>8548</v>
      </c>
      <c r="AK43" s="10">
        <v>10</v>
      </c>
      <c r="AL43" s="9">
        <v>7815</v>
      </c>
      <c r="AM43" s="10">
        <v>9</v>
      </c>
      <c r="AN43" s="9">
        <v>10166</v>
      </c>
      <c r="AO43" s="10">
        <v>12</v>
      </c>
      <c r="AP43" s="9">
        <v>10996</v>
      </c>
      <c r="AQ43" s="10">
        <v>13</v>
      </c>
      <c r="AR43" s="9">
        <v>12606</v>
      </c>
      <c r="AS43" s="10">
        <v>15</v>
      </c>
      <c r="AT43" s="9">
        <v>11059</v>
      </c>
      <c r="AU43" s="10">
        <v>13</v>
      </c>
      <c r="AV43" s="9">
        <v>7573</v>
      </c>
      <c r="AW43" s="10">
        <v>9</v>
      </c>
      <c r="AX43" s="9">
        <v>9307</v>
      </c>
      <c r="AY43" s="10">
        <v>11</v>
      </c>
      <c r="AZ43" s="9">
        <v>9053</v>
      </c>
      <c r="BA43" s="10">
        <v>11</v>
      </c>
      <c r="BB43" s="9">
        <v>12958</v>
      </c>
      <c r="BC43" s="10">
        <v>19</v>
      </c>
      <c r="BD43" s="9">
        <v>13147</v>
      </c>
      <c r="BE43" s="10">
        <v>19</v>
      </c>
      <c r="BF43" s="9">
        <v>19374</v>
      </c>
      <c r="BG43" s="10">
        <v>28</v>
      </c>
      <c r="BH43" s="9">
        <v>13147</v>
      </c>
      <c r="BI43" s="10">
        <v>19</v>
      </c>
      <c r="BJ43" s="9">
        <v>11071</v>
      </c>
      <c r="BK43" s="10">
        <v>16</v>
      </c>
      <c r="BL43" s="9">
        <v>7573</v>
      </c>
      <c r="BM43" s="10">
        <v>9</v>
      </c>
    </row>
    <row r="44" spans="1:65" ht="14.4">
      <c r="A44" s="2" t="s">
        <v>84</v>
      </c>
      <c r="B44" s="10" t="s">
        <v>104</v>
      </c>
      <c r="C44" s="11" t="s">
        <v>144</v>
      </c>
      <c r="D44" s="9">
        <v>0</v>
      </c>
      <c r="E44" s="10">
        <v>0</v>
      </c>
      <c r="F44" s="9">
        <v>632</v>
      </c>
      <c r="G44" s="10">
        <v>2</v>
      </c>
      <c r="H44" s="9">
        <v>0</v>
      </c>
      <c r="I44" s="10">
        <v>0</v>
      </c>
      <c r="J44" s="9">
        <v>0</v>
      </c>
      <c r="K44" s="10">
        <v>0</v>
      </c>
      <c r="L44" s="9">
        <v>316</v>
      </c>
      <c r="M44" s="10">
        <v>1</v>
      </c>
      <c r="N44" s="9">
        <v>632</v>
      </c>
      <c r="O44" s="10">
        <v>2</v>
      </c>
      <c r="P44" s="9">
        <v>672</v>
      </c>
      <c r="Q44" s="10">
        <v>2</v>
      </c>
      <c r="R44" s="9">
        <v>632</v>
      </c>
      <c r="S44" s="10">
        <v>2</v>
      </c>
      <c r="T44" s="9">
        <v>316</v>
      </c>
      <c r="U44" s="10">
        <v>1</v>
      </c>
      <c r="V44" s="9">
        <v>1304</v>
      </c>
      <c r="W44" s="10">
        <v>4</v>
      </c>
      <c r="X44" s="9">
        <v>316</v>
      </c>
      <c r="Y44" s="10">
        <v>1</v>
      </c>
      <c r="Z44" s="9">
        <v>672</v>
      </c>
      <c r="AA44" s="10">
        <v>2</v>
      </c>
      <c r="AB44" s="9">
        <v>632</v>
      </c>
      <c r="AC44" s="10">
        <v>2</v>
      </c>
      <c r="AD44" s="9">
        <v>712</v>
      </c>
      <c r="AE44" s="10">
        <v>2</v>
      </c>
      <c r="AF44" s="9">
        <v>1620</v>
      </c>
      <c r="AG44" s="10">
        <v>5</v>
      </c>
      <c r="AH44" s="9">
        <v>672</v>
      </c>
      <c r="AI44" s="10">
        <v>2</v>
      </c>
      <c r="AJ44" s="9">
        <v>316</v>
      </c>
      <c r="AK44" s="10">
        <v>1</v>
      </c>
      <c r="AL44" s="9">
        <v>2252</v>
      </c>
      <c r="AM44" s="10">
        <v>7</v>
      </c>
      <c r="AN44" s="9">
        <v>632</v>
      </c>
      <c r="AO44" s="10">
        <v>2</v>
      </c>
      <c r="AP44" s="9">
        <v>0</v>
      </c>
      <c r="AQ44" s="10">
        <v>0</v>
      </c>
      <c r="AR44" s="9">
        <v>672</v>
      </c>
      <c r="AS44" s="10">
        <v>2</v>
      </c>
      <c r="AT44" s="9">
        <v>948</v>
      </c>
      <c r="AU44" s="10">
        <v>3</v>
      </c>
      <c r="AV44" s="9">
        <v>0</v>
      </c>
      <c r="AW44" s="10">
        <v>0</v>
      </c>
      <c r="AX44" s="9">
        <v>0</v>
      </c>
      <c r="AY44" s="10">
        <v>0</v>
      </c>
      <c r="AZ44" s="9">
        <v>0</v>
      </c>
      <c r="BA44" s="10">
        <v>0</v>
      </c>
      <c r="BB44" s="9">
        <v>1896</v>
      </c>
      <c r="BC44" s="10">
        <v>6</v>
      </c>
      <c r="BD44" s="9">
        <v>316</v>
      </c>
      <c r="BE44" s="10">
        <v>1</v>
      </c>
      <c r="BF44" s="9">
        <v>672</v>
      </c>
      <c r="BG44" s="10">
        <v>2</v>
      </c>
      <c r="BH44" s="9">
        <v>316</v>
      </c>
      <c r="BI44" s="10">
        <v>1</v>
      </c>
      <c r="BJ44" s="9">
        <v>1304</v>
      </c>
      <c r="BK44" s="10">
        <v>4</v>
      </c>
      <c r="BL44" s="9">
        <v>0</v>
      </c>
      <c r="BM44" s="10">
        <v>0</v>
      </c>
    </row>
    <row r="45" spans="1:65" ht="14.4">
      <c r="A45" s="2" t="s">
        <v>95</v>
      </c>
      <c r="B45" s="10" t="s">
        <v>104</v>
      </c>
      <c r="C45" s="11" t="s">
        <v>142</v>
      </c>
      <c r="D45" s="9">
        <v>2739</v>
      </c>
      <c r="E45" s="10">
        <v>11</v>
      </c>
      <c r="F45" s="9">
        <v>2530</v>
      </c>
      <c r="G45" s="10">
        <v>10</v>
      </c>
      <c r="H45" s="9">
        <v>1823</v>
      </c>
      <c r="I45" s="10">
        <v>7</v>
      </c>
      <c r="J45" s="9">
        <v>1743</v>
      </c>
      <c r="K45" s="10">
        <v>7</v>
      </c>
      <c r="L45" s="9">
        <v>3526</v>
      </c>
      <c r="M45" s="10">
        <v>14</v>
      </c>
      <c r="N45" s="9">
        <v>3068</v>
      </c>
      <c r="O45" s="10">
        <v>12</v>
      </c>
      <c r="P45" s="9">
        <v>4353</v>
      </c>
      <c r="Q45" s="10">
        <v>17</v>
      </c>
      <c r="R45" s="9">
        <v>1245</v>
      </c>
      <c r="S45" s="10">
        <v>5</v>
      </c>
      <c r="T45" s="9">
        <v>3028</v>
      </c>
      <c r="U45" s="10">
        <v>12</v>
      </c>
      <c r="V45" s="9">
        <v>1823</v>
      </c>
      <c r="W45" s="10">
        <v>7</v>
      </c>
      <c r="X45" s="9">
        <v>1534</v>
      </c>
      <c r="Y45" s="10">
        <v>6</v>
      </c>
      <c r="Z45" s="9">
        <v>2241</v>
      </c>
      <c r="AA45" s="10">
        <v>9</v>
      </c>
      <c r="AB45" s="9">
        <v>1992</v>
      </c>
      <c r="AC45" s="10">
        <v>8</v>
      </c>
      <c r="AD45" s="9">
        <v>2321</v>
      </c>
      <c r="AE45" s="10">
        <v>9</v>
      </c>
      <c r="AF45" s="9">
        <v>2032</v>
      </c>
      <c r="AG45" s="10">
        <v>8</v>
      </c>
      <c r="AH45" s="9">
        <v>2281</v>
      </c>
      <c r="AI45" s="10">
        <v>9</v>
      </c>
      <c r="AJ45" s="9">
        <v>498</v>
      </c>
      <c r="AK45" s="10">
        <v>2</v>
      </c>
      <c r="AL45" s="9">
        <v>1534</v>
      </c>
      <c r="AM45" s="10">
        <v>6</v>
      </c>
      <c r="AN45" s="9">
        <v>2072</v>
      </c>
      <c r="AO45" s="10">
        <v>8</v>
      </c>
      <c r="AP45" s="9">
        <v>1036</v>
      </c>
      <c r="AQ45" s="10">
        <v>4</v>
      </c>
      <c r="AR45" s="9">
        <v>1343</v>
      </c>
      <c r="AS45" s="10">
        <v>3</v>
      </c>
      <c r="AT45" s="9">
        <v>0</v>
      </c>
      <c r="AU45" s="10">
        <v>0</v>
      </c>
      <c r="AV45" s="9">
        <v>0</v>
      </c>
      <c r="AW45" s="10">
        <v>0</v>
      </c>
      <c r="AX45" s="9">
        <v>0</v>
      </c>
      <c r="AY45" s="10">
        <v>0</v>
      </c>
      <c r="AZ45" s="9">
        <v>0</v>
      </c>
      <c r="BA45" s="10">
        <v>0</v>
      </c>
      <c r="BB45" s="9">
        <v>527</v>
      </c>
      <c r="BC45" s="10">
        <v>1</v>
      </c>
      <c r="BD45" s="9">
        <v>1054</v>
      </c>
      <c r="BE45" s="10">
        <v>2</v>
      </c>
      <c r="BF45" s="9">
        <v>0</v>
      </c>
      <c r="BG45" s="10">
        <v>0</v>
      </c>
      <c r="BH45" s="9">
        <v>0</v>
      </c>
      <c r="BI45" s="10">
        <v>0</v>
      </c>
      <c r="BJ45" s="9">
        <v>0</v>
      </c>
      <c r="BK45" s="10">
        <v>0</v>
      </c>
      <c r="BL45" s="9">
        <v>0</v>
      </c>
      <c r="BM45" s="10">
        <v>0</v>
      </c>
    </row>
    <row r="46" spans="1:65" ht="14.4">
      <c r="A46" s="2" t="s">
        <v>66</v>
      </c>
      <c r="B46" s="10" t="s">
        <v>104</v>
      </c>
      <c r="C46" s="11" t="s">
        <v>144</v>
      </c>
      <c r="D46" s="9">
        <v>3365</v>
      </c>
      <c r="E46" s="10">
        <v>11</v>
      </c>
      <c r="F46" s="9">
        <v>2360</v>
      </c>
      <c r="G46" s="10">
        <v>8</v>
      </c>
      <c r="H46" s="9">
        <v>4505</v>
      </c>
      <c r="I46" s="10">
        <v>15</v>
      </c>
      <c r="J46" s="9">
        <v>2775</v>
      </c>
      <c r="K46" s="10">
        <v>9</v>
      </c>
      <c r="L46" s="9">
        <v>3620</v>
      </c>
      <c r="M46" s="10">
        <v>12</v>
      </c>
      <c r="N46" s="9">
        <v>2735</v>
      </c>
      <c r="O46" s="10">
        <v>9</v>
      </c>
      <c r="P46" s="9">
        <v>2145</v>
      </c>
      <c r="Q46" s="10">
        <v>7</v>
      </c>
      <c r="R46" s="9">
        <v>4465</v>
      </c>
      <c r="S46" s="10">
        <v>15</v>
      </c>
      <c r="T46" s="9">
        <v>2735</v>
      </c>
      <c r="U46" s="10">
        <v>9</v>
      </c>
      <c r="V46" s="9">
        <v>2065</v>
      </c>
      <c r="W46" s="10">
        <v>7</v>
      </c>
      <c r="X46" s="9">
        <v>4130</v>
      </c>
      <c r="Y46" s="10">
        <v>14</v>
      </c>
      <c r="Z46" s="9">
        <v>3660</v>
      </c>
      <c r="AA46" s="10">
        <v>12</v>
      </c>
      <c r="AB46" s="9">
        <v>3580</v>
      </c>
      <c r="AC46" s="10">
        <v>12</v>
      </c>
      <c r="AD46" s="9">
        <v>1810</v>
      </c>
      <c r="AE46" s="10">
        <v>6</v>
      </c>
      <c r="AF46" s="9">
        <v>4290</v>
      </c>
      <c r="AG46" s="10">
        <v>14</v>
      </c>
      <c r="AH46" s="9">
        <v>2520</v>
      </c>
      <c r="AI46" s="10">
        <v>8</v>
      </c>
      <c r="AJ46" s="9">
        <v>3995</v>
      </c>
      <c r="AK46" s="10">
        <v>13</v>
      </c>
      <c r="AL46" s="9">
        <v>3190</v>
      </c>
      <c r="AM46" s="10">
        <v>10</v>
      </c>
      <c r="AN46" s="9">
        <v>3245</v>
      </c>
      <c r="AO46" s="10">
        <v>11</v>
      </c>
      <c r="AP46" s="9">
        <v>2440</v>
      </c>
      <c r="AQ46" s="10">
        <v>8</v>
      </c>
      <c r="AR46" s="9">
        <v>1730</v>
      </c>
      <c r="AS46" s="10">
        <v>6</v>
      </c>
      <c r="AT46" s="9">
        <v>1435</v>
      </c>
      <c r="AU46" s="10">
        <v>5</v>
      </c>
      <c r="AV46" s="9">
        <v>0</v>
      </c>
      <c r="AW46" s="10">
        <v>0</v>
      </c>
      <c r="AX46" s="9">
        <v>0</v>
      </c>
      <c r="AY46" s="10">
        <v>0</v>
      </c>
      <c r="AZ46" s="9">
        <v>598</v>
      </c>
      <c r="BA46" s="10">
        <v>2</v>
      </c>
      <c r="BB46" s="9">
        <v>6657</v>
      </c>
      <c r="BC46" s="10">
        <v>23</v>
      </c>
      <c r="BD46" s="9">
        <v>4783</v>
      </c>
      <c r="BE46" s="10">
        <v>17</v>
      </c>
      <c r="BF46" s="9">
        <v>5152</v>
      </c>
      <c r="BG46" s="10">
        <v>18</v>
      </c>
      <c r="BH46" s="9">
        <v>7075</v>
      </c>
      <c r="BI46" s="10">
        <v>25</v>
      </c>
      <c r="BJ46" s="9">
        <v>5830</v>
      </c>
      <c r="BK46" s="10">
        <v>20</v>
      </c>
      <c r="BL46" s="9">
        <v>0</v>
      </c>
      <c r="BM46" s="10">
        <v>0</v>
      </c>
    </row>
    <row r="47" spans="1:65" ht="14.4">
      <c r="A47" s="2" t="s">
        <v>85</v>
      </c>
      <c r="B47" s="10" t="s">
        <v>104</v>
      </c>
      <c r="C47" s="11" t="s">
        <v>142</v>
      </c>
      <c r="D47" s="9">
        <v>0</v>
      </c>
      <c r="E47" s="10">
        <v>0</v>
      </c>
      <c r="F47" s="9">
        <v>0</v>
      </c>
      <c r="G47" s="10">
        <v>0</v>
      </c>
      <c r="H47" s="9">
        <v>0</v>
      </c>
      <c r="I47" s="10">
        <v>0</v>
      </c>
      <c r="J47" s="9">
        <v>0</v>
      </c>
      <c r="K47" s="10">
        <v>0</v>
      </c>
      <c r="L47" s="9">
        <v>0</v>
      </c>
      <c r="M47" s="10">
        <v>0</v>
      </c>
      <c r="N47" s="9">
        <v>0</v>
      </c>
      <c r="O47" s="10">
        <v>0</v>
      </c>
      <c r="P47" s="9">
        <v>0</v>
      </c>
      <c r="Q47" s="10">
        <v>0</v>
      </c>
      <c r="R47" s="9">
        <v>0</v>
      </c>
      <c r="S47" s="10">
        <v>0</v>
      </c>
      <c r="T47" s="9">
        <v>0</v>
      </c>
      <c r="U47" s="10">
        <v>0</v>
      </c>
      <c r="V47" s="9">
        <v>0</v>
      </c>
      <c r="W47" s="10">
        <v>0</v>
      </c>
      <c r="X47" s="9">
        <v>0</v>
      </c>
      <c r="Y47" s="10">
        <v>0</v>
      </c>
      <c r="Z47" s="9">
        <v>0</v>
      </c>
      <c r="AA47" s="10">
        <v>0</v>
      </c>
      <c r="AB47" s="9">
        <v>0</v>
      </c>
      <c r="AC47" s="10">
        <v>0</v>
      </c>
      <c r="AD47" s="9">
        <v>0</v>
      </c>
      <c r="AE47" s="10">
        <v>0</v>
      </c>
      <c r="AF47" s="9">
        <v>0</v>
      </c>
      <c r="AG47" s="10">
        <v>0</v>
      </c>
      <c r="AH47" s="9">
        <v>0</v>
      </c>
      <c r="AI47" s="10">
        <v>0</v>
      </c>
      <c r="AJ47" s="9">
        <v>0</v>
      </c>
      <c r="AK47" s="10">
        <v>0</v>
      </c>
      <c r="AL47" s="9">
        <v>0</v>
      </c>
      <c r="AM47" s="10">
        <v>0</v>
      </c>
      <c r="AN47" s="9">
        <v>359</v>
      </c>
      <c r="AO47" s="10">
        <v>1</v>
      </c>
      <c r="AP47" s="9">
        <v>0</v>
      </c>
      <c r="AQ47" s="10">
        <v>0</v>
      </c>
      <c r="AR47" s="9">
        <v>0</v>
      </c>
      <c r="AS47" s="10">
        <v>0</v>
      </c>
      <c r="AT47" s="9">
        <v>0</v>
      </c>
      <c r="AU47" s="10">
        <v>0</v>
      </c>
      <c r="AV47" s="9">
        <v>0</v>
      </c>
      <c r="AW47" s="10">
        <v>0</v>
      </c>
      <c r="AX47" s="9">
        <v>0</v>
      </c>
      <c r="AY47" s="10">
        <v>0</v>
      </c>
      <c r="AZ47" s="9">
        <v>0</v>
      </c>
      <c r="BA47" s="10">
        <v>0</v>
      </c>
      <c r="BB47" s="9">
        <v>0</v>
      </c>
      <c r="BC47" s="10">
        <v>0</v>
      </c>
      <c r="BD47" s="9">
        <v>758</v>
      </c>
      <c r="BE47" s="10">
        <v>2</v>
      </c>
      <c r="BF47" s="9">
        <v>359</v>
      </c>
      <c r="BG47" s="10">
        <v>1</v>
      </c>
      <c r="BH47" s="9">
        <v>0</v>
      </c>
      <c r="BI47" s="10">
        <v>0</v>
      </c>
      <c r="BJ47" s="9">
        <v>0</v>
      </c>
      <c r="BK47" s="10">
        <v>0</v>
      </c>
      <c r="BL47" s="9">
        <v>0</v>
      </c>
      <c r="BM47" s="10">
        <v>0</v>
      </c>
    </row>
    <row r="48" spans="1:65" ht="14.4">
      <c r="A48" s="2" t="s">
        <v>19</v>
      </c>
      <c r="B48" s="10" t="s">
        <v>104</v>
      </c>
      <c r="C48" s="11" t="s">
        <v>143</v>
      </c>
      <c r="D48" s="9">
        <v>9087</v>
      </c>
      <c r="E48" s="10">
        <v>13</v>
      </c>
      <c r="F48" s="9">
        <v>6291</v>
      </c>
      <c r="G48" s="10">
        <v>9</v>
      </c>
      <c r="H48" s="9">
        <v>6990</v>
      </c>
      <c r="I48" s="10">
        <v>10</v>
      </c>
      <c r="J48" s="9">
        <v>8388</v>
      </c>
      <c r="K48" s="10">
        <v>12</v>
      </c>
      <c r="L48" s="9">
        <v>7689</v>
      </c>
      <c r="M48" s="10">
        <v>11</v>
      </c>
      <c r="N48" s="9">
        <v>7689</v>
      </c>
      <c r="O48" s="10">
        <v>11</v>
      </c>
      <c r="P48" s="9">
        <v>9087</v>
      </c>
      <c r="Q48" s="10">
        <v>13</v>
      </c>
      <c r="R48" s="9">
        <v>11184</v>
      </c>
      <c r="S48" s="10">
        <v>16</v>
      </c>
      <c r="T48" s="9">
        <v>11883</v>
      </c>
      <c r="U48" s="10">
        <v>17</v>
      </c>
      <c r="V48" s="9">
        <v>12582</v>
      </c>
      <c r="W48" s="10">
        <v>18</v>
      </c>
      <c r="X48" s="9">
        <v>11883</v>
      </c>
      <c r="Y48" s="10">
        <v>17</v>
      </c>
      <c r="Z48" s="9">
        <v>11883</v>
      </c>
      <c r="AA48" s="10">
        <v>17</v>
      </c>
      <c r="AB48" s="9">
        <v>10784</v>
      </c>
      <c r="AC48" s="10">
        <v>16</v>
      </c>
      <c r="AD48" s="9">
        <v>16874</v>
      </c>
      <c r="AE48" s="10">
        <v>26</v>
      </c>
      <c r="AF48" s="9">
        <v>12980</v>
      </c>
      <c r="AG48" s="10">
        <v>20</v>
      </c>
      <c r="AH48" s="9">
        <v>15856</v>
      </c>
      <c r="AI48" s="10">
        <v>24</v>
      </c>
      <c r="AJ48" s="9">
        <v>15576</v>
      </c>
      <c r="AK48" s="10">
        <v>24</v>
      </c>
      <c r="AL48" s="9">
        <v>13629</v>
      </c>
      <c r="AM48" s="10">
        <v>21</v>
      </c>
      <c r="AN48" s="9">
        <v>15576</v>
      </c>
      <c r="AO48" s="10">
        <v>24</v>
      </c>
      <c r="AP48" s="9">
        <v>18172</v>
      </c>
      <c r="AQ48" s="10">
        <v>28</v>
      </c>
      <c r="AR48" s="9">
        <v>11033</v>
      </c>
      <c r="AS48" s="10">
        <v>17</v>
      </c>
      <c r="AT48" s="9">
        <v>17523</v>
      </c>
      <c r="AU48" s="10">
        <v>27</v>
      </c>
      <c r="AV48" s="9">
        <v>22066</v>
      </c>
      <c r="AW48" s="10">
        <v>34</v>
      </c>
      <c r="AX48" s="9">
        <v>16225</v>
      </c>
      <c r="AY48" s="10">
        <v>25</v>
      </c>
      <c r="AZ48" s="9">
        <v>14927</v>
      </c>
      <c r="BA48" s="10">
        <v>23</v>
      </c>
      <c r="BB48" s="9">
        <v>18172</v>
      </c>
      <c r="BC48" s="10">
        <v>28</v>
      </c>
      <c r="BD48" s="9">
        <v>20119</v>
      </c>
      <c r="BE48" s="10">
        <v>31</v>
      </c>
      <c r="BF48" s="9">
        <v>23750</v>
      </c>
      <c r="BG48" s="10">
        <v>38</v>
      </c>
      <c r="BH48" s="9">
        <v>20000</v>
      </c>
      <c r="BI48" s="10">
        <v>32</v>
      </c>
      <c r="BJ48" s="9">
        <v>13750</v>
      </c>
      <c r="BK48" s="10">
        <v>22</v>
      </c>
      <c r="BL48" s="9">
        <v>22066</v>
      </c>
      <c r="BM48" s="10">
        <v>34</v>
      </c>
    </row>
    <row r="49" spans="1:65" ht="14.4">
      <c r="A49" s="2" t="s">
        <v>73</v>
      </c>
      <c r="B49" s="10" t="s">
        <v>104</v>
      </c>
      <c r="C49" s="11" t="s">
        <v>143</v>
      </c>
      <c r="D49" s="9">
        <v>227</v>
      </c>
      <c r="E49" s="10">
        <v>1</v>
      </c>
      <c r="F49" s="9">
        <v>0</v>
      </c>
      <c r="G49" s="10">
        <v>0</v>
      </c>
      <c r="H49" s="9">
        <v>359</v>
      </c>
      <c r="I49" s="10">
        <v>2</v>
      </c>
      <c r="J49" s="9">
        <v>0</v>
      </c>
      <c r="K49" s="10">
        <v>0</v>
      </c>
      <c r="L49" s="9">
        <v>0</v>
      </c>
      <c r="M49" s="10">
        <v>0</v>
      </c>
      <c r="N49" s="9">
        <v>362</v>
      </c>
      <c r="O49" s="10">
        <v>2</v>
      </c>
      <c r="P49" s="9">
        <v>0</v>
      </c>
      <c r="Q49" s="10">
        <v>0</v>
      </c>
      <c r="R49" s="9">
        <v>179</v>
      </c>
      <c r="S49" s="10">
        <v>1</v>
      </c>
      <c r="T49" s="9">
        <v>179</v>
      </c>
      <c r="U49" s="10">
        <v>1</v>
      </c>
      <c r="V49" s="9">
        <v>179</v>
      </c>
      <c r="W49" s="10">
        <v>1</v>
      </c>
      <c r="X49" s="9">
        <v>0</v>
      </c>
      <c r="Y49" s="10">
        <v>0</v>
      </c>
      <c r="Z49" s="9">
        <v>179</v>
      </c>
      <c r="AA49" s="10">
        <v>1</v>
      </c>
      <c r="AB49" s="9">
        <v>179</v>
      </c>
      <c r="AC49" s="10">
        <v>1</v>
      </c>
      <c r="AD49" s="9">
        <v>0</v>
      </c>
      <c r="AE49" s="10">
        <v>0</v>
      </c>
      <c r="AF49" s="9">
        <v>0</v>
      </c>
      <c r="AG49" s="10">
        <v>0</v>
      </c>
      <c r="AH49" s="9">
        <v>179</v>
      </c>
      <c r="AI49" s="10">
        <v>1</v>
      </c>
      <c r="AJ49" s="9">
        <v>0</v>
      </c>
      <c r="AK49" s="10">
        <v>0</v>
      </c>
      <c r="AL49" s="9">
        <v>538</v>
      </c>
      <c r="AM49" s="10">
        <v>3</v>
      </c>
      <c r="AN49" s="9">
        <v>179</v>
      </c>
      <c r="AO49" s="10">
        <v>1</v>
      </c>
      <c r="AP49" s="9">
        <v>172</v>
      </c>
      <c r="AQ49" s="10">
        <v>1</v>
      </c>
      <c r="AR49" s="9">
        <v>0</v>
      </c>
      <c r="AS49" s="10">
        <v>0</v>
      </c>
      <c r="AT49" s="9">
        <v>172</v>
      </c>
      <c r="AU49" s="10">
        <v>1</v>
      </c>
      <c r="AV49" s="9">
        <v>170</v>
      </c>
      <c r="AW49" s="10">
        <v>1</v>
      </c>
      <c r="AX49" s="9">
        <v>170</v>
      </c>
      <c r="AY49" s="10">
        <v>1</v>
      </c>
      <c r="AZ49" s="9">
        <v>340</v>
      </c>
      <c r="BA49" s="10">
        <v>2</v>
      </c>
      <c r="BB49" s="9">
        <v>0</v>
      </c>
      <c r="BC49" s="10">
        <v>0</v>
      </c>
      <c r="BD49" s="9">
        <v>0</v>
      </c>
      <c r="BE49" s="10">
        <v>0</v>
      </c>
      <c r="BF49" s="9">
        <v>402</v>
      </c>
      <c r="BG49" s="10">
        <v>2</v>
      </c>
      <c r="BH49" s="9">
        <v>0</v>
      </c>
      <c r="BI49" s="10">
        <v>0</v>
      </c>
      <c r="BJ49" s="9">
        <v>170</v>
      </c>
      <c r="BK49" s="10">
        <v>1</v>
      </c>
      <c r="BL49" s="9">
        <v>170</v>
      </c>
      <c r="BM49" s="10">
        <v>1</v>
      </c>
    </row>
    <row r="50" spans="1:65" ht="14.4">
      <c r="A50" s="2" t="s">
        <v>49</v>
      </c>
      <c r="B50" s="10" t="s">
        <v>104</v>
      </c>
      <c r="C50" s="11" t="s">
        <v>142</v>
      </c>
      <c r="D50" s="9">
        <v>0</v>
      </c>
      <c r="E50" s="10">
        <v>0</v>
      </c>
      <c r="F50" s="9">
        <v>0</v>
      </c>
      <c r="G50" s="10">
        <v>0</v>
      </c>
      <c r="H50" s="9">
        <v>0</v>
      </c>
      <c r="I50" s="10">
        <v>0</v>
      </c>
      <c r="J50" s="9">
        <v>0</v>
      </c>
      <c r="K50" s="10">
        <v>0</v>
      </c>
      <c r="L50" s="9">
        <v>0</v>
      </c>
      <c r="M50" s="10">
        <v>0</v>
      </c>
      <c r="N50" s="9">
        <v>0</v>
      </c>
      <c r="O50" s="10">
        <v>0</v>
      </c>
      <c r="P50" s="9">
        <v>0</v>
      </c>
      <c r="Q50" s="10">
        <v>0</v>
      </c>
      <c r="R50" s="9">
        <v>0</v>
      </c>
      <c r="S50" s="10">
        <v>0</v>
      </c>
      <c r="T50" s="9">
        <v>0</v>
      </c>
      <c r="U50" s="10">
        <v>0</v>
      </c>
      <c r="V50" s="9">
        <v>0</v>
      </c>
      <c r="W50" s="10">
        <v>0</v>
      </c>
      <c r="X50" s="9">
        <v>0</v>
      </c>
      <c r="Y50" s="10">
        <v>0</v>
      </c>
      <c r="Z50" s="9">
        <v>0</v>
      </c>
      <c r="AA50" s="10">
        <v>0</v>
      </c>
      <c r="AB50" s="9">
        <v>0</v>
      </c>
      <c r="AC50" s="10">
        <v>0</v>
      </c>
      <c r="AD50" s="9">
        <v>0</v>
      </c>
      <c r="AE50" s="10">
        <v>0</v>
      </c>
      <c r="AF50" s="9">
        <v>0</v>
      </c>
      <c r="AG50" s="10">
        <v>0</v>
      </c>
      <c r="AH50" s="9">
        <v>0</v>
      </c>
      <c r="AI50" s="10">
        <v>0</v>
      </c>
      <c r="AJ50" s="9">
        <v>0</v>
      </c>
      <c r="AK50" s="10">
        <v>0</v>
      </c>
      <c r="AL50" s="9">
        <v>479</v>
      </c>
      <c r="AM50" s="10">
        <v>1</v>
      </c>
      <c r="AN50" s="9">
        <v>0</v>
      </c>
      <c r="AO50" s="10">
        <v>0</v>
      </c>
      <c r="AP50" s="9">
        <v>0</v>
      </c>
      <c r="AQ50" s="10">
        <v>0</v>
      </c>
      <c r="AR50" s="9">
        <v>0</v>
      </c>
      <c r="AS50" s="10">
        <v>0</v>
      </c>
      <c r="AT50" s="9">
        <v>0</v>
      </c>
      <c r="AU50" s="10">
        <v>0</v>
      </c>
      <c r="AV50" s="9">
        <v>0</v>
      </c>
      <c r="AW50" s="10">
        <v>0</v>
      </c>
      <c r="AX50" s="9">
        <v>0</v>
      </c>
      <c r="AY50" s="10">
        <v>0</v>
      </c>
      <c r="AZ50" s="9">
        <v>0</v>
      </c>
      <c r="BA50" s="10">
        <v>0</v>
      </c>
      <c r="BB50" s="9">
        <v>0</v>
      </c>
      <c r="BC50" s="10">
        <v>0</v>
      </c>
      <c r="BD50" s="9">
        <v>0</v>
      </c>
      <c r="BE50" s="10">
        <v>0</v>
      </c>
      <c r="BF50" s="9">
        <v>0</v>
      </c>
      <c r="BG50" s="10">
        <v>0</v>
      </c>
      <c r="BH50" s="9">
        <v>0</v>
      </c>
      <c r="BI50" s="10">
        <v>0</v>
      </c>
      <c r="BJ50" s="9">
        <v>0</v>
      </c>
      <c r="BK50" s="10">
        <v>0</v>
      </c>
      <c r="BL50" s="9">
        <v>0</v>
      </c>
      <c r="BM50" s="10">
        <v>0</v>
      </c>
    </row>
    <row r="51" spans="1:65" ht="14.4">
      <c r="A51" s="2" t="s">
        <v>30</v>
      </c>
      <c r="B51" s="10" t="s">
        <v>104</v>
      </c>
      <c r="C51" s="11" t="s">
        <v>143</v>
      </c>
      <c r="D51" s="9">
        <v>10472</v>
      </c>
      <c r="E51" s="10">
        <v>17</v>
      </c>
      <c r="F51" s="9">
        <v>6776</v>
      </c>
      <c r="G51" s="10">
        <v>11</v>
      </c>
      <c r="H51" s="9">
        <v>7629</v>
      </c>
      <c r="I51" s="10">
        <v>12</v>
      </c>
      <c r="J51" s="9">
        <v>7392</v>
      </c>
      <c r="K51" s="10">
        <v>12</v>
      </c>
      <c r="L51" s="9">
        <v>8394</v>
      </c>
      <c r="M51" s="10">
        <v>16</v>
      </c>
      <c r="N51" s="9">
        <v>6120</v>
      </c>
      <c r="O51" s="10">
        <v>10</v>
      </c>
      <c r="P51" s="9">
        <v>11767</v>
      </c>
      <c r="Q51" s="10">
        <v>23</v>
      </c>
      <c r="R51" s="9">
        <v>8697</v>
      </c>
      <c r="S51" s="10">
        <v>17</v>
      </c>
      <c r="T51" s="9">
        <v>17394</v>
      </c>
      <c r="U51" s="10">
        <v>34</v>
      </c>
      <c r="V51" s="9">
        <v>9209</v>
      </c>
      <c r="W51" s="10">
        <v>18</v>
      </c>
      <c r="X51" s="9">
        <v>9720</v>
      </c>
      <c r="Y51" s="10">
        <v>19</v>
      </c>
      <c r="Z51" s="9">
        <v>14730</v>
      </c>
      <c r="AA51" s="10">
        <v>29</v>
      </c>
      <c r="AB51" s="9">
        <v>7181</v>
      </c>
      <c r="AC51" s="10">
        <v>14</v>
      </c>
      <c r="AD51" s="9">
        <v>12600</v>
      </c>
      <c r="AE51" s="10">
        <v>25</v>
      </c>
      <c r="AF51" s="9">
        <v>11592</v>
      </c>
      <c r="AG51" s="10">
        <v>23</v>
      </c>
      <c r="AH51" s="9">
        <v>12883</v>
      </c>
      <c r="AI51" s="10">
        <v>31</v>
      </c>
      <c r="AJ51" s="9">
        <v>11152</v>
      </c>
      <c r="AK51" s="10">
        <v>31</v>
      </c>
      <c r="AL51" s="9">
        <v>10072</v>
      </c>
      <c r="AM51" s="10">
        <v>28</v>
      </c>
      <c r="AN51" s="9">
        <v>13310</v>
      </c>
      <c r="AO51" s="10">
        <v>37</v>
      </c>
      <c r="AP51" s="9">
        <v>10792</v>
      </c>
      <c r="AQ51" s="10">
        <v>30</v>
      </c>
      <c r="AR51" s="9">
        <v>11871</v>
      </c>
      <c r="AS51" s="10">
        <v>33</v>
      </c>
      <c r="AT51" s="9">
        <v>12950</v>
      </c>
      <c r="AU51" s="10">
        <v>36</v>
      </c>
      <c r="AV51" s="9">
        <v>17986</v>
      </c>
      <c r="AW51" s="10">
        <v>50</v>
      </c>
      <c r="AX51" s="9">
        <v>15109</v>
      </c>
      <c r="AY51" s="10">
        <v>42</v>
      </c>
      <c r="AZ51" s="9">
        <v>14749</v>
      </c>
      <c r="BA51" s="10">
        <v>41</v>
      </c>
      <c r="BB51" s="9">
        <v>15828</v>
      </c>
      <c r="BC51" s="10">
        <v>44</v>
      </c>
      <c r="BD51" s="9">
        <v>19785</v>
      </c>
      <c r="BE51" s="10">
        <v>55</v>
      </c>
      <c r="BF51" s="9">
        <v>14749</v>
      </c>
      <c r="BG51" s="10">
        <v>41</v>
      </c>
      <c r="BH51" s="9">
        <v>14749</v>
      </c>
      <c r="BI51" s="10">
        <v>41</v>
      </c>
      <c r="BJ51" s="9">
        <v>14389</v>
      </c>
      <c r="BK51" s="10">
        <v>40</v>
      </c>
      <c r="BL51" s="9">
        <v>17986</v>
      </c>
      <c r="BM51" s="10">
        <v>50</v>
      </c>
    </row>
    <row r="52" spans="1:65" ht="14.4">
      <c r="A52" s="2" t="s">
        <v>57</v>
      </c>
      <c r="B52" s="10" t="s">
        <v>104</v>
      </c>
      <c r="C52" s="11" t="s">
        <v>144</v>
      </c>
      <c r="D52" s="9">
        <v>0</v>
      </c>
      <c r="E52" s="10">
        <v>0</v>
      </c>
      <c r="F52" s="9">
        <v>632</v>
      </c>
      <c r="G52" s="10">
        <v>2</v>
      </c>
      <c r="H52" s="9">
        <v>0</v>
      </c>
      <c r="I52" s="10">
        <v>0</v>
      </c>
      <c r="J52" s="9">
        <v>0</v>
      </c>
      <c r="K52" s="10">
        <v>0</v>
      </c>
      <c r="L52" s="9">
        <v>316</v>
      </c>
      <c r="M52" s="10">
        <v>1</v>
      </c>
      <c r="N52" s="9">
        <v>632</v>
      </c>
      <c r="O52" s="10">
        <v>2</v>
      </c>
      <c r="P52" s="9">
        <v>672</v>
      </c>
      <c r="Q52" s="10">
        <v>2</v>
      </c>
      <c r="R52" s="9">
        <v>632</v>
      </c>
      <c r="S52" s="10">
        <v>2</v>
      </c>
      <c r="T52" s="9">
        <v>316</v>
      </c>
      <c r="U52" s="10">
        <v>1</v>
      </c>
      <c r="V52" s="9">
        <v>1304</v>
      </c>
      <c r="W52" s="10">
        <v>4</v>
      </c>
      <c r="X52" s="9">
        <v>316</v>
      </c>
      <c r="Y52" s="10">
        <v>1</v>
      </c>
      <c r="Z52" s="9">
        <v>672</v>
      </c>
      <c r="AA52" s="10">
        <v>2</v>
      </c>
      <c r="AB52" s="9">
        <v>632</v>
      </c>
      <c r="AC52" s="10">
        <v>2</v>
      </c>
      <c r="AD52" s="9">
        <v>712</v>
      </c>
      <c r="AE52" s="10">
        <v>2</v>
      </c>
      <c r="AF52" s="9">
        <v>1620</v>
      </c>
      <c r="AG52" s="10">
        <v>5</v>
      </c>
      <c r="AH52" s="9">
        <v>672</v>
      </c>
      <c r="AI52" s="10">
        <v>2</v>
      </c>
      <c r="AJ52" s="9">
        <v>316</v>
      </c>
      <c r="AK52" s="10">
        <v>1</v>
      </c>
      <c r="AL52" s="9">
        <v>2252</v>
      </c>
      <c r="AM52" s="10">
        <v>7</v>
      </c>
      <c r="AN52" s="9">
        <v>632</v>
      </c>
      <c r="AO52" s="10">
        <v>2</v>
      </c>
      <c r="AP52" s="9">
        <v>0</v>
      </c>
      <c r="AQ52" s="10">
        <v>0</v>
      </c>
      <c r="AR52" s="9">
        <v>672</v>
      </c>
      <c r="AS52" s="10">
        <v>2</v>
      </c>
      <c r="AT52" s="9">
        <v>948</v>
      </c>
      <c r="AU52" s="10">
        <v>3</v>
      </c>
      <c r="AV52" s="9">
        <v>0</v>
      </c>
      <c r="AW52" s="10">
        <v>0</v>
      </c>
      <c r="AX52" s="9">
        <v>0</v>
      </c>
      <c r="AY52" s="10">
        <v>0</v>
      </c>
      <c r="AZ52" s="9">
        <v>0</v>
      </c>
      <c r="BA52" s="10">
        <v>0</v>
      </c>
      <c r="BB52" s="9">
        <v>1896</v>
      </c>
      <c r="BC52" s="10">
        <v>6</v>
      </c>
      <c r="BD52" s="9">
        <v>316</v>
      </c>
      <c r="BE52" s="10">
        <v>1</v>
      </c>
      <c r="BF52" s="9">
        <v>672</v>
      </c>
      <c r="BG52" s="10">
        <v>2</v>
      </c>
      <c r="BH52" s="9">
        <v>316</v>
      </c>
      <c r="BI52" s="10">
        <v>1</v>
      </c>
      <c r="BJ52" s="9">
        <v>1304</v>
      </c>
      <c r="BK52" s="10">
        <v>4</v>
      </c>
      <c r="BL52" s="9">
        <v>0</v>
      </c>
      <c r="BM52" s="10">
        <v>0</v>
      </c>
    </row>
    <row r="53" spans="1:65" ht="14.4">
      <c r="A53" s="2" t="s">
        <v>77</v>
      </c>
      <c r="B53" s="10" t="s">
        <v>104</v>
      </c>
      <c r="C53" s="11" t="s">
        <v>143</v>
      </c>
      <c r="D53" s="9">
        <v>0</v>
      </c>
      <c r="E53" s="10">
        <v>0</v>
      </c>
      <c r="F53" s="9">
        <v>0</v>
      </c>
      <c r="G53" s="10">
        <v>0</v>
      </c>
      <c r="H53" s="9">
        <v>0</v>
      </c>
      <c r="I53" s="10">
        <v>0</v>
      </c>
      <c r="J53" s="9">
        <v>538</v>
      </c>
      <c r="K53" s="10">
        <v>2</v>
      </c>
      <c r="L53" s="9">
        <v>0</v>
      </c>
      <c r="M53" s="10">
        <v>0</v>
      </c>
      <c r="N53" s="9">
        <v>0</v>
      </c>
      <c r="O53" s="10">
        <v>0</v>
      </c>
      <c r="P53" s="9">
        <v>309</v>
      </c>
      <c r="Q53" s="10">
        <v>1</v>
      </c>
      <c r="R53" s="9">
        <v>0</v>
      </c>
      <c r="S53" s="10">
        <v>0</v>
      </c>
      <c r="T53" s="9">
        <v>0</v>
      </c>
      <c r="U53" s="10">
        <v>0</v>
      </c>
      <c r="V53" s="9">
        <v>0</v>
      </c>
      <c r="W53" s="10">
        <v>0</v>
      </c>
      <c r="X53" s="9">
        <v>269</v>
      </c>
      <c r="Y53" s="10">
        <v>1</v>
      </c>
      <c r="Z53" s="9">
        <v>0</v>
      </c>
      <c r="AA53" s="10">
        <v>0</v>
      </c>
      <c r="AB53" s="9">
        <v>269</v>
      </c>
      <c r="AC53" s="10">
        <v>1</v>
      </c>
      <c r="AD53" s="9">
        <v>0</v>
      </c>
      <c r="AE53" s="10">
        <v>0</v>
      </c>
      <c r="AF53" s="9">
        <v>0</v>
      </c>
      <c r="AG53" s="10">
        <v>0</v>
      </c>
      <c r="AH53" s="9">
        <v>0</v>
      </c>
      <c r="AI53" s="10">
        <v>0</v>
      </c>
      <c r="AJ53" s="9">
        <v>0</v>
      </c>
      <c r="AK53" s="10">
        <v>0</v>
      </c>
      <c r="AL53" s="9">
        <v>0</v>
      </c>
      <c r="AM53" s="10">
        <v>0</v>
      </c>
      <c r="AN53" s="9">
        <v>1216</v>
      </c>
      <c r="AO53" s="10">
        <v>4</v>
      </c>
      <c r="AP53" s="9">
        <v>0</v>
      </c>
      <c r="AQ53" s="10">
        <v>0</v>
      </c>
      <c r="AR53" s="9">
        <v>309</v>
      </c>
      <c r="AS53" s="10">
        <v>1</v>
      </c>
      <c r="AT53" s="9">
        <v>0</v>
      </c>
      <c r="AU53" s="10">
        <v>0</v>
      </c>
      <c r="AV53" s="9">
        <v>269</v>
      </c>
      <c r="AW53" s="10">
        <v>1</v>
      </c>
      <c r="AX53" s="9">
        <v>269</v>
      </c>
      <c r="AY53" s="10">
        <v>1</v>
      </c>
      <c r="AZ53" s="9">
        <v>0</v>
      </c>
      <c r="BA53" s="10">
        <v>0</v>
      </c>
      <c r="BB53" s="9">
        <v>0</v>
      </c>
      <c r="BC53" s="10">
        <v>0</v>
      </c>
      <c r="BD53" s="9">
        <v>269</v>
      </c>
      <c r="BE53" s="10">
        <v>1</v>
      </c>
      <c r="BF53" s="9">
        <v>0</v>
      </c>
      <c r="BG53" s="10">
        <v>0</v>
      </c>
      <c r="BH53" s="9">
        <v>0</v>
      </c>
      <c r="BI53" s="10">
        <v>0</v>
      </c>
      <c r="BJ53" s="9">
        <v>-267</v>
      </c>
      <c r="BK53" s="10">
        <v>-1</v>
      </c>
      <c r="BL53" s="9">
        <v>269</v>
      </c>
      <c r="BM53" s="10">
        <v>1</v>
      </c>
    </row>
    <row r="54" spans="1:65" ht="14.4">
      <c r="A54" s="2" t="s">
        <v>16</v>
      </c>
      <c r="B54" s="10" t="s">
        <v>103</v>
      </c>
      <c r="C54" s="11" t="s">
        <v>151</v>
      </c>
      <c r="D54" s="9">
        <v>12552</v>
      </c>
      <c r="E54" s="10">
        <v>22</v>
      </c>
      <c r="F54" s="9">
        <v>13693</v>
      </c>
      <c r="G54" s="10">
        <v>24</v>
      </c>
      <c r="H54" s="9">
        <v>19969</v>
      </c>
      <c r="I54" s="10">
        <v>35</v>
      </c>
      <c r="J54" s="9">
        <v>14264</v>
      </c>
      <c r="K54" s="10">
        <v>25</v>
      </c>
      <c r="L54" s="9">
        <v>10840</v>
      </c>
      <c r="M54" s="10">
        <v>19</v>
      </c>
      <c r="N54" s="9">
        <v>7988</v>
      </c>
      <c r="O54" s="10">
        <v>14</v>
      </c>
      <c r="P54" s="9">
        <v>7988</v>
      </c>
      <c r="Q54" s="10">
        <v>14</v>
      </c>
      <c r="R54" s="9">
        <v>15405</v>
      </c>
      <c r="S54" s="10">
        <v>27</v>
      </c>
      <c r="T54" s="9">
        <v>11411</v>
      </c>
      <c r="U54" s="10">
        <v>20</v>
      </c>
      <c r="V54" s="9">
        <v>19969</v>
      </c>
      <c r="W54" s="10">
        <v>35</v>
      </c>
      <c r="X54" s="9">
        <v>11981</v>
      </c>
      <c r="Y54" s="10">
        <v>21</v>
      </c>
      <c r="Z54" s="9">
        <v>17687</v>
      </c>
      <c r="AA54" s="10">
        <v>31</v>
      </c>
      <c r="AB54" s="9">
        <v>19774</v>
      </c>
      <c r="AC54" s="10">
        <v>35</v>
      </c>
      <c r="AD54" s="9">
        <v>19531</v>
      </c>
      <c r="AE54" s="10">
        <v>35</v>
      </c>
      <c r="AF54" s="9">
        <v>9487</v>
      </c>
      <c r="AG54" s="10">
        <v>17</v>
      </c>
      <c r="AH54" s="9">
        <v>15754</v>
      </c>
      <c r="AI54" s="10">
        <v>28</v>
      </c>
      <c r="AJ54" s="9">
        <v>33482</v>
      </c>
      <c r="AK54" s="10">
        <v>60</v>
      </c>
      <c r="AL54" s="9">
        <v>18415</v>
      </c>
      <c r="AM54" s="10">
        <v>33</v>
      </c>
      <c r="AN54" s="9">
        <v>25670</v>
      </c>
      <c r="AO54" s="10">
        <v>46</v>
      </c>
      <c r="AP54" s="9">
        <v>27923</v>
      </c>
      <c r="AQ54" s="10">
        <v>50</v>
      </c>
      <c r="AR54" s="9">
        <v>15089</v>
      </c>
      <c r="AS54" s="10">
        <v>27</v>
      </c>
      <c r="AT54" s="9">
        <v>16183</v>
      </c>
      <c r="AU54" s="10">
        <v>29</v>
      </c>
      <c r="AV54" s="9">
        <v>36273</v>
      </c>
      <c r="AW54" s="10">
        <v>65</v>
      </c>
      <c r="AX54" s="9">
        <v>54130</v>
      </c>
      <c r="AY54" s="10">
        <v>97</v>
      </c>
      <c r="AZ54" s="9">
        <v>40737</v>
      </c>
      <c r="BA54" s="10">
        <v>73</v>
      </c>
      <c r="BB54" s="9">
        <v>41853</v>
      </c>
      <c r="BC54" s="10">
        <v>75</v>
      </c>
      <c r="BD54" s="9">
        <v>46317</v>
      </c>
      <c r="BE54" s="10">
        <v>83</v>
      </c>
      <c r="BF54" s="9">
        <v>62574</v>
      </c>
      <c r="BG54" s="10">
        <v>117</v>
      </c>
      <c r="BH54" s="9">
        <v>41181</v>
      </c>
      <c r="BI54" s="10">
        <v>77</v>
      </c>
      <c r="BJ54" s="9">
        <v>59365</v>
      </c>
      <c r="BK54" s="10">
        <v>111</v>
      </c>
      <c r="BL54" s="9">
        <v>36273</v>
      </c>
      <c r="BM54" s="10">
        <v>65</v>
      </c>
    </row>
    <row r="55" spans="1:65" ht="14.4">
      <c r="A55" s="2" t="s">
        <v>74</v>
      </c>
      <c r="B55" s="10" t="s">
        <v>103</v>
      </c>
      <c r="C55" s="11" t="s">
        <v>151</v>
      </c>
      <c r="D55" s="9">
        <v>1161</v>
      </c>
      <c r="E55" s="10">
        <v>9</v>
      </c>
      <c r="F55" s="9">
        <v>129</v>
      </c>
      <c r="G55" s="10">
        <v>1</v>
      </c>
      <c r="H55" s="9">
        <v>1161</v>
      </c>
      <c r="I55" s="10">
        <v>9</v>
      </c>
      <c r="J55" s="9">
        <v>1032</v>
      </c>
      <c r="K55" s="10">
        <v>8</v>
      </c>
      <c r="L55" s="9">
        <v>516</v>
      </c>
      <c r="M55" s="10">
        <v>4</v>
      </c>
      <c r="N55" s="9">
        <v>645</v>
      </c>
      <c r="O55" s="10">
        <v>5</v>
      </c>
      <c r="P55" s="9">
        <v>645</v>
      </c>
      <c r="Q55" s="10">
        <v>5</v>
      </c>
      <c r="R55" s="9">
        <v>1419</v>
      </c>
      <c r="S55" s="10">
        <v>11</v>
      </c>
      <c r="T55" s="9">
        <v>903</v>
      </c>
      <c r="U55" s="10">
        <v>7</v>
      </c>
      <c r="V55" s="9">
        <v>1032</v>
      </c>
      <c r="W55" s="10">
        <v>8</v>
      </c>
      <c r="X55" s="9">
        <v>645</v>
      </c>
      <c r="Y55" s="10">
        <v>5</v>
      </c>
      <c r="Z55" s="9">
        <v>387</v>
      </c>
      <c r="AA55" s="10">
        <v>3</v>
      </c>
      <c r="AB55" s="9">
        <v>1419</v>
      </c>
      <c r="AC55" s="10">
        <v>11</v>
      </c>
      <c r="AD55" s="9">
        <v>645</v>
      </c>
      <c r="AE55" s="10">
        <v>5</v>
      </c>
      <c r="AF55" s="9">
        <v>645</v>
      </c>
      <c r="AG55" s="10">
        <v>5</v>
      </c>
      <c r="AH55" s="9">
        <v>645</v>
      </c>
      <c r="AI55" s="10">
        <v>5</v>
      </c>
      <c r="AJ55" s="9">
        <v>1290</v>
      </c>
      <c r="AK55" s="10">
        <v>10</v>
      </c>
      <c r="AL55" s="9">
        <v>258</v>
      </c>
      <c r="AM55" s="10">
        <v>2</v>
      </c>
      <c r="AN55" s="9">
        <v>516</v>
      </c>
      <c r="AO55" s="10">
        <v>4</v>
      </c>
      <c r="AP55" s="9">
        <v>1806</v>
      </c>
      <c r="AQ55" s="10">
        <v>14</v>
      </c>
      <c r="AR55" s="9">
        <v>645</v>
      </c>
      <c r="AS55" s="10">
        <v>5</v>
      </c>
      <c r="AT55" s="9">
        <v>1419</v>
      </c>
      <c r="AU55" s="10">
        <v>11</v>
      </c>
      <c r="AV55" s="9">
        <v>2493</v>
      </c>
      <c r="AW55" s="10">
        <v>19</v>
      </c>
      <c r="AX55" s="9">
        <v>2064</v>
      </c>
      <c r="AY55" s="10">
        <v>16</v>
      </c>
      <c r="AZ55" s="9">
        <v>1161</v>
      </c>
      <c r="BA55" s="10">
        <v>9</v>
      </c>
      <c r="BB55" s="9">
        <v>1161</v>
      </c>
      <c r="BC55" s="10">
        <v>9</v>
      </c>
      <c r="BD55" s="9">
        <v>1719</v>
      </c>
      <c r="BE55" s="10">
        <v>13</v>
      </c>
      <c r="BF55" s="9">
        <v>595</v>
      </c>
      <c r="BG55" s="10">
        <v>5</v>
      </c>
      <c r="BH55" s="9">
        <v>833</v>
      </c>
      <c r="BI55" s="10">
        <v>7</v>
      </c>
      <c r="BJ55" s="9">
        <v>357</v>
      </c>
      <c r="BK55" s="10">
        <v>3</v>
      </c>
      <c r="BL55" s="9">
        <v>2493</v>
      </c>
      <c r="BM55" s="10">
        <v>19</v>
      </c>
    </row>
    <row r="56" spans="1:65" ht="14.4">
      <c r="A56" s="2" t="s">
        <v>35</v>
      </c>
      <c r="B56" s="10" t="s">
        <v>103</v>
      </c>
      <c r="C56" s="11" t="s">
        <v>146</v>
      </c>
      <c r="D56" s="9">
        <v>16512</v>
      </c>
      <c r="E56" s="10">
        <v>128</v>
      </c>
      <c r="F56" s="9">
        <v>18576</v>
      </c>
      <c r="G56" s="10">
        <v>144</v>
      </c>
      <c r="H56" s="9">
        <v>19737</v>
      </c>
      <c r="I56" s="10">
        <v>153</v>
      </c>
      <c r="J56" s="9">
        <v>19350</v>
      </c>
      <c r="K56" s="10">
        <v>150</v>
      </c>
      <c r="L56" s="9">
        <v>16125</v>
      </c>
      <c r="M56" s="10">
        <v>125</v>
      </c>
      <c r="N56" s="9">
        <v>17159</v>
      </c>
      <c r="O56" s="10">
        <v>133</v>
      </c>
      <c r="P56" s="9">
        <v>16512</v>
      </c>
      <c r="Q56" s="10">
        <v>128</v>
      </c>
      <c r="R56" s="9">
        <v>16383</v>
      </c>
      <c r="S56" s="10">
        <v>127</v>
      </c>
      <c r="T56" s="9">
        <v>22446</v>
      </c>
      <c r="U56" s="10">
        <v>174</v>
      </c>
      <c r="V56" s="9">
        <v>23736</v>
      </c>
      <c r="W56" s="10">
        <v>184</v>
      </c>
      <c r="X56" s="9">
        <v>20640</v>
      </c>
      <c r="Y56" s="10">
        <v>160</v>
      </c>
      <c r="Z56" s="9">
        <v>19737</v>
      </c>
      <c r="AA56" s="10">
        <v>153</v>
      </c>
      <c r="AB56" s="9">
        <v>22581</v>
      </c>
      <c r="AC56" s="10">
        <v>175</v>
      </c>
      <c r="AD56" s="9">
        <v>20640</v>
      </c>
      <c r="AE56" s="10">
        <v>160</v>
      </c>
      <c r="AF56" s="9">
        <v>21801</v>
      </c>
      <c r="AG56" s="10">
        <v>169</v>
      </c>
      <c r="AH56" s="9">
        <v>25596</v>
      </c>
      <c r="AI56" s="10">
        <v>198</v>
      </c>
      <c r="AJ56" s="9">
        <v>27606</v>
      </c>
      <c r="AK56" s="10">
        <v>214</v>
      </c>
      <c r="AL56" s="9">
        <v>21801</v>
      </c>
      <c r="AM56" s="10">
        <v>169</v>
      </c>
      <c r="AN56" s="9">
        <v>18576</v>
      </c>
      <c r="AO56" s="10">
        <v>144</v>
      </c>
      <c r="AP56" s="9">
        <v>21154</v>
      </c>
      <c r="AQ56" s="10">
        <v>164</v>
      </c>
      <c r="AR56" s="9">
        <v>21164</v>
      </c>
      <c r="AS56" s="10">
        <v>164</v>
      </c>
      <c r="AT56" s="9">
        <v>23349</v>
      </c>
      <c r="AU56" s="10">
        <v>181</v>
      </c>
      <c r="AV56" s="9">
        <v>25284</v>
      </c>
      <c r="AW56" s="10">
        <v>196</v>
      </c>
      <c r="AX56" s="9">
        <v>26961</v>
      </c>
      <c r="AY56" s="10">
        <v>209</v>
      </c>
      <c r="AZ56" s="9">
        <v>25026</v>
      </c>
      <c r="BA56" s="10">
        <v>194</v>
      </c>
      <c r="BB56" s="9">
        <v>25155</v>
      </c>
      <c r="BC56" s="10">
        <v>195</v>
      </c>
      <c r="BD56" s="9">
        <v>20507</v>
      </c>
      <c r="BE56" s="10">
        <v>159</v>
      </c>
      <c r="BF56" s="9">
        <v>23226</v>
      </c>
      <c r="BG56" s="10">
        <v>180</v>
      </c>
      <c r="BH56" s="9">
        <v>23349</v>
      </c>
      <c r="BI56" s="10">
        <v>181</v>
      </c>
      <c r="BJ56" s="9">
        <v>22704</v>
      </c>
      <c r="BK56" s="10">
        <v>176</v>
      </c>
      <c r="BL56" s="9">
        <v>25284</v>
      </c>
      <c r="BM56" s="10">
        <v>196</v>
      </c>
    </row>
    <row r="57" spans="1:65" ht="14.4">
      <c r="A57" s="2" t="s">
        <v>15</v>
      </c>
      <c r="B57" s="10" t="s">
        <v>103</v>
      </c>
      <c r="C57" s="11" t="s">
        <v>146</v>
      </c>
      <c r="D57" s="9">
        <v>597</v>
      </c>
      <c r="E57" s="10">
        <v>3</v>
      </c>
      <c r="F57" s="9">
        <v>1393</v>
      </c>
      <c r="G57" s="10">
        <v>7</v>
      </c>
      <c r="H57" s="9">
        <v>2388</v>
      </c>
      <c r="I57" s="10">
        <v>12</v>
      </c>
      <c r="J57" s="9">
        <v>1990</v>
      </c>
      <c r="K57" s="10">
        <v>10</v>
      </c>
      <c r="L57" s="9">
        <v>1592</v>
      </c>
      <c r="M57" s="10">
        <v>8</v>
      </c>
      <c r="N57" s="9">
        <v>1194</v>
      </c>
      <c r="O57" s="10">
        <v>6</v>
      </c>
      <c r="P57" s="9">
        <v>2786</v>
      </c>
      <c r="Q57" s="10">
        <v>14</v>
      </c>
      <c r="R57" s="9">
        <v>2587</v>
      </c>
      <c r="S57" s="10">
        <v>13</v>
      </c>
      <c r="T57" s="9">
        <v>5572</v>
      </c>
      <c r="U57" s="10">
        <v>28</v>
      </c>
      <c r="V57" s="9">
        <v>5174</v>
      </c>
      <c r="W57" s="10">
        <v>26</v>
      </c>
      <c r="X57" s="9">
        <v>2587</v>
      </c>
      <c r="Y57" s="10">
        <v>13</v>
      </c>
      <c r="Z57" s="9">
        <v>3383</v>
      </c>
      <c r="AA57" s="10">
        <v>17</v>
      </c>
      <c r="AB57" s="9">
        <v>3582</v>
      </c>
      <c r="AC57" s="10">
        <v>18</v>
      </c>
      <c r="AD57" s="9">
        <v>3980</v>
      </c>
      <c r="AE57" s="10">
        <v>20</v>
      </c>
      <c r="AF57" s="9">
        <v>3781</v>
      </c>
      <c r="AG57" s="10">
        <v>19</v>
      </c>
      <c r="AH57" s="9">
        <v>2291</v>
      </c>
      <c r="AI57" s="10">
        <v>11</v>
      </c>
      <c r="AJ57" s="9">
        <v>3781</v>
      </c>
      <c r="AK57" s="10">
        <v>19</v>
      </c>
      <c r="AL57" s="9">
        <v>2189</v>
      </c>
      <c r="AM57" s="10">
        <v>11</v>
      </c>
      <c r="AN57" s="9">
        <v>2189</v>
      </c>
      <c r="AO57" s="10">
        <v>11</v>
      </c>
      <c r="AP57" s="9">
        <v>2786</v>
      </c>
      <c r="AQ57" s="10">
        <v>14</v>
      </c>
      <c r="AR57" s="9">
        <v>2388</v>
      </c>
      <c r="AS57" s="10">
        <v>12</v>
      </c>
      <c r="AT57" s="9">
        <v>3184</v>
      </c>
      <c r="AU57" s="10">
        <v>16</v>
      </c>
      <c r="AV57" s="9">
        <v>2388</v>
      </c>
      <c r="AW57" s="10">
        <v>12</v>
      </c>
      <c r="AX57" s="9">
        <v>5373</v>
      </c>
      <c r="AY57" s="10">
        <v>27</v>
      </c>
      <c r="AZ57" s="9">
        <v>4082</v>
      </c>
      <c r="BA57" s="10">
        <v>20</v>
      </c>
      <c r="BB57" s="9">
        <v>1791</v>
      </c>
      <c r="BC57" s="10">
        <v>9</v>
      </c>
      <c r="BD57" s="9">
        <v>1592</v>
      </c>
      <c r="BE57" s="10">
        <v>8</v>
      </c>
      <c r="BF57" s="9">
        <v>2587</v>
      </c>
      <c r="BG57" s="10">
        <v>13</v>
      </c>
      <c r="BH57" s="9">
        <v>2189</v>
      </c>
      <c r="BI57" s="10">
        <v>11</v>
      </c>
      <c r="BJ57" s="9">
        <v>2587</v>
      </c>
      <c r="BK57" s="10">
        <v>13</v>
      </c>
      <c r="BL57" s="9">
        <v>2388</v>
      </c>
      <c r="BM57" s="10">
        <v>12</v>
      </c>
    </row>
    <row r="58" spans="1:65" ht="14.4">
      <c r="A58" s="2" t="s">
        <v>64</v>
      </c>
      <c r="B58" s="10" t="s">
        <v>103</v>
      </c>
      <c r="C58" s="11" t="s">
        <v>145</v>
      </c>
      <c r="D58" s="9">
        <v>9087</v>
      </c>
      <c r="E58" s="10">
        <v>13</v>
      </c>
      <c r="F58" s="9">
        <v>6291</v>
      </c>
      <c r="G58" s="10">
        <v>9</v>
      </c>
      <c r="H58" s="9">
        <v>6990</v>
      </c>
      <c r="I58" s="10">
        <v>10</v>
      </c>
      <c r="J58" s="9">
        <v>8388</v>
      </c>
      <c r="K58" s="10">
        <v>12</v>
      </c>
      <c r="L58" s="9">
        <v>7689</v>
      </c>
      <c r="M58" s="10">
        <v>11</v>
      </c>
      <c r="N58" s="9">
        <v>7689</v>
      </c>
      <c r="O58" s="10">
        <v>11</v>
      </c>
      <c r="P58" s="9">
        <v>9087</v>
      </c>
      <c r="Q58" s="10">
        <v>13</v>
      </c>
      <c r="R58" s="9">
        <v>11184</v>
      </c>
      <c r="S58" s="10">
        <v>16</v>
      </c>
      <c r="T58" s="9">
        <v>11883</v>
      </c>
      <c r="U58" s="10">
        <v>17</v>
      </c>
      <c r="V58" s="9">
        <v>12582</v>
      </c>
      <c r="W58" s="10">
        <v>18</v>
      </c>
      <c r="X58" s="9">
        <v>11883</v>
      </c>
      <c r="Y58" s="10">
        <v>17</v>
      </c>
      <c r="Z58" s="9">
        <v>11883</v>
      </c>
      <c r="AA58" s="10">
        <v>17</v>
      </c>
      <c r="AB58" s="9">
        <v>10784</v>
      </c>
      <c r="AC58" s="10">
        <v>16</v>
      </c>
      <c r="AD58" s="9">
        <v>16874</v>
      </c>
      <c r="AE58" s="10">
        <v>26</v>
      </c>
      <c r="AF58" s="9">
        <v>12980</v>
      </c>
      <c r="AG58" s="10">
        <v>20</v>
      </c>
      <c r="AH58" s="9">
        <v>15856</v>
      </c>
      <c r="AI58" s="10">
        <v>24</v>
      </c>
      <c r="AJ58" s="9">
        <v>15576</v>
      </c>
      <c r="AK58" s="10">
        <v>24</v>
      </c>
      <c r="AL58" s="9">
        <v>13629</v>
      </c>
      <c r="AM58" s="10">
        <v>21</v>
      </c>
      <c r="AN58" s="9">
        <v>15576</v>
      </c>
      <c r="AO58" s="10">
        <v>24</v>
      </c>
      <c r="AP58" s="9">
        <v>18172</v>
      </c>
      <c r="AQ58" s="10">
        <v>28</v>
      </c>
      <c r="AR58" s="9">
        <v>11033</v>
      </c>
      <c r="AS58" s="10">
        <v>17</v>
      </c>
      <c r="AT58" s="9">
        <v>17523</v>
      </c>
      <c r="AU58" s="10">
        <v>27</v>
      </c>
      <c r="AV58" s="9">
        <v>22066</v>
      </c>
      <c r="AW58" s="10">
        <v>34</v>
      </c>
      <c r="AX58" s="9">
        <v>16225</v>
      </c>
      <c r="AY58" s="10">
        <v>25</v>
      </c>
      <c r="AZ58" s="9">
        <v>14927</v>
      </c>
      <c r="BA58" s="10">
        <v>23</v>
      </c>
      <c r="BB58" s="9">
        <v>18172</v>
      </c>
      <c r="BC58" s="10">
        <v>28</v>
      </c>
      <c r="BD58" s="9">
        <v>20119</v>
      </c>
      <c r="BE58" s="10">
        <v>31</v>
      </c>
      <c r="BF58" s="9">
        <v>23750</v>
      </c>
      <c r="BG58" s="10">
        <v>38</v>
      </c>
      <c r="BH58" s="9">
        <v>20000</v>
      </c>
      <c r="BI58" s="10">
        <v>32</v>
      </c>
      <c r="BJ58" s="9">
        <v>13750</v>
      </c>
      <c r="BK58" s="10">
        <v>22</v>
      </c>
      <c r="BL58" s="9">
        <v>22066</v>
      </c>
      <c r="BM58" s="10">
        <v>34</v>
      </c>
    </row>
    <row r="59" spans="1:65" ht="14.4">
      <c r="A59" s="2" t="s">
        <v>72</v>
      </c>
      <c r="B59" s="10" t="s">
        <v>103</v>
      </c>
      <c r="C59" s="11" t="s">
        <v>145</v>
      </c>
      <c r="D59" s="9">
        <v>17132</v>
      </c>
      <c r="E59" s="10">
        <v>41</v>
      </c>
      <c r="F59" s="9">
        <v>23400</v>
      </c>
      <c r="G59" s="10">
        <v>56</v>
      </c>
      <c r="H59" s="9">
        <v>30086</v>
      </c>
      <c r="I59" s="10">
        <v>72</v>
      </c>
      <c r="J59" s="9">
        <v>17132</v>
      </c>
      <c r="K59" s="10">
        <v>41</v>
      </c>
      <c r="L59" s="9">
        <v>18804</v>
      </c>
      <c r="M59" s="10">
        <v>45</v>
      </c>
      <c r="N59" s="9">
        <v>16714</v>
      </c>
      <c r="O59" s="10">
        <v>40</v>
      </c>
      <c r="P59" s="9">
        <v>12536</v>
      </c>
      <c r="Q59" s="10">
        <v>30</v>
      </c>
      <c r="R59" s="9">
        <v>20475</v>
      </c>
      <c r="S59" s="10">
        <v>49</v>
      </c>
      <c r="T59" s="9">
        <v>21729</v>
      </c>
      <c r="U59" s="10">
        <v>52</v>
      </c>
      <c r="V59" s="9">
        <v>24236</v>
      </c>
      <c r="W59" s="10">
        <v>58</v>
      </c>
      <c r="X59" s="9">
        <v>21311</v>
      </c>
      <c r="Y59" s="10">
        <v>51</v>
      </c>
      <c r="Z59" s="9">
        <v>19222</v>
      </c>
      <c r="AA59" s="10">
        <v>46</v>
      </c>
      <c r="AB59" s="9">
        <v>15880</v>
      </c>
      <c r="AC59" s="10">
        <v>38</v>
      </c>
      <c r="AD59" s="9">
        <v>11282</v>
      </c>
      <c r="AE59" s="10">
        <v>27</v>
      </c>
      <c r="AF59" s="9">
        <v>18804</v>
      </c>
      <c r="AG59" s="10">
        <v>45</v>
      </c>
      <c r="AH59" s="9">
        <v>13372</v>
      </c>
      <c r="AI59" s="10">
        <v>32</v>
      </c>
      <c r="AJ59" s="9">
        <v>11282</v>
      </c>
      <c r="AK59" s="10">
        <v>27</v>
      </c>
      <c r="AL59" s="9">
        <v>13789</v>
      </c>
      <c r="AM59" s="10">
        <v>33</v>
      </c>
      <c r="AN59" s="9">
        <v>13372</v>
      </c>
      <c r="AO59" s="10">
        <v>32</v>
      </c>
      <c r="AP59" s="9">
        <v>11700</v>
      </c>
      <c r="AQ59" s="10">
        <v>28</v>
      </c>
      <c r="AR59" s="9">
        <v>15461</v>
      </c>
      <c r="AS59" s="10">
        <v>37</v>
      </c>
      <c r="AT59" s="9">
        <v>15879</v>
      </c>
      <c r="AU59" s="10">
        <v>38</v>
      </c>
      <c r="AV59" s="9">
        <v>14625</v>
      </c>
      <c r="AW59" s="10">
        <v>35</v>
      </c>
      <c r="AX59" s="9">
        <v>16297</v>
      </c>
      <c r="AY59" s="10">
        <v>39</v>
      </c>
      <c r="AZ59" s="9">
        <v>16714</v>
      </c>
      <c r="BA59" s="10">
        <v>40</v>
      </c>
      <c r="BB59" s="9">
        <v>17132</v>
      </c>
      <c r="BC59" s="10">
        <v>41</v>
      </c>
      <c r="BD59" s="9">
        <v>10447</v>
      </c>
      <c r="BE59" s="10">
        <v>25</v>
      </c>
      <c r="BF59" s="9">
        <v>8775</v>
      </c>
      <c r="BG59" s="10">
        <v>21</v>
      </c>
      <c r="BH59" s="9">
        <v>9193</v>
      </c>
      <c r="BI59" s="10">
        <v>22</v>
      </c>
      <c r="BJ59" s="9">
        <v>11282</v>
      </c>
      <c r="BK59" s="10">
        <v>27</v>
      </c>
      <c r="BL59" s="9">
        <v>14625</v>
      </c>
      <c r="BM59" s="10">
        <v>35</v>
      </c>
    </row>
    <row r="60" spans="1:65" ht="14.4">
      <c r="A60" s="2" t="s">
        <v>55</v>
      </c>
      <c r="B60" s="10" t="s">
        <v>103</v>
      </c>
      <c r="C60" s="11" t="s">
        <v>151</v>
      </c>
      <c r="D60" s="9">
        <v>21600</v>
      </c>
      <c r="E60" s="10">
        <v>160</v>
      </c>
      <c r="F60" s="9">
        <v>19035</v>
      </c>
      <c r="G60" s="10">
        <v>141</v>
      </c>
      <c r="H60" s="9">
        <v>18495</v>
      </c>
      <c r="I60" s="10">
        <v>137</v>
      </c>
      <c r="J60" s="9">
        <v>19170</v>
      </c>
      <c r="K60" s="10">
        <v>142</v>
      </c>
      <c r="L60" s="9">
        <v>15930</v>
      </c>
      <c r="M60" s="10">
        <v>118</v>
      </c>
      <c r="N60" s="9">
        <v>19049</v>
      </c>
      <c r="O60" s="10">
        <v>141</v>
      </c>
      <c r="P60" s="9">
        <v>20250</v>
      </c>
      <c r="Q60" s="10">
        <v>150</v>
      </c>
      <c r="R60" s="9">
        <v>20115</v>
      </c>
      <c r="S60" s="10">
        <v>149</v>
      </c>
      <c r="T60" s="9">
        <v>17955</v>
      </c>
      <c r="U60" s="10">
        <v>133</v>
      </c>
      <c r="V60" s="9">
        <v>20115</v>
      </c>
      <c r="W60" s="10">
        <v>149</v>
      </c>
      <c r="X60" s="9">
        <v>9720</v>
      </c>
      <c r="Y60" s="10">
        <v>72</v>
      </c>
      <c r="Z60" s="9">
        <v>675</v>
      </c>
      <c r="AA60" s="10">
        <v>5</v>
      </c>
      <c r="AB60" s="9">
        <v>2295</v>
      </c>
      <c r="AC60" s="10">
        <v>17</v>
      </c>
      <c r="AD60" s="9">
        <v>945</v>
      </c>
      <c r="AE60" s="10">
        <v>7</v>
      </c>
      <c r="AF60" s="9">
        <v>24030</v>
      </c>
      <c r="AG60" s="10">
        <v>178</v>
      </c>
      <c r="AH60" s="9">
        <v>29685</v>
      </c>
      <c r="AI60" s="10">
        <v>216</v>
      </c>
      <c r="AJ60" s="9">
        <v>34830</v>
      </c>
      <c r="AK60" s="10">
        <v>258</v>
      </c>
      <c r="AL60" s="9">
        <v>27540</v>
      </c>
      <c r="AM60" s="10">
        <v>204</v>
      </c>
      <c r="AN60" s="9">
        <v>26190</v>
      </c>
      <c r="AO60" s="10">
        <v>194</v>
      </c>
      <c r="AP60" s="9">
        <v>27270</v>
      </c>
      <c r="AQ60" s="10">
        <v>202</v>
      </c>
      <c r="AR60" s="9">
        <v>23909</v>
      </c>
      <c r="AS60" s="10">
        <v>177</v>
      </c>
      <c r="AT60" s="9">
        <v>32940</v>
      </c>
      <c r="AU60" s="10">
        <v>244</v>
      </c>
      <c r="AV60" s="9">
        <v>32265</v>
      </c>
      <c r="AW60" s="10">
        <v>239</v>
      </c>
      <c r="AX60" s="9">
        <v>25785</v>
      </c>
      <c r="AY60" s="10">
        <v>191</v>
      </c>
      <c r="AZ60" s="9">
        <v>20250</v>
      </c>
      <c r="BA60" s="10">
        <v>150</v>
      </c>
      <c r="BB60" s="9">
        <v>10530</v>
      </c>
      <c r="BC60" s="10">
        <v>78</v>
      </c>
      <c r="BD60" s="9">
        <v>8259</v>
      </c>
      <c r="BE60" s="10">
        <v>61</v>
      </c>
      <c r="BF60" s="9">
        <v>27369</v>
      </c>
      <c r="BG60" s="10">
        <v>212</v>
      </c>
      <c r="BH60" s="9">
        <v>30187</v>
      </c>
      <c r="BI60" s="10">
        <v>234</v>
      </c>
      <c r="BJ60" s="9">
        <v>27994</v>
      </c>
      <c r="BK60" s="10">
        <v>217</v>
      </c>
      <c r="BL60" s="9">
        <v>32265</v>
      </c>
      <c r="BM60" s="10">
        <v>239</v>
      </c>
    </row>
    <row r="61" spans="1:65" ht="14.4">
      <c r="A61" s="2" t="s">
        <v>24</v>
      </c>
      <c r="B61" s="10" t="s">
        <v>103</v>
      </c>
      <c r="C61" s="11" t="s">
        <v>151</v>
      </c>
      <c r="D61" s="9">
        <v>2716</v>
      </c>
      <c r="E61" s="10">
        <v>4</v>
      </c>
      <c r="F61" s="9">
        <v>3395</v>
      </c>
      <c r="G61" s="10">
        <v>5</v>
      </c>
      <c r="H61" s="9">
        <v>2037</v>
      </c>
      <c r="I61" s="10">
        <v>3</v>
      </c>
      <c r="J61" s="9">
        <v>2037</v>
      </c>
      <c r="K61" s="10">
        <v>3</v>
      </c>
      <c r="L61" s="9">
        <v>2037</v>
      </c>
      <c r="M61" s="10">
        <v>3</v>
      </c>
      <c r="N61" s="9">
        <v>4753</v>
      </c>
      <c r="O61" s="10">
        <v>7</v>
      </c>
      <c r="P61" s="9">
        <v>4074</v>
      </c>
      <c r="Q61" s="10">
        <v>6</v>
      </c>
      <c r="R61" s="9">
        <v>4074</v>
      </c>
      <c r="S61" s="10">
        <v>6</v>
      </c>
      <c r="T61" s="9">
        <v>1358</v>
      </c>
      <c r="U61" s="10">
        <v>2</v>
      </c>
      <c r="V61" s="9">
        <v>2037</v>
      </c>
      <c r="W61" s="10">
        <v>3</v>
      </c>
      <c r="X61" s="9">
        <v>2716</v>
      </c>
      <c r="Y61" s="10">
        <v>4</v>
      </c>
      <c r="Z61" s="9">
        <v>3395</v>
      </c>
      <c r="AA61" s="10">
        <v>5</v>
      </c>
      <c r="AB61" s="9">
        <v>2007</v>
      </c>
      <c r="AC61" s="10">
        <v>3</v>
      </c>
      <c r="AD61" s="9">
        <v>4543</v>
      </c>
      <c r="AE61" s="10">
        <v>7</v>
      </c>
      <c r="AF61" s="9">
        <v>7788</v>
      </c>
      <c r="AG61" s="10">
        <v>12</v>
      </c>
      <c r="AH61" s="9">
        <v>3245</v>
      </c>
      <c r="AI61" s="10">
        <v>5</v>
      </c>
      <c r="AJ61" s="9">
        <v>5841</v>
      </c>
      <c r="AK61" s="10">
        <v>9</v>
      </c>
      <c r="AL61" s="9">
        <v>2596</v>
      </c>
      <c r="AM61" s="10">
        <v>4</v>
      </c>
      <c r="AN61" s="9">
        <v>5192</v>
      </c>
      <c r="AO61" s="10">
        <v>8</v>
      </c>
      <c r="AP61" s="9">
        <v>5192</v>
      </c>
      <c r="AQ61" s="10">
        <v>8</v>
      </c>
      <c r="AR61" s="9">
        <v>3894</v>
      </c>
      <c r="AS61" s="10">
        <v>6</v>
      </c>
      <c r="AT61" s="9">
        <v>6490</v>
      </c>
      <c r="AU61" s="10">
        <v>10</v>
      </c>
      <c r="AV61" s="9">
        <v>9735</v>
      </c>
      <c r="AW61" s="10">
        <v>15</v>
      </c>
      <c r="AX61" s="9">
        <v>12331</v>
      </c>
      <c r="AY61" s="10">
        <v>19</v>
      </c>
      <c r="AZ61" s="9">
        <v>5192</v>
      </c>
      <c r="BA61" s="10">
        <v>8</v>
      </c>
      <c r="BB61" s="9">
        <v>9086</v>
      </c>
      <c r="BC61" s="10">
        <v>14</v>
      </c>
      <c r="BD61" s="9">
        <v>5192</v>
      </c>
      <c r="BE61" s="10">
        <v>8</v>
      </c>
      <c r="BF61" s="9">
        <v>8985</v>
      </c>
      <c r="BG61" s="10">
        <v>15</v>
      </c>
      <c r="BH61" s="9">
        <v>11381</v>
      </c>
      <c r="BI61" s="10">
        <v>19</v>
      </c>
      <c r="BJ61" s="9">
        <v>7787</v>
      </c>
      <c r="BK61" s="10">
        <v>13</v>
      </c>
      <c r="BL61" s="9">
        <v>9735</v>
      </c>
      <c r="BM61" s="10">
        <v>15</v>
      </c>
    </row>
    <row r="62" spans="1:65" ht="14.4">
      <c r="A62" s="2" t="s">
        <v>90</v>
      </c>
      <c r="B62" s="10" t="s">
        <v>103</v>
      </c>
      <c r="C62" s="11" t="s">
        <v>151</v>
      </c>
      <c r="D62" s="9">
        <v>16450</v>
      </c>
      <c r="E62" s="10">
        <v>33</v>
      </c>
      <c r="F62" s="9">
        <v>15769</v>
      </c>
      <c r="G62" s="10">
        <v>32</v>
      </c>
      <c r="H62" s="9">
        <v>19212</v>
      </c>
      <c r="I62" s="10">
        <v>39</v>
      </c>
      <c r="J62" s="9">
        <v>24138</v>
      </c>
      <c r="K62" s="10">
        <v>49</v>
      </c>
      <c r="L62" s="9">
        <v>21245</v>
      </c>
      <c r="M62" s="10">
        <v>43</v>
      </c>
      <c r="N62" s="9">
        <v>22283</v>
      </c>
      <c r="O62" s="10">
        <v>45</v>
      </c>
      <c r="P62" s="9">
        <v>20197</v>
      </c>
      <c r="Q62" s="10">
        <v>41</v>
      </c>
      <c r="R62" s="9">
        <v>17734</v>
      </c>
      <c r="S62" s="10">
        <v>36</v>
      </c>
      <c r="T62" s="9">
        <v>20197</v>
      </c>
      <c r="U62" s="10">
        <v>41</v>
      </c>
      <c r="V62" s="9">
        <v>24138</v>
      </c>
      <c r="W62" s="10">
        <v>49</v>
      </c>
      <c r="X62" s="9">
        <v>24631</v>
      </c>
      <c r="Y62" s="10">
        <v>50</v>
      </c>
      <c r="Z62" s="9">
        <v>13793</v>
      </c>
      <c r="AA62" s="10">
        <v>28</v>
      </c>
      <c r="AB62" s="9">
        <v>17242</v>
      </c>
      <c r="AC62" s="10">
        <v>35</v>
      </c>
      <c r="AD62" s="9">
        <v>14778</v>
      </c>
      <c r="AE62" s="10">
        <v>30</v>
      </c>
      <c r="AF62" s="9">
        <v>17734</v>
      </c>
      <c r="AG62" s="10">
        <v>36</v>
      </c>
      <c r="AH62" s="9">
        <v>15271</v>
      </c>
      <c r="AI62" s="10">
        <v>31</v>
      </c>
      <c r="AJ62" s="9">
        <v>24631</v>
      </c>
      <c r="AK62" s="10">
        <v>50</v>
      </c>
      <c r="AL62" s="9">
        <v>22660</v>
      </c>
      <c r="AM62" s="10">
        <v>46</v>
      </c>
      <c r="AN62" s="9">
        <v>23645</v>
      </c>
      <c r="AO62" s="10">
        <v>48</v>
      </c>
      <c r="AP62" s="9">
        <v>23153</v>
      </c>
      <c r="AQ62" s="10">
        <v>47</v>
      </c>
      <c r="AR62" s="9">
        <v>27094</v>
      </c>
      <c r="AS62" s="10">
        <v>55</v>
      </c>
      <c r="AT62" s="9">
        <v>38441</v>
      </c>
      <c r="AU62" s="10">
        <v>78</v>
      </c>
      <c r="AV62" s="9">
        <v>43964</v>
      </c>
      <c r="AW62" s="10">
        <v>91</v>
      </c>
      <c r="AX62" s="9">
        <v>50245</v>
      </c>
      <c r="AY62" s="10">
        <v>104</v>
      </c>
      <c r="AZ62" s="9">
        <v>31403</v>
      </c>
      <c r="BA62" s="10">
        <v>65</v>
      </c>
      <c r="BB62" s="9">
        <v>30437</v>
      </c>
      <c r="BC62" s="10">
        <v>63</v>
      </c>
      <c r="BD62" s="9">
        <v>34785</v>
      </c>
      <c r="BE62" s="10">
        <v>72</v>
      </c>
      <c r="BF62" s="9">
        <v>29631</v>
      </c>
      <c r="BG62" s="10">
        <v>60</v>
      </c>
      <c r="BH62" s="9">
        <v>27586</v>
      </c>
      <c r="BI62" s="10">
        <v>56</v>
      </c>
      <c r="BJ62" s="9">
        <v>21182</v>
      </c>
      <c r="BK62" s="10">
        <v>43</v>
      </c>
      <c r="BL62" s="9">
        <v>43964</v>
      </c>
      <c r="BM62" s="10">
        <v>91</v>
      </c>
    </row>
    <row r="63" spans="1:65" ht="14.4">
      <c r="A63" s="2" t="s">
        <v>81</v>
      </c>
      <c r="B63" s="10" t="s">
        <v>103</v>
      </c>
      <c r="C63" s="11" t="s">
        <v>151</v>
      </c>
      <c r="D63" s="9">
        <v>17132</v>
      </c>
      <c r="E63" s="10">
        <v>41</v>
      </c>
      <c r="F63" s="9">
        <v>23400</v>
      </c>
      <c r="G63" s="10">
        <v>56</v>
      </c>
      <c r="H63" s="9">
        <v>30086</v>
      </c>
      <c r="I63" s="10">
        <v>72</v>
      </c>
      <c r="J63" s="9">
        <v>17132</v>
      </c>
      <c r="K63" s="10">
        <v>41</v>
      </c>
      <c r="L63" s="9">
        <v>18804</v>
      </c>
      <c r="M63" s="10">
        <v>45</v>
      </c>
      <c r="N63" s="9">
        <v>16714</v>
      </c>
      <c r="O63" s="10">
        <v>40</v>
      </c>
      <c r="P63" s="9">
        <v>12536</v>
      </c>
      <c r="Q63" s="10">
        <v>30</v>
      </c>
      <c r="R63" s="9">
        <v>20475</v>
      </c>
      <c r="S63" s="10">
        <v>49</v>
      </c>
      <c r="T63" s="9">
        <v>21729</v>
      </c>
      <c r="U63" s="10">
        <v>52</v>
      </c>
      <c r="V63" s="9">
        <v>24236</v>
      </c>
      <c r="W63" s="10">
        <v>58</v>
      </c>
      <c r="X63" s="9">
        <v>21311</v>
      </c>
      <c r="Y63" s="10">
        <v>51</v>
      </c>
      <c r="Z63" s="9">
        <v>19222</v>
      </c>
      <c r="AA63" s="10">
        <v>46</v>
      </c>
      <c r="AB63" s="9">
        <v>15880</v>
      </c>
      <c r="AC63" s="10">
        <v>38</v>
      </c>
      <c r="AD63" s="9">
        <v>11282</v>
      </c>
      <c r="AE63" s="10">
        <v>27</v>
      </c>
      <c r="AF63" s="9">
        <v>18804</v>
      </c>
      <c r="AG63" s="10">
        <v>45</v>
      </c>
      <c r="AH63" s="9">
        <v>13372</v>
      </c>
      <c r="AI63" s="10">
        <v>32</v>
      </c>
      <c r="AJ63" s="9">
        <v>11282</v>
      </c>
      <c r="AK63" s="10">
        <v>27</v>
      </c>
      <c r="AL63" s="9">
        <v>13789</v>
      </c>
      <c r="AM63" s="10">
        <v>33</v>
      </c>
      <c r="AN63" s="9">
        <v>13372</v>
      </c>
      <c r="AO63" s="10">
        <v>32</v>
      </c>
      <c r="AP63" s="9">
        <v>11700</v>
      </c>
      <c r="AQ63" s="10">
        <v>28</v>
      </c>
      <c r="AR63" s="9">
        <v>15461</v>
      </c>
      <c r="AS63" s="10">
        <v>37</v>
      </c>
      <c r="AT63" s="9">
        <v>15879</v>
      </c>
      <c r="AU63" s="10">
        <v>38</v>
      </c>
      <c r="AV63" s="9">
        <v>14625</v>
      </c>
      <c r="AW63" s="10">
        <v>35</v>
      </c>
      <c r="AX63" s="9">
        <v>16297</v>
      </c>
      <c r="AY63" s="10">
        <v>39</v>
      </c>
      <c r="AZ63" s="9">
        <v>16714</v>
      </c>
      <c r="BA63" s="10">
        <v>40</v>
      </c>
      <c r="BB63" s="9">
        <v>17132</v>
      </c>
      <c r="BC63" s="10">
        <v>41</v>
      </c>
      <c r="BD63" s="9">
        <v>10447</v>
      </c>
      <c r="BE63" s="10">
        <v>25</v>
      </c>
      <c r="BF63" s="9">
        <v>8775</v>
      </c>
      <c r="BG63" s="10">
        <v>21</v>
      </c>
      <c r="BH63" s="9">
        <v>9193</v>
      </c>
      <c r="BI63" s="10">
        <v>22</v>
      </c>
      <c r="BJ63" s="9">
        <v>11282</v>
      </c>
      <c r="BK63" s="10">
        <v>27</v>
      </c>
      <c r="BL63" s="9">
        <v>14625</v>
      </c>
      <c r="BM63" s="10">
        <v>35</v>
      </c>
    </row>
    <row r="64" spans="1:65" ht="14.4">
      <c r="A64" s="2" t="s">
        <v>99</v>
      </c>
      <c r="B64" s="10" t="s">
        <v>103</v>
      </c>
      <c r="C64" s="11" t="s">
        <v>146</v>
      </c>
      <c r="D64" s="9">
        <v>227</v>
      </c>
      <c r="E64" s="10">
        <v>1</v>
      </c>
      <c r="F64" s="9">
        <v>0</v>
      </c>
      <c r="G64" s="10">
        <v>0</v>
      </c>
      <c r="H64" s="9">
        <v>359</v>
      </c>
      <c r="I64" s="10">
        <v>2</v>
      </c>
      <c r="J64" s="9">
        <v>0</v>
      </c>
      <c r="K64" s="10">
        <v>0</v>
      </c>
      <c r="L64" s="9">
        <v>0</v>
      </c>
      <c r="M64" s="10">
        <v>0</v>
      </c>
      <c r="N64" s="9">
        <v>362</v>
      </c>
      <c r="O64" s="10">
        <v>2</v>
      </c>
      <c r="P64" s="9">
        <v>0</v>
      </c>
      <c r="Q64" s="10">
        <v>0</v>
      </c>
      <c r="R64" s="9">
        <v>179</v>
      </c>
      <c r="S64" s="10">
        <v>1</v>
      </c>
      <c r="T64" s="9">
        <v>179</v>
      </c>
      <c r="U64" s="10">
        <v>1</v>
      </c>
      <c r="V64" s="9">
        <v>179</v>
      </c>
      <c r="W64" s="10">
        <v>1</v>
      </c>
      <c r="X64" s="9">
        <v>0</v>
      </c>
      <c r="Y64" s="10">
        <v>0</v>
      </c>
      <c r="Z64" s="9">
        <v>179</v>
      </c>
      <c r="AA64" s="10">
        <v>1</v>
      </c>
      <c r="AB64" s="9">
        <v>179</v>
      </c>
      <c r="AC64" s="10">
        <v>1</v>
      </c>
      <c r="AD64" s="9">
        <v>0</v>
      </c>
      <c r="AE64" s="10">
        <v>0</v>
      </c>
      <c r="AF64" s="9">
        <v>0</v>
      </c>
      <c r="AG64" s="10">
        <v>0</v>
      </c>
      <c r="AH64" s="9">
        <v>179</v>
      </c>
      <c r="AI64" s="10">
        <v>1</v>
      </c>
      <c r="AJ64" s="9">
        <v>0</v>
      </c>
      <c r="AK64" s="10">
        <v>0</v>
      </c>
      <c r="AL64" s="9">
        <v>538</v>
      </c>
      <c r="AM64" s="10">
        <v>3</v>
      </c>
      <c r="AN64" s="9">
        <v>179</v>
      </c>
      <c r="AO64" s="10">
        <v>1</v>
      </c>
      <c r="AP64" s="9">
        <v>172</v>
      </c>
      <c r="AQ64" s="10">
        <v>1</v>
      </c>
      <c r="AR64" s="9">
        <v>0</v>
      </c>
      <c r="AS64" s="10">
        <v>0</v>
      </c>
      <c r="AT64" s="9">
        <v>172</v>
      </c>
      <c r="AU64" s="10">
        <v>1</v>
      </c>
      <c r="AV64" s="9">
        <v>170</v>
      </c>
      <c r="AW64" s="10">
        <v>1</v>
      </c>
      <c r="AX64" s="9">
        <v>170</v>
      </c>
      <c r="AY64" s="10">
        <v>1</v>
      </c>
      <c r="AZ64" s="9">
        <v>340</v>
      </c>
      <c r="BA64" s="10">
        <v>2</v>
      </c>
      <c r="BB64" s="9">
        <v>0</v>
      </c>
      <c r="BC64" s="10">
        <v>0</v>
      </c>
      <c r="BD64" s="9">
        <v>0</v>
      </c>
      <c r="BE64" s="10">
        <v>0</v>
      </c>
      <c r="BF64" s="9">
        <v>402</v>
      </c>
      <c r="BG64" s="10">
        <v>2</v>
      </c>
      <c r="BH64" s="9">
        <v>0</v>
      </c>
      <c r="BI64" s="10">
        <v>0</v>
      </c>
      <c r="BJ64" s="9">
        <v>170</v>
      </c>
      <c r="BK64" s="10">
        <v>1</v>
      </c>
      <c r="BL64" s="9">
        <v>170</v>
      </c>
      <c r="BM64" s="10">
        <v>1</v>
      </c>
    </row>
    <row r="65" spans="1:65" ht="14.4">
      <c r="A65" s="2" t="s">
        <v>45</v>
      </c>
      <c r="B65" s="10" t="s">
        <v>103</v>
      </c>
      <c r="C65" s="11" t="s">
        <v>151</v>
      </c>
      <c r="D65" s="9">
        <v>21600</v>
      </c>
      <c r="E65" s="10">
        <v>160</v>
      </c>
      <c r="F65" s="9">
        <v>19035</v>
      </c>
      <c r="G65" s="10">
        <v>141</v>
      </c>
      <c r="H65" s="9">
        <v>18495</v>
      </c>
      <c r="I65" s="10">
        <v>137</v>
      </c>
      <c r="J65" s="9">
        <v>19170</v>
      </c>
      <c r="K65" s="10">
        <v>142</v>
      </c>
      <c r="L65" s="9">
        <v>15930</v>
      </c>
      <c r="M65" s="10">
        <v>118</v>
      </c>
      <c r="N65" s="9">
        <v>19049</v>
      </c>
      <c r="O65" s="10">
        <v>141</v>
      </c>
      <c r="P65" s="9">
        <v>20250</v>
      </c>
      <c r="Q65" s="10">
        <v>150</v>
      </c>
      <c r="R65" s="9">
        <v>20115</v>
      </c>
      <c r="S65" s="10">
        <v>149</v>
      </c>
      <c r="T65" s="9">
        <v>17955</v>
      </c>
      <c r="U65" s="10">
        <v>133</v>
      </c>
      <c r="V65" s="9">
        <v>20115</v>
      </c>
      <c r="W65" s="10">
        <v>149</v>
      </c>
      <c r="X65" s="9">
        <v>9720</v>
      </c>
      <c r="Y65" s="10">
        <v>72</v>
      </c>
      <c r="Z65" s="9">
        <v>675</v>
      </c>
      <c r="AA65" s="10">
        <v>5</v>
      </c>
      <c r="AB65" s="9">
        <v>2295</v>
      </c>
      <c r="AC65" s="10">
        <v>17</v>
      </c>
      <c r="AD65" s="9">
        <v>945</v>
      </c>
      <c r="AE65" s="10">
        <v>7</v>
      </c>
      <c r="AF65" s="9">
        <v>24030</v>
      </c>
      <c r="AG65" s="10">
        <v>178</v>
      </c>
      <c r="AH65" s="9">
        <v>29685</v>
      </c>
      <c r="AI65" s="10">
        <v>216</v>
      </c>
      <c r="AJ65" s="9">
        <v>34830</v>
      </c>
      <c r="AK65" s="10">
        <v>258</v>
      </c>
      <c r="AL65" s="9">
        <v>27540</v>
      </c>
      <c r="AM65" s="10">
        <v>204</v>
      </c>
      <c r="AN65" s="9">
        <v>26190</v>
      </c>
      <c r="AO65" s="10">
        <v>194</v>
      </c>
      <c r="AP65" s="9">
        <v>27270</v>
      </c>
      <c r="AQ65" s="10">
        <v>202</v>
      </c>
      <c r="AR65" s="9">
        <v>23909</v>
      </c>
      <c r="AS65" s="10">
        <v>177</v>
      </c>
      <c r="AT65" s="9">
        <v>32940</v>
      </c>
      <c r="AU65" s="10">
        <v>244</v>
      </c>
      <c r="AV65" s="9">
        <v>32265</v>
      </c>
      <c r="AW65" s="10">
        <v>239</v>
      </c>
      <c r="AX65" s="9">
        <v>25785</v>
      </c>
      <c r="AY65" s="10">
        <v>191</v>
      </c>
      <c r="AZ65" s="9">
        <v>20250</v>
      </c>
      <c r="BA65" s="10">
        <v>150</v>
      </c>
      <c r="BB65" s="9">
        <v>10530</v>
      </c>
      <c r="BC65" s="10">
        <v>78</v>
      </c>
      <c r="BD65" s="9">
        <v>8259</v>
      </c>
      <c r="BE65" s="10">
        <v>61</v>
      </c>
      <c r="BF65" s="9">
        <v>27369</v>
      </c>
      <c r="BG65" s="10">
        <v>212</v>
      </c>
      <c r="BH65" s="9">
        <v>30187</v>
      </c>
      <c r="BI65" s="10">
        <v>234</v>
      </c>
      <c r="BJ65" s="9">
        <v>27994</v>
      </c>
      <c r="BK65" s="10">
        <v>217</v>
      </c>
      <c r="BL65" s="9">
        <v>32265</v>
      </c>
      <c r="BM65" s="10">
        <v>239</v>
      </c>
    </row>
    <row r="66" spans="1:65" ht="14.4">
      <c r="A66" s="2" t="s">
        <v>100</v>
      </c>
      <c r="B66" s="10" t="s">
        <v>103</v>
      </c>
      <c r="C66" s="11" t="s">
        <v>145</v>
      </c>
      <c r="D66" s="9">
        <v>0</v>
      </c>
      <c r="E66" s="10">
        <v>0</v>
      </c>
      <c r="F66" s="9">
        <v>0</v>
      </c>
      <c r="G66" s="10">
        <v>0</v>
      </c>
      <c r="H66" s="9">
        <v>0</v>
      </c>
      <c r="I66" s="10">
        <v>0</v>
      </c>
      <c r="J66" s="9">
        <v>0</v>
      </c>
      <c r="K66" s="10">
        <v>0</v>
      </c>
      <c r="L66" s="9">
        <v>0</v>
      </c>
      <c r="M66" s="10">
        <v>0</v>
      </c>
      <c r="N66" s="9">
        <v>0</v>
      </c>
      <c r="O66" s="10">
        <v>0</v>
      </c>
      <c r="P66" s="9">
        <v>0</v>
      </c>
      <c r="Q66" s="10">
        <v>0</v>
      </c>
      <c r="R66" s="9">
        <v>0</v>
      </c>
      <c r="S66" s="10">
        <v>0</v>
      </c>
      <c r="T66" s="9">
        <v>0</v>
      </c>
      <c r="U66" s="10">
        <v>0</v>
      </c>
      <c r="V66" s="9">
        <v>0</v>
      </c>
      <c r="W66" s="10">
        <v>0</v>
      </c>
      <c r="X66" s="9">
        <v>0</v>
      </c>
      <c r="Y66" s="10">
        <v>0</v>
      </c>
      <c r="Z66" s="9">
        <v>0</v>
      </c>
      <c r="AA66" s="10">
        <v>0</v>
      </c>
      <c r="AB66" s="9">
        <v>0</v>
      </c>
      <c r="AC66" s="10">
        <v>0</v>
      </c>
      <c r="AD66" s="9">
        <v>0</v>
      </c>
      <c r="AE66" s="10">
        <v>0</v>
      </c>
      <c r="AF66" s="9">
        <v>0</v>
      </c>
      <c r="AG66" s="10">
        <v>0</v>
      </c>
      <c r="AH66" s="9">
        <v>0</v>
      </c>
      <c r="AI66" s="10">
        <v>0</v>
      </c>
      <c r="AJ66" s="9">
        <v>0</v>
      </c>
      <c r="AK66" s="10">
        <v>0</v>
      </c>
      <c r="AL66" s="9">
        <v>479</v>
      </c>
      <c r="AM66" s="10">
        <v>1</v>
      </c>
      <c r="AN66" s="9">
        <v>0</v>
      </c>
      <c r="AO66" s="10">
        <v>0</v>
      </c>
      <c r="AP66" s="9">
        <v>0</v>
      </c>
      <c r="AQ66" s="10">
        <v>0</v>
      </c>
      <c r="AR66" s="9">
        <v>0</v>
      </c>
      <c r="AS66" s="10">
        <v>0</v>
      </c>
      <c r="AT66" s="9">
        <v>0</v>
      </c>
      <c r="AU66" s="10">
        <v>0</v>
      </c>
      <c r="AV66" s="9">
        <v>0</v>
      </c>
      <c r="AW66" s="10">
        <v>0</v>
      </c>
      <c r="AX66" s="9">
        <v>0</v>
      </c>
      <c r="AY66" s="10">
        <v>0</v>
      </c>
      <c r="AZ66" s="9">
        <v>0</v>
      </c>
      <c r="BA66" s="10">
        <v>0</v>
      </c>
      <c r="BB66" s="9">
        <v>0</v>
      </c>
      <c r="BC66" s="10">
        <v>0</v>
      </c>
      <c r="BD66" s="9">
        <v>0</v>
      </c>
      <c r="BE66" s="10">
        <v>0</v>
      </c>
      <c r="BF66" s="9">
        <v>0</v>
      </c>
      <c r="BG66" s="10">
        <v>0</v>
      </c>
      <c r="BH66" s="9">
        <v>0</v>
      </c>
      <c r="BI66" s="10">
        <v>0</v>
      </c>
      <c r="BJ66" s="9">
        <v>0</v>
      </c>
      <c r="BK66" s="10">
        <v>0</v>
      </c>
      <c r="BL66" s="9">
        <v>0</v>
      </c>
      <c r="BM66" s="10">
        <v>0</v>
      </c>
    </row>
    <row r="67" spans="1:65" ht="14.4">
      <c r="A67" s="2" t="s">
        <v>63</v>
      </c>
      <c r="B67" s="10" t="s">
        <v>103</v>
      </c>
      <c r="C67" s="11" t="s">
        <v>151</v>
      </c>
      <c r="D67" s="9">
        <v>10148</v>
      </c>
      <c r="E67" s="10">
        <v>12</v>
      </c>
      <c r="F67" s="9">
        <v>5228</v>
      </c>
      <c r="G67" s="10">
        <v>6</v>
      </c>
      <c r="H67" s="9">
        <v>6806</v>
      </c>
      <c r="I67" s="10">
        <v>8</v>
      </c>
      <c r="J67" s="9">
        <v>8548</v>
      </c>
      <c r="K67" s="10">
        <v>10</v>
      </c>
      <c r="L67" s="9">
        <v>15358</v>
      </c>
      <c r="M67" s="10">
        <v>18</v>
      </c>
      <c r="N67" s="9">
        <v>14441</v>
      </c>
      <c r="O67" s="10">
        <v>17</v>
      </c>
      <c r="P67" s="9">
        <v>10126</v>
      </c>
      <c r="Q67" s="10">
        <v>12</v>
      </c>
      <c r="R67" s="9">
        <v>16087</v>
      </c>
      <c r="S67" s="10">
        <v>19</v>
      </c>
      <c r="T67" s="9">
        <v>5118</v>
      </c>
      <c r="U67" s="10">
        <v>6</v>
      </c>
      <c r="V67" s="9">
        <v>10969</v>
      </c>
      <c r="W67" s="10">
        <v>13</v>
      </c>
      <c r="X67" s="9">
        <v>14400</v>
      </c>
      <c r="Y67" s="10">
        <v>17</v>
      </c>
      <c r="Z67" s="9">
        <v>12823</v>
      </c>
      <c r="AA67" s="10">
        <v>15</v>
      </c>
      <c r="AB67" s="9">
        <v>10199</v>
      </c>
      <c r="AC67" s="10">
        <v>12</v>
      </c>
      <c r="AD67" s="9">
        <v>16253</v>
      </c>
      <c r="AE67" s="10">
        <v>19</v>
      </c>
      <c r="AF67" s="9">
        <v>9447</v>
      </c>
      <c r="AG67" s="10">
        <v>11</v>
      </c>
      <c r="AH67" s="9">
        <v>10291</v>
      </c>
      <c r="AI67" s="10">
        <v>12</v>
      </c>
      <c r="AJ67" s="9">
        <v>8548</v>
      </c>
      <c r="AK67" s="10">
        <v>10</v>
      </c>
      <c r="AL67" s="9">
        <v>7815</v>
      </c>
      <c r="AM67" s="10">
        <v>9</v>
      </c>
      <c r="AN67" s="9">
        <v>10166</v>
      </c>
      <c r="AO67" s="10">
        <v>12</v>
      </c>
      <c r="AP67" s="9">
        <v>10996</v>
      </c>
      <c r="AQ67" s="10">
        <v>13</v>
      </c>
      <c r="AR67" s="9">
        <v>12606</v>
      </c>
      <c r="AS67" s="10">
        <v>15</v>
      </c>
      <c r="AT67" s="9">
        <v>11059</v>
      </c>
      <c r="AU67" s="10">
        <v>13</v>
      </c>
      <c r="AV67" s="9">
        <v>7573</v>
      </c>
      <c r="AW67" s="10">
        <v>9</v>
      </c>
      <c r="AX67" s="9">
        <v>9307</v>
      </c>
      <c r="AY67" s="10">
        <v>11</v>
      </c>
      <c r="AZ67" s="9">
        <v>9053</v>
      </c>
      <c r="BA67" s="10">
        <v>11</v>
      </c>
      <c r="BB67" s="9">
        <v>12958</v>
      </c>
      <c r="BC67" s="10">
        <v>19</v>
      </c>
      <c r="BD67" s="9">
        <v>13147</v>
      </c>
      <c r="BE67" s="10">
        <v>19</v>
      </c>
      <c r="BF67" s="9">
        <v>19374</v>
      </c>
      <c r="BG67" s="10">
        <v>28</v>
      </c>
      <c r="BH67" s="9">
        <v>13147</v>
      </c>
      <c r="BI67" s="10">
        <v>19</v>
      </c>
      <c r="BJ67" s="9">
        <v>11071</v>
      </c>
      <c r="BK67" s="10">
        <v>16</v>
      </c>
      <c r="BL67" s="9">
        <v>7573</v>
      </c>
      <c r="BM67" s="10">
        <v>9</v>
      </c>
    </row>
    <row r="68" spans="1:65" ht="14.4">
      <c r="A68" s="2" t="s">
        <v>93</v>
      </c>
      <c r="B68" s="10" t="s">
        <v>103</v>
      </c>
      <c r="C68" s="11" t="s">
        <v>146</v>
      </c>
      <c r="D68" s="9">
        <v>10472</v>
      </c>
      <c r="E68" s="10">
        <v>17</v>
      </c>
      <c r="F68" s="9">
        <v>6776</v>
      </c>
      <c r="G68" s="10">
        <v>11</v>
      </c>
      <c r="H68" s="9">
        <v>7629</v>
      </c>
      <c r="I68" s="10">
        <v>12</v>
      </c>
      <c r="J68" s="9">
        <v>7392</v>
      </c>
      <c r="K68" s="10">
        <v>12</v>
      </c>
      <c r="L68" s="9">
        <v>8394</v>
      </c>
      <c r="M68" s="10">
        <v>16</v>
      </c>
      <c r="N68" s="9">
        <v>6120</v>
      </c>
      <c r="O68" s="10">
        <v>10</v>
      </c>
      <c r="P68" s="9">
        <v>11767</v>
      </c>
      <c r="Q68" s="10">
        <v>23</v>
      </c>
      <c r="R68" s="9">
        <v>8697</v>
      </c>
      <c r="S68" s="10">
        <v>17</v>
      </c>
      <c r="T68" s="9">
        <v>17394</v>
      </c>
      <c r="U68" s="10">
        <v>34</v>
      </c>
      <c r="V68" s="9">
        <v>9209</v>
      </c>
      <c r="W68" s="10">
        <v>18</v>
      </c>
      <c r="X68" s="9">
        <v>9720</v>
      </c>
      <c r="Y68" s="10">
        <v>19</v>
      </c>
      <c r="Z68" s="9">
        <v>14730</v>
      </c>
      <c r="AA68" s="10">
        <v>29</v>
      </c>
      <c r="AB68" s="9">
        <v>7181</v>
      </c>
      <c r="AC68" s="10">
        <v>14</v>
      </c>
      <c r="AD68" s="9">
        <v>12600</v>
      </c>
      <c r="AE68" s="10">
        <v>25</v>
      </c>
      <c r="AF68" s="9">
        <v>11592</v>
      </c>
      <c r="AG68" s="10">
        <v>23</v>
      </c>
      <c r="AH68" s="9">
        <v>12883</v>
      </c>
      <c r="AI68" s="10">
        <v>31</v>
      </c>
      <c r="AJ68" s="9">
        <v>11152</v>
      </c>
      <c r="AK68" s="10">
        <v>31</v>
      </c>
      <c r="AL68" s="9">
        <v>10072</v>
      </c>
      <c r="AM68" s="10">
        <v>28</v>
      </c>
      <c r="AN68" s="9">
        <v>13310</v>
      </c>
      <c r="AO68" s="10">
        <v>37</v>
      </c>
      <c r="AP68" s="9">
        <v>10792</v>
      </c>
      <c r="AQ68" s="10">
        <v>30</v>
      </c>
      <c r="AR68" s="9">
        <v>11871</v>
      </c>
      <c r="AS68" s="10">
        <v>33</v>
      </c>
      <c r="AT68" s="9">
        <v>12950</v>
      </c>
      <c r="AU68" s="10">
        <v>36</v>
      </c>
      <c r="AV68" s="9">
        <v>17986</v>
      </c>
      <c r="AW68" s="10">
        <v>50</v>
      </c>
      <c r="AX68" s="9">
        <v>15109</v>
      </c>
      <c r="AY68" s="10">
        <v>42</v>
      </c>
      <c r="AZ68" s="9">
        <v>14749</v>
      </c>
      <c r="BA68" s="10">
        <v>41</v>
      </c>
      <c r="BB68" s="9">
        <v>15828</v>
      </c>
      <c r="BC68" s="10">
        <v>44</v>
      </c>
      <c r="BD68" s="9">
        <v>19785</v>
      </c>
      <c r="BE68" s="10">
        <v>55</v>
      </c>
      <c r="BF68" s="9">
        <v>14749</v>
      </c>
      <c r="BG68" s="10">
        <v>41</v>
      </c>
      <c r="BH68" s="9">
        <v>14749</v>
      </c>
      <c r="BI68" s="10">
        <v>41</v>
      </c>
      <c r="BJ68" s="9">
        <v>14389</v>
      </c>
      <c r="BK68" s="10">
        <v>40</v>
      </c>
      <c r="BL68" s="9">
        <v>17986</v>
      </c>
      <c r="BM68" s="10">
        <v>50</v>
      </c>
    </row>
    <row r="69" spans="1:65" ht="14.4">
      <c r="A69" s="2" t="s">
        <v>37</v>
      </c>
      <c r="B69" s="10" t="s">
        <v>103</v>
      </c>
      <c r="C69" s="11" t="s">
        <v>146</v>
      </c>
      <c r="D69" s="9">
        <v>487</v>
      </c>
      <c r="E69" s="10">
        <v>3</v>
      </c>
      <c r="F69" s="9">
        <v>1163</v>
      </c>
      <c r="G69" s="10">
        <v>7</v>
      </c>
      <c r="H69" s="9">
        <v>1083</v>
      </c>
      <c r="I69" s="10">
        <v>7</v>
      </c>
      <c r="J69" s="9">
        <v>487</v>
      </c>
      <c r="K69" s="10">
        <v>3</v>
      </c>
      <c r="L69" s="9">
        <v>716</v>
      </c>
      <c r="M69" s="10">
        <v>4</v>
      </c>
      <c r="N69" s="9">
        <v>447</v>
      </c>
      <c r="O69" s="10">
        <v>3</v>
      </c>
      <c r="P69" s="9">
        <v>984</v>
      </c>
      <c r="Q69" s="10">
        <v>6</v>
      </c>
      <c r="R69" s="9">
        <v>785</v>
      </c>
      <c r="S69" s="10">
        <v>5</v>
      </c>
      <c r="T69" s="9">
        <v>865</v>
      </c>
      <c r="U69" s="10">
        <v>5</v>
      </c>
      <c r="V69" s="9">
        <v>636</v>
      </c>
      <c r="W69" s="10">
        <v>4</v>
      </c>
      <c r="X69" s="9">
        <v>596</v>
      </c>
      <c r="Y69" s="10">
        <v>4</v>
      </c>
      <c r="Z69" s="9">
        <v>1014</v>
      </c>
      <c r="AA69" s="10">
        <v>6</v>
      </c>
      <c r="AB69" s="9">
        <v>447</v>
      </c>
      <c r="AC69" s="10">
        <v>3</v>
      </c>
      <c r="AD69" s="9">
        <v>487</v>
      </c>
      <c r="AE69" s="10">
        <v>3</v>
      </c>
      <c r="AF69" s="9">
        <v>447</v>
      </c>
      <c r="AG69" s="10">
        <v>3</v>
      </c>
      <c r="AH69" s="9">
        <v>905</v>
      </c>
      <c r="AI69" s="10">
        <v>5</v>
      </c>
      <c r="AJ69" s="9">
        <v>865</v>
      </c>
      <c r="AK69" s="10">
        <v>5</v>
      </c>
      <c r="AL69" s="9">
        <v>189</v>
      </c>
      <c r="AM69" s="10">
        <v>1</v>
      </c>
      <c r="AN69" s="9">
        <v>785</v>
      </c>
      <c r="AO69" s="10">
        <v>5</v>
      </c>
      <c r="AP69" s="9">
        <v>338</v>
      </c>
      <c r="AQ69" s="10">
        <v>2</v>
      </c>
      <c r="AR69" s="9">
        <v>1075</v>
      </c>
      <c r="AS69" s="10">
        <v>5</v>
      </c>
      <c r="AT69" s="9">
        <v>1314</v>
      </c>
      <c r="AU69" s="10">
        <v>6</v>
      </c>
      <c r="AV69" s="9">
        <v>1632</v>
      </c>
      <c r="AW69" s="10">
        <v>8</v>
      </c>
      <c r="AX69" s="9">
        <v>1075</v>
      </c>
      <c r="AY69" s="10">
        <v>5</v>
      </c>
      <c r="AZ69" s="9">
        <v>2349</v>
      </c>
      <c r="BA69" s="10">
        <v>11</v>
      </c>
      <c r="BB69" s="9">
        <v>677</v>
      </c>
      <c r="BC69" s="10">
        <v>3</v>
      </c>
      <c r="BD69" s="9">
        <v>1234</v>
      </c>
      <c r="BE69" s="10">
        <v>6</v>
      </c>
      <c r="BF69" s="9">
        <v>1632</v>
      </c>
      <c r="BG69" s="10">
        <v>8</v>
      </c>
      <c r="BH69" s="9">
        <v>1115</v>
      </c>
      <c r="BI69" s="10">
        <v>5</v>
      </c>
      <c r="BJ69" s="9">
        <v>1075</v>
      </c>
      <c r="BK69" s="10">
        <v>5</v>
      </c>
      <c r="BL69" s="9">
        <v>1632</v>
      </c>
      <c r="BM69" s="10">
        <v>8</v>
      </c>
    </row>
    <row r="70" spans="1:65" ht="14.4">
      <c r="A70" s="2" t="s">
        <v>15</v>
      </c>
      <c r="B70" s="10" t="s">
        <v>103</v>
      </c>
      <c r="C70" s="11" t="s">
        <v>151</v>
      </c>
      <c r="D70" s="9">
        <v>16450</v>
      </c>
      <c r="E70" s="10">
        <v>33</v>
      </c>
      <c r="F70" s="9">
        <v>15769</v>
      </c>
      <c r="G70" s="10">
        <v>32</v>
      </c>
      <c r="H70" s="9">
        <v>19212</v>
      </c>
      <c r="I70" s="10">
        <v>39</v>
      </c>
      <c r="J70" s="9">
        <v>24138</v>
      </c>
      <c r="K70" s="10">
        <v>49</v>
      </c>
      <c r="L70" s="9">
        <v>21245</v>
      </c>
      <c r="M70" s="10">
        <v>43</v>
      </c>
      <c r="N70" s="9">
        <v>22283</v>
      </c>
      <c r="O70" s="10">
        <v>45</v>
      </c>
      <c r="P70" s="9">
        <v>20197</v>
      </c>
      <c r="Q70" s="10">
        <v>41</v>
      </c>
      <c r="R70" s="9">
        <v>17734</v>
      </c>
      <c r="S70" s="10">
        <v>36</v>
      </c>
      <c r="T70" s="9">
        <v>20197</v>
      </c>
      <c r="U70" s="10">
        <v>41</v>
      </c>
      <c r="V70" s="9">
        <v>24138</v>
      </c>
      <c r="W70" s="10">
        <v>49</v>
      </c>
      <c r="X70" s="9">
        <v>24631</v>
      </c>
      <c r="Y70" s="10">
        <v>50</v>
      </c>
      <c r="Z70" s="9">
        <v>13793</v>
      </c>
      <c r="AA70" s="10">
        <v>28</v>
      </c>
      <c r="AB70" s="9">
        <v>17242</v>
      </c>
      <c r="AC70" s="10">
        <v>35</v>
      </c>
      <c r="AD70" s="9">
        <v>14778</v>
      </c>
      <c r="AE70" s="10">
        <v>30</v>
      </c>
      <c r="AF70" s="9">
        <v>17734</v>
      </c>
      <c r="AG70" s="10">
        <v>36</v>
      </c>
      <c r="AH70" s="9">
        <v>15271</v>
      </c>
      <c r="AI70" s="10">
        <v>31</v>
      </c>
      <c r="AJ70" s="9">
        <v>24631</v>
      </c>
      <c r="AK70" s="10">
        <v>50</v>
      </c>
      <c r="AL70" s="9">
        <v>22660</v>
      </c>
      <c r="AM70" s="10">
        <v>46</v>
      </c>
      <c r="AN70" s="9">
        <v>23645</v>
      </c>
      <c r="AO70" s="10">
        <v>48</v>
      </c>
      <c r="AP70" s="9">
        <v>23153</v>
      </c>
      <c r="AQ70" s="10">
        <v>47</v>
      </c>
      <c r="AR70" s="9">
        <v>27094</v>
      </c>
      <c r="AS70" s="10">
        <v>55</v>
      </c>
      <c r="AT70" s="9">
        <v>38441</v>
      </c>
      <c r="AU70" s="10">
        <v>78</v>
      </c>
      <c r="AV70" s="9">
        <v>43964</v>
      </c>
      <c r="AW70" s="10">
        <v>91</v>
      </c>
      <c r="AX70" s="9">
        <v>50245</v>
      </c>
      <c r="AY70" s="10">
        <v>104</v>
      </c>
      <c r="AZ70" s="9">
        <v>31403</v>
      </c>
      <c r="BA70" s="10">
        <v>65</v>
      </c>
      <c r="BB70" s="9">
        <v>30437</v>
      </c>
      <c r="BC70" s="10">
        <v>63</v>
      </c>
      <c r="BD70" s="9">
        <v>34785</v>
      </c>
      <c r="BE70" s="10">
        <v>72</v>
      </c>
      <c r="BF70" s="9">
        <v>29631</v>
      </c>
      <c r="BG70" s="10">
        <v>60</v>
      </c>
      <c r="BH70" s="9">
        <v>27586</v>
      </c>
      <c r="BI70" s="10">
        <v>56</v>
      </c>
      <c r="BJ70" s="9">
        <v>21182</v>
      </c>
      <c r="BK70" s="10">
        <v>43</v>
      </c>
      <c r="BL70" s="9">
        <v>43964</v>
      </c>
      <c r="BM70" s="10">
        <v>91</v>
      </c>
    </row>
    <row r="71" spans="1:65" ht="14.4">
      <c r="A71" s="2" t="s">
        <v>54</v>
      </c>
      <c r="B71" s="10" t="s">
        <v>103</v>
      </c>
      <c r="C71" s="11" t="s">
        <v>151</v>
      </c>
      <c r="D71" s="9">
        <v>227</v>
      </c>
      <c r="E71" s="10">
        <v>1</v>
      </c>
      <c r="F71" s="9">
        <v>0</v>
      </c>
      <c r="G71" s="10">
        <v>0</v>
      </c>
      <c r="H71" s="9">
        <v>359</v>
      </c>
      <c r="I71" s="10">
        <v>2</v>
      </c>
      <c r="J71" s="9">
        <v>0</v>
      </c>
      <c r="K71" s="10">
        <v>0</v>
      </c>
      <c r="L71" s="9">
        <v>0</v>
      </c>
      <c r="M71" s="10">
        <v>0</v>
      </c>
      <c r="N71" s="9">
        <v>362</v>
      </c>
      <c r="O71" s="10">
        <v>2</v>
      </c>
      <c r="P71" s="9">
        <v>0</v>
      </c>
      <c r="Q71" s="10">
        <v>0</v>
      </c>
      <c r="R71" s="9">
        <v>179</v>
      </c>
      <c r="S71" s="10">
        <v>1</v>
      </c>
      <c r="T71" s="9">
        <v>179</v>
      </c>
      <c r="U71" s="10">
        <v>1</v>
      </c>
      <c r="V71" s="9">
        <v>179</v>
      </c>
      <c r="W71" s="10">
        <v>1</v>
      </c>
      <c r="X71" s="9">
        <v>0</v>
      </c>
      <c r="Y71" s="10">
        <v>0</v>
      </c>
      <c r="Z71" s="9">
        <v>179</v>
      </c>
      <c r="AA71" s="10">
        <v>1</v>
      </c>
      <c r="AB71" s="9">
        <v>179</v>
      </c>
      <c r="AC71" s="10">
        <v>1</v>
      </c>
      <c r="AD71" s="9">
        <v>0</v>
      </c>
      <c r="AE71" s="10">
        <v>0</v>
      </c>
      <c r="AF71" s="9">
        <v>0</v>
      </c>
      <c r="AG71" s="10">
        <v>0</v>
      </c>
      <c r="AH71" s="9">
        <v>179</v>
      </c>
      <c r="AI71" s="10">
        <v>1</v>
      </c>
      <c r="AJ71" s="9">
        <v>0</v>
      </c>
      <c r="AK71" s="10">
        <v>0</v>
      </c>
      <c r="AL71" s="9">
        <v>538</v>
      </c>
      <c r="AM71" s="10">
        <v>3</v>
      </c>
      <c r="AN71" s="9">
        <v>179</v>
      </c>
      <c r="AO71" s="10">
        <v>1</v>
      </c>
      <c r="AP71" s="9">
        <v>172</v>
      </c>
      <c r="AQ71" s="10">
        <v>1</v>
      </c>
      <c r="AR71" s="9">
        <v>0</v>
      </c>
      <c r="AS71" s="10">
        <v>0</v>
      </c>
      <c r="AT71" s="9">
        <v>172</v>
      </c>
      <c r="AU71" s="10">
        <v>1</v>
      </c>
      <c r="AV71" s="9">
        <v>170</v>
      </c>
      <c r="AW71" s="10">
        <v>1</v>
      </c>
      <c r="AX71" s="9">
        <v>170</v>
      </c>
      <c r="AY71" s="10">
        <v>1</v>
      </c>
      <c r="AZ71" s="9">
        <v>340</v>
      </c>
      <c r="BA71" s="10">
        <v>2</v>
      </c>
      <c r="BB71" s="9">
        <v>0</v>
      </c>
      <c r="BC71" s="10">
        <v>0</v>
      </c>
      <c r="BD71" s="9">
        <v>0</v>
      </c>
      <c r="BE71" s="10">
        <v>0</v>
      </c>
      <c r="BF71" s="9">
        <v>402</v>
      </c>
      <c r="BG71" s="10">
        <v>2</v>
      </c>
      <c r="BH71" s="9">
        <v>0</v>
      </c>
      <c r="BI71" s="10">
        <v>0</v>
      </c>
      <c r="BJ71" s="9">
        <v>170</v>
      </c>
      <c r="BK71" s="10">
        <v>1</v>
      </c>
      <c r="BL71" s="9">
        <v>170</v>
      </c>
      <c r="BM71" s="10">
        <v>1</v>
      </c>
    </row>
    <row r="72" spans="1:65" ht="14.4">
      <c r="A72" s="2" t="s">
        <v>5</v>
      </c>
      <c r="B72" s="10" t="s">
        <v>103</v>
      </c>
      <c r="C72" s="11" t="s">
        <v>151</v>
      </c>
      <c r="D72" s="9">
        <v>0</v>
      </c>
      <c r="E72" s="10">
        <v>0</v>
      </c>
      <c r="F72" s="9">
        <v>0</v>
      </c>
      <c r="G72" s="10">
        <v>0</v>
      </c>
      <c r="H72" s="9">
        <v>0</v>
      </c>
      <c r="I72" s="10">
        <v>0</v>
      </c>
      <c r="J72" s="9">
        <v>0</v>
      </c>
      <c r="K72" s="10">
        <v>0</v>
      </c>
      <c r="L72" s="9">
        <v>0</v>
      </c>
      <c r="M72" s="10">
        <v>0</v>
      </c>
      <c r="N72" s="9">
        <v>0</v>
      </c>
      <c r="O72" s="10">
        <v>0</v>
      </c>
      <c r="P72" s="9">
        <v>0</v>
      </c>
      <c r="Q72" s="10">
        <v>0</v>
      </c>
      <c r="R72" s="9">
        <v>0</v>
      </c>
      <c r="S72" s="10">
        <v>0</v>
      </c>
      <c r="T72" s="9">
        <v>0</v>
      </c>
      <c r="U72" s="10">
        <v>0</v>
      </c>
      <c r="V72" s="9">
        <v>0</v>
      </c>
      <c r="W72" s="10">
        <v>0</v>
      </c>
      <c r="X72" s="9">
        <v>0</v>
      </c>
      <c r="Y72" s="10">
        <v>0</v>
      </c>
      <c r="Z72" s="9">
        <v>0</v>
      </c>
      <c r="AA72" s="10">
        <v>0</v>
      </c>
      <c r="AB72" s="9">
        <v>0</v>
      </c>
      <c r="AC72" s="10">
        <v>0</v>
      </c>
      <c r="AD72" s="9">
        <v>0</v>
      </c>
      <c r="AE72" s="10">
        <v>0</v>
      </c>
      <c r="AF72" s="9">
        <v>0</v>
      </c>
      <c r="AG72" s="10">
        <v>0</v>
      </c>
      <c r="AH72" s="9">
        <v>0</v>
      </c>
      <c r="AI72" s="10">
        <v>0</v>
      </c>
      <c r="AJ72" s="9">
        <v>0</v>
      </c>
      <c r="AK72" s="10">
        <v>0</v>
      </c>
      <c r="AL72" s="9">
        <v>479</v>
      </c>
      <c r="AM72" s="10">
        <v>1</v>
      </c>
      <c r="AN72" s="9">
        <v>0</v>
      </c>
      <c r="AO72" s="10">
        <v>0</v>
      </c>
      <c r="AP72" s="9">
        <v>0</v>
      </c>
      <c r="AQ72" s="10">
        <v>0</v>
      </c>
      <c r="AR72" s="9">
        <v>0</v>
      </c>
      <c r="AS72" s="10">
        <v>0</v>
      </c>
      <c r="AT72" s="9">
        <v>0</v>
      </c>
      <c r="AU72" s="10">
        <v>0</v>
      </c>
      <c r="AV72" s="9">
        <v>0</v>
      </c>
      <c r="AW72" s="10">
        <v>0</v>
      </c>
      <c r="AX72" s="9">
        <v>0</v>
      </c>
      <c r="AY72" s="10">
        <v>0</v>
      </c>
      <c r="AZ72" s="9">
        <v>0</v>
      </c>
      <c r="BA72" s="10">
        <v>0</v>
      </c>
      <c r="BB72" s="9">
        <v>0</v>
      </c>
      <c r="BC72" s="10">
        <v>0</v>
      </c>
      <c r="BD72" s="9">
        <v>0</v>
      </c>
      <c r="BE72" s="10">
        <v>0</v>
      </c>
      <c r="BF72" s="9">
        <v>0</v>
      </c>
      <c r="BG72" s="10">
        <v>0</v>
      </c>
      <c r="BH72" s="9">
        <v>0</v>
      </c>
      <c r="BI72" s="10">
        <v>0</v>
      </c>
      <c r="BJ72" s="9">
        <v>0</v>
      </c>
      <c r="BK72" s="10">
        <v>0</v>
      </c>
      <c r="BL72" s="9">
        <v>0</v>
      </c>
      <c r="BM72" s="10">
        <v>0</v>
      </c>
    </row>
    <row r="73" spans="1:65" ht="14.4">
      <c r="A73" s="2" t="s">
        <v>83</v>
      </c>
      <c r="B73" s="10" t="s">
        <v>103</v>
      </c>
      <c r="C73" s="11" t="s">
        <v>146</v>
      </c>
      <c r="D73" s="9">
        <v>10472</v>
      </c>
      <c r="E73" s="10">
        <v>17</v>
      </c>
      <c r="F73" s="9">
        <v>6776</v>
      </c>
      <c r="G73" s="10">
        <v>11</v>
      </c>
      <c r="H73" s="9">
        <v>7629</v>
      </c>
      <c r="I73" s="10">
        <v>12</v>
      </c>
      <c r="J73" s="9">
        <v>7392</v>
      </c>
      <c r="K73" s="10">
        <v>12</v>
      </c>
      <c r="L73" s="9">
        <v>8394</v>
      </c>
      <c r="M73" s="10">
        <v>16</v>
      </c>
      <c r="N73" s="9">
        <v>6120</v>
      </c>
      <c r="O73" s="10">
        <v>10</v>
      </c>
      <c r="P73" s="9">
        <v>11767</v>
      </c>
      <c r="Q73" s="10">
        <v>23</v>
      </c>
      <c r="R73" s="9">
        <v>8697</v>
      </c>
      <c r="S73" s="10">
        <v>17</v>
      </c>
      <c r="T73" s="9">
        <v>17394</v>
      </c>
      <c r="U73" s="10">
        <v>34</v>
      </c>
      <c r="V73" s="9">
        <v>9209</v>
      </c>
      <c r="W73" s="10">
        <v>18</v>
      </c>
      <c r="X73" s="9">
        <v>9720</v>
      </c>
      <c r="Y73" s="10">
        <v>19</v>
      </c>
      <c r="Z73" s="9">
        <v>14730</v>
      </c>
      <c r="AA73" s="10">
        <v>29</v>
      </c>
      <c r="AB73" s="9">
        <v>7181</v>
      </c>
      <c r="AC73" s="10">
        <v>14</v>
      </c>
      <c r="AD73" s="9">
        <v>12600</v>
      </c>
      <c r="AE73" s="10">
        <v>25</v>
      </c>
      <c r="AF73" s="9">
        <v>11592</v>
      </c>
      <c r="AG73" s="10">
        <v>23</v>
      </c>
      <c r="AH73" s="9">
        <v>12883</v>
      </c>
      <c r="AI73" s="10">
        <v>31</v>
      </c>
      <c r="AJ73" s="9">
        <v>11152</v>
      </c>
      <c r="AK73" s="10">
        <v>31</v>
      </c>
      <c r="AL73" s="9">
        <v>10072</v>
      </c>
      <c r="AM73" s="10">
        <v>28</v>
      </c>
      <c r="AN73" s="9">
        <v>13310</v>
      </c>
      <c r="AO73" s="10">
        <v>37</v>
      </c>
      <c r="AP73" s="9">
        <v>10792</v>
      </c>
      <c r="AQ73" s="10">
        <v>30</v>
      </c>
      <c r="AR73" s="9">
        <v>11871</v>
      </c>
      <c r="AS73" s="10">
        <v>33</v>
      </c>
      <c r="AT73" s="9">
        <v>12950</v>
      </c>
      <c r="AU73" s="10">
        <v>36</v>
      </c>
      <c r="AV73" s="9">
        <v>17986</v>
      </c>
      <c r="AW73" s="10">
        <v>50</v>
      </c>
      <c r="AX73" s="9">
        <v>15109</v>
      </c>
      <c r="AY73" s="10">
        <v>42</v>
      </c>
      <c r="AZ73" s="9">
        <v>14749</v>
      </c>
      <c r="BA73" s="10">
        <v>41</v>
      </c>
      <c r="BB73" s="9">
        <v>15828</v>
      </c>
      <c r="BC73" s="10">
        <v>44</v>
      </c>
      <c r="BD73" s="9">
        <v>19785</v>
      </c>
      <c r="BE73" s="10">
        <v>55</v>
      </c>
      <c r="BF73" s="9">
        <v>14749</v>
      </c>
      <c r="BG73" s="10">
        <v>41</v>
      </c>
      <c r="BH73" s="9">
        <v>14749</v>
      </c>
      <c r="BI73" s="10">
        <v>41</v>
      </c>
      <c r="BJ73" s="9">
        <v>14389</v>
      </c>
      <c r="BK73" s="10">
        <v>40</v>
      </c>
      <c r="BL73" s="9">
        <v>17986</v>
      </c>
      <c r="BM73" s="10">
        <v>50</v>
      </c>
    </row>
    <row r="74" spans="1:65" ht="14.4">
      <c r="A74" s="2" t="s">
        <v>91</v>
      </c>
      <c r="B74" s="10" t="s">
        <v>103</v>
      </c>
      <c r="C74" s="11" t="s">
        <v>145</v>
      </c>
      <c r="D74" s="9">
        <v>0</v>
      </c>
      <c r="E74" s="10">
        <v>0</v>
      </c>
      <c r="F74" s="9">
        <v>244</v>
      </c>
      <c r="G74" s="10">
        <v>1</v>
      </c>
      <c r="H74" s="9">
        <v>488</v>
      </c>
      <c r="I74" s="10">
        <v>2</v>
      </c>
      <c r="J74" s="9">
        <v>244</v>
      </c>
      <c r="K74" s="10">
        <v>1</v>
      </c>
      <c r="L74" s="9">
        <v>0</v>
      </c>
      <c r="M74" s="10">
        <v>0</v>
      </c>
      <c r="N74" s="9">
        <v>488</v>
      </c>
      <c r="O74" s="10">
        <v>2</v>
      </c>
      <c r="P74" s="9">
        <v>244</v>
      </c>
      <c r="Q74" s="10">
        <v>1</v>
      </c>
      <c r="R74" s="9">
        <v>0</v>
      </c>
      <c r="S74" s="10">
        <v>0</v>
      </c>
      <c r="T74" s="9">
        <v>812</v>
      </c>
      <c r="U74" s="10">
        <v>3</v>
      </c>
      <c r="V74" s="9">
        <v>772</v>
      </c>
      <c r="W74" s="10">
        <v>3</v>
      </c>
      <c r="X74" s="9">
        <v>0</v>
      </c>
      <c r="Y74" s="10">
        <v>0</v>
      </c>
      <c r="Z74" s="9">
        <v>488</v>
      </c>
      <c r="AA74" s="10">
        <v>2</v>
      </c>
      <c r="AB74" s="9">
        <v>0</v>
      </c>
      <c r="AC74" s="10">
        <v>0</v>
      </c>
      <c r="AD74" s="9">
        <v>0</v>
      </c>
      <c r="AE74" s="10">
        <v>0</v>
      </c>
      <c r="AF74" s="9">
        <v>244</v>
      </c>
      <c r="AG74" s="10">
        <v>1</v>
      </c>
      <c r="AH74" s="9">
        <v>0</v>
      </c>
      <c r="AI74" s="10">
        <v>0</v>
      </c>
      <c r="AJ74" s="9">
        <v>0</v>
      </c>
      <c r="AK74" s="10">
        <v>0</v>
      </c>
      <c r="AL74" s="9">
        <v>0</v>
      </c>
      <c r="AM74" s="10">
        <v>0</v>
      </c>
      <c r="AN74" s="9">
        <v>244</v>
      </c>
      <c r="AO74" s="10">
        <v>1</v>
      </c>
      <c r="AP74" s="9">
        <v>244</v>
      </c>
      <c r="AQ74" s="10">
        <v>1</v>
      </c>
      <c r="AR74" s="9">
        <v>732</v>
      </c>
      <c r="AS74" s="10">
        <v>3</v>
      </c>
      <c r="AT74" s="9">
        <v>0</v>
      </c>
      <c r="AU74" s="10">
        <v>0</v>
      </c>
      <c r="AV74" s="9">
        <v>0</v>
      </c>
      <c r="AW74" s="10">
        <v>0</v>
      </c>
      <c r="AX74" s="9">
        <v>0</v>
      </c>
      <c r="AY74" s="10">
        <v>0</v>
      </c>
      <c r="AZ74" s="9">
        <v>0</v>
      </c>
      <c r="BA74" s="10">
        <v>0</v>
      </c>
      <c r="BB74" s="9">
        <v>732</v>
      </c>
      <c r="BC74" s="10">
        <v>3</v>
      </c>
      <c r="BD74" s="9">
        <v>732</v>
      </c>
      <c r="BE74" s="10">
        <v>3</v>
      </c>
      <c r="BF74" s="9">
        <v>732</v>
      </c>
      <c r="BG74" s="10">
        <v>3</v>
      </c>
      <c r="BH74" s="9">
        <v>732</v>
      </c>
      <c r="BI74" s="10">
        <v>3</v>
      </c>
      <c r="BJ74" s="9">
        <v>0</v>
      </c>
      <c r="BK74" s="10">
        <v>0</v>
      </c>
      <c r="BL74" s="9">
        <v>0</v>
      </c>
      <c r="BM74" s="10">
        <v>0</v>
      </c>
    </row>
    <row r="75" spans="1:65" ht="14.4">
      <c r="A75" s="2" t="s">
        <v>65</v>
      </c>
      <c r="B75" s="10" t="s">
        <v>103</v>
      </c>
      <c r="C75" s="11" t="s">
        <v>151</v>
      </c>
      <c r="D75" s="9">
        <v>9087</v>
      </c>
      <c r="E75" s="10">
        <v>13</v>
      </c>
      <c r="F75" s="9">
        <v>6291</v>
      </c>
      <c r="G75" s="10">
        <v>9</v>
      </c>
      <c r="H75" s="9">
        <v>6990</v>
      </c>
      <c r="I75" s="10">
        <v>10</v>
      </c>
      <c r="J75" s="9">
        <v>8388</v>
      </c>
      <c r="K75" s="10">
        <v>12</v>
      </c>
      <c r="L75" s="9">
        <v>7689</v>
      </c>
      <c r="M75" s="10">
        <v>11</v>
      </c>
      <c r="N75" s="9">
        <v>7689</v>
      </c>
      <c r="O75" s="10">
        <v>11</v>
      </c>
      <c r="P75" s="9">
        <v>9087</v>
      </c>
      <c r="Q75" s="10">
        <v>13</v>
      </c>
      <c r="R75" s="9">
        <v>11184</v>
      </c>
      <c r="S75" s="10">
        <v>16</v>
      </c>
      <c r="T75" s="9">
        <v>11883</v>
      </c>
      <c r="U75" s="10">
        <v>17</v>
      </c>
      <c r="V75" s="9">
        <v>12582</v>
      </c>
      <c r="W75" s="10">
        <v>18</v>
      </c>
      <c r="X75" s="9">
        <v>11883</v>
      </c>
      <c r="Y75" s="10">
        <v>17</v>
      </c>
      <c r="Z75" s="9">
        <v>11883</v>
      </c>
      <c r="AA75" s="10">
        <v>17</v>
      </c>
      <c r="AB75" s="9">
        <v>10784</v>
      </c>
      <c r="AC75" s="10">
        <v>16</v>
      </c>
      <c r="AD75" s="9">
        <v>16874</v>
      </c>
      <c r="AE75" s="10">
        <v>26</v>
      </c>
      <c r="AF75" s="9">
        <v>12980</v>
      </c>
      <c r="AG75" s="10">
        <v>20</v>
      </c>
      <c r="AH75" s="9">
        <v>15856</v>
      </c>
      <c r="AI75" s="10">
        <v>24</v>
      </c>
      <c r="AJ75" s="9">
        <v>15576</v>
      </c>
      <c r="AK75" s="10">
        <v>24</v>
      </c>
      <c r="AL75" s="9">
        <v>13629</v>
      </c>
      <c r="AM75" s="10">
        <v>21</v>
      </c>
      <c r="AN75" s="9">
        <v>15576</v>
      </c>
      <c r="AO75" s="10">
        <v>24</v>
      </c>
      <c r="AP75" s="9">
        <v>18172</v>
      </c>
      <c r="AQ75" s="10">
        <v>28</v>
      </c>
      <c r="AR75" s="9">
        <v>11033</v>
      </c>
      <c r="AS75" s="10">
        <v>17</v>
      </c>
      <c r="AT75" s="9">
        <v>17523</v>
      </c>
      <c r="AU75" s="10">
        <v>27</v>
      </c>
      <c r="AV75" s="9">
        <v>22066</v>
      </c>
      <c r="AW75" s="10">
        <v>34</v>
      </c>
      <c r="AX75" s="9">
        <v>16225</v>
      </c>
      <c r="AY75" s="10">
        <v>25</v>
      </c>
      <c r="AZ75" s="9">
        <v>14927</v>
      </c>
      <c r="BA75" s="10">
        <v>23</v>
      </c>
      <c r="BB75" s="9">
        <v>18172</v>
      </c>
      <c r="BC75" s="10">
        <v>28</v>
      </c>
      <c r="BD75" s="9">
        <v>20119</v>
      </c>
      <c r="BE75" s="10">
        <v>31</v>
      </c>
      <c r="BF75" s="9">
        <v>23750</v>
      </c>
      <c r="BG75" s="10">
        <v>38</v>
      </c>
      <c r="BH75" s="9">
        <v>20000</v>
      </c>
      <c r="BI75" s="10">
        <v>32</v>
      </c>
      <c r="BJ75" s="9">
        <v>13750</v>
      </c>
      <c r="BK75" s="10">
        <v>22</v>
      </c>
      <c r="BL75" s="9">
        <v>22066</v>
      </c>
      <c r="BM75" s="10">
        <v>34</v>
      </c>
    </row>
    <row r="76" spans="1:65" ht="14.4">
      <c r="A76" s="2" t="s">
        <v>27</v>
      </c>
      <c r="B76" s="10" t="s">
        <v>103</v>
      </c>
      <c r="C76" s="11" t="s">
        <v>145</v>
      </c>
      <c r="D76" s="9">
        <v>877</v>
      </c>
      <c r="E76" s="10">
        <v>3</v>
      </c>
      <c r="F76" s="9">
        <v>767</v>
      </c>
      <c r="G76" s="10">
        <v>3</v>
      </c>
      <c r="H76" s="9">
        <v>1196</v>
      </c>
      <c r="I76" s="10">
        <v>4</v>
      </c>
      <c r="J76" s="9">
        <v>837</v>
      </c>
      <c r="K76" s="10">
        <v>3</v>
      </c>
      <c r="L76" s="9">
        <v>877</v>
      </c>
      <c r="M76" s="10">
        <v>3</v>
      </c>
      <c r="N76" s="9">
        <v>957</v>
      </c>
      <c r="O76" s="10">
        <v>3</v>
      </c>
      <c r="P76" s="9">
        <v>1156</v>
      </c>
      <c r="Q76" s="10">
        <v>4</v>
      </c>
      <c r="R76" s="9">
        <v>1196</v>
      </c>
      <c r="S76" s="10">
        <v>4</v>
      </c>
      <c r="T76" s="9">
        <v>3348</v>
      </c>
      <c r="U76" s="10">
        <v>12</v>
      </c>
      <c r="V76" s="9">
        <v>279</v>
      </c>
      <c r="W76" s="10">
        <v>1</v>
      </c>
      <c r="X76" s="9">
        <v>558</v>
      </c>
      <c r="Y76" s="10">
        <v>2</v>
      </c>
      <c r="Z76" s="9">
        <v>837</v>
      </c>
      <c r="AA76" s="10">
        <v>3</v>
      </c>
      <c r="AB76" s="9">
        <v>2073</v>
      </c>
      <c r="AC76" s="10">
        <v>7</v>
      </c>
      <c r="AD76" s="9">
        <v>558</v>
      </c>
      <c r="AE76" s="10">
        <v>2</v>
      </c>
      <c r="AF76" s="9">
        <v>1714</v>
      </c>
      <c r="AG76" s="10">
        <v>6</v>
      </c>
      <c r="AH76" s="9">
        <v>1395</v>
      </c>
      <c r="AI76" s="10">
        <v>5</v>
      </c>
      <c r="AJ76" s="9">
        <v>1116</v>
      </c>
      <c r="AK76" s="10">
        <v>4</v>
      </c>
      <c r="AL76" s="9">
        <v>279</v>
      </c>
      <c r="AM76" s="10">
        <v>1</v>
      </c>
      <c r="AN76" s="9">
        <v>279</v>
      </c>
      <c r="AO76" s="10">
        <v>1</v>
      </c>
      <c r="AP76" s="9">
        <v>279</v>
      </c>
      <c r="AQ76" s="10">
        <v>1</v>
      </c>
      <c r="AR76" s="9">
        <v>1668</v>
      </c>
      <c r="AS76" s="10">
        <v>8</v>
      </c>
      <c r="AT76" s="9">
        <v>185</v>
      </c>
      <c r="AU76" s="10">
        <v>1</v>
      </c>
      <c r="AV76" s="9">
        <v>764</v>
      </c>
      <c r="AW76" s="10">
        <v>4</v>
      </c>
      <c r="AX76" s="9">
        <v>804</v>
      </c>
      <c r="AY76" s="10">
        <v>4</v>
      </c>
      <c r="AZ76" s="9">
        <v>613</v>
      </c>
      <c r="BA76" s="10">
        <v>3</v>
      </c>
      <c r="BB76" s="9">
        <v>1560</v>
      </c>
      <c r="BC76" s="10">
        <v>8</v>
      </c>
      <c r="BD76" s="9">
        <v>925</v>
      </c>
      <c r="BE76" s="10">
        <v>5</v>
      </c>
      <c r="BF76" s="9">
        <v>1110</v>
      </c>
      <c r="BG76" s="10">
        <v>6</v>
      </c>
      <c r="BH76" s="9">
        <v>1375</v>
      </c>
      <c r="BI76" s="10">
        <v>7</v>
      </c>
      <c r="BJ76" s="9">
        <v>1190</v>
      </c>
      <c r="BK76" s="10">
        <v>6</v>
      </c>
      <c r="BL76" s="9">
        <v>764</v>
      </c>
      <c r="BM76" s="10">
        <v>4</v>
      </c>
    </row>
    <row r="77" spans="1:65" ht="14.4">
      <c r="A77" s="2" t="s">
        <v>25</v>
      </c>
      <c r="B77" s="10" t="s">
        <v>103</v>
      </c>
      <c r="C77" s="11" t="s">
        <v>146</v>
      </c>
      <c r="D77" s="9">
        <v>0</v>
      </c>
      <c r="E77" s="10">
        <v>0</v>
      </c>
      <c r="F77" s="9">
        <v>0</v>
      </c>
      <c r="G77" s="10">
        <v>0</v>
      </c>
      <c r="H77" s="9">
        <v>0</v>
      </c>
      <c r="I77" s="10">
        <v>0</v>
      </c>
      <c r="J77" s="9">
        <v>538</v>
      </c>
      <c r="K77" s="10">
        <v>2</v>
      </c>
      <c r="L77" s="9">
        <v>0</v>
      </c>
      <c r="M77" s="10">
        <v>0</v>
      </c>
      <c r="N77" s="9">
        <v>0</v>
      </c>
      <c r="O77" s="10">
        <v>0</v>
      </c>
      <c r="P77" s="9">
        <v>309</v>
      </c>
      <c r="Q77" s="10">
        <v>1</v>
      </c>
      <c r="R77" s="9">
        <v>0</v>
      </c>
      <c r="S77" s="10">
        <v>0</v>
      </c>
      <c r="T77" s="9">
        <v>0</v>
      </c>
      <c r="U77" s="10">
        <v>0</v>
      </c>
      <c r="V77" s="9">
        <v>0</v>
      </c>
      <c r="W77" s="10">
        <v>0</v>
      </c>
      <c r="X77" s="9">
        <v>269</v>
      </c>
      <c r="Y77" s="10">
        <v>1</v>
      </c>
      <c r="Z77" s="9">
        <v>0</v>
      </c>
      <c r="AA77" s="10">
        <v>0</v>
      </c>
      <c r="AB77" s="9">
        <v>269</v>
      </c>
      <c r="AC77" s="10">
        <v>1</v>
      </c>
      <c r="AD77" s="9">
        <v>0</v>
      </c>
      <c r="AE77" s="10">
        <v>0</v>
      </c>
      <c r="AF77" s="9">
        <v>0</v>
      </c>
      <c r="AG77" s="10">
        <v>0</v>
      </c>
      <c r="AH77" s="9">
        <v>0</v>
      </c>
      <c r="AI77" s="10">
        <v>0</v>
      </c>
      <c r="AJ77" s="9">
        <v>0</v>
      </c>
      <c r="AK77" s="10">
        <v>0</v>
      </c>
      <c r="AL77" s="9">
        <v>0</v>
      </c>
      <c r="AM77" s="10">
        <v>0</v>
      </c>
      <c r="AN77" s="9">
        <v>1216</v>
      </c>
      <c r="AO77" s="10">
        <v>4</v>
      </c>
      <c r="AP77" s="9">
        <v>0</v>
      </c>
      <c r="AQ77" s="10">
        <v>0</v>
      </c>
      <c r="AR77" s="9">
        <v>309</v>
      </c>
      <c r="AS77" s="10">
        <v>1</v>
      </c>
      <c r="AT77" s="9">
        <v>0</v>
      </c>
      <c r="AU77" s="10">
        <v>0</v>
      </c>
      <c r="AV77" s="9">
        <v>269</v>
      </c>
      <c r="AW77" s="10">
        <v>1</v>
      </c>
      <c r="AX77" s="9">
        <v>269</v>
      </c>
      <c r="AY77" s="10">
        <v>1</v>
      </c>
      <c r="AZ77" s="9">
        <v>0</v>
      </c>
      <c r="BA77" s="10">
        <v>0</v>
      </c>
      <c r="BB77" s="9">
        <v>0</v>
      </c>
      <c r="BC77" s="10">
        <v>0</v>
      </c>
      <c r="BD77" s="9">
        <v>269</v>
      </c>
      <c r="BE77" s="10">
        <v>1</v>
      </c>
      <c r="BF77" s="9">
        <v>0</v>
      </c>
      <c r="BG77" s="10">
        <v>0</v>
      </c>
      <c r="BH77" s="9">
        <v>0</v>
      </c>
      <c r="BI77" s="10">
        <v>0</v>
      </c>
      <c r="BJ77" s="9">
        <v>-267</v>
      </c>
      <c r="BK77" s="10">
        <v>-1</v>
      </c>
      <c r="BL77" s="9">
        <v>269</v>
      </c>
      <c r="BM77" s="10">
        <v>1</v>
      </c>
    </row>
    <row r="78" spans="1:65" ht="14.4">
      <c r="A78" s="2" t="s">
        <v>44</v>
      </c>
      <c r="B78" s="10" t="s">
        <v>103</v>
      </c>
      <c r="C78" s="11" t="s">
        <v>146</v>
      </c>
      <c r="D78" s="9">
        <v>3335</v>
      </c>
      <c r="E78" s="10">
        <v>23</v>
      </c>
      <c r="F78" s="9">
        <v>2320</v>
      </c>
      <c r="G78" s="10">
        <v>16</v>
      </c>
      <c r="H78" s="9">
        <v>1305</v>
      </c>
      <c r="I78" s="10">
        <v>9</v>
      </c>
      <c r="J78" s="9">
        <v>2030</v>
      </c>
      <c r="K78" s="10">
        <v>14</v>
      </c>
      <c r="L78" s="9">
        <v>1015</v>
      </c>
      <c r="M78" s="10">
        <v>7</v>
      </c>
      <c r="N78" s="9">
        <v>1305</v>
      </c>
      <c r="O78" s="10">
        <v>9</v>
      </c>
      <c r="P78" s="9">
        <v>3335</v>
      </c>
      <c r="Q78" s="10">
        <v>23</v>
      </c>
      <c r="R78" s="9">
        <v>2030</v>
      </c>
      <c r="S78" s="10">
        <v>14</v>
      </c>
      <c r="T78" s="9">
        <v>2465</v>
      </c>
      <c r="U78" s="10">
        <v>17</v>
      </c>
      <c r="V78" s="9">
        <v>3335</v>
      </c>
      <c r="W78" s="10">
        <v>23</v>
      </c>
      <c r="X78" s="9">
        <v>3625</v>
      </c>
      <c r="Y78" s="10">
        <v>25</v>
      </c>
      <c r="Z78" s="9">
        <v>1015</v>
      </c>
      <c r="AA78" s="10">
        <v>7</v>
      </c>
      <c r="AB78" s="9">
        <v>2320</v>
      </c>
      <c r="AC78" s="10">
        <v>16</v>
      </c>
      <c r="AD78" s="9">
        <v>1740</v>
      </c>
      <c r="AE78" s="10">
        <v>12</v>
      </c>
      <c r="AF78" s="9">
        <v>1740</v>
      </c>
      <c r="AG78" s="10">
        <v>12</v>
      </c>
      <c r="AH78" s="9">
        <v>2900</v>
      </c>
      <c r="AI78" s="10">
        <v>20</v>
      </c>
      <c r="AJ78" s="9">
        <v>1740</v>
      </c>
      <c r="AK78" s="10">
        <v>12</v>
      </c>
      <c r="AL78" s="9">
        <v>3625</v>
      </c>
      <c r="AM78" s="10">
        <v>25</v>
      </c>
      <c r="AN78" s="9">
        <v>2175</v>
      </c>
      <c r="AO78" s="10">
        <v>15</v>
      </c>
      <c r="AP78" s="9">
        <v>1885</v>
      </c>
      <c r="AQ78" s="10">
        <v>13</v>
      </c>
      <c r="AR78" s="9">
        <v>1450</v>
      </c>
      <c r="AS78" s="10">
        <v>10</v>
      </c>
      <c r="AT78" s="9">
        <v>2465</v>
      </c>
      <c r="AU78" s="10">
        <v>17</v>
      </c>
      <c r="AV78" s="9">
        <v>2900</v>
      </c>
      <c r="AW78" s="10">
        <v>20</v>
      </c>
      <c r="AX78" s="9">
        <v>5220</v>
      </c>
      <c r="AY78" s="10">
        <v>36</v>
      </c>
      <c r="AZ78" s="9">
        <v>2175</v>
      </c>
      <c r="BA78" s="10">
        <v>15</v>
      </c>
      <c r="BB78" s="9">
        <v>2175</v>
      </c>
      <c r="BC78" s="10">
        <v>15</v>
      </c>
      <c r="BD78" s="9">
        <v>1885</v>
      </c>
      <c r="BE78" s="10">
        <v>13</v>
      </c>
      <c r="BF78" s="9">
        <v>2160</v>
      </c>
      <c r="BG78" s="10">
        <v>16</v>
      </c>
      <c r="BH78" s="9">
        <v>2430</v>
      </c>
      <c r="BI78" s="10">
        <v>18</v>
      </c>
      <c r="BJ78" s="9">
        <v>2835</v>
      </c>
      <c r="BK78" s="10">
        <v>21</v>
      </c>
      <c r="BL78" s="9">
        <v>2900</v>
      </c>
      <c r="BM78" s="10">
        <v>20</v>
      </c>
    </row>
    <row r="79" spans="1:65" ht="14.4">
      <c r="A79" s="2" t="s">
        <v>47</v>
      </c>
      <c r="B79" s="10" t="s">
        <v>103</v>
      </c>
      <c r="C79" s="11" t="s">
        <v>145</v>
      </c>
      <c r="D79" s="9">
        <v>0</v>
      </c>
      <c r="E79" s="10">
        <v>0</v>
      </c>
      <c r="F79" s="9">
        <v>0</v>
      </c>
      <c r="G79" s="10">
        <v>0</v>
      </c>
      <c r="H79" s="9">
        <v>2197</v>
      </c>
      <c r="I79" s="10">
        <v>3</v>
      </c>
      <c r="J79" s="9">
        <v>1596</v>
      </c>
      <c r="K79" s="10">
        <v>4</v>
      </c>
      <c r="L79" s="9">
        <v>2394</v>
      </c>
      <c r="M79" s="10">
        <v>6</v>
      </c>
      <c r="N79" s="9">
        <v>1995</v>
      </c>
      <c r="O79" s="10">
        <v>5</v>
      </c>
      <c r="P79" s="9">
        <v>3192</v>
      </c>
      <c r="Q79" s="10">
        <v>8</v>
      </c>
      <c r="R79" s="9">
        <v>1596</v>
      </c>
      <c r="S79" s="10">
        <v>4</v>
      </c>
      <c r="T79" s="9">
        <v>1995</v>
      </c>
      <c r="U79" s="10">
        <v>5</v>
      </c>
      <c r="V79" s="9">
        <v>2495</v>
      </c>
      <c r="W79" s="10">
        <v>5</v>
      </c>
      <c r="X79" s="9">
        <v>3591</v>
      </c>
      <c r="Y79" s="10">
        <v>9</v>
      </c>
      <c r="Z79" s="9">
        <v>3990</v>
      </c>
      <c r="AA79" s="10">
        <v>10</v>
      </c>
      <c r="AB79" s="9">
        <v>1995</v>
      </c>
      <c r="AC79" s="10">
        <v>5</v>
      </c>
      <c r="AD79" s="9">
        <v>2394</v>
      </c>
      <c r="AE79" s="10">
        <v>6</v>
      </c>
      <c r="AF79" s="9">
        <v>2793</v>
      </c>
      <c r="AG79" s="10">
        <v>7</v>
      </c>
      <c r="AH79" s="9">
        <v>2394</v>
      </c>
      <c r="AI79" s="10">
        <v>6</v>
      </c>
      <c r="AJ79" s="9">
        <v>3990</v>
      </c>
      <c r="AK79" s="10">
        <v>10</v>
      </c>
      <c r="AL79" s="9">
        <v>2394</v>
      </c>
      <c r="AM79" s="10">
        <v>6</v>
      </c>
      <c r="AN79" s="9">
        <v>1596</v>
      </c>
      <c r="AO79" s="10">
        <v>4</v>
      </c>
      <c r="AP79" s="9">
        <v>2793</v>
      </c>
      <c r="AQ79" s="10">
        <v>7</v>
      </c>
      <c r="AR79" s="9">
        <v>1995</v>
      </c>
      <c r="AS79" s="10">
        <v>5</v>
      </c>
      <c r="AT79" s="9">
        <v>1995</v>
      </c>
      <c r="AU79" s="10">
        <v>5</v>
      </c>
      <c r="AV79" s="9">
        <v>1596</v>
      </c>
      <c r="AW79" s="10">
        <v>4</v>
      </c>
      <c r="AX79" s="9">
        <v>4389</v>
      </c>
      <c r="AY79" s="10">
        <v>11</v>
      </c>
      <c r="AZ79" s="9">
        <v>1197</v>
      </c>
      <c r="BA79" s="10">
        <v>3</v>
      </c>
      <c r="BB79" s="9">
        <v>0</v>
      </c>
      <c r="BC79" s="10">
        <v>0</v>
      </c>
      <c r="BD79" s="9">
        <v>3596</v>
      </c>
      <c r="BE79" s="10">
        <v>4</v>
      </c>
      <c r="BF79" s="9">
        <v>399</v>
      </c>
      <c r="BG79" s="10">
        <v>1</v>
      </c>
      <c r="BH79" s="9">
        <v>798</v>
      </c>
      <c r="BI79" s="10">
        <v>2</v>
      </c>
      <c r="BJ79" s="9">
        <v>859</v>
      </c>
      <c r="BK79" s="10">
        <v>1</v>
      </c>
      <c r="BL79" s="9">
        <v>1596</v>
      </c>
      <c r="BM79" s="10">
        <v>4</v>
      </c>
    </row>
    <row r="80" spans="1:65" ht="14.4">
      <c r="A80" s="2" t="s">
        <v>34</v>
      </c>
      <c r="B80" s="10" t="s">
        <v>103</v>
      </c>
      <c r="C80" s="11" t="s">
        <v>145</v>
      </c>
      <c r="D80" s="9">
        <v>21600</v>
      </c>
      <c r="E80" s="10">
        <v>160</v>
      </c>
      <c r="F80" s="9">
        <v>19035</v>
      </c>
      <c r="G80" s="10">
        <v>141</v>
      </c>
      <c r="H80" s="9">
        <v>18495</v>
      </c>
      <c r="I80" s="10">
        <v>137</v>
      </c>
      <c r="J80" s="9">
        <v>19170</v>
      </c>
      <c r="K80" s="10">
        <v>142</v>
      </c>
      <c r="L80" s="9">
        <v>15930</v>
      </c>
      <c r="M80" s="10">
        <v>118</v>
      </c>
      <c r="N80" s="9">
        <v>19049</v>
      </c>
      <c r="O80" s="10">
        <v>141</v>
      </c>
      <c r="P80" s="9">
        <v>20250</v>
      </c>
      <c r="Q80" s="10">
        <v>150</v>
      </c>
      <c r="R80" s="9">
        <v>20115</v>
      </c>
      <c r="S80" s="10">
        <v>149</v>
      </c>
      <c r="T80" s="9">
        <v>17955</v>
      </c>
      <c r="U80" s="10">
        <v>133</v>
      </c>
      <c r="V80" s="9">
        <v>20115</v>
      </c>
      <c r="W80" s="10">
        <v>149</v>
      </c>
      <c r="X80" s="9">
        <v>9720</v>
      </c>
      <c r="Y80" s="10">
        <v>72</v>
      </c>
      <c r="Z80" s="9">
        <v>675</v>
      </c>
      <c r="AA80" s="10">
        <v>5</v>
      </c>
      <c r="AB80" s="9">
        <v>2295</v>
      </c>
      <c r="AC80" s="10">
        <v>17</v>
      </c>
      <c r="AD80" s="9">
        <v>945</v>
      </c>
      <c r="AE80" s="10">
        <v>7</v>
      </c>
      <c r="AF80" s="9">
        <v>24030</v>
      </c>
      <c r="AG80" s="10">
        <v>178</v>
      </c>
      <c r="AH80" s="9">
        <v>29685</v>
      </c>
      <c r="AI80" s="10">
        <v>216</v>
      </c>
      <c r="AJ80" s="9">
        <v>34830</v>
      </c>
      <c r="AK80" s="10">
        <v>258</v>
      </c>
      <c r="AL80" s="9">
        <v>27540</v>
      </c>
      <c r="AM80" s="10">
        <v>204</v>
      </c>
      <c r="AN80" s="9">
        <v>26190</v>
      </c>
      <c r="AO80" s="10">
        <v>194</v>
      </c>
      <c r="AP80" s="9">
        <v>27270</v>
      </c>
      <c r="AQ80" s="10">
        <v>202</v>
      </c>
      <c r="AR80" s="9">
        <v>23909</v>
      </c>
      <c r="AS80" s="10">
        <v>177</v>
      </c>
      <c r="AT80" s="9">
        <v>32940</v>
      </c>
      <c r="AU80" s="10">
        <v>244</v>
      </c>
      <c r="AV80" s="9">
        <v>32265</v>
      </c>
      <c r="AW80" s="10">
        <v>239</v>
      </c>
      <c r="AX80" s="9">
        <v>25785</v>
      </c>
      <c r="AY80" s="10">
        <v>191</v>
      </c>
      <c r="AZ80" s="9">
        <v>20250</v>
      </c>
      <c r="BA80" s="10">
        <v>150</v>
      </c>
      <c r="BB80" s="9">
        <v>10530</v>
      </c>
      <c r="BC80" s="10">
        <v>78</v>
      </c>
      <c r="BD80" s="9">
        <v>8259</v>
      </c>
      <c r="BE80" s="10">
        <v>61</v>
      </c>
      <c r="BF80" s="9">
        <v>27369</v>
      </c>
      <c r="BG80" s="10">
        <v>212</v>
      </c>
      <c r="BH80" s="9">
        <v>30187</v>
      </c>
      <c r="BI80" s="10">
        <v>234</v>
      </c>
      <c r="BJ80" s="9">
        <v>27994</v>
      </c>
      <c r="BK80" s="10">
        <v>217</v>
      </c>
      <c r="BL80" s="9">
        <v>32265</v>
      </c>
      <c r="BM80" s="10">
        <v>239</v>
      </c>
    </row>
    <row r="81" spans="1:65" ht="14.4">
      <c r="A81" s="2" t="s">
        <v>71</v>
      </c>
      <c r="B81" s="10" t="s">
        <v>103</v>
      </c>
      <c r="C81" s="11" t="s">
        <v>145</v>
      </c>
      <c r="D81" s="9">
        <v>877</v>
      </c>
      <c r="E81" s="10">
        <v>3</v>
      </c>
      <c r="F81" s="9">
        <v>767</v>
      </c>
      <c r="G81" s="10">
        <v>3</v>
      </c>
      <c r="H81" s="9">
        <v>1196</v>
      </c>
      <c r="I81" s="10">
        <v>4</v>
      </c>
      <c r="J81" s="9">
        <v>837</v>
      </c>
      <c r="K81" s="10">
        <v>3</v>
      </c>
      <c r="L81" s="9">
        <v>877</v>
      </c>
      <c r="M81" s="10">
        <v>3</v>
      </c>
      <c r="N81" s="9">
        <v>957</v>
      </c>
      <c r="O81" s="10">
        <v>3</v>
      </c>
      <c r="P81" s="9">
        <v>1156</v>
      </c>
      <c r="Q81" s="10">
        <v>4</v>
      </c>
      <c r="R81" s="9">
        <v>1196</v>
      </c>
      <c r="S81" s="10">
        <v>4</v>
      </c>
      <c r="T81" s="9">
        <v>3348</v>
      </c>
      <c r="U81" s="10">
        <v>12</v>
      </c>
      <c r="V81" s="9">
        <v>279</v>
      </c>
      <c r="W81" s="10">
        <v>1</v>
      </c>
      <c r="X81" s="9">
        <v>558</v>
      </c>
      <c r="Y81" s="10">
        <v>2</v>
      </c>
      <c r="Z81" s="9">
        <v>837</v>
      </c>
      <c r="AA81" s="10">
        <v>3</v>
      </c>
      <c r="AB81" s="9">
        <v>2073</v>
      </c>
      <c r="AC81" s="10">
        <v>7</v>
      </c>
      <c r="AD81" s="9">
        <v>558</v>
      </c>
      <c r="AE81" s="10">
        <v>2</v>
      </c>
      <c r="AF81" s="9">
        <v>1714</v>
      </c>
      <c r="AG81" s="10">
        <v>6</v>
      </c>
      <c r="AH81" s="9">
        <v>1395</v>
      </c>
      <c r="AI81" s="10">
        <v>5</v>
      </c>
      <c r="AJ81" s="9">
        <v>1116</v>
      </c>
      <c r="AK81" s="10">
        <v>4</v>
      </c>
      <c r="AL81" s="9">
        <v>279</v>
      </c>
      <c r="AM81" s="10">
        <v>1</v>
      </c>
      <c r="AN81" s="9">
        <v>279</v>
      </c>
      <c r="AO81" s="10">
        <v>1</v>
      </c>
      <c r="AP81" s="9">
        <v>279</v>
      </c>
      <c r="AQ81" s="10">
        <v>1</v>
      </c>
      <c r="AR81" s="9">
        <v>1668</v>
      </c>
      <c r="AS81" s="10">
        <v>8</v>
      </c>
      <c r="AT81" s="9">
        <v>185</v>
      </c>
      <c r="AU81" s="10">
        <v>1</v>
      </c>
      <c r="AV81" s="9">
        <v>764</v>
      </c>
      <c r="AW81" s="10">
        <v>4</v>
      </c>
      <c r="AX81" s="9">
        <v>804</v>
      </c>
      <c r="AY81" s="10">
        <v>4</v>
      </c>
      <c r="AZ81" s="9">
        <v>613</v>
      </c>
      <c r="BA81" s="10">
        <v>3</v>
      </c>
      <c r="BB81" s="9">
        <v>1560</v>
      </c>
      <c r="BC81" s="10">
        <v>8</v>
      </c>
      <c r="BD81" s="9">
        <v>925</v>
      </c>
      <c r="BE81" s="10">
        <v>5</v>
      </c>
      <c r="BF81" s="9">
        <v>1110</v>
      </c>
      <c r="BG81" s="10">
        <v>6</v>
      </c>
      <c r="BH81" s="9">
        <v>1375</v>
      </c>
      <c r="BI81" s="10">
        <v>7</v>
      </c>
      <c r="BJ81" s="9">
        <v>1190</v>
      </c>
      <c r="BK81" s="10">
        <v>6</v>
      </c>
      <c r="BL81" s="9">
        <v>764</v>
      </c>
      <c r="BM81" s="10">
        <v>4</v>
      </c>
    </row>
    <row r="82" spans="1:65" ht="14.4">
      <c r="A82" s="2" t="s">
        <v>80</v>
      </c>
      <c r="B82" s="10" t="s">
        <v>103</v>
      </c>
      <c r="C82" s="11" t="s">
        <v>151</v>
      </c>
      <c r="D82" s="9">
        <v>10148</v>
      </c>
      <c r="E82" s="10">
        <v>12</v>
      </c>
      <c r="F82" s="9">
        <v>5228</v>
      </c>
      <c r="G82" s="10">
        <v>6</v>
      </c>
      <c r="H82" s="9">
        <v>6806</v>
      </c>
      <c r="I82" s="10">
        <v>8</v>
      </c>
      <c r="J82" s="9">
        <v>8548</v>
      </c>
      <c r="K82" s="10">
        <v>10</v>
      </c>
      <c r="L82" s="9">
        <v>15358</v>
      </c>
      <c r="M82" s="10">
        <v>18</v>
      </c>
      <c r="N82" s="9">
        <v>14441</v>
      </c>
      <c r="O82" s="10">
        <v>17</v>
      </c>
      <c r="P82" s="9">
        <v>10126</v>
      </c>
      <c r="Q82" s="10">
        <v>12</v>
      </c>
      <c r="R82" s="9">
        <v>16087</v>
      </c>
      <c r="S82" s="10">
        <v>19</v>
      </c>
      <c r="T82" s="9">
        <v>5118</v>
      </c>
      <c r="U82" s="10">
        <v>6</v>
      </c>
      <c r="V82" s="9">
        <v>10969</v>
      </c>
      <c r="W82" s="10">
        <v>13</v>
      </c>
      <c r="X82" s="9">
        <v>14400</v>
      </c>
      <c r="Y82" s="10">
        <v>17</v>
      </c>
      <c r="Z82" s="9">
        <v>12823</v>
      </c>
      <c r="AA82" s="10">
        <v>15</v>
      </c>
      <c r="AB82" s="9">
        <v>10199</v>
      </c>
      <c r="AC82" s="10">
        <v>12</v>
      </c>
      <c r="AD82" s="9">
        <v>16253</v>
      </c>
      <c r="AE82" s="10">
        <v>19</v>
      </c>
      <c r="AF82" s="9">
        <v>9447</v>
      </c>
      <c r="AG82" s="10">
        <v>11</v>
      </c>
      <c r="AH82" s="9">
        <v>10291</v>
      </c>
      <c r="AI82" s="10">
        <v>12</v>
      </c>
      <c r="AJ82" s="9">
        <v>8548</v>
      </c>
      <c r="AK82" s="10">
        <v>10</v>
      </c>
      <c r="AL82" s="9">
        <v>7815</v>
      </c>
      <c r="AM82" s="10">
        <v>9</v>
      </c>
      <c r="AN82" s="9">
        <v>10166</v>
      </c>
      <c r="AO82" s="10">
        <v>12</v>
      </c>
      <c r="AP82" s="9">
        <v>10996</v>
      </c>
      <c r="AQ82" s="10">
        <v>13</v>
      </c>
      <c r="AR82" s="9">
        <v>12606</v>
      </c>
      <c r="AS82" s="10">
        <v>15</v>
      </c>
      <c r="AT82" s="9">
        <v>11059</v>
      </c>
      <c r="AU82" s="10">
        <v>13</v>
      </c>
      <c r="AV82" s="9">
        <v>7573</v>
      </c>
      <c r="AW82" s="10">
        <v>9</v>
      </c>
      <c r="AX82" s="9">
        <v>9307</v>
      </c>
      <c r="AY82" s="10">
        <v>11</v>
      </c>
      <c r="AZ82" s="9">
        <v>9053</v>
      </c>
      <c r="BA82" s="10">
        <v>11</v>
      </c>
      <c r="BB82" s="9">
        <v>12958</v>
      </c>
      <c r="BC82" s="10">
        <v>19</v>
      </c>
      <c r="BD82" s="9">
        <v>13147</v>
      </c>
      <c r="BE82" s="10">
        <v>19</v>
      </c>
      <c r="BF82" s="9">
        <v>19374</v>
      </c>
      <c r="BG82" s="10">
        <v>28</v>
      </c>
      <c r="BH82" s="9">
        <v>13147</v>
      </c>
      <c r="BI82" s="10">
        <v>19</v>
      </c>
      <c r="BJ82" s="9">
        <v>11071</v>
      </c>
      <c r="BK82" s="10">
        <v>16</v>
      </c>
      <c r="BL82" s="9">
        <v>7573</v>
      </c>
      <c r="BM82" s="10">
        <v>9</v>
      </c>
    </row>
    <row r="83" spans="1:65" ht="14.4">
      <c r="A83" s="2" t="s">
        <v>6</v>
      </c>
      <c r="B83" s="10" t="s">
        <v>103</v>
      </c>
      <c r="C83" s="11" t="s">
        <v>151</v>
      </c>
      <c r="D83" s="9">
        <v>2716</v>
      </c>
      <c r="E83" s="10">
        <v>4</v>
      </c>
      <c r="F83" s="9">
        <v>3395</v>
      </c>
      <c r="G83" s="10">
        <v>5</v>
      </c>
      <c r="H83" s="9">
        <v>2037</v>
      </c>
      <c r="I83" s="10">
        <v>3</v>
      </c>
      <c r="J83" s="9">
        <v>2037</v>
      </c>
      <c r="K83" s="10">
        <v>3</v>
      </c>
      <c r="L83" s="9">
        <v>2037</v>
      </c>
      <c r="M83" s="10">
        <v>3</v>
      </c>
      <c r="N83" s="9">
        <v>4753</v>
      </c>
      <c r="O83" s="10">
        <v>7</v>
      </c>
      <c r="P83" s="9">
        <v>4074</v>
      </c>
      <c r="Q83" s="10">
        <v>6</v>
      </c>
      <c r="R83" s="9">
        <v>4074</v>
      </c>
      <c r="S83" s="10">
        <v>6</v>
      </c>
      <c r="T83" s="9">
        <v>1358</v>
      </c>
      <c r="U83" s="10">
        <v>2</v>
      </c>
      <c r="V83" s="9">
        <v>2037</v>
      </c>
      <c r="W83" s="10">
        <v>3</v>
      </c>
      <c r="X83" s="9">
        <v>2716</v>
      </c>
      <c r="Y83" s="10">
        <v>4</v>
      </c>
      <c r="Z83" s="9">
        <v>3395</v>
      </c>
      <c r="AA83" s="10">
        <v>5</v>
      </c>
      <c r="AB83" s="9">
        <v>2007</v>
      </c>
      <c r="AC83" s="10">
        <v>3</v>
      </c>
      <c r="AD83" s="9">
        <v>4543</v>
      </c>
      <c r="AE83" s="10">
        <v>7</v>
      </c>
      <c r="AF83" s="9">
        <v>7788</v>
      </c>
      <c r="AG83" s="10">
        <v>12</v>
      </c>
      <c r="AH83" s="9">
        <v>3245</v>
      </c>
      <c r="AI83" s="10">
        <v>5</v>
      </c>
      <c r="AJ83" s="9">
        <v>5841</v>
      </c>
      <c r="AK83" s="10">
        <v>9</v>
      </c>
      <c r="AL83" s="9">
        <v>2596</v>
      </c>
      <c r="AM83" s="10">
        <v>4</v>
      </c>
      <c r="AN83" s="9">
        <v>5192</v>
      </c>
      <c r="AO83" s="10">
        <v>8</v>
      </c>
      <c r="AP83" s="9">
        <v>5192</v>
      </c>
      <c r="AQ83" s="10">
        <v>8</v>
      </c>
      <c r="AR83" s="9">
        <v>3894</v>
      </c>
      <c r="AS83" s="10">
        <v>6</v>
      </c>
      <c r="AT83" s="9">
        <v>6490</v>
      </c>
      <c r="AU83" s="10">
        <v>10</v>
      </c>
      <c r="AV83" s="9">
        <v>9735</v>
      </c>
      <c r="AW83" s="10">
        <v>15</v>
      </c>
      <c r="AX83" s="9">
        <v>12331</v>
      </c>
      <c r="AY83" s="10">
        <v>19</v>
      </c>
      <c r="AZ83" s="9">
        <v>5192</v>
      </c>
      <c r="BA83" s="10">
        <v>8</v>
      </c>
      <c r="BB83" s="9">
        <v>9086</v>
      </c>
      <c r="BC83" s="10">
        <v>14</v>
      </c>
      <c r="BD83" s="9">
        <v>5192</v>
      </c>
      <c r="BE83" s="10">
        <v>8</v>
      </c>
      <c r="BF83" s="9">
        <v>8985</v>
      </c>
      <c r="BG83" s="10">
        <v>15</v>
      </c>
      <c r="BH83" s="9">
        <v>11381</v>
      </c>
      <c r="BI83" s="10">
        <v>19</v>
      </c>
      <c r="BJ83" s="9">
        <v>7787</v>
      </c>
      <c r="BK83" s="10">
        <v>13</v>
      </c>
      <c r="BL83" s="9">
        <v>9735</v>
      </c>
      <c r="BM83" s="10">
        <v>15</v>
      </c>
    </row>
    <row r="84" spans="1:65" ht="14.4">
      <c r="A84" s="2" t="s">
        <v>29</v>
      </c>
      <c r="B84" s="10" t="s">
        <v>102</v>
      </c>
      <c r="C84" s="11" t="s">
        <v>149</v>
      </c>
      <c r="D84" s="9">
        <v>289</v>
      </c>
      <c r="E84" s="10">
        <v>1</v>
      </c>
      <c r="F84" s="9">
        <v>0</v>
      </c>
      <c r="G84" s="10">
        <v>0</v>
      </c>
      <c r="H84" s="9">
        <v>0</v>
      </c>
      <c r="I84" s="10">
        <v>0</v>
      </c>
      <c r="J84" s="9">
        <v>0</v>
      </c>
      <c r="K84" s="10">
        <v>0</v>
      </c>
      <c r="L84" s="9">
        <v>0</v>
      </c>
      <c r="M84" s="10">
        <v>0</v>
      </c>
      <c r="N84" s="9">
        <v>0</v>
      </c>
      <c r="O84" s="10">
        <v>0</v>
      </c>
      <c r="P84" s="9">
        <v>0</v>
      </c>
      <c r="Q84" s="10">
        <v>0</v>
      </c>
      <c r="R84" s="9">
        <v>0</v>
      </c>
      <c r="S84" s="10">
        <v>0</v>
      </c>
      <c r="T84" s="9">
        <v>0</v>
      </c>
      <c r="U84" s="10">
        <v>0</v>
      </c>
      <c r="V84" s="9">
        <v>0</v>
      </c>
      <c r="W84" s="10">
        <v>0</v>
      </c>
      <c r="X84" s="9">
        <v>0</v>
      </c>
      <c r="Y84" s="10">
        <v>0</v>
      </c>
      <c r="Z84" s="9">
        <v>0</v>
      </c>
      <c r="AA84" s="10">
        <v>0</v>
      </c>
      <c r="AB84" s="9">
        <v>249</v>
      </c>
      <c r="AC84" s="10">
        <v>1</v>
      </c>
      <c r="AD84" s="9">
        <v>0</v>
      </c>
      <c r="AE84" s="10">
        <v>0</v>
      </c>
      <c r="AF84" s="9">
        <v>0</v>
      </c>
      <c r="AG84" s="10">
        <v>0</v>
      </c>
      <c r="AH84" s="9">
        <v>0</v>
      </c>
      <c r="AI84" s="10">
        <v>0</v>
      </c>
      <c r="AJ84" s="9">
        <v>289</v>
      </c>
      <c r="AK84" s="10">
        <v>1</v>
      </c>
      <c r="AL84" s="9">
        <v>249</v>
      </c>
      <c r="AM84" s="10">
        <v>1</v>
      </c>
      <c r="AN84" s="9">
        <v>289</v>
      </c>
      <c r="AO84" s="10">
        <v>1</v>
      </c>
      <c r="AP84" s="9">
        <v>0</v>
      </c>
      <c r="AQ84" s="10">
        <v>0</v>
      </c>
      <c r="AR84" s="9">
        <v>0</v>
      </c>
      <c r="AS84" s="10">
        <v>0</v>
      </c>
      <c r="AT84" s="9">
        <v>289</v>
      </c>
      <c r="AU84" s="10">
        <v>1</v>
      </c>
      <c r="AV84" s="9">
        <v>0</v>
      </c>
      <c r="AW84" s="10">
        <v>0</v>
      </c>
      <c r="AX84" s="9">
        <v>514</v>
      </c>
      <c r="AY84" s="10">
        <v>2</v>
      </c>
      <c r="AZ84" s="9">
        <v>257</v>
      </c>
      <c r="BA84" s="10">
        <v>1</v>
      </c>
      <c r="BB84" s="9">
        <v>257</v>
      </c>
      <c r="BC84" s="10">
        <v>1</v>
      </c>
      <c r="BD84" s="9">
        <v>0</v>
      </c>
      <c r="BE84" s="10">
        <v>0</v>
      </c>
      <c r="BF84" s="9">
        <v>0</v>
      </c>
      <c r="BG84" s="10">
        <v>0</v>
      </c>
      <c r="BH84" s="9">
        <v>0</v>
      </c>
      <c r="BI84" s="10">
        <v>0</v>
      </c>
      <c r="BJ84" s="9">
        <v>0</v>
      </c>
      <c r="BK84" s="10">
        <v>0</v>
      </c>
      <c r="BL84" s="9">
        <v>0</v>
      </c>
      <c r="BM84" s="10">
        <v>0</v>
      </c>
    </row>
    <row r="85" spans="1:65" ht="14.4">
      <c r="A85" s="2" t="s">
        <v>89</v>
      </c>
      <c r="B85" s="10" t="s">
        <v>102</v>
      </c>
      <c r="C85" s="11" t="s">
        <v>149</v>
      </c>
      <c r="D85" s="9">
        <v>0</v>
      </c>
      <c r="E85" s="10">
        <v>0</v>
      </c>
      <c r="F85" s="9">
        <v>0</v>
      </c>
      <c r="G85" s="10">
        <v>0</v>
      </c>
      <c r="H85" s="9">
        <v>0</v>
      </c>
      <c r="I85" s="10">
        <v>0</v>
      </c>
      <c r="J85" s="9">
        <v>538</v>
      </c>
      <c r="K85" s="10">
        <v>2</v>
      </c>
      <c r="L85" s="9">
        <v>0</v>
      </c>
      <c r="M85" s="10">
        <v>0</v>
      </c>
      <c r="N85" s="9">
        <v>0</v>
      </c>
      <c r="O85" s="10">
        <v>0</v>
      </c>
      <c r="P85" s="9">
        <v>309</v>
      </c>
      <c r="Q85" s="10">
        <v>1</v>
      </c>
      <c r="R85" s="9">
        <v>0</v>
      </c>
      <c r="S85" s="10">
        <v>0</v>
      </c>
      <c r="T85" s="9">
        <v>0</v>
      </c>
      <c r="U85" s="10">
        <v>0</v>
      </c>
      <c r="V85" s="9">
        <v>0</v>
      </c>
      <c r="W85" s="10">
        <v>0</v>
      </c>
      <c r="X85" s="9">
        <v>269</v>
      </c>
      <c r="Y85" s="10">
        <v>1</v>
      </c>
      <c r="Z85" s="9">
        <v>0</v>
      </c>
      <c r="AA85" s="10">
        <v>0</v>
      </c>
      <c r="AB85" s="9">
        <v>269</v>
      </c>
      <c r="AC85" s="10">
        <v>1</v>
      </c>
      <c r="AD85" s="9">
        <v>0</v>
      </c>
      <c r="AE85" s="10">
        <v>0</v>
      </c>
      <c r="AF85" s="9">
        <v>0</v>
      </c>
      <c r="AG85" s="10">
        <v>0</v>
      </c>
      <c r="AH85" s="9">
        <v>0</v>
      </c>
      <c r="AI85" s="10">
        <v>0</v>
      </c>
      <c r="AJ85" s="9">
        <v>0</v>
      </c>
      <c r="AK85" s="10">
        <v>0</v>
      </c>
      <c r="AL85" s="9">
        <v>0</v>
      </c>
      <c r="AM85" s="10">
        <v>0</v>
      </c>
      <c r="AN85" s="9">
        <v>1216</v>
      </c>
      <c r="AO85" s="10">
        <v>4</v>
      </c>
      <c r="AP85" s="9">
        <v>0</v>
      </c>
      <c r="AQ85" s="10">
        <v>0</v>
      </c>
      <c r="AR85" s="9">
        <v>309</v>
      </c>
      <c r="AS85" s="10">
        <v>1</v>
      </c>
      <c r="AT85" s="9">
        <v>0</v>
      </c>
      <c r="AU85" s="10">
        <v>0</v>
      </c>
      <c r="AV85" s="9">
        <v>269</v>
      </c>
      <c r="AW85" s="10">
        <v>1</v>
      </c>
      <c r="AX85" s="9">
        <v>269</v>
      </c>
      <c r="AY85" s="10">
        <v>1</v>
      </c>
      <c r="AZ85" s="9">
        <v>0</v>
      </c>
      <c r="BA85" s="10">
        <v>0</v>
      </c>
      <c r="BB85" s="9">
        <v>0</v>
      </c>
      <c r="BC85" s="10">
        <v>0</v>
      </c>
      <c r="BD85" s="9">
        <v>269</v>
      </c>
      <c r="BE85" s="10">
        <v>1</v>
      </c>
      <c r="BF85" s="9">
        <v>0</v>
      </c>
      <c r="BG85" s="10">
        <v>0</v>
      </c>
      <c r="BH85" s="9">
        <v>0</v>
      </c>
      <c r="BI85" s="10">
        <v>0</v>
      </c>
      <c r="BJ85" s="9">
        <v>-267</v>
      </c>
      <c r="BK85" s="10">
        <v>-1</v>
      </c>
      <c r="BL85" s="9">
        <v>269</v>
      </c>
      <c r="BM85" s="10">
        <v>1</v>
      </c>
    </row>
    <row r="86" spans="1:65" ht="14.4">
      <c r="A86" s="2" t="s">
        <v>53</v>
      </c>
      <c r="B86" s="10" t="s">
        <v>102</v>
      </c>
      <c r="C86" s="11" t="s">
        <v>150</v>
      </c>
      <c r="D86" s="9">
        <v>0</v>
      </c>
      <c r="E86" s="10">
        <v>0</v>
      </c>
      <c r="F86" s="9">
        <v>632</v>
      </c>
      <c r="G86" s="10">
        <v>2</v>
      </c>
      <c r="H86" s="9">
        <v>0</v>
      </c>
      <c r="I86" s="10">
        <v>0</v>
      </c>
      <c r="J86" s="9">
        <v>0</v>
      </c>
      <c r="K86" s="10">
        <v>0</v>
      </c>
      <c r="L86" s="9">
        <v>316</v>
      </c>
      <c r="M86" s="10">
        <v>1</v>
      </c>
      <c r="N86" s="9">
        <v>632</v>
      </c>
      <c r="O86" s="10">
        <v>2</v>
      </c>
      <c r="P86" s="9">
        <v>672</v>
      </c>
      <c r="Q86" s="10">
        <v>2</v>
      </c>
      <c r="R86" s="9">
        <v>632</v>
      </c>
      <c r="S86" s="10">
        <v>2</v>
      </c>
      <c r="T86" s="9">
        <v>316</v>
      </c>
      <c r="U86" s="10">
        <v>1</v>
      </c>
      <c r="V86" s="9">
        <v>1304</v>
      </c>
      <c r="W86" s="10">
        <v>4</v>
      </c>
      <c r="X86" s="9">
        <v>316</v>
      </c>
      <c r="Y86" s="10">
        <v>1</v>
      </c>
      <c r="Z86" s="9">
        <v>672</v>
      </c>
      <c r="AA86" s="10">
        <v>2</v>
      </c>
      <c r="AB86" s="9">
        <v>632</v>
      </c>
      <c r="AC86" s="10">
        <v>2</v>
      </c>
      <c r="AD86" s="9">
        <v>712</v>
      </c>
      <c r="AE86" s="10">
        <v>2</v>
      </c>
      <c r="AF86" s="9">
        <v>1620</v>
      </c>
      <c r="AG86" s="10">
        <v>5</v>
      </c>
      <c r="AH86" s="9">
        <v>672</v>
      </c>
      <c r="AI86" s="10">
        <v>2</v>
      </c>
      <c r="AJ86" s="9">
        <v>316</v>
      </c>
      <c r="AK86" s="10">
        <v>1</v>
      </c>
      <c r="AL86" s="9">
        <v>2252</v>
      </c>
      <c r="AM86" s="10">
        <v>7</v>
      </c>
      <c r="AN86" s="9">
        <v>632</v>
      </c>
      <c r="AO86" s="10">
        <v>2</v>
      </c>
      <c r="AP86" s="9">
        <v>0</v>
      </c>
      <c r="AQ86" s="10">
        <v>0</v>
      </c>
      <c r="AR86" s="9">
        <v>672</v>
      </c>
      <c r="AS86" s="10">
        <v>2</v>
      </c>
      <c r="AT86" s="9">
        <v>948</v>
      </c>
      <c r="AU86" s="10">
        <v>3</v>
      </c>
      <c r="AV86" s="9">
        <v>0</v>
      </c>
      <c r="AW86" s="10">
        <v>0</v>
      </c>
      <c r="AX86" s="9">
        <v>0</v>
      </c>
      <c r="AY86" s="10">
        <v>0</v>
      </c>
      <c r="AZ86" s="9">
        <v>0</v>
      </c>
      <c r="BA86" s="10">
        <v>0</v>
      </c>
      <c r="BB86" s="9">
        <v>1896</v>
      </c>
      <c r="BC86" s="10">
        <v>6</v>
      </c>
      <c r="BD86" s="9">
        <v>316</v>
      </c>
      <c r="BE86" s="10">
        <v>1</v>
      </c>
      <c r="BF86" s="9">
        <v>672</v>
      </c>
      <c r="BG86" s="10">
        <v>2</v>
      </c>
      <c r="BH86" s="9">
        <v>316</v>
      </c>
      <c r="BI86" s="10">
        <v>1</v>
      </c>
      <c r="BJ86" s="9">
        <v>1304</v>
      </c>
      <c r="BK86" s="10">
        <v>4</v>
      </c>
      <c r="BL86" s="9">
        <v>0</v>
      </c>
      <c r="BM86" s="10">
        <v>0</v>
      </c>
    </row>
    <row r="87" spans="1:65" ht="14.4">
      <c r="A87" s="2" t="s">
        <v>4</v>
      </c>
      <c r="B87" s="10" t="s">
        <v>102</v>
      </c>
      <c r="C87" s="11" t="s">
        <v>154</v>
      </c>
      <c r="D87" s="9">
        <v>0</v>
      </c>
      <c r="E87" s="10">
        <v>0</v>
      </c>
      <c r="F87" s="9">
        <v>0</v>
      </c>
      <c r="G87" s="10">
        <v>0</v>
      </c>
      <c r="H87" s="9">
        <v>0</v>
      </c>
      <c r="I87" s="10">
        <v>0</v>
      </c>
      <c r="J87" s="9">
        <v>538</v>
      </c>
      <c r="K87" s="10">
        <v>2</v>
      </c>
      <c r="L87" s="9">
        <v>0</v>
      </c>
      <c r="M87" s="10">
        <v>0</v>
      </c>
      <c r="N87" s="9">
        <v>0</v>
      </c>
      <c r="O87" s="10">
        <v>0</v>
      </c>
      <c r="P87" s="9">
        <v>309</v>
      </c>
      <c r="Q87" s="10">
        <v>1</v>
      </c>
      <c r="R87" s="9">
        <v>0</v>
      </c>
      <c r="S87" s="10">
        <v>0</v>
      </c>
      <c r="T87" s="9">
        <v>0</v>
      </c>
      <c r="U87" s="10">
        <v>0</v>
      </c>
      <c r="V87" s="9">
        <v>0</v>
      </c>
      <c r="W87" s="10">
        <v>0</v>
      </c>
      <c r="X87" s="9">
        <v>269</v>
      </c>
      <c r="Y87" s="10">
        <v>1</v>
      </c>
      <c r="Z87" s="9">
        <v>0</v>
      </c>
      <c r="AA87" s="10">
        <v>0</v>
      </c>
      <c r="AB87" s="9">
        <v>269</v>
      </c>
      <c r="AC87" s="10">
        <v>1</v>
      </c>
      <c r="AD87" s="9">
        <v>0</v>
      </c>
      <c r="AE87" s="10">
        <v>0</v>
      </c>
      <c r="AF87" s="9">
        <v>0</v>
      </c>
      <c r="AG87" s="10">
        <v>0</v>
      </c>
      <c r="AH87" s="9">
        <v>0</v>
      </c>
      <c r="AI87" s="10">
        <v>0</v>
      </c>
      <c r="AJ87" s="9">
        <v>0</v>
      </c>
      <c r="AK87" s="10">
        <v>0</v>
      </c>
      <c r="AL87" s="9">
        <v>0</v>
      </c>
      <c r="AM87" s="10">
        <v>0</v>
      </c>
      <c r="AN87" s="9">
        <v>1216</v>
      </c>
      <c r="AO87" s="10">
        <v>4</v>
      </c>
      <c r="AP87" s="9">
        <v>0</v>
      </c>
      <c r="AQ87" s="10">
        <v>0</v>
      </c>
      <c r="AR87" s="9">
        <v>309</v>
      </c>
      <c r="AS87" s="10">
        <v>1</v>
      </c>
      <c r="AT87" s="9">
        <v>0</v>
      </c>
      <c r="AU87" s="10">
        <v>0</v>
      </c>
      <c r="AV87" s="9">
        <v>269</v>
      </c>
      <c r="AW87" s="10">
        <v>1</v>
      </c>
      <c r="AX87" s="9">
        <v>269</v>
      </c>
      <c r="AY87" s="10">
        <v>1</v>
      </c>
      <c r="AZ87" s="9">
        <v>0</v>
      </c>
      <c r="BA87" s="10">
        <v>0</v>
      </c>
      <c r="BB87" s="9">
        <v>0</v>
      </c>
      <c r="BC87" s="10">
        <v>0</v>
      </c>
      <c r="BD87" s="9">
        <v>269</v>
      </c>
      <c r="BE87" s="10">
        <v>1</v>
      </c>
      <c r="BF87" s="9">
        <v>0</v>
      </c>
      <c r="BG87" s="10">
        <v>0</v>
      </c>
      <c r="BH87" s="9">
        <v>0</v>
      </c>
      <c r="BI87" s="10">
        <v>0</v>
      </c>
      <c r="BJ87" s="9">
        <v>-267</v>
      </c>
      <c r="BK87" s="10">
        <v>-1</v>
      </c>
      <c r="BL87" s="9">
        <v>269</v>
      </c>
      <c r="BM87" s="10">
        <v>1</v>
      </c>
    </row>
    <row r="88" spans="1:65" ht="14.4">
      <c r="A88" s="2" t="s">
        <v>43</v>
      </c>
      <c r="B88" s="10" t="s">
        <v>102</v>
      </c>
      <c r="C88" s="11" t="s">
        <v>150</v>
      </c>
      <c r="D88" s="9">
        <v>0</v>
      </c>
      <c r="E88" s="10">
        <v>0</v>
      </c>
      <c r="F88" s="9">
        <v>244</v>
      </c>
      <c r="G88" s="10">
        <v>1</v>
      </c>
      <c r="H88" s="9">
        <v>488</v>
      </c>
      <c r="I88" s="10">
        <v>2</v>
      </c>
      <c r="J88" s="9">
        <v>244</v>
      </c>
      <c r="K88" s="10">
        <v>1</v>
      </c>
      <c r="L88" s="9">
        <v>0</v>
      </c>
      <c r="M88" s="10">
        <v>0</v>
      </c>
      <c r="N88" s="9">
        <v>488</v>
      </c>
      <c r="O88" s="10">
        <v>2</v>
      </c>
      <c r="P88" s="9">
        <v>244</v>
      </c>
      <c r="Q88" s="10">
        <v>1</v>
      </c>
      <c r="R88" s="9">
        <v>0</v>
      </c>
      <c r="S88" s="10">
        <v>0</v>
      </c>
      <c r="T88" s="9">
        <v>812</v>
      </c>
      <c r="U88" s="10">
        <v>3</v>
      </c>
      <c r="V88" s="9">
        <v>772</v>
      </c>
      <c r="W88" s="10">
        <v>3</v>
      </c>
      <c r="X88" s="9">
        <v>0</v>
      </c>
      <c r="Y88" s="10">
        <v>0</v>
      </c>
      <c r="Z88" s="9">
        <v>488</v>
      </c>
      <c r="AA88" s="10">
        <v>2</v>
      </c>
      <c r="AB88" s="9">
        <v>0</v>
      </c>
      <c r="AC88" s="10">
        <v>0</v>
      </c>
      <c r="AD88" s="9">
        <v>0</v>
      </c>
      <c r="AE88" s="10">
        <v>0</v>
      </c>
      <c r="AF88" s="9">
        <v>244</v>
      </c>
      <c r="AG88" s="10">
        <v>1</v>
      </c>
      <c r="AH88" s="9">
        <v>0</v>
      </c>
      <c r="AI88" s="10">
        <v>0</v>
      </c>
      <c r="AJ88" s="9">
        <v>0</v>
      </c>
      <c r="AK88" s="10">
        <v>0</v>
      </c>
      <c r="AL88" s="9">
        <v>0</v>
      </c>
      <c r="AM88" s="10">
        <v>0</v>
      </c>
      <c r="AN88" s="9">
        <v>244</v>
      </c>
      <c r="AO88" s="10">
        <v>1</v>
      </c>
      <c r="AP88" s="9">
        <v>244</v>
      </c>
      <c r="AQ88" s="10">
        <v>1</v>
      </c>
      <c r="AR88" s="9">
        <v>732</v>
      </c>
      <c r="AS88" s="10">
        <v>3</v>
      </c>
      <c r="AT88" s="9">
        <v>0</v>
      </c>
      <c r="AU88" s="10">
        <v>0</v>
      </c>
      <c r="AV88" s="9">
        <v>0</v>
      </c>
      <c r="AW88" s="10">
        <v>0</v>
      </c>
      <c r="AX88" s="9">
        <v>0</v>
      </c>
      <c r="AY88" s="10">
        <v>0</v>
      </c>
      <c r="AZ88" s="9">
        <v>0</v>
      </c>
      <c r="BA88" s="10">
        <v>0</v>
      </c>
      <c r="BB88" s="9">
        <v>732</v>
      </c>
      <c r="BC88" s="10">
        <v>3</v>
      </c>
      <c r="BD88" s="9">
        <v>732</v>
      </c>
      <c r="BE88" s="10">
        <v>3</v>
      </c>
      <c r="BF88" s="9">
        <v>732</v>
      </c>
      <c r="BG88" s="10">
        <v>3</v>
      </c>
      <c r="BH88" s="9">
        <v>732</v>
      </c>
      <c r="BI88" s="10">
        <v>3</v>
      </c>
      <c r="BJ88" s="9">
        <v>0</v>
      </c>
      <c r="BK88" s="10">
        <v>0</v>
      </c>
      <c r="BL88" s="9">
        <v>0</v>
      </c>
      <c r="BM88" s="10">
        <v>0</v>
      </c>
    </row>
    <row r="89" spans="1:65" ht="14.4">
      <c r="A89" s="2" t="s">
        <v>82</v>
      </c>
      <c r="B89" s="10" t="s">
        <v>102</v>
      </c>
      <c r="C89" s="11" t="s">
        <v>154</v>
      </c>
      <c r="D89" s="9">
        <v>9087</v>
      </c>
      <c r="E89" s="10">
        <v>13</v>
      </c>
      <c r="F89" s="9">
        <v>6291</v>
      </c>
      <c r="G89" s="10">
        <v>9</v>
      </c>
      <c r="H89" s="9">
        <v>6990</v>
      </c>
      <c r="I89" s="10">
        <v>10</v>
      </c>
      <c r="J89" s="9">
        <v>8388</v>
      </c>
      <c r="K89" s="10">
        <v>12</v>
      </c>
      <c r="L89" s="9">
        <v>7689</v>
      </c>
      <c r="M89" s="10">
        <v>11</v>
      </c>
      <c r="N89" s="9">
        <v>7689</v>
      </c>
      <c r="O89" s="10">
        <v>11</v>
      </c>
      <c r="P89" s="9">
        <v>9087</v>
      </c>
      <c r="Q89" s="10">
        <v>13</v>
      </c>
      <c r="R89" s="9">
        <v>11184</v>
      </c>
      <c r="S89" s="10">
        <v>16</v>
      </c>
      <c r="T89" s="9">
        <v>11883</v>
      </c>
      <c r="U89" s="10">
        <v>17</v>
      </c>
      <c r="V89" s="9">
        <v>12582</v>
      </c>
      <c r="W89" s="10">
        <v>18</v>
      </c>
      <c r="X89" s="9">
        <v>11883</v>
      </c>
      <c r="Y89" s="10">
        <v>17</v>
      </c>
      <c r="Z89" s="9">
        <v>11883</v>
      </c>
      <c r="AA89" s="10">
        <v>17</v>
      </c>
      <c r="AB89" s="9">
        <v>10784</v>
      </c>
      <c r="AC89" s="10">
        <v>16</v>
      </c>
      <c r="AD89" s="9">
        <v>16874</v>
      </c>
      <c r="AE89" s="10">
        <v>26</v>
      </c>
      <c r="AF89" s="9">
        <v>12980</v>
      </c>
      <c r="AG89" s="10">
        <v>20</v>
      </c>
      <c r="AH89" s="9">
        <v>15856</v>
      </c>
      <c r="AI89" s="10">
        <v>24</v>
      </c>
      <c r="AJ89" s="9">
        <v>15576</v>
      </c>
      <c r="AK89" s="10">
        <v>24</v>
      </c>
      <c r="AL89" s="9">
        <v>13629</v>
      </c>
      <c r="AM89" s="10">
        <v>21</v>
      </c>
      <c r="AN89" s="9">
        <v>15576</v>
      </c>
      <c r="AO89" s="10">
        <v>24</v>
      </c>
      <c r="AP89" s="9">
        <v>18172</v>
      </c>
      <c r="AQ89" s="10">
        <v>28</v>
      </c>
      <c r="AR89" s="9">
        <v>11033</v>
      </c>
      <c r="AS89" s="10">
        <v>17</v>
      </c>
      <c r="AT89" s="9">
        <v>17523</v>
      </c>
      <c r="AU89" s="10">
        <v>27</v>
      </c>
      <c r="AV89" s="9">
        <v>22066</v>
      </c>
      <c r="AW89" s="10">
        <v>34</v>
      </c>
      <c r="AX89" s="9">
        <v>16225</v>
      </c>
      <c r="AY89" s="10">
        <v>25</v>
      </c>
      <c r="AZ89" s="9">
        <v>14927</v>
      </c>
      <c r="BA89" s="10">
        <v>23</v>
      </c>
      <c r="BB89" s="9">
        <v>18172</v>
      </c>
      <c r="BC89" s="10">
        <v>28</v>
      </c>
      <c r="BD89" s="9">
        <v>20119</v>
      </c>
      <c r="BE89" s="10">
        <v>31</v>
      </c>
      <c r="BF89" s="9">
        <v>23750</v>
      </c>
      <c r="BG89" s="10">
        <v>38</v>
      </c>
      <c r="BH89" s="9">
        <v>20000</v>
      </c>
      <c r="BI89" s="10">
        <v>32</v>
      </c>
      <c r="BJ89" s="9">
        <v>13750</v>
      </c>
      <c r="BK89" s="10">
        <v>22</v>
      </c>
      <c r="BL89" s="9">
        <v>22066</v>
      </c>
      <c r="BM89" s="10">
        <v>34</v>
      </c>
    </row>
    <row r="90" spans="1:65" ht="14.4">
      <c r="A90" s="2" t="s">
        <v>14</v>
      </c>
      <c r="B90" s="10" t="s">
        <v>102</v>
      </c>
      <c r="C90" s="11" t="s">
        <v>150</v>
      </c>
      <c r="D90" s="9">
        <v>0</v>
      </c>
      <c r="E90" s="10">
        <v>0</v>
      </c>
      <c r="F90" s="9">
        <v>632</v>
      </c>
      <c r="G90" s="10">
        <v>2</v>
      </c>
      <c r="H90" s="9">
        <v>0</v>
      </c>
      <c r="I90" s="10">
        <v>0</v>
      </c>
      <c r="J90" s="9">
        <v>0</v>
      </c>
      <c r="K90" s="10">
        <v>0</v>
      </c>
      <c r="L90" s="9">
        <v>316</v>
      </c>
      <c r="M90" s="10">
        <v>1</v>
      </c>
      <c r="N90" s="9">
        <v>632</v>
      </c>
      <c r="O90" s="10">
        <v>2</v>
      </c>
      <c r="P90" s="9">
        <v>672</v>
      </c>
      <c r="Q90" s="10">
        <v>2</v>
      </c>
      <c r="R90" s="9">
        <v>632</v>
      </c>
      <c r="S90" s="10">
        <v>2</v>
      </c>
      <c r="T90" s="9">
        <v>316</v>
      </c>
      <c r="U90" s="10">
        <v>1</v>
      </c>
      <c r="V90" s="9">
        <v>1304</v>
      </c>
      <c r="W90" s="10">
        <v>4</v>
      </c>
      <c r="X90" s="9">
        <v>316</v>
      </c>
      <c r="Y90" s="10">
        <v>1</v>
      </c>
      <c r="Z90" s="9">
        <v>672</v>
      </c>
      <c r="AA90" s="10">
        <v>2</v>
      </c>
      <c r="AB90" s="9">
        <v>632</v>
      </c>
      <c r="AC90" s="10">
        <v>2</v>
      </c>
      <c r="AD90" s="9">
        <v>712</v>
      </c>
      <c r="AE90" s="10">
        <v>2</v>
      </c>
      <c r="AF90" s="9">
        <v>1620</v>
      </c>
      <c r="AG90" s="10">
        <v>5</v>
      </c>
      <c r="AH90" s="9">
        <v>672</v>
      </c>
      <c r="AI90" s="10">
        <v>2</v>
      </c>
      <c r="AJ90" s="9">
        <v>316</v>
      </c>
      <c r="AK90" s="10">
        <v>1</v>
      </c>
      <c r="AL90" s="9">
        <v>2252</v>
      </c>
      <c r="AM90" s="10">
        <v>7</v>
      </c>
      <c r="AN90" s="9">
        <v>632</v>
      </c>
      <c r="AO90" s="10">
        <v>2</v>
      </c>
      <c r="AP90" s="9">
        <v>0</v>
      </c>
      <c r="AQ90" s="10">
        <v>0</v>
      </c>
      <c r="AR90" s="9">
        <v>672</v>
      </c>
      <c r="AS90" s="10">
        <v>2</v>
      </c>
      <c r="AT90" s="9">
        <v>948</v>
      </c>
      <c r="AU90" s="10">
        <v>3</v>
      </c>
      <c r="AV90" s="9">
        <v>0</v>
      </c>
      <c r="AW90" s="10">
        <v>0</v>
      </c>
      <c r="AX90" s="9">
        <v>0</v>
      </c>
      <c r="AY90" s="10">
        <v>0</v>
      </c>
      <c r="AZ90" s="9">
        <v>0</v>
      </c>
      <c r="BA90" s="10">
        <v>0</v>
      </c>
      <c r="BB90" s="9">
        <v>1896</v>
      </c>
      <c r="BC90" s="10">
        <v>6</v>
      </c>
      <c r="BD90" s="9">
        <v>316</v>
      </c>
      <c r="BE90" s="10">
        <v>1</v>
      </c>
      <c r="BF90" s="9">
        <v>672</v>
      </c>
      <c r="BG90" s="10">
        <v>2</v>
      </c>
      <c r="BH90" s="9">
        <v>316</v>
      </c>
      <c r="BI90" s="10">
        <v>1</v>
      </c>
      <c r="BJ90" s="9">
        <v>1304</v>
      </c>
      <c r="BK90" s="10">
        <v>4</v>
      </c>
      <c r="BL90" s="9">
        <v>0</v>
      </c>
      <c r="BM90" s="10">
        <v>0</v>
      </c>
    </row>
    <row r="91" spans="1:65" ht="14.4">
      <c r="A91" s="2" t="s">
        <v>62</v>
      </c>
      <c r="B91" s="10" t="s">
        <v>102</v>
      </c>
      <c r="C91" s="11" t="s">
        <v>150</v>
      </c>
      <c r="D91" s="9">
        <v>10994</v>
      </c>
      <c r="E91" s="10">
        <v>13</v>
      </c>
      <c r="F91" s="9">
        <v>10291</v>
      </c>
      <c r="G91" s="10">
        <v>12</v>
      </c>
      <c r="H91" s="9">
        <v>11979</v>
      </c>
      <c r="I91" s="10">
        <v>14</v>
      </c>
      <c r="J91" s="9">
        <v>9447</v>
      </c>
      <c r="K91" s="10">
        <v>11</v>
      </c>
      <c r="L91" s="9">
        <v>4221</v>
      </c>
      <c r="M91" s="10">
        <v>5</v>
      </c>
      <c r="N91" s="9">
        <v>2477</v>
      </c>
      <c r="O91" s="10">
        <v>3</v>
      </c>
      <c r="P91" s="9">
        <v>12878</v>
      </c>
      <c r="Q91" s="10">
        <v>15</v>
      </c>
      <c r="R91" s="9">
        <v>11190</v>
      </c>
      <c r="S91" s="10">
        <v>13</v>
      </c>
      <c r="T91" s="9">
        <v>7649</v>
      </c>
      <c r="U91" s="10">
        <v>9</v>
      </c>
      <c r="V91" s="9">
        <v>6916</v>
      </c>
      <c r="W91" s="10">
        <v>8</v>
      </c>
      <c r="X91" s="9">
        <v>12878</v>
      </c>
      <c r="Y91" s="10">
        <v>15</v>
      </c>
      <c r="Z91" s="9">
        <v>9282</v>
      </c>
      <c r="AA91" s="10">
        <v>11</v>
      </c>
      <c r="AB91" s="9">
        <v>11868</v>
      </c>
      <c r="AC91" s="10">
        <v>14</v>
      </c>
      <c r="AD91" s="9">
        <v>13666</v>
      </c>
      <c r="AE91" s="10">
        <v>16</v>
      </c>
      <c r="AF91" s="9">
        <v>10181</v>
      </c>
      <c r="AG91" s="10">
        <v>12</v>
      </c>
      <c r="AH91" s="9">
        <v>8438</v>
      </c>
      <c r="AI91" s="10">
        <v>10</v>
      </c>
      <c r="AJ91" s="9">
        <v>5907</v>
      </c>
      <c r="AK91" s="10">
        <v>7</v>
      </c>
      <c r="AL91" s="9">
        <v>5063</v>
      </c>
      <c r="AM91" s="10">
        <v>6</v>
      </c>
      <c r="AN91" s="9">
        <v>5876</v>
      </c>
      <c r="AO91" s="10">
        <v>7</v>
      </c>
      <c r="AP91" s="9">
        <v>5853</v>
      </c>
      <c r="AQ91" s="10">
        <v>7</v>
      </c>
      <c r="AR91" s="9">
        <v>7526</v>
      </c>
      <c r="AS91" s="10">
        <v>9</v>
      </c>
      <c r="AT91" s="9">
        <v>6690</v>
      </c>
      <c r="AU91" s="10">
        <v>8</v>
      </c>
      <c r="AV91" s="9">
        <v>5840</v>
      </c>
      <c r="AW91" s="10">
        <v>7</v>
      </c>
      <c r="AX91" s="9">
        <v>6674</v>
      </c>
      <c r="AY91" s="10">
        <v>8</v>
      </c>
      <c r="AZ91" s="9">
        <v>5006</v>
      </c>
      <c r="BA91" s="10">
        <v>6</v>
      </c>
      <c r="BB91" s="9">
        <v>10846</v>
      </c>
      <c r="BC91" s="10">
        <v>13</v>
      </c>
      <c r="BD91" s="9">
        <v>5840</v>
      </c>
      <c r="BE91" s="10">
        <v>7</v>
      </c>
      <c r="BF91" s="9">
        <v>6769</v>
      </c>
      <c r="BG91" s="10">
        <v>8</v>
      </c>
      <c r="BH91" s="9">
        <v>10969</v>
      </c>
      <c r="BI91" s="10">
        <v>13</v>
      </c>
      <c r="BJ91" s="9">
        <v>5907</v>
      </c>
      <c r="BK91" s="10">
        <v>7</v>
      </c>
      <c r="BL91" s="9">
        <v>5840</v>
      </c>
      <c r="BM91" s="10">
        <v>7</v>
      </c>
    </row>
    <row r="92" spans="1:65" ht="14.4">
      <c r="A92" s="2" t="s">
        <v>17</v>
      </c>
      <c r="B92" s="10" t="s">
        <v>102</v>
      </c>
      <c r="C92" s="11" t="s">
        <v>154</v>
      </c>
      <c r="D92" s="9">
        <v>17132</v>
      </c>
      <c r="E92" s="10">
        <v>41</v>
      </c>
      <c r="F92" s="9">
        <v>23400</v>
      </c>
      <c r="G92" s="10">
        <v>56</v>
      </c>
      <c r="H92" s="9">
        <v>30086</v>
      </c>
      <c r="I92" s="10">
        <v>72</v>
      </c>
      <c r="J92" s="9">
        <v>17132</v>
      </c>
      <c r="K92" s="10">
        <v>41</v>
      </c>
      <c r="L92" s="9">
        <v>18804</v>
      </c>
      <c r="M92" s="10">
        <v>45</v>
      </c>
      <c r="N92" s="9">
        <v>16714</v>
      </c>
      <c r="O92" s="10">
        <v>40</v>
      </c>
      <c r="P92" s="9">
        <v>12536</v>
      </c>
      <c r="Q92" s="10">
        <v>30</v>
      </c>
      <c r="R92" s="9">
        <v>20475</v>
      </c>
      <c r="S92" s="10">
        <v>49</v>
      </c>
      <c r="T92" s="9">
        <v>21729</v>
      </c>
      <c r="U92" s="10">
        <v>52</v>
      </c>
      <c r="V92" s="9">
        <v>24236</v>
      </c>
      <c r="W92" s="10">
        <v>58</v>
      </c>
      <c r="X92" s="9">
        <v>21311</v>
      </c>
      <c r="Y92" s="10">
        <v>51</v>
      </c>
      <c r="Z92" s="9">
        <v>19222</v>
      </c>
      <c r="AA92" s="10">
        <v>46</v>
      </c>
      <c r="AB92" s="9">
        <v>15880</v>
      </c>
      <c r="AC92" s="10">
        <v>38</v>
      </c>
      <c r="AD92" s="9">
        <v>11282</v>
      </c>
      <c r="AE92" s="10">
        <v>27</v>
      </c>
      <c r="AF92" s="9">
        <v>18804</v>
      </c>
      <c r="AG92" s="10">
        <v>45</v>
      </c>
      <c r="AH92" s="9">
        <v>13372</v>
      </c>
      <c r="AI92" s="10">
        <v>32</v>
      </c>
      <c r="AJ92" s="9">
        <v>11282</v>
      </c>
      <c r="AK92" s="10">
        <v>27</v>
      </c>
      <c r="AL92" s="9">
        <v>13789</v>
      </c>
      <c r="AM92" s="10">
        <v>33</v>
      </c>
      <c r="AN92" s="9">
        <v>13372</v>
      </c>
      <c r="AO92" s="10">
        <v>32</v>
      </c>
      <c r="AP92" s="9">
        <v>11700</v>
      </c>
      <c r="AQ92" s="10">
        <v>28</v>
      </c>
      <c r="AR92" s="9">
        <v>15461</v>
      </c>
      <c r="AS92" s="10">
        <v>37</v>
      </c>
      <c r="AT92" s="9">
        <v>15879</v>
      </c>
      <c r="AU92" s="10">
        <v>38</v>
      </c>
      <c r="AV92" s="9">
        <v>14625</v>
      </c>
      <c r="AW92" s="10">
        <v>35</v>
      </c>
      <c r="AX92" s="9">
        <v>16297</v>
      </c>
      <c r="AY92" s="10">
        <v>39</v>
      </c>
      <c r="AZ92" s="9">
        <v>16714</v>
      </c>
      <c r="BA92" s="10">
        <v>40</v>
      </c>
      <c r="BB92" s="9">
        <v>17132</v>
      </c>
      <c r="BC92" s="10">
        <v>41</v>
      </c>
      <c r="BD92" s="9">
        <v>10447</v>
      </c>
      <c r="BE92" s="10">
        <v>25</v>
      </c>
      <c r="BF92" s="9">
        <v>8775</v>
      </c>
      <c r="BG92" s="10">
        <v>21</v>
      </c>
      <c r="BH92" s="9">
        <v>9193</v>
      </c>
      <c r="BI92" s="10">
        <v>22</v>
      </c>
      <c r="BJ92" s="9">
        <v>11282</v>
      </c>
      <c r="BK92" s="10">
        <v>27</v>
      </c>
      <c r="BL92" s="9">
        <v>14625</v>
      </c>
      <c r="BM92" s="10">
        <v>35</v>
      </c>
    </row>
    <row r="93" spans="1:65" ht="14.4">
      <c r="A93" s="2" t="s">
        <v>18</v>
      </c>
      <c r="B93" s="10" t="s">
        <v>102</v>
      </c>
      <c r="C93" s="11" t="s">
        <v>154</v>
      </c>
      <c r="D93" s="9">
        <v>0</v>
      </c>
      <c r="E93" s="10">
        <v>0</v>
      </c>
      <c r="F93" s="9">
        <v>0</v>
      </c>
      <c r="G93" s="10">
        <v>0</v>
      </c>
      <c r="H93" s="9">
        <v>0</v>
      </c>
      <c r="I93" s="10">
        <v>0</v>
      </c>
      <c r="J93" s="9">
        <v>0</v>
      </c>
      <c r="K93" s="10">
        <v>0</v>
      </c>
      <c r="L93" s="9">
        <v>0</v>
      </c>
      <c r="M93" s="10">
        <v>0</v>
      </c>
      <c r="N93" s="9">
        <v>0</v>
      </c>
      <c r="O93" s="10">
        <v>0</v>
      </c>
      <c r="P93" s="9">
        <v>0</v>
      </c>
      <c r="Q93" s="10">
        <v>0</v>
      </c>
      <c r="R93" s="9">
        <v>0</v>
      </c>
      <c r="S93" s="10">
        <v>0</v>
      </c>
      <c r="T93" s="9">
        <v>0</v>
      </c>
      <c r="U93" s="10">
        <v>0</v>
      </c>
      <c r="V93" s="9">
        <v>0</v>
      </c>
      <c r="W93" s="10">
        <v>0</v>
      </c>
      <c r="X93" s="9">
        <v>0</v>
      </c>
      <c r="Y93" s="10">
        <v>0</v>
      </c>
      <c r="Z93" s="9">
        <v>0</v>
      </c>
      <c r="AA93" s="10">
        <v>0</v>
      </c>
      <c r="AB93" s="9">
        <v>0</v>
      </c>
      <c r="AC93" s="10">
        <v>0</v>
      </c>
      <c r="AD93" s="9">
        <v>0</v>
      </c>
      <c r="AE93" s="10">
        <v>0</v>
      </c>
      <c r="AF93" s="9">
        <v>0</v>
      </c>
      <c r="AG93" s="10">
        <v>0</v>
      </c>
      <c r="AH93" s="9">
        <v>0</v>
      </c>
      <c r="AI93" s="10">
        <v>0</v>
      </c>
      <c r="AJ93" s="9">
        <v>0</v>
      </c>
      <c r="AK93" s="10">
        <v>0</v>
      </c>
      <c r="AL93" s="9">
        <v>0</v>
      </c>
      <c r="AM93" s="10">
        <v>0</v>
      </c>
      <c r="AN93" s="9">
        <v>0</v>
      </c>
      <c r="AO93" s="10">
        <v>0</v>
      </c>
      <c r="AP93" s="9">
        <v>0</v>
      </c>
      <c r="AQ93" s="10">
        <v>0</v>
      </c>
      <c r="AR93" s="9">
        <v>0</v>
      </c>
      <c r="AS93" s="10">
        <v>0</v>
      </c>
      <c r="AT93" s="9">
        <v>0</v>
      </c>
      <c r="AU93" s="10">
        <v>0</v>
      </c>
      <c r="AV93" s="9">
        <v>0</v>
      </c>
      <c r="AW93" s="10">
        <v>0</v>
      </c>
      <c r="AX93" s="9">
        <v>0</v>
      </c>
      <c r="AY93" s="10">
        <v>0</v>
      </c>
      <c r="AZ93" s="9">
        <v>0</v>
      </c>
      <c r="BA93" s="10">
        <v>0</v>
      </c>
      <c r="BB93" s="9">
        <v>0</v>
      </c>
      <c r="BC93" s="10">
        <v>0</v>
      </c>
      <c r="BD93" s="9">
        <v>0</v>
      </c>
      <c r="BE93" s="10">
        <v>0</v>
      </c>
      <c r="BF93" s="9">
        <v>0</v>
      </c>
      <c r="BG93" s="10">
        <v>0</v>
      </c>
      <c r="BH93" s="9">
        <v>0</v>
      </c>
      <c r="BI93" s="10">
        <v>0</v>
      </c>
      <c r="BJ93" s="9">
        <v>0</v>
      </c>
      <c r="BK93" s="10">
        <v>0</v>
      </c>
      <c r="BL93" s="9">
        <v>0</v>
      </c>
      <c r="BM93" s="10">
        <v>0</v>
      </c>
    </row>
    <row r="94" spans="1:65" ht="14.4">
      <c r="A94" s="2" t="s">
        <v>26</v>
      </c>
      <c r="B94" s="10" t="s">
        <v>102</v>
      </c>
      <c r="C94" s="11" t="s">
        <v>149</v>
      </c>
      <c r="D94" s="9">
        <v>10472</v>
      </c>
      <c r="E94" s="10">
        <v>17</v>
      </c>
      <c r="F94" s="9">
        <v>6776</v>
      </c>
      <c r="G94" s="10">
        <v>11</v>
      </c>
      <c r="H94" s="9">
        <v>7629</v>
      </c>
      <c r="I94" s="10">
        <v>12</v>
      </c>
      <c r="J94" s="9">
        <v>7392</v>
      </c>
      <c r="K94" s="10">
        <v>12</v>
      </c>
      <c r="L94" s="9">
        <v>8394</v>
      </c>
      <c r="M94" s="10">
        <v>16</v>
      </c>
      <c r="N94" s="9">
        <v>6120</v>
      </c>
      <c r="O94" s="10">
        <v>10</v>
      </c>
      <c r="P94" s="9">
        <v>11767</v>
      </c>
      <c r="Q94" s="10">
        <v>23</v>
      </c>
      <c r="R94" s="9">
        <v>8697</v>
      </c>
      <c r="S94" s="10">
        <v>17</v>
      </c>
      <c r="T94" s="9">
        <v>17394</v>
      </c>
      <c r="U94" s="10">
        <v>34</v>
      </c>
      <c r="V94" s="9">
        <v>9209</v>
      </c>
      <c r="W94" s="10">
        <v>18</v>
      </c>
      <c r="X94" s="9">
        <v>9720</v>
      </c>
      <c r="Y94" s="10">
        <v>19</v>
      </c>
      <c r="Z94" s="9">
        <v>14730</v>
      </c>
      <c r="AA94" s="10">
        <v>29</v>
      </c>
      <c r="AB94" s="9">
        <v>7181</v>
      </c>
      <c r="AC94" s="10">
        <v>14</v>
      </c>
      <c r="AD94" s="9">
        <v>12600</v>
      </c>
      <c r="AE94" s="10">
        <v>25</v>
      </c>
      <c r="AF94" s="9">
        <v>11592</v>
      </c>
      <c r="AG94" s="10">
        <v>23</v>
      </c>
      <c r="AH94" s="9">
        <v>12883</v>
      </c>
      <c r="AI94" s="10">
        <v>31</v>
      </c>
      <c r="AJ94" s="9">
        <v>11152</v>
      </c>
      <c r="AK94" s="10">
        <v>31</v>
      </c>
      <c r="AL94" s="9">
        <v>10072</v>
      </c>
      <c r="AM94" s="10">
        <v>28</v>
      </c>
      <c r="AN94" s="9">
        <v>13310</v>
      </c>
      <c r="AO94" s="10">
        <v>37</v>
      </c>
      <c r="AP94" s="9">
        <v>10792</v>
      </c>
      <c r="AQ94" s="10">
        <v>30</v>
      </c>
      <c r="AR94" s="9">
        <v>11871</v>
      </c>
      <c r="AS94" s="10">
        <v>33</v>
      </c>
      <c r="AT94" s="9">
        <v>12950</v>
      </c>
      <c r="AU94" s="10">
        <v>36</v>
      </c>
      <c r="AV94" s="9">
        <v>17986</v>
      </c>
      <c r="AW94" s="10">
        <v>50</v>
      </c>
      <c r="AX94" s="9">
        <v>15109</v>
      </c>
      <c r="AY94" s="10">
        <v>42</v>
      </c>
      <c r="AZ94" s="9">
        <v>14749</v>
      </c>
      <c r="BA94" s="10">
        <v>41</v>
      </c>
      <c r="BB94" s="9">
        <v>15828</v>
      </c>
      <c r="BC94" s="10">
        <v>44</v>
      </c>
      <c r="BD94" s="9">
        <v>19785</v>
      </c>
      <c r="BE94" s="10">
        <v>55</v>
      </c>
      <c r="BF94" s="9">
        <v>14749</v>
      </c>
      <c r="BG94" s="10">
        <v>41</v>
      </c>
      <c r="BH94" s="9">
        <v>14749</v>
      </c>
      <c r="BI94" s="10">
        <v>41</v>
      </c>
      <c r="BJ94" s="9">
        <v>14389</v>
      </c>
      <c r="BK94" s="10">
        <v>40</v>
      </c>
      <c r="BL94" s="9">
        <v>17986</v>
      </c>
      <c r="BM94" s="10">
        <v>50</v>
      </c>
    </row>
    <row r="95" spans="1:65" ht="14.4">
      <c r="A95" s="2" t="s">
        <v>33</v>
      </c>
      <c r="B95" s="10" t="s">
        <v>102</v>
      </c>
      <c r="C95" s="11" t="s">
        <v>149</v>
      </c>
      <c r="D95" s="9">
        <v>2716</v>
      </c>
      <c r="E95" s="10">
        <v>4</v>
      </c>
      <c r="F95" s="9">
        <v>3395</v>
      </c>
      <c r="G95" s="10">
        <v>5</v>
      </c>
      <c r="H95" s="9">
        <v>2037</v>
      </c>
      <c r="I95" s="10">
        <v>3</v>
      </c>
      <c r="J95" s="9">
        <v>2037</v>
      </c>
      <c r="K95" s="10">
        <v>3</v>
      </c>
      <c r="L95" s="9">
        <v>2037</v>
      </c>
      <c r="M95" s="10">
        <v>3</v>
      </c>
      <c r="N95" s="9">
        <v>4753</v>
      </c>
      <c r="O95" s="10">
        <v>7</v>
      </c>
      <c r="P95" s="9">
        <v>4074</v>
      </c>
      <c r="Q95" s="10">
        <v>6</v>
      </c>
      <c r="R95" s="9">
        <v>4074</v>
      </c>
      <c r="S95" s="10">
        <v>6</v>
      </c>
      <c r="T95" s="9">
        <v>1358</v>
      </c>
      <c r="U95" s="10">
        <v>2</v>
      </c>
      <c r="V95" s="9">
        <v>2037</v>
      </c>
      <c r="W95" s="10">
        <v>3</v>
      </c>
      <c r="X95" s="9">
        <v>2716</v>
      </c>
      <c r="Y95" s="10">
        <v>4</v>
      </c>
      <c r="Z95" s="9">
        <v>3395</v>
      </c>
      <c r="AA95" s="10">
        <v>5</v>
      </c>
      <c r="AB95" s="9">
        <v>2007</v>
      </c>
      <c r="AC95" s="10">
        <v>3</v>
      </c>
      <c r="AD95" s="9">
        <v>4543</v>
      </c>
      <c r="AE95" s="10">
        <v>7</v>
      </c>
      <c r="AF95" s="9">
        <v>7788</v>
      </c>
      <c r="AG95" s="10">
        <v>12</v>
      </c>
      <c r="AH95" s="9">
        <v>3245</v>
      </c>
      <c r="AI95" s="10">
        <v>5</v>
      </c>
      <c r="AJ95" s="9">
        <v>5841</v>
      </c>
      <c r="AK95" s="10">
        <v>9</v>
      </c>
      <c r="AL95" s="9">
        <v>2596</v>
      </c>
      <c r="AM95" s="10">
        <v>4</v>
      </c>
      <c r="AN95" s="9">
        <v>5192</v>
      </c>
      <c r="AO95" s="10">
        <v>8</v>
      </c>
      <c r="AP95" s="9">
        <v>5192</v>
      </c>
      <c r="AQ95" s="10">
        <v>8</v>
      </c>
      <c r="AR95" s="9">
        <v>3894</v>
      </c>
      <c r="AS95" s="10">
        <v>6</v>
      </c>
      <c r="AT95" s="9">
        <v>6490</v>
      </c>
      <c r="AU95" s="10">
        <v>10</v>
      </c>
      <c r="AV95" s="9">
        <v>9735</v>
      </c>
      <c r="AW95" s="10">
        <v>15</v>
      </c>
      <c r="AX95" s="9">
        <v>12331</v>
      </c>
      <c r="AY95" s="10">
        <v>19</v>
      </c>
      <c r="AZ95" s="9">
        <v>5192</v>
      </c>
      <c r="BA95" s="10">
        <v>8</v>
      </c>
      <c r="BB95" s="9">
        <v>9086</v>
      </c>
      <c r="BC95" s="10">
        <v>14</v>
      </c>
      <c r="BD95" s="9">
        <v>5192</v>
      </c>
      <c r="BE95" s="10">
        <v>8</v>
      </c>
      <c r="BF95" s="9">
        <v>8985</v>
      </c>
      <c r="BG95" s="10">
        <v>15</v>
      </c>
      <c r="BH95" s="9">
        <v>11381</v>
      </c>
      <c r="BI95" s="10">
        <v>19</v>
      </c>
      <c r="BJ95" s="9">
        <v>7787</v>
      </c>
      <c r="BK95" s="10">
        <v>13</v>
      </c>
      <c r="BL95" s="9">
        <v>9735</v>
      </c>
      <c r="BM95" s="10">
        <v>15</v>
      </c>
    </row>
    <row r="96" spans="1:65" ht="14.4">
      <c r="A96" s="2" t="s">
        <v>79</v>
      </c>
      <c r="B96" s="10" t="s">
        <v>102</v>
      </c>
      <c r="C96" s="11" t="s">
        <v>150</v>
      </c>
      <c r="D96" s="9">
        <v>487</v>
      </c>
      <c r="E96" s="10">
        <v>3</v>
      </c>
      <c r="F96" s="9">
        <v>1163</v>
      </c>
      <c r="G96" s="10">
        <v>7</v>
      </c>
      <c r="H96" s="9">
        <v>1083</v>
      </c>
      <c r="I96" s="10">
        <v>7</v>
      </c>
      <c r="J96" s="9">
        <v>487</v>
      </c>
      <c r="K96" s="10">
        <v>3</v>
      </c>
      <c r="L96" s="9">
        <v>716</v>
      </c>
      <c r="M96" s="10">
        <v>4</v>
      </c>
      <c r="N96" s="9">
        <v>447</v>
      </c>
      <c r="O96" s="10">
        <v>3</v>
      </c>
      <c r="P96" s="9">
        <v>984</v>
      </c>
      <c r="Q96" s="10">
        <v>6</v>
      </c>
      <c r="R96" s="9">
        <v>785</v>
      </c>
      <c r="S96" s="10">
        <v>5</v>
      </c>
      <c r="T96" s="9">
        <v>865</v>
      </c>
      <c r="U96" s="10">
        <v>5</v>
      </c>
      <c r="V96" s="9">
        <v>636</v>
      </c>
      <c r="W96" s="10">
        <v>4</v>
      </c>
      <c r="X96" s="9">
        <v>596</v>
      </c>
      <c r="Y96" s="10">
        <v>4</v>
      </c>
      <c r="Z96" s="9">
        <v>1014</v>
      </c>
      <c r="AA96" s="10">
        <v>6</v>
      </c>
      <c r="AB96" s="9">
        <v>447</v>
      </c>
      <c r="AC96" s="10">
        <v>3</v>
      </c>
      <c r="AD96" s="9">
        <v>487</v>
      </c>
      <c r="AE96" s="10">
        <v>3</v>
      </c>
      <c r="AF96" s="9">
        <v>447</v>
      </c>
      <c r="AG96" s="10">
        <v>3</v>
      </c>
      <c r="AH96" s="9">
        <v>905</v>
      </c>
      <c r="AI96" s="10">
        <v>5</v>
      </c>
      <c r="AJ96" s="9">
        <v>865</v>
      </c>
      <c r="AK96" s="10">
        <v>5</v>
      </c>
      <c r="AL96" s="9">
        <v>189</v>
      </c>
      <c r="AM96" s="10">
        <v>1</v>
      </c>
      <c r="AN96" s="9">
        <v>785</v>
      </c>
      <c r="AO96" s="10">
        <v>5</v>
      </c>
      <c r="AP96" s="9">
        <v>338</v>
      </c>
      <c r="AQ96" s="10">
        <v>2</v>
      </c>
      <c r="AR96" s="9">
        <v>1075</v>
      </c>
      <c r="AS96" s="10">
        <v>5</v>
      </c>
      <c r="AT96" s="9">
        <v>1314</v>
      </c>
      <c r="AU96" s="10">
        <v>6</v>
      </c>
      <c r="AV96" s="9">
        <v>1632</v>
      </c>
      <c r="AW96" s="10">
        <v>8</v>
      </c>
      <c r="AX96" s="9">
        <v>1075</v>
      </c>
      <c r="AY96" s="10">
        <v>5</v>
      </c>
      <c r="AZ96" s="9">
        <v>2349</v>
      </c>
      <c r="BA96" s="10">
        <v>11</v>
      </c>
      <c r="BB96" s="9">
        <v>677</v>
      </c>
      <c r="BC96" s="10">
        <v>3</v>
      </c>
      <c r="BD96" s="9">
        <v>1234</v>
      </c>
      <c r="BE96" s="10">
        <v>6</v>
      </c>
      <c r="BF96" s="9">
        <v>1632</v>
      </c>
      <c r="BG96" s="10">
        <v>8</v>
      </c>
      <c r="BH96" s="9">
        <v>1115</v>
      </c>
      <c r="BI96" s="10">
        <v>5</v>
      </c>
      <c r="BJ96" s="9">
        <v>1075</v>
      </c>
      <c r="BK96" s="10">
        <v>5</v>
      </c>
      <c r="BL96" s="9">
        <v>1632</v>
      </c>
      <c r="BM96" s="10">
        <v>8</v>
      </c>
    </row>
    <row r="97" spans="1:65" ht="14.4">
      <c r="A97" s="2" t="s">
        <v>70</v>
      </c>
      <c r="B97" s="10" t="s">
        <v>102</v>
      </c>
      <c r="C97" s="11" t="s">
        <v>149</v>
      </c>
      <c r="D97" s="9">
        <v>501</v>
      </c>
      <c r="E97" s="10">
        <v>3</v>
      </c>
      <c r="F97" s="9">
        <v>1877</v>
      </c>
      <c r="G97" s="10">
        <v>11</v>
      </c>
      <c r="H97" s="9">
        <v>1583</v>
      </c>
      <c r="I97" s="10">
        <v>9</v>
      </c>
      <c r="J97" s="9">
        <v>1209</v>
      </c>
      <c r="K97" s="10">
        <v>7</v>
      </c>
      <c r="L97" s="9">
        <v>1416</v>
      </c>
      <c r="M97" s="10">
        <v>8</v>
      </c>
      <c r="N97" s="9">
        <v>1837</v>
      </c>
      <c r="O97" s="10">
        <v>11</v>
      </c>
      <c r="P97" s="9">
        <v>1543</v>
      </c>
      <c r="Q97" s="10">
        <v>9</v>
      </c>
      <c r="R97" s="9">
        <v>1002</v>
      </c>
      <c r="S97" s="10">
        <v>6</v>
      </c>
      <c r="T97" s="9">
        <v>132</v>
      </c>
      <c r="U97" s="10">
        <v>1</v>
      </c>
      <c r="V97" s="9">
        <v>668</v>
      </c>
      <c r="W97" s="10">
        <v>4</v>
      </c>
      <c r="X97" s="9">
        <v>334</v>
      </c>
      <c r="Y97" s="10">
        <v>2</v>
      </c>
      <c r="Z97" s="9">
        <v>1042</v>
      </c>
      <c r="AA97" s="10">
        <v>6</v>
      </c>
      <c r="AB97" s="9">
        <v>2545</v>
      </c>
      <c r="AC97" s="10">
        <v>15</v>
      </c>
      <c r="AD97" s="9">
        <v>1381</v>
      </c>
      <c r="AE97" s="10">
        <v>8</v>
      </c>
      <c r="AF97" s="9">
        <v>501</v>
      </c>
      <c r="AG97" s="10">
        <v>3</v>
      </c>
      <c r="AH97" s="9">
        <v>2124</v>
      </c>
      <c r="AI97" s="10">
        <v>12</v>
      </c>
      <c r="AJ97" s="9">
        <v>668</v>
      </c>
      <c r="AK97" s="10">
        <v>4</v>
      </c>
      <c r="AL97" s="9">
        <v>2164</v>
      </c>
      <c r="AM97" s="10">
        <v>12</v>
      </c>
      <c r="AN97" s="9">
        <v>1209</v>
      </c>
      <c r="AO97" s="10">
        <v>7</v>
      </c>
      <c r="AP97" s="9">
        <v>2004</v>
      </c>
      <c r="AQ97" s="10">
        <v>12</v>
      </c>
      <c r="AR97" s="9">
        <v>1543</v>
      </c>
      <c r="AS97" s="10">
        <v>9</v>
      </c>
      <c r="AT97" s="9">
        <v>1427</v>
      </c>
      <c r="AU97" s="10">
        <v>8</v>
      </c>
      <c r="AV97" s="9">
        <v>1682</v>
      </c>
      <c r="AW97" s="10">
        <v>9</v>
      </c>
      <c r="AX97" s="9">
        <v>1464</v>
      </c>
      <c r="AY97" s="10">
        <v>8</v>
      </c>
      <c r="AZ97" s="9">
        <v>2394</v>
      </c>
      <c r="BA97" s="10">
        <v>13</v>
      </c>
      <c r="BB97" s="9">
        <v>2354</v>
      </c>
      <c r="BC97" s="10">
        <v>13</v>
      </c>
      <c r="BD97" s="9">
        <v>2038</v>
      </c>
      <c r="BE97" s="10">
        <v>11</v>
      </c>
      <c r="BF97" s="9">
        <v>3146</v>
      </c>
      <c r="BG97" s="10">
        <v>17</v>
      </c>
      <c r="BH97" s="9">
        <v>2354</v>
      </c>
      <c r="BI97" s="10">
        <v>13</v>
      </c>
      <c r="BJ97" s="9">
        <v>1820</v>
      </c>
      <c r="BK97" s="10">
        <v>10</v>
      </c>
      <c r="BL97" s="9">
        <v>1682</v>
      </c>
      <c r="BM97" s="10">
        <v>9</v>
      </c>
    </row>
    <row r="98" spans="1:65" ht="14.4">
      <c r="A98" s="2" t="s">
        <v>23</v>
      </c>
      <c r="B98" s="10" t="s">
        <v>102</v>
      </c>
      <c r="C98" s="11" t="s">
        <v>150</v>
      </c>
      <c r="D98" s="9">
        <v>8058</v>
      </c>
      <c r="E98" s="10">
        <v>42</v>
      </c>
      <c r="F98" s="9">
        <v>8138</v>
      </c>
      <c r="G98" s="10">
        <v>42</v>
      </c>
      <c r="H98" s="9">
        <v>5870</v>
      </c>
      <c r="I98" s="10">
        <v>30</v>
      </c>
      <c r="J98" s="9">
        <v>8625</v>
      </c>
      <c r="K98" s="10">
        <v>45</v>
      </c>
      <c r="L98" s="9">
        <v>7531</v>
      </c>
      <c r="M98" s="10">
        <v>39</v>
      </c>
      <c r="N98" s="9">
        <v>7044</v>
      </c>
      <c r="O98" s="10">
        <v>36</v>
      </c>
      <c r="P98" s="9">
        <v>4885</v>
      </c>
      <c r="Q98" s="10">
        <v>25</v>
      </c>
      <c r="R98" s="9">
        <v>9506</v>
      </c>
      <c r="S98" s="10">
        <v>50</v>
      </c>
      <c r="T98" s="9">
        <v>7995</v>
      </c>
      <c r="U98" s="10">
        <v>41</v>
      </c>
      <c r="V98" s="9">
        <v>6248</v>
      </c>
      <c r="W98" s="10">
        <v>32</v>
      </c>
      <c r="X98" s="9">
        <v>8367</v>
      </c>
      <c r="Y98" s="10">
        <v>43</v>
      </c>
      <c r="Z98" s="9">
        <v>7374</v>
      </c>
      <c r="AA98" s="10">
        <v>38</v>
      </c>
      <c r="AB98" s="9">
        <v>7576</v>
      </c>
      <c r="AC98" s="10">
        <v>40</v>
      </c>
      <c r="AD98" s="9">
        <v>8790</v>
      </c>
      <c r="AE98" s="10">
        <v>46</v>
      </c>
      <c r="AF98" s="9">
        <v>10106</v>
      </c>
      <c r="AG98" s="10">
        <v>52</v>
      </c>
      <c r="AH98" s="9">
        <v>8506</v>
      </c>
      <c r="AI98" s="10">
        <v>44</v>
      </c>
      <c r="AJ98" s="9">
        <v>8665</v>
      </c>
      <c r="AK98" s="10">
        <v>45</v>
      </c>
      <c r="AL98" s="9">
        <v>8436</v>
      </c>
      <c r="AM98" s="10">
        <v>44</v>
      </c>
      <c r="AN98" s="9">
        <v>6687</v>
      </c>
      <c r="AO98" s="10">
        <v>35</v>
      </c>
      <c r="AP98" s="9">
        <v>7831</v>
      </c>
      <c r="AQ98" s="10">
        <v>39</v>
      </c>
      <c r="AR98" s="9">
        <v>8138</v>
      </c>
      <c r="AS98" s="10">
        <v>42</v>
      </c>
      <c r="AT98" s="9">
        <v>7740</v>
      </c>
      <c r="AU98" s="10">
        <v>40</v>
      </c>
      <c r="AV98" s="9">
        <v>2170</v>
      </c>
      <c r="AW98" s="10">
        <v>10</v>
      </c>
      <c r="AX98" s="9">
        <v>5385</v>
      </c>
      <c r="AY98" s="10">
        <v>25</v>
      </c>
      <c r="AZ98" s="9">
        <v>3215</v>
      </c>
      <c r="BA98" s="10">
        <v>15</v>
      </c>
      <c r="BB98" s="9">
        <v>3344</v>
      </c>
      <c r="BC98" s="10">
        <v>16</v>
      </c>
      <c r="BD98" s="9">
        <v>3633</v>
      </c>
      <c r="BE98" s="10">
        <v>17</v>
      </c>
      <c r="BF98" s="9">
        <v>2966</v>
      </c>
      <c r="BG98" s="10">
        <v>14</v>
      </c>
      <c r="BH98" s="9">
        <v>4011</v>
      </c>
      <c r="BI98" s="10">
        <v>19</v>
      </c>
      <c r="BJ98" s="9">
        <v>1712</v>
      </c>
      <c r="BK98" s="10">
        <v>8</v>
      </c>
      <c r="BL98" s="9">
        <v>2170</v>
      </c>
      <c r="BM98" s="10">
        <v>10</v>
      </c>
    </row>
    <row r="99" spans="1:65" ht="14.4">
      <c r="A99" s="2" t="s">
        <v>28</v>
      </c>
      <c r="B99" s="10" t="s">
        <v>102</v>
      </c>
      <c r="C99" s="11" t="s">
        <v>149</v>
      </c>
      <c r="D99" s="9">
        <v>16450</v>
      </c>
      <c r="E99" s="10">
        <v>33</v>
      </c>
      <c r="F99" s="9">
        <v>15769</v>
      </c>
      <c r="G99" s="10">
        <v>32</v>
      </c>
      <c r="H99" s="9">
        <v>19212</v>
      </c>
      <c r="I99" s="10">
        <v>39</v>
      </c>
      <c r="J99" s="9">
        <v>24138</v>
      </c>
      <c r="K99" s="10">
        <v>49</v>
      </c>
      <c r="L99" s="9">
        <v>21245</v>
      </c>
      <c r="M99" s="10">
        <v>43</v>
      </c>
      <c r="N99" s="9">
        <v>22283</v>
      </c>
      <c r="O99" s="10">
        <v>45</v>
      </c>
      <c r="P99" s="9">
        <v>20197</v>
      </c>
      <c r="Q99" s="10">
        <v>41</v>
      </c>
      <c r="R99" s="9">
        <v>17734</v>
      </c>
      <c r="S99" s="10">
        <v>36</v>
      </c>
      <c r="T99" s="9">
        <v>20197</v>
      </c>
      <c r="U99" s="10">
        <v>41</v>
      </c>
      <c r="V99" s="9">
        <v>24138</v>
      </c>
      <c r="W99" s="10">
        <v>49</v>
      </c>
      <c r="X99" s="9">
        <v>24631</v>
      </c>
      <c r="Y99" s="10">
        <v>50</v>
      </c>
      <c r="Z99" s="9">
        <v>13793</v>
      </c>
      <c r="AA99" s="10">
        <v>28</v>
      </c>
      <c r="AB99" s="9">
        <v>17242</v>
      </c>
      <c r="AC99" s="10">
        <v>35</v>
      </c>
      <c r="AD99" s="9">
        <v>14778</v>
      </c>
      <c r="AE99" s="10">
        <v>30</v>
      </c>
      <c r="AF99" s="9">
        <v>17734</v>
      </c>
      <c r="AG99" s="10">
        <v>36</v>
      </c>
      <c r="AH99" s="9">
        <v>15271</v>
      </c>
      <c r="AI99" s="10">
        <v>31</v>
      </c>
      <c r="AJ99" s="9">
        <v>24631</v>
      </c>
      <c r="AK99" s="10">
        <v>50</v>
      </c>
      <c r="AL99" s="9">
        <v>22660</v>
      </c>
      <c r="AM99" s="10">
        <v>46</v>
      </c>
      <c r="AN99" s="9">
        <v>23645</v>
      </c>
      <c r="AO99" s="10">
        <v>48</v>
      </c>
      <c r="AP99" s="9">
        <v>23153</v>
      </c>
      <c r="AQ99" s="10">
        <v>47</v>
      </c>
      <c r="AR99" s="9">
        <v>27094</v>
      </c>
      <c r="AS99" s="10">
        <v>55</v>
      </c>
      <c r="AT99" s="9">
        <v>38441</v>
      </c>
      <c r="AU99" s="10">
        <v>78</v>
      </c>
      <c r="AV99" s="9">
        <v>43964</v>
      </c>
      <c r="AW99" s="10">
        <v>91</v>
      </c>
      <c r="AX99" s="9">
        <v>50245</v>
      </c>
      <c r="AY99" s="10">
        <v>104</v>
      </c>
      <c r="AZ99" s="9">
        <v>31403</v>
      </c>
      <c r="BA99" s="10">
        <v>65</v>
      </c>
      <c r="BB99" s="9">
        <v>30437</v>
      </c>
      <c r="BC99" s="10">
        <v>63</v>
      </c>
      <c r="BD99" s="9">
        <v>34785</v>
      </c>
      <c r="BE99" s="10">
        <v>72</v>
      </c>
      <c r="BF99" s="9">
        <v>29631</v>
      </c>
      <c r="BG99" s="10">
        <v>60</v>
      </c>
      <c r="BH99" s="9">
        <v>27586</v>
      </c>
      <c r="BI99" s="10">
        <v>56</v>
      </c>
      <c r="BJ99" s="9">
        <v>21182</v>
      </c>
      <c r="BK99" s="10">
        <v>43</v>
      </c>
      <c r="BL99" s="9">
        <v>43964</v>
      </c>
      <c r="BM99" s="10">
        <v>91</v>
      </c>
    </row>
    <row r="100" spans="1:65" ht="14.4">
      <c r="A100" s="2" t="s">
        <v>75</v>
      </c>
      <c r="B100" s="10" t="s">
        <v>102</v>
      </c>
      <c r="C100" s="11" t="s">
        <v>149</v>
      </c>
      <c r="D100" s="9">
        <v>10994</v>
      </c>
      <c r="E100" s="10">
        <v>13</v>
      </c>
      <c r="F100" s="9">
        <v>10291</v>
      </c>
      <c r="G100" s="10">
        <v>12</v>
      </c>
      <c r="H100" s="9">
        <v>11979</v>
      </c>
      <c r="I100" s="10">
        <v>14</v>
      </c>
      <c r="J100" s="9">
        <v>9447</v>
      </c>
      <c r="K100" s="10">
        <v>11</v>
      </c>
      <c r="L100" s="9">
        <v>4221</v>
      </c>
      <c r="M100" s="10">
        <v>5</v>
      </c>
      <c r="N100" s="9">
        <v>2477</v>
      </c>
      <c r="O100" s="10">
        <v>3</v>
      </c>
      <c r="P100" s="9">
        <v>12878</v>
      </c>
      <c r="Q100" s="10">
        <v>15</v>
      </c>
      <c r="R100" s="9">
        <v>11190</v>
      </c>
      <c r="S100" s="10">
        <v>13</v>
      </c>
      <c r="T100" s="9">
        <v>7649</v>
      </c>
      <c r="U100" s="10">
        <v>9</v>
      </c>
      <c r="V100" s="9">
        <v>6916</v>
      </c>
      <c r="W100" s="10">
        <v>8</v>
      </c>
      <c r="X100" s="9">
        <v>12878</v>
      </c>
      <c r="Y100" s="10">
        <v>15</v>
      </c>
      <c r="Z100" s="9">
        <v>9282</v>
      </c>
      <c r="AA100" s="10">
        <v>11</v>
      </c>
      <c r="AB100" s="9">
        <v>11868</v>
      </c>
      <c r="AC100" s="10">
        <v>14</v>
      </c>
      <c r="AD100" s="9">
        <v>13666</v>
      </c>
      <c r="AE100" s="10">
        <v>16</v>
      </c>
      <c r="AF100" s="9">
        <v>10181</v>
      </c>
      <c r="AG100" s="10">
        <v>12</v>
      </c>
      <c r="AH100" s="9">
        <v>8438</v>
      </c>
      <c r="AI100" s="10">
        <v>10</v>
      </c>
      <c r="AJ100" s="9">
        <v>5907</v>
      </c>
      <c r="AK100" s="10">
        <v>7</v>
      </c>
      <c r="AL100" s="9">
        <v>5063</v>
      </c>
      <c r="AM100" s="10">
        <v>6</v>
      </c>
      <c r="AN100" s="9">
        <v>5876</v>
      </c>
      <c r="AO100" s="10">
        <v>7</v>
      </c>
      <c r="AP100" s="9">
        <v>5853</v>
      </c>
      <c r="AQ100" s="10">
        <v>7</v>
      </c>
      <c r="AR100" s="9">
        <v>7526</v>
      </c>
      <c r="AS100" s="10">
        <v>9</v>
      </c>
      <c r="AT100" s="9">
        <v>6690</v>
      </c>
      <c r="AU100" s="10">
        <v>8</v>
      </c>
      <c r="AV100" s="9">
        <v>5840</v>
      </c>
      <c r="AW100" s="10">
        <v>7</v>
      </c>
      <c r="AX100" s="9">
        <v>6674</v>
      </c>
      <c r="AY100" s="10">
        <v>8</v>
      </c>
      <c r="AZ100" s="9">
        <v>5006</v>
      </c>
      <c r="BA100" s="10">
        <v>6</v>
      </c>
      <c r="BB100" s="9">
        <v>10846</v>
      </c>
      <c r="BC100" s="10">
        <v>13</v>
      </c>
      <c r="BD100" s="9">
        <v>5840</v>
      </c>
      <c r="BE100" s="10">
        <v>7</v>
      </c>
      <c r="BF100" s="9">
        <v>6769</v>
      </c>
      <c r="BG100" s="10">
        <v>8</v>
      </c>
      <c r="BH100" s="9">
        <v>10969</v>
      </c>
      <c r="BI100" s="10">
        <v>13</v>
      </c>
      <c r="BJ100" s="9">
        <v>5907</v>
      </c>
      <c r="BK100" s="10">
        <v>7</v>
      </c>
      <c r="BL100" s="9">
        <v>5840</v>
      </c>
      <c r="BM100" s="10">
        <v>7</v>
      </c>
    </row>
    <row r="101" spans="1:65" ht="14.4">
      <c r="A101" s="2" t="s">
        <v>46</v>
      </c>
      <c r="B101" s="10" t="s">
        <v>102</v>
      </c>
      <c r="C101" s="11" t="s">
        <v>154</v>
      </c>
      <c r="D101" s="9">
        <v>0</v>
      </c>
      <c r="E101" s="10">
        <v>0</v>
      </c>
      <c r="F101" s="9">
        <v>0</v>
      </c>
      <c r="G101" s="10">
        <v>0</v>
      </c>
      <c r="H101" s="9">
        <v>0</v>
      </c>
      <c r="I101" s="10">
        <v>0</v>
      </c>
      <c r="J101" s="9">
        <v>0</v>
      </c>
      <c r="K101" s="10">
        <v>0</v>
      </c>
      <c r="L101" s="9">
        <v>0</v>
      </c>
      <c r="M101" s="10">
        <v>0</v>
      </c>
      <c r="N101" s="9">
        <v>0</v>
      </c>
      <c r="O101" s="10">
        <v>0</v>
      </c>
      <c r="P101" s="9">
        <v>0</v>
      </c>
      <c r="Q101" s="10">
        <v>0</v>
      </c>
      <c r="R101" s="9">
        <v>0</v>
      </c>
      <c r="S101" s="10">
        <v>0</v>
      </c>
      <c r="T101" s="9">
        <v>0</v>
      </c>
      <c r="U101" s="10">
        <v>0</v>
      </c>
      <c r="V101" s="9">
        <v>0</v>
      </c>
      <c r="W101" s="10">
        <v>0</v>
      </c>
      <c r="X101" s="9">
        <v>0</v>
      </c>
      <c r="Y101" s="10">
        <v>0</v>
      </c>
      <c r="Z101" s="9">
        <v>0</v>
      </c>
      <c r="AA101" s="10">
        <v>0</v>
      </c>
      <c r="AB101" s="9">
        <v>0</v>
      </c>
      <c r="AC101" s="10">
        <v>0</v>
      </c>
      <c r="AD101" s="9">
        <v>0</v>
      </c>
      <c r="AE101" s="10">
        <v>0</v>
      </c>
      <c r="AF101" s="9">
        <v>0</v>
      </c>
      <c r="AG101" s="10">
        <v>0</v>
      </c>
      <c r="AH101" s="9">
        <v>0</v>
      </c>
      <c r="AI101" s="10">
        <v>0</v>
      </c>
      <c r="AJ101" s="9">
        <v>0</v>
      </c>
      <c r="AK101" s="10">
        <v>0</v>
      </c>
      <c r="AL101" s="9">
        <v>0</v>
      </c>
      <c r="AM101" s="10">
        <v>0</v>
      </c>
      <c r="AN101" s="9">
        <v>0</v>
      </c>
      <c r="AO101" s="10">
        <v>0</v>
      </c>
      <c r="AP101" s="9">
        <v>0</v>
      </c>
      <c r="AQ101" s="10">
        <v>0</v>
      </c>
      <c r="AR101" s="9">
        <v>0</v>
      </c>
      <c r="AS101" s="10">
        <v>0</v>
      </c>
      <c r="AT101" s="9">
        <v>0</v>
      </c>
      <c r="AU101" s="10">
        <v>0</v>
      </c>
      <c r="AV101" s="9">
        <v>0</v>
      </c>
      <c r="AW101" s="10">
        <v>0</v>
      </c>
      <c r="AX101" s="9">
        <v>0</v>
      </c>
      <c r="AY101" s="10">
        <v>0</v>
      </c>
      <c r="AZ101" s="9">
        <v>0</v>
      </c>
      <c r="BA101" s="10">
        <v>0</v>
      </c>
      <c r="BB101" s="9">
        <v>0</v>
      </c>
      <c r="BC101" s="10">
        <v>0</v>
      </c>
      <c r="BD101" s="9">
        <v>0</v>
      </c>
      <c r="BE101" s="10">
        <v>0</v>
      </c>
      <c r="BF101" s="9">
        <v>0</v>
      </c>
      <c r="BG101" s="10">
        <v>0</v>
      </c>
      <c r="BH101" s="9">
        <v>0</v>
      </c>
      <c r="BI101" s="10">
        <v>0</v>
      </c>
      <c r="BJ101" s="9">
        <v>0</v>
      </c>
      <c r="BK101" s="10">
        <v>0</v>
      </c>
      <c r="BL101" s="9">
        <v>0</v>
      </c>
      <c r="BM101" s="10">
        <v>0</v>
      </c>
    </row>
    <row r="103" spans="1:65">
      <c r="A103" s="1"/>
      <c r="B103" s="1"/>
      <c r="C103" s="1"/>
      <c r="D103">
        <f>IF(Dashboard!$B$3="",SUMIF(Table1[[Category]:[Category]],Dashboard!$A$3,Table1[GMV 1]),SUMIFS(Table1[GMV 1],Table1[[Category]:[Category]],Dashboard!$A$3,Table1[[Sub-Category]:[Sub-Category]],Dashboard!$B$3))</f>
        <v>137384</v>
      </c>
      <c r="E103">
        <f>IF(Dashboard!$B$3="",SUMIF(Table1[[Category]:[Category]],Dashboard!$A$3,Table1[Units 1]),SUMIFS(Table1[Units 1],Table1[[Category]:[Category]],Dashboard!$A$3,Table1[[Sub-Category]:[Sub-Category]],Dashboard!$B$3))</f>
        <v>364</v>
      </c>
      <c r="F103">
        <f>IF(Dashboard!$B$3="",SUMIF(Table1[[Category]:[Category]],Dashboard!$A$3,Table1[GMV 2]),SUMIFS(Table1[GMV 2],Table1[[Category]:[Category]],Dashboard!$A$3,Table1[[Sub-Category]:[Sub-Category]],Dashboard!$B$3))</f>
        <v>156324</v>
      </c>
      <c r="G103">
        <f>IF(Dashboard!$B$3="",SUMIF(Table1[[Category]:[Category]],Dashboard!$A$3,Table1[Units 2]),SUMIFS(Table1[Units 2],Table1[[Category]:[Category]],Dashboard!$A$3,Table1[[Sub-Category]:[Sub-Category]],Dashboard!$B$3))</f>
        <v>384</v>
      </c>
      <c r="H103">
        <f>IF(Dashboard!$B$3="",SUMIF(Table1[[Category]:[Category]],Dashboard!$A$3,Table1[GMV 3]),SUMIFS(Table1[GMV 3],Table1[[Category]:[Category]],Dashboard!$A$3,Table1[[Sub-Category]:[Sub-Category]],Dashboard!$B$3))</f>
        <v>190197</v>
      </c>
      <c r="I103">
        <f>IF(Dashboard!$B$3="",SUMIF(Table1[[Category]:[Category]],Dashboard!$A$3,Table1[Units 3]),SUMIFS(Table1[Units 3],Table1[[Category]:[Category]],Dashboard!$A$3,Table1[[Sub-Category]:[Sub-Category]],Dashboard!$B$3))</f>
        <v>428</v>
      </c>
      <c r="J103">
        <f>IF(Dashboard!$B$3="",SUMIF(Table1[[Category]:[Category]],Dashboard!$A$3,Table1[GMV 4]),SUMIFS(Table1[GMV 4],Table1[[Category]:[Category]],Dashboard!$A$3,Table1[[Sub-Category]:[Sub-Category]],Dashboard!$B$3))</f>
        <v>157052</v>
      </c>
      <c r="K103">
        <f>IF(Dashboard!$B$3="",SUMIF(Table1[[Category]:[Category]],Dashboard!$A$3,Table1[Units 4]),SUMIFS(Table1[Units 4],Table1[[Category]:[Category]],Dashboard!$A$3,Table1[[Sub-Category]:[Sub-Category]],Dashboard!$B$3))</f>
        <v>375</v>
      </c>
      <c r="L103">
        <f>IF(Dashboard!$B$3="",SUMIF(Table1[[Category]:[Category]],Dashboard!$A$3,Table1[GMV 5]),SUMIFS(Table1[GMV 5],Table1[[Category]:[Category]],Dashboard!$A$3,Table1[[Sub-Category]:[Sub-Category]],Dashboard!$B$3))</f>
        <v>155450</v>
      </c>
      <c r="M103">
        <f>IF(Dashboard!$B$3="",SUMIF(Table1[[Category]:[Category]],Dashboard!$A$3,Table1[Units 5]),SUMIFS(Table1[Units 5],Table1[[Category]:[Category]],Dashboard!$A$3,Table1[[Sub-Category]:[Sub-Category]],Dashboard!$B$3))</f>
        <v>353</v>
      </c>
      <c r="N103">
        <f>IF(Dashboard!$B$3="",SUMIF(Table1[[Category]:[Category]],Dashboard!$A$3,Table1[GMV 6]),SUMIFS(Table1[GMV 6],Table1[[Category]:[Category]],Dashboard!$A$3,Table1[[Sub-Category]:[Sub-Category]],Dashboard!$B$3))</f>
        <v>169037</v>
      </c>
      <c r="O103">
        <f>IF(Dashboard!$B$3="",SUMIF(Table1[[Category]:[Category]],Dashboard!$A$3,Table1[Units 6]),SUMIFS(Table1[Units 6],Table1[[Category]:[Category]],Dashboard!$A$3,Table1[[Sub-Category]:[Sub-Category]],Dashboard!$B$3))</f>
        <v>370</v>
      </c>
      <c r="P103">
        <f>IF(Dashboard!$B$3="",SUMIF(Table1[[Category]:[Category]],Dashboard!$A$3,Table1[GMV 7]),SUMIFS(Table1[GMV 7],Table1[[Category]:[Category]],Dashboard!$A$3,Table1[[Sub-Category]:[Sub-Category]],Dashboard!$B$3))</f>
        <v>159156</v>
      </c>
      <c r="Q103">
        <f>IF(Dashboard!$B$3="",SUMIF(Table1[[Category]:[Category]],Dashboard!$A$3,Table1[Units 7]),SUMIFS(Table1[Units 7],Table1[[Category]:[Category]],Dashboard!$A$3,Table1[[Sub-Category]:[Sub-Category]],Dashboard!$B$3))</f>
        <v>377</v>
      </c>
      <c r="R103">
        <f>IF(Dashboard!$B$3="",SUMIF(Table1[[Category]:[Category]],Dashboard!$A$3,Table1[GMV 8]),SUMIFS(Table1[GMV 8],Table1[[Category]:[Category]],Dashboard!$A$3,Table1[[Sub-Category]:[Sub-Category]],Dashboard!$B$3))</f>
        <v>175498</v>
      </c>
      <c r="S103">
        <f>IF(Dashboard!$B$3="",SUMIF(Table1[[Category]:[Category]],Dashboard!$A$3,Table1[Units 8]),SUMIFS(Table1[Units 8],Table1[[Category]:[Category]],Dashboard!$A$3,Table1[[Sub-Category]:[Sub-Category]],Dashboard!$B$3))</f>
        <v>409</v>
      </c>
      <c r="T103">
        <f>IF(Dashboard!$B$3="",SUMIF(Table1[[Category]:[Category]],Dashboard!$A$3,Table1[GMV 9]),SUMIFS(Table1[GMV 9],Table1[[Category]:[Category]],Dashboard!$A$3,Table1[[Sub-Category]:[Sub-Category]],Dashboard!$B$3))</f>
        <v>161556</v>
      </c>
      <c r="U103">
        <f>IF(Dashboard!$B$3="",SUMIF(Table1[[Category]:[Category]],Dashboard!$A$3,Table1[Units 9]),SUMIFS(Table1[Units 9],Table1[[Category]:[Category]],Dashboard!$A$3,Table1[[Sub-Category]:[Sub-Category]],Dashboard!$B$3))</f>
        <v>399</v>
      </c>
      <c r="V103">
        <f>IF(Dashboard!$B$3="",SUMIF(Table1[[Category]:[Category]],Dashboard!$A$3,Table1[GMV 10]),SUMIFS(Table1[GMV 10],Table1[[Category]:[Category]],Dashboard!$A$3,Table1[[Sub-Category]:[Sub-Category]],Dashboard!$B$3))</f>
        <v>186709</v>
      </c>
      <c r="W103">
        <f>IF(Dashboard!$B$3="",SUMIF(Table1[[Category]:[Category]],Dashboard!$A$3,Table1[Units 10]),SUMIFS(Table1[Units 10],Table1[[Category]:[Category]],Dashboard!$A$3,Table1[[Sub-Category]:[Sub-Category]],Dashboard!$B$3))</f>
        <v>435</v>
      </c>
      <c r="X103">
        <f>IF(Dashboard!$B$3="",SUMIF(Table1[[Category]:[Category]],Dashboard!$A$3,Table1[GMV 11]),SUMIFS(Table1[GMV 11],Table1[[Category]:[Category]],Dashboard!$A$3,Table1[[Sub-Category]:[Sub-Category]],Dashboard!$B$3))</f>
        <v>176301</v>
      </c>
      <c r="Y103">
        <f>IF(Dashboard!$B$3="",SUMIF(Table1[[Category]:[Category]],Dashboard!$A$3,Table1[Units 11]),SUMIFS(Table1[Units 11],Table1[[Category]:[Category]],Dashboard!$A$3,Table1[[Sub-Category]:[Sub-Category]],Dashboard!$B$3))</f>
        <v>351</v>
      </c>
      <c r="Z103">
        <f>IF(Dashboard!$B$3="",SUMIF(Table1[[Category]:[Category]],Dashboard!$A$3,Table1[GMV 12]),SUMIFS(Table1[GMV 12],Table1[[Category]:[Category]],Dashboard!$A$3,Table1[[Sub-Category]:[Sub-Category]],Dashboard!$B$3))</f>
        <v>160040</v>
      </c>
      <c r="AA103">
        <f>IF(Dashboard!$B$3="",SUMIF(Table1[[Category]:[Category]],Dashboard!$A$3,Table1[Units 12]),SUMIFS(Table1[Units 12],Table1[[Category]:[Category]],Dashboard!$A$3,Table1[[Sub-Category]:[Sub-Category]],Dashboard!$B$3))</f>
        <v>270</v>
      </c>
      <c r="AB103">
        <f>IF(Dashboard!$B$3="",SUMIF(Table1[[Category]:[Category]],Dashboard!$A$3,Table1[GMV 13]),SUMIFS(Table1[GMV 13],Table1[[Category]:[Category]],Dashboard!$A$3,Table1[[Sub-Category]:[Sub-Category]],Dashboard!$B$3))</f>
        <v>142679</v>
      </c>
      <c r="AC103">
        <f>IF(Dashboard!$B$3="",SUMIF(Table1[[Category]:[Category]],Dashboard!$A$3,Table1[Units 13]),SUMIFS(Table1[Units 13],Table1[[Category]:[Category]],Dashboard!$A$3,Table1[[Sub-Category]:[Sub-Category]],Dashboard!$B$3))</f>
        <v>240</v>
      </c>
      <c r="AD103">
        <f>IF(Dashboard!$B$3="",SUMIF(Table1[[Category]:[Category]],Dashboard!$A$3,Table1[GMV 14]),SUMIFS(Table1[GMV 14],Table1[[Category]:[Category]],Dashboard!$A$3,Table1[[Sub-Category]:[Sub-Category]],Dashboard!$B$3))</f>
        <v>168584</v>
      </c>
      <c r="AE103">
        <f>IF(Dashboard!$B$3="",SUMIF(Table1[[Category]:[Category]],Dashboard!$A$3,Table1[Units 14]),SUMIFS(Table1[Units 14],Table1[[Category]:[Category]],Dashboard!$A$3,Table1[[Sub-Category]:[Sub-Category]],Dashboard!$B$3))</f>
        <v>253</v>
      </c>
      <c r="AF103">
        <f>IF(Dashboard!$B$3="",SUMIF(Table1[[Category]:[Category]],Dashboard!$A$3,Table1[GMV 15]),SUMIFS(Table1[GMV 15],Table1[[Category]:[Category]],Dashboard!$A$3,Table1[[Sub-Category]:[Sub-Category]],Dashboard!$B$3))</f>
        <v>179259</v>
      </c>
      <c r="AG103">
        <f>IF(Dashboard!$B$3="",SUMIF(Table1[[Category]:[Category]],Dashboard!$A$3,Table1[Units 15]),SUMIFS(Table1[Units 15],Table1[[Category]:[Category]],Dashboard!$A$3,Table1[[Sub-Category]:[Sub-Category]],Dashboard!$B$3))</f>
        <v>440</v>
      </c>
      <c r="AH103">
        <f>IF(Dashboard!$B$3="",SUMIF(Table1[[Category]:[Category]],Dashboard!$A$3,Table1[GMV 16]),SUMIFS(Table1[GMV 16],Table1[[Category]:[Category]],Dashboard!$A$3,Table1[[Sub-Category]:[Sub-Category]],Dashboard!$B$3))</f>
        <v>162184</v>
      </c>
      <c r="AI103">
        <f>IF(Dashboard!$B$3="",SUMIF(Table1[[Category]:[Category]],Dashboard!$A$3,Table1[Units 16]),SUMIFS(Table1[Units 16],Table1[[Category]:[Category]],Dashboard!$A$3,Table1[[Sub-Category]:[Sub-Category]],Dashboard!$B$3))</f>
        <v>444</v>
      </c>
      <c r="AJ103">
        <f>IF(Dashboard!$B$3="",SUMIF(Table1[[Category]:[Category]],Dashboard!$A$3,Table1[GMV 17]),SUMIFS(Table1[GMV 17],Table1[[Category]:[Category]],Dashboard!$A$3,Table1[[Sub-Category]:[Sub-Category]],Dashboard!$B$3))</f>
        <v>179622</v>
      </c>
      <c r="AK103">
        <f>IF(Dashboard!$B$3="",SUMIF(Table1[[Category]:[Category]],Dashboard!$A$3,Table1[Units 17]),SUMIFS(Table1[Units 17],Table1[[Category]:[Category]],Dashboard!$A$3,Table1[[Sub-Category]:[Sub-Category]],Dashboard!$B$3))</f>
        <v>498</v>
      </c>
      <c r="AL103">
        <f>IF(Dashboard!$B$3="",SUMIF(Table1[[Category]:[Category]],Dashboard!$A$3,Table1[GMV 18]),SUMIFS(Table1[GMV 18],Table1[[Category]:[Category]],Dashboard!$A$3,Table1[[Sub-Category]:[Sub-Category]],Dashboard!$B$3))</f>
        <v>156126</v>
      </c>
      <c r="AM103">
        <f>IF(Dashboard!$B$3="",SUMIF(Table1[[Category]:[Category]],Dashboard!$A$3,Table1[Units 18]),SUMIFS(Table1[Units 18],Table1[[Category]:[Category]],Dashboard!$A$3,Table1[[Sub-Category]:[Sub-Category]],Dashboard!$B$3))</f>
        <v>427</v>
      </c>
      <c r="AN103">
        <f>IF(Dashboard!$B$3="",SUMIF(Table1[[Category]:[Category]],Dashboard!$A$3,Table1[GMV 19]),SUMIFS(Table1[GMV 19],Table1[[Category]:[Category]],Dashboard!$A$3,Table1[[Sub-Category]:[Sub-Category]],Dashboard!$B$3))</f>
        <v>158946</v>
      </c>
      <c r="AO103">
        <f>IF(Dashboard!$B$3="",SUMIF(Table1[[Category]:[Category]],Dashboard!$A$3,Table1[Units 19]),SUMIFS(Table1[Units 19],Table1[[Category]:[Category]],Dashboard!$A$3,Table1[[Sub-Category]:[Sub-Category]],Dashboard!$B$3))</f>
        <v>439</v>
      </c>
      <c r="AP103">
        <f>IF(Dashboard!$B$3="",SUMIF(Table1[[Category]:[Category]],Dashboard!$A$3,Table1[GMV 20]),SUMIFS(Table1[GMV 20],Table1[[Category]:[Category]],Dashboard!$A$3,Table1[[Sub-Category]:[Sub-Category]],Dashboard!$B$3))</f>
        <v>158609</v>
      </c>
      <c r="AQ103">
        <f>IF(Dashboard!$B$3="",SUMIF(Table1[[Category]:[Category]],Dashboard!$A$3,Table1[Units 20]),SUMIFS(Table1[Units 20],Table1[[Category]:[Category]],Dashboard!$A$3,Table1[[Sub-Category]:[Sub-Category]],Dashboard!$B$3))</f>
        <v>431</v>
      </c>
      <c r="AR103">
        <f>IF(Dashboard!$B$3="",SUMIF(Table1[[Category]:[Category]],Dashboard!$A$3,Table1[GMV 21]),SUMIFS(Table1[GMV 21],Table1[[Category]:[Category]],Dashboard!$A$3,Table1[[Sub-Category]:[Sub-Category]],Dashboard!$B$3))</f>
        <v>166673</v>
      </c>
      <c r="AS103">
        <f>IF(Dashboard!$B$3="",SUMIF(Table1[[Category]:[Category]],Dashboard!$A$3,Table1[Units 21]),SUMIFS(Table1[Units 21],Table1[[Category]:[Category]],Dashboard!$A$3,Table1[[Sub-Category]:[Sub-Category]],Dashboard!$B$3))</f>
        <v>442</v>
      </c>
      <c r="AT103">
        <f>IF(Dashboard!$B$3="",SUMIF(Table1[[Category]:[Category]],Dashboard!$A$3,Table1[GMV 22]),SUMIFS(Table1[GMV 22],Table1[[Category]:[Category]],Dashboard!$A$3,Table1[[Sub-Category]:[Sub-Category]],Dashboard!$B$3))</f>
        <v>182696</v>
      </c>
      <c r="AU103">
        <f>IF(Dashboard!$B$3="",SUMIF(Table1[[Category]:[Category]],Dashboard!$A$3,Table1[Units 22]),SUMIFS(Table1[Units 22],Table1[[Category]:[Category]],Dashboard!$A$3,Table1[[Sub-Category]:[Sub-Category]],Dashboard!$B$3))</f>
        <v>536</v>
      </c>
      <c r="AV103">
        <f>IF(Dashboard!$B$3="",SUMIF(Table1[[Category]:[Category]],Dashboard!$A$3,Table1[GMV 23]),SUMIFS(Table1[GMV 23],Table1[[Category]:[Category]],Dashboard!$A$3,Table1[[Sub-Category]:[Sub-Category]],Dashboard!$B$3))</f>
        <v>204247</v>
      </c>
      <c r="AW103">
        <f>IF(Dashboard!$B$3="",SUMIF(Table1[[Category]:[Category]],Dashboard!$A$3,Table1[Units 23]),SUMIFS(Table1[Units 23],Table1[[Category]:[Category]],Dashboard!$A$3,Table1[[Sub-Category]:[Sub-Category]],Dashboard!$B$3))</f>
        <v>569</v>
      </c>
      <c r="AX103">
        <f>IF(Dashboard!$B$3="",SUMIF(Table1[[Category]:[Category]],Dashboard!$A$3,Table1[GMV 24]),SUMIFS(Table1[GMV 24],Table1[[Category]:[Category]],Dashboard!$A$3,Table1[[Sub-Category]:[Sub-Category]],Dashboard!$B$3))</f>
        <v>213287</v>
      </c>
      <c r="AY103">
        <f>IF(Dashboard!$B$3="",SUMIF(Table1[[Category]:[Category]],Dashboard!$A$3,Table1[Units 24]),SUMIFS(Table1[Units 24],Table1[[Category]:[Category]],Dashboard!$A$3,Table1[[Sub-Category]:[Sub-Category]],Dashboard!$B$3))</f>
        <v>538</v>
      </c>
      <c r="AZ103">
        <f>IF(Dashboard!$B$3="",SUMIF(Table1[[Category]:[Category]],Dashboard!$A$3,Table1[GMV 25]),SUMIFS(Table1[GMV 25],Table1[[Category]:[Category]],Dashboard!$A$3,Table1[[Sub-Category]:[Sub-Category]],Dashboard!$B$3))</f>
        <v>168421</v>
      </c>
      <c r="BA103">
        <f>IF(Dashboard!$B$3="",SUMIF(Table1[[Category]:[Category]],Dashboard!$A$3,Table1[Units 25]),SUMIFS(Table1[Units 25],Table1[[Category]:[Category]],Dashboard!$A$3,Table1[[Sub-Category]:[Sub-Category]],Dashboard!$B$3))</f>
        <v>442</v>
      </c>
      <c r="BB103">
        <f>IF(Dashboard!$B$3="",SUMIF(Table1[[Category]:[Category]],Dashboard!$A$3,Table1[GMV 26]),SUMIFS(Table1[GMV 26],Table1[[Category]:[Category]],Dashboard!$A$3,Table1[[Sub-Category]:[Sub-Category]],Dashboard!$B$3))</f>
        <v>183424</v>
      </c>
      <c r="BC103">
        <f>IF(Dashboard!$B$3="",SUMIF(Table1[[Category]:[Category]],Dashboard!$A$3,Table1[Units 26]),SUMIFS(Table1[Units 26],Table1[[Category]:[Category]],Dashboard!$A$3,Table1[[Sub-Category]:[Sub-Category]],Dashboard!$B$3))</f>
        <v>400</v>
      </c>
      <c r="BD103">
        <f>IF(Dashboard!$B$3="",SUMIF(Table1[[Category]:[Category]],Dashboard!$A$3,Table1[GMV 27]),SUMIFS(Table1[GMV 27],Table1[[Category]:[Category]],Dashboard!$A$3,Table1[[Sub-Category]:[Sub-Category]],Dashboard!$B$3))</f>
        <v>149413</v>
      </c>
      <c r="BE103">
        <f>IF(Dashboard!$B$3="",SUMIF(Table1[[Category]:[Category]],Dashboard!$A$3,Table1[Units 27]),SUMIFS(Table1[Units 27],Table1[[Category]:[Category]],Dashboard!$A$3,Table1[[Sub-Category]:[Sub-Category]],Dashboard!$B$3))</f>
        <v>345</v>
      </c>
      <c r="BF103">
        <f>IF(Dashboard!$B$3="",SUMIF(Table1[[Category]:[Category]],Dashboard!$A$3,Table1[GMV 28]),SUMIFS(Table1[GMV 28],Table1[[Category]:[Category]],Dashboard!$A$3,Table1[[Sub-Category]:[Sub-Category]],Dashboard!$B$3))</f>
        <v>217836</v>
      </c>
      <c r="BG103">
        <f>IF(Dashboard!$B$3="",SUMIF(Table1[[Category]:[Category]],Dashboard!$A$3,Table1[Units 28]),SUMIFS(Table1[Units 28],Table1[[Category]:[Category]],Dashboard!$A$3,Table1[[Sub-Category]:[Sub-Category]],Dashboard!$B$3))</f>
        <v>524</v>
      </c>
      <c r="BH103">
        <f>IF(Dashboard!$B$3="",SUMIF(Table1[[Category]:[Category]],Dashboard!$A$3,Table1[GMV 29]),SUMIFS(Table1[GMV 29],Table1[[Category]:[Category]],Dashboard!$A$3,Table1[[Sub-Category]:[Sub-Category]],Dashboard!$B$3))</f>
        <v>194153</v>
      </c>
      <c r="BI103">
        <f>IF(Dashboard!$B$3="",SUMIF(Table1[[Category]:[Category]],Dashboard!$A$3,Table1[Units 29]),SUMIFS(Table1[Units 29],Table1[[Category]:[Category]],Dashboard!$A$3,Table1[[Sub-Category]:[Sub-Category]],Dashboard!$B$3))</f>
        <v>524</v>
      </c>
      <c r="BJ103">
        <f>IF(Dashboard!$B$3="",SUMIF(Table1[[Category]:[Category]],Dashboard!$A$3,Table1[GMV 30]),SUMIFS(Table1[GMV 30],Table1[[Category]:[Category]],Dashboard!$A$3,Table1[[Sub-Category]:[Sub-Category]],Dashboard!$B$3))</f>
        <v>162749</v>
      </c>
      <c r="BK103">
        <f>IF(Dashboard!$B$3="",SUMIF(Table1[[Category]:[Category]],Dashboard!$A$3,Table1[Units 30]),SUMIFS(Table1[Units 30],Table1[[Category]:[Category]],Dashboard!$A$3,Table1[[Sub-Category]:[Sub-Category]],Dashboard!$B$3))</f>
        <v>463</v>
      </c>
      <c r="BL103">
        <f>IF(Dashboard!$B$3="",SUMIF(Table1[[Category]:[Category]],Dashboard!$A$3,Table1[GMV 31]),SUMIFS(Table1[GMV 31],Table1[[Category]:[Category]],Dashboard!$A$3,Table1[[Sub-Category]:[Sub-Category]],Dashboard!$B$3))</f>
        <v>204247</v>
      </c>
      <c r="BM103">
        <f>IF(Dashboard!$B$3="",SUMIF(Table1[[Category]:[Category]],Dashboard!$A$3,Table1[Units 31]),SUMIFS(Table1[Units 31],Table1[[Category]:[Category]],Dashboard!$A$3,Table1[[Sub-Category]:[Sub-Category]],Dashboard!$B$3))</f>
        <v>569</v>
      </c>
    </row>
    <row r="104" spans="1:65">
      <c r="A104" s="1"/>
    </row>
    <row r="106" spans="1:65">
      <c r="B106" t="str" cm="1">
        <f t="array" ref="B106:B110">_xlfn.UNIQUE(Table1[Category])</f>
        <v>Apple</v>
      </c>
      <c r="C106" t="str" cm="1">
        <f t="array" ref="C106:C108">_xlfn._xlws.SORT(_xlfn.UNIQUE(C2:C23))</f>
        <v>Golden</v>
      </c>
      <c r="D106" s="1" t="s">
        <v>153</v>
      </c>
      <c r="E106" t="str" cm="1">
        <f t="array" ref="E106:E108">_xlfn._xlws.SORT(_xlfn.UNIQUE(C25:C53))</f>
        <v>Lisbon</v>
      </c>
      <c r="F106" t="str" cm="1">
        <f t="array" ref="F106:F108">_xlfn.UNIQUE(C84:C101)</f>
        <v>Tangerine</v>
      </c>
      <c r="G106" t="str" cm="1">
        <f t="array" ref="G106:G108">_xlfn.UNIQUE(C54:C83)</f>
        <v>Green</v>
      </c>
      <c r="H106" cm="1">
        <f t="array" ref="H106">INDEX(C103:BL103,1, (COLUMN()-COLUMN($D$103))*2+1)</f>
        <v>375</v>
      </c>
      <c r="I106" cm="1">
        <f t="array" ref="I106">INDEX($D$103:$BM$103,1, (COLUMN()-COLUMN($D$103))*2+1)</f>
        <v>169037</v>
      </c>
      <c r="J106" cm="1">
        <f t="array" ref="J106">INDEX($D$103:$BM$103,1, (COLUMN()-COLUMN($D$103))*2+1)</f>
        <v>159156</v>
      </c>
      <c r="K106" cm="1">
        <f t="array" ref="K106">INDEX($D$103:$BM$103,1, (COLUMN()-COLUMN($D$103))*2+1)</f>
        <v>175498</v>
      </c>
      <c r="L106" cm="1">
        <f t="array" ref="L106">INDEX($D$103:$BM$103,1, (COLUMN()-COLUMN($D$103))*2+1)</f>
        <v>161556</v>
      </c>
      <c r="M106" cm="1">
        <f t="array" ref="M106">INDEX($D$103:$BM$103,1, (COLUMN()-COLUMN($D$103))*2+1)</f>
        <v>186709</v>
      </c>
    </row>
    <row r="107" spans="1:65">
      <c r="B107" t="str">
        <v>Guava</v>
      </c>
      <c r="C107" t="str">
        <v>Red</v>
      </c>
      <c r="E107" t="str">
        <v>Nimbu</v>
      </c>
      <c r="F107" t="str">
        <v>Mandarin</v>
      </c>
      <c r="G107" t="str">
        <v>Alphonso</v>
      </c>
    </row>
    <row r="108" spans="1:65">
      <c r="B108" t="str">
        <v>Lemon</v>
      </c>
      <c r="C108" t="str">
        <v>Robin</v>
      </c>
      <c r="E108" t="str">
        <v>Oblong</v>
      </c>
      <c r="F108" t="str">
        <v>Indie</v>
      </c>
      <c r="G108" t="str">
        <v>Amrapalli</v>
      </c>
    </row>
    <row r="109" spans="1:65">
      <c r="B109" t="str">
        <v>Mango</v>
      </c>
    </row>
    <row r="110" spans="1:65">
      <c r="B110" t="str">
        <v>Orange</v>
      </c>
    </row>
    <row r="111" spans="1:65">
      <c r="A111" s="1" t="s">
        <v>249</v>
      </c>
    </row>
    <row r="112" spans="1:65">
      <c r="B112" s="1" t="s">
        <v>0</v>
      </c>
      <c r="D112" cm="1">
        <f t="array" ref="D112">INDEX($D$103:$BM$103,1, (COLUMN()-COLUMN($D$103))*2+1)</f>
        <v>137384</v>
      </c>
      <c r="E112" cm="1">
        <f t="array" ref="E112">INDEX($D$103:$BM$103,1, (COLUMN()-COLUMN($D$103))*2+1)</f>
        <v>156324</v>
      </c>
      <c r="F112" cm="1">
        <f t="array" ref="F112">INDEX($D$103:$BM$103,1, (COLUMN()-COLUMN($D$103))*2+1)</f>
        <v>190197</v>
      </c>
      <c r="G112" cm="1">
        <f t="array" ref="G112">INDEX($D$103:$BM$103,1, (COLUMN()-COLUMN($D$103))*2+1)</f>
        <v>157052</v>
      </c>
      <c r="H112" cm="1">
        <f t="array" ref="H112">INDEX($D$103:$BM$103,1, (COLUMN()-COLUMN($D$103))*2+1)</f>
        <v>155450</v>
      </c>
      <c r="I112" cm="1">
        <f t="array" ref="I112">INDEX($D$103:$BM$103,1, (COLUMN()-COLUMN($D$103))*2+1)</f>
        <v>169037</v>
      </c>
      <c r="J112" cm="1">
        <f t="array" ref="J112">INDEX($D$103:$BM$103,1, (COLUMN()-COLUMN($D$103))*2+1)</f>
        <v>159156</v>
      </c>
      <c r="K112" cm="1">
        <f t="array" ref="K112">INDEX($D$103:$BM$103,1, (COLUMN()-COLUMN($D$103))*2+1)</f>
        <v>175498</v>
      </c>
      <c r="L112" cm="1">
        <f t="array" ref="L112">INDEX($D$103:$BM$103,1, (COLUMN()-COLUMN($D$103))*2+1)</f>
        <v>161556</v>
      </c>
      <c r="M112" cm="1">
        <f t="array" ref="M112">INDEX($D$103:$BM$103,1, (COLUMN()-COLUMN($D$103))*2+1)</f>
        <v>186709</v>
      </c>
      <c r="N112" cm="1">
        <f t="array" ref="N112">INDEX($D$103:$BM$103,1, (COLUMN()-COLUMN($D$103))*2+1)</f>
        <v>176301</v>
      </c>
      <c r="O112" cm="1">
        <f t="array" ref="O112">INDEX($D$103:$BM$103,1, (COLUMN()-COLUMN($D$103))*2+1)</f>
        <v>160040</v>
      </c>
      <c r="P112" cm="1">
        <f t="array" ref="P112">INDEX($D$103:$BM$103,1, (COLUMN()-COLUMN($D$103))*2+1)</f>
        <v>142679</v>
      </c>
      <c r="Q112" cm="1">
        <f t="array" ref="Q112">INDEX($D$103:$BM$103,1, (COLUMN()-COLUMN($D$103))*2+1)</f>
        <v>168584</v>
      </c>
      <c r="R112" cm="1">
        <f t="array" ref="R112">INDEX($D$103:$BM$103,1, (COLUMN()-COLUMN($D$103))*2+1)</f>
        <v>179259</v>
      </c>
      <c r="S112" cm="1">
        <f t="array" ref="S112">INDEX($D$103:$BM$103,1, (COLUMN()-COLUMN($D$103))*2+1)</f>
        <v>162184</v>
      </c>
      <c r="T112" cm="1">
        <f t="array" ref="T112">INDEX($D$103:$BM$103,1, (COLUMN()-COLUMN($D$103))*2+1)</f>
        <v>179622</v>
      </c>
      <c r="U112" cm="1">
        <f t="array" ref="U112">INDEX($D$103:$BM$103,1, (COLUMN()-COLUMN($D$103))*2+1)</f>
        <v>156126</v>
      </c>
      <c r="V112" cm="1">
        <f t="array" ref="V112">INDEX($D$103:$BM$103,1, (COLUMN()-COLUMN($D$103))*2+1)</f>
        <v>158946</v>
      </c>
      <c r="W112" cm="1">
        <f t="array" ref="W112">INDEX($D$103:$BM$103,1, (COLUMN()-COLUMN($D$103))*2+1)</f>
        <v>158609</v>
      </c>
      <c r="X112" cm="1">
        <f t="array" ref="X112">INDEX($D$103:$BM$103,1, (COLUMN()-COLUMN($D$103))*2+1)</f>
        <v>166673</v>
      </c>
      <c r="Y112" cm="1">
        <f t="array" ref="Y112">INDEX($D$103:$BM$103,1, (COLUMN()-COLUMN($D$103))*2+1)</f>
        <v>182696</v>
      </c>
      <c r="Z112" cm="1">
        <f t="array" ref="Z112">INDEX($D$103:$BM$103,1, (COLUMN()-COLUMN($D$103))*2+1)</f>
        <v>204247</v>
      </c>
      <c r="AA112" cm="1">
        <f t="array" ref="AA112">INDEX($D$103:$BM$103,1, (COLUMN()-COLUMN($D$103))*2+1)</f>
        <v>213287</v>
      </c>
      <c r="AB112" cm="1">
        <f t="array" ref="AB112">INDEX($D$103:$BM$103,1, (COLUMN()-COLUMN($D$103))*2+1)</f>
        <v>168421</v>
      </c>
      <c r="AC112" cm="1">
        <f t="array" ref="AC112">INDEX($D$103:$BM$103,1, (COLUMN()-COLUMN($D$103))*2+1)</f>
        <v>183424</v>
      </c>
      <c r="AD112" cm="1">
        <f t="array" ref="AD112">INDEX($D$103:$BM$103,1, (COLUMN()-COLUMN($D$103))*2+1)</f>
        <v>149413</v>
      </c>
      <c r="AE112" cm="1">
        <f t="array" ref="AE112">INDEX($D$103:$BM$103,1, (COLUMN()-COLUMN($D$103))*2+1)</f>
        <v>217836</v>
      </c>
      <c r="AF112" cm="1">
        <f t="array" ref="AF112">INDEX($D$103:$BM$103,1, (COLUMN()-COLUMN($D$103))*2+1)</f>
        <v>194153</v>
      </c>
      <c r="AG112" cm="1">
        <f t="array" ref="AG112">INDEX($D$103:$BM$103,1, (COLUMN()-COLUMN($D$103))*2+1)</f>
        <v>162749</v>
      </c>
      <c r="AH112" cm="1">
        <f t="array" ref="AH112">INDEX($D$103:$BM$103,1, (COLUMN()-COLUMN($D$103))*2+1)</f>
        <v>204247</v>
      </c>
    </row>
    <row r="113" spans="1:65">
      <c r="B113" s="1" t="s">
        <v>250</v>
      </c>
      <c r="E113" cm="1">
        <f t="array" ref="E113">INDEX($D$103:$BM$103,1, (COLUMN()-COLUMN($D$103))*2)</f>
        <v>364</v>
      </c>
      <c r="F113" cm="1">
        <f t="array" ref="F113">INDEX($D$103:$BM$103,1, (COLUMN()-COLUMN($D$103))*2)</f>
        <v>384</v>
      </c>
      <c r="G113" cm="1">
        <f t="array" ref="G113">INDEX($D$103:$BM$103,1, (COLUMN()-COLUMN($D$103))*2)</f>
        <v>428</v>
      </c>
      <c r="H113" cm="1">
        <f t="array" ref="H113">INDEX($D$103:$BM$103,1, (COLUMN()-COLUMN($D$103))*2)</f>
        <v>375</v>
      </c>
      <c r="I113" cm="1">
        <f t="array" ref="I113">INDEX($D$103:$BM$103,1, (COLUMN()-COLUMN($D$103))*2)</f>
        <v>353</v>
      </c>
      <c r="J113" cm="1">
        <f t="array" ref="J113">INDEX($D$103:$BM$103,1, (COLUMN()-COLUMN($D$103))*2)</f>
        <v>370</v>
      </c>
      <c r="K113" cm="1">
        <f t="array" ref="K113">INDEX($D$103:$BM$103,1, (COLUMN()-COLUMN($D$103))*2)</f>
        <v>377</v>
      </c>
      <c r="L113" cm="1">
        <f t="array" ref="L113">INDEX($D$103:$BM$103,1, (COLUMN()-COLUMN($D$103))*2)</f>
        <v>409</v>
      </c>
      <c r="M113" cm="1">
        <f t="array" ref="M113">INDEX($D$103:$BM$103,1, (COLUMN()-COLUMN($D$103))*2)</f>
        <v>399</v>
      </c>
      <c r="N113" cm="1">
        <f t="array" ref="N113">INDEX($D$103:$BM$103,1, (COLUMN()-COLUMN($D$103))*2)</f>
        <v>435</v>
      </c>
      <c r="O113" cm="1">
        <f t="array" ref="O113">INDEX($D$103:$BM$103,1, (COLUMN()-COLUMN($D$103))*2)</f>
        <v>351</v>
      </c>
      <c r="P113" cm="1">
        <f t="array" ref="P113">INDEX($D$103:$BM$103,1, (COLUMN()-COLUMN($D$103))*2)</f>
        <v>270</v>
      </c>
      <c r="Q113" cm="1">
        <f t="array" ref="Q113">INDEX($D$103:$BM$103,1, (COLUMN()-COLUMN($D$103))*2)</f>
        <v>240</v>
      </c>
      <c r="R113" cm="1">
        <f t="array" ref="R113">INDEX($D$103:$BM$103,1, (COLUMN()-COLUMN($D$103))*2)</f>
        <v>253</v>
      </c>
      <c r="S113" cm="1">
        <f t="array" ref="S113">INDEX($D$103:$BM$103,1, (COLUMN()-COLUMN($D$103))*2)</f>
        <v>440</v>
      </c>
      <c r="T113" cm="1">
        <f t="array" ref="T113">INDEX($D$103:$BM$103,1, (COLUMN()-COLUMN($D$103))*2)</f>
        <v>444</v>
      </c>
      <c r="U113" cm="1">
        <f t="array" ref="U113">INDEX($D$103:$BM$103,1, (COLUMN()-COLUMN($D$103))*2)</f>
        <v>498</v>
      </c>
      <c r="V113" cm="1">
        <f t="array" ref="V113">INDEX($D$103:$BM$103,1, (COLUMN()-COLUMN($D$103))*2)</f>
        <v>427</v>
      </c>
      <c r="W113" cm="1">
        <f t="array" ref="W113">INDEX($D$103:$BM$103,1, (COLUMN()-COLUMN($D$103))*2)</f>
        <v>439</v>
      </c>
      <c r="X113" cm="1">
        <f t="array" ref="X113">INDEX($D$103:$BM$103,1, (COLUMN()-COLUMN($D$103))*2)</f>
        <v>431</v>
      </c>
      <c r="Y113" cm="1">
        <f t="array" ref="Y113">INDEX($D$103:$BM$103,1, (COLUMN()-COLUMN($D$103))*2)</f>
        <v>442</v>
      </c>
      <c r="Z113" cm="1">
        <f t="array" ref="Z113">INDEX($D$103:$BM$103,1, (COLUMN()-COLUMN($D$103))*2)</f>
        <v>536</v>
      </c>
      <c r="AA113" cm="1">
        <f t="array" ref="AA113">INDEX($D$103:$BM$103,1, (COLUMN()-COLUMN($D$103))*2)</f>
        <v>569</v>
      </c>
      <c r="AB113" cm="1">
        <f t="array" ref="AB113">INDEX($D$103:$BM$103,1, (COLUMN()-COLUMN($D$103))*2)</f>
        <v>538</v>
      </c>
      <c r="AC113" cm="1">
        <f t="array" ref="AC113">INDEX($D$103:$BM$103,1, (COLUMN()-COLUMN($D$103))*2)</f>
        <v>442</v>
      </c>
      <c r="AD113" cm="1">
        <f t="array" ref="AD113">INDEX($D$103:$BM$103,1, (COLUMN()-COLUMN($D$103))*2)</f>
        <v>400</v>
      </c>
      <c r="AE113" cm="1">
        <f t="array" ref="AE113">INDEX($D$103:$BM$103,1, (COLUMN()-COLUMN($D$103))*2)</f>
        <v>345</v>
      </c>
      <c r="AF113" cm="1">
        <f t="array" ref="AF113">INDEX($D$103:$BM$103,1, (COLUMN()-COLUMN($D$103))*2)</f>
        <v>524</v>
      </c>
      <c r="AG113" cm="1">
        <f t="array" ref="AG113">INDEX($D$103:$BM$103,1, (COLUMN()-COLUMN($D$103))*2)</f>
        <v>524</v>
      </c>
      <c r="AH113" cm="1">
        <f t="array" ref="AH113">INDEX($D$103:$BM$103,1, (COLUMN()-COLUMN($D$103))*2)</f>
        <v>463</v>
      </c>
      <c r="AI113" cm="1">
        <f t="array" ref="AI113">INDEX($D$103:$BM$103,1, (COLUMN()-COLUMN($D$103))*2)</f>
        <v>569</v>
      </c>
    </row>
    <row r="117" spans="1:65" ht="14.4">
      <c r="A117" s="20" t="s">
        <v>106</v>
      </c>
      <c r="B117" s="20" t="s">
        <v>140</v>
      </c>
      <c r="C117" s="20" t="s">
        <v>141</v>
      </c>
      <c r="D117" s="21" t="s">
        <v>184</v>
      </c>
      <c r="E117" s="20" t="s">
        <v>185</v>
      </c>
      <c r="F117" s="21" t="s">
        <v>186</v>
      </c>
      <c r="G117" s="20" t="s">
        <v>187</v>
      </c>
      <c r="H117" s="21" t="s">
        <v>188</v>
      </c>
      <c r="I117" s="20" t="s">
        <v>189</v>
      </c>
      <c r="J117" s="21" t="s">
        <v>190</v>
      </c>
      <c r="K117" s="20" t="s">
        <v>191</v>
      </c>
      <c r="L117" s="21" t="s">
        <v>192</v>
      </c>
      <c r="M117" s="20" t="s">
        <v>193</v>
      </c>
      <c r="N117" s="21" t="s">
        <v>194</v>
      </c>
      <c r="O117" s="20" t="s">
        <v>195</v>
      </c>
      <c r="P117" s="21" t="s">
        <v>196</v>
      </c>
      <c r="Q117" s="20" t="s">
        <v>197</v>
      </c>
      <c r="R117" s="21" t="s">
        <v>198</v>
      </c>
      <c r="S117" s="20" t="s">
        <v>199</v>
      </c>
      <c r="T117" s="21" t="s">
        <v>200</v>
      </c>
      <c r="U117" s="20" t="s">
        <v>201</v>
      </c>
      <c r="V117" s="21" t="s">
        <v>202</v>
      </c>
      <c r="W117" s="20" t="s">
        <v>203</v>
      </c>
      <c r="X117" s="21" t="s">
        <v>204</v>
      </c>
      <c r="Y117" s="20" t="s">
        <v>205</v>
      </c>
      <c r="Z117" s="21" t="s">
        <v>206</v>
      </c>
      <c r="AA117" s="20" t="s">
        <v>207</v>
      </c>
      <c r="AB117" s="21" t="s">
        <v>208</v>
      </c>
      <c r="AC117" s="20" t="s">
        <v>209</v>
      </c>
      <c r="AD117" s="21" t="s">
        <v>210</v>
      </c>
      <c r="AE117" s="20" t="s">
        <v>211</v>
      </c>
      <c r="AF117" s="21" t="s">
        <v>212</v>
      </c>
      <c r="AG117" s="20" t="s">
        <v>213</v>
      </c>
      <c r="AH117" s="21" t="s">
        <v>214</v>
      </c>
      <c r="AI117" s="20" t="s">
        <v>215</v>
      </c>
      <c r="AJ117" s="21" t="s">
        <v>216</v>
      </c>
      <c r="AK117" s="20" t="s">
        <v>217</v>
      </c>
      <c r="AL117" s="21" t="s">
        <v>218</v>
      </c>
      <c r="AM117" s="20" t="s">
        <v>219</v>
      </c>
      <c r="AN117" s="21" t="s">
        <v>220</v>
      </c>
      <c r="AO117" s="20" t="s">
        <v>221</v>
      </c>
      <c r="AP117" s="21" t="s">
        <v>222</v>
      </c>
      <c r="AQ117" s="20" t="s">
        <v>223</v>
      </c>
      <c r="AR117" s="21" t="s">
        <v>224</v>
      </c>
      <c r="AS117" s="20" t="s">
        <v>225</v>
      </c>
      <c r="AT117" s="21" t="s">
        <v>226</v>
      </c>
      <c r="AU117" s="20" t="s">
        <v>227</v>
      </c>
      <c r="AV117" s="21" t="s">
        <v>228</v>
      </c>
      <c r="AW117" s="20" t="s">
        <v>229</v>
      </c>
      <c r="AX117" s="21" t="s">
        <v>230</v>
      </c>
      <c r="AY117" s="20" t="s">
        <v>231</v>
      </c>
      <c r="AZ117" s="21" t="s">
        <v>232</v>
      </c>
      <c r="BA117" s="20" t="s">
        <v>233</v>
      </c>
      <c r="BB117" s="21" t="s">
        <v>234</v>
      </c>
      <c r="BC117" s="20" t="s">
        <v>235</v>
      </c>
      <c r="BD117" s="21" t="s">
        <v>236</v>
      </c>
      <c r="BE117" s="20" t="s">
        <v>237</v>
      </c>
      <c r="BF117" s="21" t="s">
        <v>238</v>
      </c>
      <c r="BG117" s="20" t="s">
        <v>239</v>
      </c>
      <c r="BH117" s="21" t="s">
        <v>240</v>
      </c>
      <c r="BI117" s="20" t="s">
        <v>241</v>
      </c>
      <c r="BJ117" s="21" t="s">
        <v>242</v>
      </c>
      <c r="BK117" s="20" t="s">
        <v>243</v>
      </c>
      <c r="BL117" s="21" t="s">
        <v>244</v>
      </c>
      <c r="BM117" s="20" t="s">
        <v>245</v>
      </c>
    </row>
    <row r="118" spans="1:65" ht="14.4">
      <c r="A118" s="20" t="str">
        <f t="array" ref="A118">IF(Dashboard!$B$3="",_xlfn._xlws.FILTER(Table1[],(Table1[Category]=Dashboard!A3),"Choose correctly"),_xlfn._xlws.FILTER(Table1[],(Table1[Category]=Dashboard!A3)*(Table1[Sub-Category]=Dashboard!B3),"Choose correctly"))</f>
        <v>ITEM8265</v>
      </c>
      <c r="B118" s="20"/>
      <c r="C118" s="20"/>
      <c r="D118" s="21"/>
      <c r="E118" s="20"/>
      <c r="F118" s="21"/>
      <c r="G118" s="20"/>
      <c r="H118" s="21"/>
      <c r="I118" s="20"/>
      <c r="J118" s="21"/>
      <c r="K118" s="20"/>
      <c r="L118" s="21"/>
      <c r="M118" s="20"/>
      <c r="N118" s="21"/>
      <c r="O118" s="20"/>
      <c r="P118" s="21"/>
      <c r="Q118" s="20"/>
      <c r="R118" s="21"/>
      <c r="S118" s="20"/>
      <c r="T118" s="21"/>
      <c r="U118" s="20"/>
      <c r="V118" s="21"/>
      <c r="W118" s="20"/>
      <c r="X118" s="21"/>
      <c r="Y118" s="20"/>
      <c r="Z118" s="21"/>
      <c r="AA118" s="20"/>
      <c r="AB118" s="21"/>
      <c r="AC118" s="20"/>
      <c r="AD118" s="21"/>
      <c r="AE118" s="20"/>
      <c r="AF118" s="21"/>
      <c r="AG118" s="20"/>
      <c r="AH118" s="21"/>
      <c r="AI118" s="20"/>
      <c r="AJ118" s="21"/>
      <c r="AK118" s="20"/>
      <c r="AL118" s="21"/>
      <c r="AM118" s="20"/>
      <c r="AN118" s="21"/>
      <c r="AO118" s="20"/>
      <c r="AP118" s="21"/>
      <c r="AQ118" s="20"/>
      <c r="AR118" s="21"/>
      <c r="AS118" s="20"/>
      <c r="AT118" s="21"/>
      <c r="AU118" s="20"/>
      <c r="AV118" s="21"/>
      <c r="AW118" s="20"/>
      <c r="AX118" s="21"/>
      <c r="AY118" s="20"/>
      <c r="AZ118" s="21"/>
      <c r="BA118" s="20"/>
      <c r="BB118" s="21"/>
      <c r="BC118" s="20"/>
      <c r="BD118" s="21"/>
      <c r="BE118" s="20"/>
      <c r="BF118" s="21"/>
      <c r="BG118" s="20"/>
      <c r="BH118" s="21"/>
      <c r="BI118" s="20"/>
      <c r="BJ118" s="21"/>
      <c r="BK118" s="20"/>
      <c r="BL118" s="21"/>
      <c r="BM118" s="20"/>
    </row>
    <row r="144" spans="1:3">
      <c r="A144" t="str" cm="1">
        <f t="array" ref="A144:A242">_xlfn.UNIQUE(Table1[Product ID])</f>
        <v>ITEM8265</v>
      </c>
      <c r="B144">
        <f>COUNT(_xlfn.ANCHORARRAY(A144))</f>
        <v>0</v>
      </c>
      <c r="C144">
        <f>144-242</f>
        <v>-98</v>
      </c>
    </row>
    <row r="145" spans="1:2">
      <c r="A145" t="str">
        <v>ITEM1785</v>
      </c>
      <c r="B145">
        <f t="shared" ref="B145:B146" si="0">COUNT(_xlfn.ANCHORARRAY(A145))</f>
        <v>0</v>
      </c>
    </row>
    <row r="146" spans="1:2">
      <c r="A146" t="str">
        <v>ITEM3032</v>
      </c>
      <c r="B146">
        <f t="shared" si="0"/>
        <v>0</v>
      </c>
    </row>
    <row r="147" spans="1:2">
      <c r="A147" t="str">
        <v>ITEM3313</v>
      </c>
    </row>
    <row r="148" spans="1:2">
      <c r="A148" t="str">
        <v>ITEM2978</v>
      </c>
    </row>
    <row r="149" spans="1:2">
      <c r="A149" t="str">
        <v>ITEM2513</v>
      </c>
    </row>
    <row r="150" spans="1:2">
      <c r="A150" t="str">
        <v>ITEM3731</v>
      </c>
    </row>
    <row r="151" spans="1:2">
      <c r="A151" t="str">
        <v>ITEM9640</v>
      </c>
    </row>
    <row r="152" spans="1:2">
      <c r="A152" t="str">
        <v>ITEM7902</v>
      </c>
    </row>
    <row r="153" spans="1:2">
      <c r="A153" t="str">
        <v>ITEM9717</v>
      </c>
    </row>
    <row r="154" spans="1:2">
      <c r="A154" t="str">
        <v>ITEM1791</v>
      </c>
    </row>
    <row r="155" spans="1:2">
      <c r="A155" t="str">
        <v>ITEM4188</v>
      </c>
    </row>
    <row r="156" spans="1:2">
      <c r="A156" t="str">
        <v>ITEM7516</v>
      </c>
    </row>
    <row r="157" spans="1:2">
      <c r="A157" t="str">
        <v>ITEM9671</v>
      </c>
    </row>
    <row r="158" spans="1:2">
      <c r="A158" t="str">
        <v>ITEM7519</v>
      </c>
    </row>
    <row r="159" spans="1:2">
      <c r="A159" t="str">
        <v>ITEM2360</v>
      </c>
    </row>
    <row r="160" spans="1:2">
      <c r="A160" t="str">
        <v>ITEM8897</v>
      </c>
    </row>
    <row r="161" spans="1:3">
      <c r="A161" t="str">
        <v>ITEM4672</v>
      </c>
    </row>
    <row r="162" spans="1:3">
      <c r="A162" t="str">
        <v>ITEM8933</v>
      </c>
    </row>
    <row r="163" spans="1:3">
      <c r="A163" t="str">
        <v>ITEM6354</v>
      </c>
    </row>
    <row r="164" spans="1:3">
      <c r="A164" t="str">
        <v>ITEM2248</v>
      </c>
    </row>
    <row r="165" spans="1:3">
      <c r="A165" t="str">
        <v>ITEM6480</v>
      </c>
    </row>
    <row r="166" spans="1:3">
      <c r="A166" t="str">
        <v>ITEM8226</v>
      </c>
    </row>
    <row r="167" spans="1:3">
      <c r="A167" t="str">
        <v>ITEM5047</v>
      </c>
    </row>
    <row r="168" spans="1:3">
      <c r="A168" t="str">
        <v>ITEM8923</v>
      </c>
    </row>
    <row r="169" spans="1:3">
      <c r="A169" t="str">
        <v>ITEM5498</v>
      </c>
    </row>
    <row r="170" spans="1:3">
      <c r="A170" t="str">
        <v>ITEM1945</v>
      </c>
    </row>
    <row r="171" spans="1:3">
      <c r="A171" t="str">
        <v>ITEM5204</v>
      </c>
    </row>
    <row r="172" spans="1:3">
      <c r="A172" t="str">
        <v>ITEM3632</v>
      </c>
    </row>
    <row r="173" spans="1:3">
      <c r="A173" t="str">
        <v>ITEM8061</v>
      </c>
    </row>
    <row r="174" spans="1:3">
      <c r="A174" t="str">
        <v>ITEM4894</v>
      </c>
      <c r="C174" s="1"/>
    </row>
    <row r="175" spans="1:3">
      <c r="A175" t="str">
        <v>ITEM6307</v>
      </c>
    </row>
    <row r="176" spans="1:3">
      <c r="A176" t="str">
        <v>ITEM5747</v>
      </c>
    </row>
    <row r="177" spans="1:1">
      <c r="A177" t="str">
        <v>ITEM8277</v>
      </c>
    </row>
    <row r="178" spans="1:1">
      <c r="A178" t="str">
        <v>ITEM4685</v>
      </c>
    </row>
    <row r="179" spans="1:1">
      <c r="A179" t="str">
        <v>ITEM8963</v>
      </c>
    </row>
    <row r="180" spans="1:1">
      <c r="A180" t="str">
        <v>ITEM8401</v>
      </c>
    </row>
    <row r="181" spans="1:1">
      <c r="A181" t="str">
        <v>ITEM6857</v>
      </c>
    </row>
    <row r="182" spans="1:1">
      <c r="A182" t="str">
        <v>ITEM9924</v>
      </c>
    </row>
    <row r="183" spans="1:1">
      <c r="A183" t="str">
        <v>ITEM2260</v>
      </c>
    </row>
    <row r="184" spans="1:1">
      <c r="A184" t="str">
        <v>ITEM9882</v>
      </c>
    </row>
    <row r="185" spans="1:1">
      <c r="A185" t="str">
        <v>ITEM7622</v>
      </c>
    </row>
    <row r="186" spans="1:1">
      <c r="A186" t="str">
        <v>ITEM3306</v>
      </c>
    </row>
    <row r="187" spans="1:1">
      <c r="A187" t="str">
        <v>ITEM5049</v>
      </c>
    </row>
    <row r="188" spans="1:1">
      <c r="A188" t="str">
        <v>ITEM2852</v>
      </c>
    </row>
    <row r="189" spans="1:1">
      <c r="A189" t="str">
        <v>ITEM4931</v>
      </c>
    </row>
    <row r="190" spans="1:1">
      <c r="A190" t="str">
        <v>ITEM3405</v>
      </c>
    </row>
    <row r="191" spans="1:1">
      <c r="A191" t="str">
        <v>ITEM6460</v>
      </c>
    </row>
    <row r="192" spans="1:1">
      <c r="A192" t="str">
        <v>ITEM8733</v>
      </c>
    </row>
    <row r="193" spans="1:1">
      <c r="A193" t="str">
        <v>ITEM2083</v>
      </c>
    </row>
    <row r="194" spans="1:1">
      <c r="A194" t="str">
        <v>ITEM9903</v>
      </c>
    </row>
    <row r="195" spans="1:1">
      <c r="A195" t="str">
        <v>ITEM2624</v>
      </c>
    </row>
    <row r="196" spans="1:1">
      <c r="A196" t="str">
        <v>ITEM3062</v>
      </c>
    </row>
    <row r="197" spans="1:1">
      <c r="A197" t="str">
        <v>ITEM8095</v>
      </c>
    </row>
    <row r="198" spans="1:1">
      <c r="A198" t="str">
        <v>ITEM5418</v>
      </c>
    </row>
    <row r="199" spans="1:1">
      <c r="A199" t="str">
        <v>ITEM7423</v>
      </c>
    </row>
    <row r="200" spans="1:1">
      <c r="A200" t="str">
        <v>ITEM8108</v>
      </c>
    </row>
    <row r="201" spans="1:1">
      <c r="A201" t="str">
        <v>ITEM3659</v>
      </c>
    </row>
    <row r="202" spans="1:1">
      <c r="A202" t="str">
        <v>ITEM9485</v>
      </c>
    </row>
    <row r="203" spans="1:1">
      <c r="A203" t="str">
        <v>ITEM9891</v>
      </c>
    </row>
    <row r="204" spans="1:1">
      <c r="A204" t="str">
        <v>ITEM1375</v>
      </c>
    </row>
    <row r="205" spans="1:1">
      <c r="A205" t="str">
        <v>ITEM4459</v>
      </c>
    </row>
    <row r="206" spans="1:1">
      <c r="A206" t="str">
        <v>ITEM9894</v>
      </c>
    </row>
    <row r="207" spans="1:1">
      <c r="A207" t="str">
        <v>ITEM6251</v>
      </c>
    </row>
    <row r="208" spans="1:1">
      <c r="A208" t="str">
        <v>ITEM4609</v>
      </c>
    </row>
    <row r="209" spans="1:1">
      <c r="A209" t="str">
        <v>ITEM8090</v>
      </c>
    </row>
    <row r="210" spans="1:1">
      <c r="A210" t="str">
        <v>ITEM6199</v>
      </c>
    </row>
    <row r="211" spans="1:1">
      <c r="A211" t="str">
        <v>ITEM4838</v>
      </c>
    </row>
    <row r="212" spans="1:1">
      <c r="A212" t="str">
        <v>ITEM5665</v>
      </c>
    </row>
    <row r="213" spans="1:1">
      <c r="A213" t="str">
        <v>ITEM9480</v>
      </c>
    </row>
    <row r="214" spans="1:1">
      <c r="A214" t="str">
        <v>ITEM8186</v>
      </c>
    </row>
    <row r="215" spans="1:1">
      <c r="A215" t="str">
        <v>ITEM8920</v>
      </c>
    </row>
    <row r="216" spans="1:1">
      <c r="A216" t="str">
        <v>ITEM1283</v>
      </c>
    </row>
    <row r="217" spans="1:1">
      <c r="A217" t="str">
        <v>ITEM6204</v>
      </c>
    </row>
    <row r="218" spans="1:1">
      <c r="A218" t="str">
        <v>ITEM8789</v>
      </c>
    </row>
    <row r="219" spans="1:1">
      <c r="A219" t="str">
        <v>ITEM7663</v>
      </c>
    </row>
    <row r="220" spans="1:1">
      <c r="A220" t="str">
        <v>ITEM2329</v>
      </c>
    </row>
    <row r="221" spans="1:1">
      <c r="A221" t="str">
        <v>ITEM5159</v>
      </c>
    </row>
    <row r="222" spans="1:1">
      <c r="A222" t="str">
        <v>ITEM5211</v>
      </c>
    </row>
    <row r="223" spans="1:1">
      <c r="A223" t="str">
        <v>ITEM1965</v>
      </c>
    </row>
    <row r="224" spans="1:1">
      <c r="A224" t="str">
        <v>ITEM5846</v>
      </c>
    </row>
    <row r="225" spans="1:1">
      <c r="A225" t="str">
        <v>ITEM3567</v>
      </c>
    </row>
    <row r="226" spans="1:1">
      <c r="A226" t="str">
        <v>ITEM7636</v>
      </c>
    </row>
    <row r="227" spans="1:1">
      <c r="A227" t="str">
        <v>ITEM6544</v>
      </c>
    </row>
    <row r="228" spans="1:1">
      <c r="A228" t="str">
        <v>ITEM1731</v>
      </c>
    </row>
    <row r="229" spans="1:1">
      <c r="A229" t="str">
        <v>ITEM1406</v>
      </c>
    </row>
    <row r="230" spans="1:1">
      <c r="A230" t="str">
        <v>ITEM5806</v>
      </c>
    </row>
    <row r="231" spans="1:1">
      <c r="A231" t="str">
        <v>ITEM1064</v>
      </c>
    </row>
    <row r="232" spans="1:1">
      <c r="A232" t="str">
        <v>ITEM9090</v>
      </c>
    </row>
    <row r="233" spans="1:1">
      <c r="A233" t="str">
        <v>ITEM9564</v>
      </c>
    </row>
    <row r="234" spans="1:1">
      <c r="A234" t="str">
        <v>ITEM1813</v>
      </c>
    </row>
    <row r="235" spans="1:1">
      <c r="A235" t="str">
        <v>ITEM9161</v>
      </c>
    </row>
    <row r="236" spans="1:1">
      <c r="A236" t="str">
        <v>ITEM3301</v>
      </c>
    </row>
    <row r="237" spans="1:1">
      <c r="A237" t="str">
        <v>ITEM5899</v>
      </c>
    </row>
    <row r="238" spans="1:1">
      <c r="A238" t="str">
        <v>ITEM8886</v>
      </c>
    </row>
    <row r="239" spans="1:1">
      <c r="A239" t="str">
        <v>ITEM7861</v>
      </c>
    </row>
    <row r="240" spans="1:1">
      <c r="A240" t="str">
        <v>ITEM3252</v>
      </c>
    </row>
    <row r="241" spans="1:34">
      <c r="A241" t="str">
        <v>ITEM8353</v>
      </c>
    </row>
    <row r="242" spans="1:34">
      <c r="A242" t="str">
        <v>ITEM7691</v>
      </c>
    </row>
    <row r="251" spans="1:34" ht="14.4">
      <c r="A251" s="17" t="s">
        <v>106</v>
      </c>
      <c r="B251" s="18" t="s">
        <v>140</v>
      </c>
      <c r="C251" s="18" t="s">
        <v>141</v>
      </c>
      <c r="D251" s="19" t="s">
        <v>259</v>
      </c>
      <c r="E251" s="19" t="s">
        <v>260</v>
      </c>
      <c r="F251" s="19" t="s">
        <v>261</v>
      </c>
      <c r="G251" s="19" t="s">
        <v>262</v>
      </c>
      <c r="H251" s="19" t="s">
        <v>263</v>
      </c>
      <c r="I251" s="19" t="s">
        <v>264</v>
      </c>
      <c r="J251" s="19" t="s">
        <v>265</v>
      </c>
      <c r="K251" s="19" t="s">
        <v>266</v>
      </c>
      <c r="L251" s="19" t="s">
        <v>267</v>
      </c>
      <c r="M251" s="19" t="s">
        <v>268</v>
      </c>
      <c r="N251" s="19" t="s">
        <v>269</v>
      </c>
      <c r="O251" s="19" t="s">
        <v>270</v>
      </c>
      <c r="P251" s="19" t="s">
        <v>271</v>
      </c>
      <c r="Q251" s="19" t="s">
        <v>272</v>
      </c>
      <c r="R251" s="19" t="s">
        <v>273</v>
      </c>
      <c r="S251" s="19" t="s">
        <v>274</v>
      </c>
      <c r="T251" s="19" t="s">
        <v>275</v>
      </c>
      <c r="U251" s="19" t="s">
        <v>276</v>
      </c>
      <c r="V251" s="19" t="s">
        <v>277</v>
      </c>
      <c r="W251" s="19" t="s">
        <v>278</v>
      </c>
      <c r="X251" s="19" t="s">
        <v>279</v>
      </c>
      <c r="Y251" s="19" t="s">
        <v>280</v>
      </c>
      <c r="Z251" s="19" t="s">
        <v>281</v>
      </c>
      <c r="AA251" s="19" t="s">
        <v>282</v>
      </c>
      <c r="AB251" s="19" t="s">
        <v>283</v>
      </c>
      <c r="AC251" s="19" t="s">
        <v>284</v>
      </c>
      <c r="AD251" s="19" t="s">
        <v>285</v>
      </c>
      <c r="AE251" s="19" t="s">
        <v>286</v>
      </c>
      <c r="AF251" s="19" t="s">
        <v>287</v>
      </c>
      <c r="AG251" s="19" t="s">
        <v>288</v>
      </c>
      <c r="AH251" s="19" t="s">
        <v>289</v>
      </c>
    </row>
    <row r="252" spans="1:34">
      <c r="A252" s="1" t="s">
        <v>2</v>
      </c>
      <c r="B252" t="s">
        <v>101</v>
      </c>
      <c r="C252" t="s">
        <v>152</v>
      </c>
      <c r="D252">
        <f t="array" ref="D252:D351">IFERROR(Table1[GMV 1]/Table1[Units 1],0)</f>
        <v>2058</v>
      </c>
      <c r="E252">
        <f t="array" ref="E252:E351">IFERROR(Table1[GMV 2]/Table1[Units 2],0)</f>
        <v>1799</v>
      </c>
      <c r="F252">
        <f t="array" ref="F252:F351">IFERROR(Table1[GMV 3]/Table1[Units 3],0)</f>
        <v>1799</v>
      </c>
      <c r="G252">
        <f t="array" ref="G252:G351">IFERROR(Table1[GMV 4]/Table1[Units 4],0)</f>
        <v>1799</v>
      </c>
      <c r="H252">
        <f t="array" ref="H252:H351">IFERROR(Table1[GMV 5]/Table1[Units 5],0)</f>
        <v>1721</v>
      </c>
      <c r="I252">
        <f t="array" ref="I252:I351">IFERROR(Table1[GMV 6]/Table1[Units 6],0)</f>
        <v>1716.2</v>
      </c>
      <c r="J252">
        <f t="array" ref="J252:J351">IFERROR(Table1[GMV 7]/Table1[Units 7],0)</f>
        <v>1709</v>
      </c>
      <c r="K252">
        <f t="array" ref="K252:K351">IFERROR(Table1[GMV 8]/Table1[Units 8],0)</f>
        <v>1709</v>
      </c>
      <c r="L252">
        <f t="array" ref="L252:L351">IFERROR(Table1[GMV 9]/Table1[Units 9],0)</f>
        <v>1709</v>
      </c>
      <c r="M252">
        <f t="array" ref="M252:M351">IFERROR(Table1[GMV 10]/Table1[Units 10],0)</f>
        <v>1709</v>
      </c>
      <c r="N252">
        <f t="array" ref="N252:N351">IFERROR(Table1[GMV 11]/Table1[Units 11],0)</f>
        <v>1709</v>
      </c>
      <c r="O252">
        <f t="array" ref="O252:O351">IFERROR(Table1[GMV 12]/Table1[Units 12],0)</f>
        <v>1709</v>
      </c>
      <c r="P252">
        <f t="array" ref="P252:P351">IFERROR(Table1[GMV 13]/Table1[Units 13],0)</f>
        <v>1709</v>
      </c>
      <c r="Q252">
        <f t="array" ref="Q252:Q351">IFERROR(Table1[GMV 14]/Table1[Units 14],0)</f>
        <v>1709</v>
      </c>
      <c r="R252">
        <f t="array" ref="R252:R351">IFERROR(Table1[GMV 15]/Table1[Units 15],0)</f>
        <v>1709</v>
      </c>
      <c r="S252">
        <f t="array" ref="S252:S351">IFERROR(Table1[GMV 16]/Table1[Units 16],0)</f>
        <v>1709</v>
      </c>
      <c r="T252">
        <f t="array" ref="T252:T351">IFERROR(Table1[GMV 17]/Table1[Units 17],0)</f>
        <v>1709</v>
      </c>
      <c r="U252">
        <f t="array" ref="U252:U351">IFERROR(Table1[GMV 18]/Table1[Units 18],0)</f>
        <v>1710.6666666666667</v>
      </c>
      <c r="V252">
        <f t="array" ref="V252:V351">IFERROR(Table1[GMV 19]/Table1[Units 19],0)</f>
        <v>1711.5</v>
      </c>
      <c r="W252">
        <f t="array" ref="W252:W351">IFERROR(Table1[GMV 20]/Table1[Units 20],0)</f>
        <v>1709.909090909091</v>
      </c>
      <c r="X252">
        <f t="array" ref="X252:X351">IFERROR(Table1[GMV 21]/Table1[Units 21],0)</f>
        <v>1699</v>
      </c>
      <c r="Y252">
        <f t="array" ref="Y252:Y351">IFERROR(Table1[GMV 22]/Table1[Units 22],0)</f>
        <v>1835.6666666666667</v>
      </c>
      <c r="Z252">
        <f t="array" ref="Z252:Z351">IFERROR(Table1[GMV 23]/Table1[Units 23],0)</f>
        <v>1681</v>
      </c>
      <c r="AA252">
        <f t="array" ref="AA252:AA351">IFERROR(Table1[GMV 24]/Table1[Units 24],0)</f>
        <v>1700</v>
      </c>
      <c r="AB252">
        <f t="array" ref="AB252:AB351">IFERROR(Table1[GMV 25]/Table1[Units 25],0)</f>
        <v>1676.5</v>
      </c>
      <c r="AC252">
        <f t="array" ref="AC252:AC351">IFERROR(Table1[GMV 26]/Table1[Units 26],0)</f>
        <v>1774.7142857142858</v>
      </c>
      <c r="AD252">
        <f t="array" ref="AD252:AD351">IFERROR(Table1[GMV 27]/Table1[Units 27],0)</f>
        <v>1099</v>
      </c>
      <c r="AE252">
        <f t="array" ref="AE252:AE351">IFERROR(Table1[GMV 28]/Table1[Units 28],0)</f>
        <v>1725.0869565217392</v>
      </c>
      <c r="AF252">
        <f t="array" ref="AF252:AF351">IFERROR(Table1[GMV 29]/Table1[Units 29],0)</f>
        <v>1699</v>
      </c>
      <c r="AG252">
        <f t="array" ref="AG252:AG351">IFERROR(Table1[GMV 30]/Table1[Units 30],0)</f>
        <v>1700.1111111111111</v>
      </c>
      <c r="AH252">
        <f t="array" ref="AH252:AH351">IFERROR(Table1[GMV 31]/Table1[Units 31],0)</f>
        <v>1681</v>
      </c>
    </row>
    <row r="253" spans="1:34">
      <c r="A253" t="s">
        <v>8</v>
      </c>
      <c r="B253" t="s">
        <v>101</v>
      </c>
      <c r="C253" t="s">
        <v>147</v>
      </c>
      <c r="D253">
        <v>0</v>
      </c>
      <c r="E253">
        <v>283.75</v>
      </c>
      <c r="F253">
        <v>283.66666666666669</v>
      </c>
      <c r="G253">
        <v>283.8</v>
      </c>
      <c r="H253">
        <v>283.83333333333331</v>
      </c>
      <c r="I253">
        <v>253.5</v>
      </c>
      <c r="J253">
        <v>283.85714285714283</v>
      </c>
      <c r="K253">
        <v>283.77777777777777</v>
      </c>
      <c r="L253">
        <v>284</v>
      </c>
      <c r="M253">
        <v>283.85714285714283</v>
      </c>
      <c r="N253">
        <v>283.77777777777777</v>
      </c>
      <c r="O253">
        <v>283.81818181818181</v>
      </c>
      <c r="P253">
        <v>304.8</v>
      </c>
      <c r="Q253">
        <v>283.81818181818181</v>
      </c>
      <c r="R253">
        <v>283.85714285714283</v>
      </c>
      <c r="S253">
        <v>283.8</v>
      </c>
      <c r="T253">
        <v>283.77777777777777</v>
      </c>
      <c r="U253">
        <v>283.8</v>
      </c>
      <c r="V253">
        <v>283.75</v>
      </c>
      <c r="W253">
        <v>283.75</v>
      </c>
      <c r="X253">
        <v>283.85714285714283</v>
      </c>
      <c r="Y253">
        <v>283.8125</v>
      </c>
      <c r="Z253">
        <v>283.8</v>
      </c>
      <c r="AA253">
        <v>283.76923076923077</v>
      </c>
      <c r="AB253">
        <v>283.76923076923077</v>
      </c>
      <c r="AC253">
        <v>283.83333333333331</v>
      </c>
      <c r="AD253">
        <v>283.75</v>
      </c>
      <c r="AE253">
        <v>283.75</v>
      </c>
      <c r="AF253">
        <v>284</v>
      </c>
      <c r="AG253">
        <v>283.75</v>
      </c>
      <c r="AH253">
        <v>283.8</v>
      </c>
    </row>
    <row r="254" spans="1:34">
      <c r="A254" t="s">
        <v>12</v>
      </c>
      <c r="B254" t="s">
        <v>101</v>
      </c>
      <c r="C254" t="s">
        <v>148</v>
      </c>
      <c r="D254">
        <v>498.4848484848485</v>
      </c>
      <c r="E254">
        <v>492.78125</v>
      </c>
      <c r="F254">
        <v>492.61538461538464</v>
      </c>
      <c r="G254">
        <v>492.61224489795916</v>
      </c>
      <c r="H254">
        <v>494.06976744186045</v>
      </c>
      <c r="I254">
        <v>495.17777777777781</v>
      </c>
      <c r="J254">
        <v>492.60975609756099</v>
      </c>
      <c r="K254">
        <v>492.61111111111109</v>
      </c>
      <c r="L254">
        <v>492.60975609756099</v>
      </c>
      <c r="M254">
        <v>492.61224489795916</v>
      </c>
      <c r="N254">
        <v>492.62</v>
      </c>
      <c r="O254">
        <v>492.60714285714283</v>
      </c>
      <c r="P254">
        <v>492.62857142857143</v>
      </c>
      <c r="Q254">
        <v>492.6</v>
      </c>
      <c r="R254">
        <v>492.61111111111109</v>
      </c>
      <c r="S254">
        <v>492.61290322580646</v>
      </c>
      <c r="T254">
        <v>492.62</v>
      </c>
      <c r="U254">
        <v>492.60869565217394</v>
      </c>
      <c r="V254">
        <v>492.60416666666669</v>
      </c>
      <c r="W254">
        <v>492.61702127659572</v>
      </c>
      <c r="X254">
        <v>492.61818181818182</v>
      </c>
      <c r="Y254">
        <v>492.83333333333331</v>
      </c>
      <c r="Z254">
        <v>483.12087912087912</v>
      </c>
      <c r="AA254">
        <v>483.125</v>
      </c>
      <c r="AB254">
        <v>483.12307692307695</v>
      </c>
      <c r="AC254">
        <v>483.12698412698415</v>
      </c>
      <c r="AD254">
        <v>483.125</v>
      </c>
      <c r="AE254">
        <v>493.85</v>
      </c>
      <c r="AF254">
        <v>492.60714285714283</v>
      </c>
      <c r="AG254">
        <v>492.60465116279067</v>
      </c>
      <c r="AH254">
        <v>483.12087912087912</v>
      </c>
    </row>
    <row r="255" spans="1:34">
      <c r="A255" t="s">
        <v>41</v>
      </c>
      <c r="B255" t="s">
        <v>101</v>
      </c>
      <c r="C255" t="s">
        <v>147</v>
      </c>
      <c r="D255">
        <v>845.69230769230774</v>
      </c>
      <c r="E255">
        <v>857.58333333333337</v>
      </c>
      <c r="F255">
        <v>855.64285714285711</v>
      </c>
      <c r="G255">
        <v>858.81818181818187</v>
      </c>
      <c r="H255">
        <v>844.2</v>
      </c>
      <c r="I255">
        <v>825.66666666666663</v>
      </c>
      <c r="J255">
        <v>858.5333333333333</v>
      </c>
      <c r="K255">
        <v>860.76923076923072</v>
      </c>
      <c r="L255">
        <v>849.88888888888891</v>
      </c>
      <c r="M255">
        <v>864.5</v>
      </c>
      <c r="N255">
        <v>858.5333333333333</v>
      </c>
      <c r="O255">
        <v>843.81818181818187</v>
      </c>
      <c r="P255">
        <v>847.71428571428567</v>
      </c>
      <c r="Q255">
        <v>854.125</v>
      </c>
      <c r="R255">
        <v>848.41666666666663</v>
      </c>
      <c r="S255">
        <v>843.8</v>
      </c>
      <c r="T255">
        <v>843.85714285714289</v>
      </c>
      <c r="U255">
        <v>843.83333333333337</v>
      </c>
      <c r="V255">
        <v>839.42857142857144</v>
      </c>
      <c r="W255">
        <v>836.14285714285711</v>
      </c>
      <c r="X255">
        <v>836.22222222222217</v>
      </c>
      <c r="Y255">
        <v>836.25</v>
      </c>
      <c r="Z255">
        <v>834.28571428571433</v>
      </c>
      <c r="AA255">
        <v>834.25</v>
      </c>
      <c r="AB255">
        <v>834.33333333333337</v>
      </c>
      <c r="AC255">
        <v>834.30769230769226</v>
      </c>
      <c r="AD255">
        <v>834.28571428571433</v>
      </c>
      <c r="AE255">
        <v>846.125</v>
      </c>
      <c r="AF255">
        <v>843.76923076923072</v>
      </c>
      <c r="AG255">
        <v>843.85714285714289</v>
      </c>
      <c r="AH255">
        <v>834.28571428571433</v>
      </c>
    </row>
    <row r="256" spans="1:34">
      <c r="A256" t="s">
        <v>78</v>
      </c>
      <c r="B256" t="s">
        <v>101</v>
      </c>
      <c r="C256" t="s">
        <v>152</v>
      </c>
      <c r="D256">
        <v>227</v>
      </c>
      <c r="E256">
        <v>0</v>
      </c>
      <c r="F256">
        <v>179.5</v>
      </c>
      <c r="G256">
        <v>0</v>
      </c>
      <c r="H256">
        <v>0</v>
      </c>
      <c r="I256">
        <v>181</v>
      </c>
      <c r="J256">
        <v>0</v>
      </c>
      <c r="K256">
        <v>179</v>
      </c>
      <c r="L256">
        <v>179</v>
      </c>
      <c r="M256">
        <v>179</v>
      </c>
      <c r="N256">
        <v>0</v>
      </c>
      <c r="O256">
        <v>179</v>
      </c>
      <c r="P256">
        <v>179</v>
      </c>
      <c r="Q256">
        <v>0</v>
      </c>
      <c r="R256">
        <v>0</v>
      </c>
      <c r="S256">
        <v>179</v>
      </c>
      <c r="T256">
        <v>0</v>
      </c>
      <c r="U256">
        <v>179.33333333333334</v>
      </c>
      <c r="V256">
        <v>179</v>
      </c>
      <c r="W256">
        <v>172</v>
      </c>
      <c r="X256">
        <v>0</v>
      </c>
      <c r="Y256">
        <v>172</v>
      </c>
      <c r="Z256">
        <v>170</v>
      </c>
      <c r="AA256">
        <v>170</v>
      </c>
      <c r="AB256">
        <v>170</v>
      </c>
      <c r="AC256">
        <v>0</v>
      </c>
      <c r="AD256">
        <v>0</v>
      </c>
      <c r="AE256">
        <v>201</v>
      </c>
      <c r="AF256">
        <v>0</v>
      </c>
      <c r="AG256">
        <v>170</v>
      </c>
      <c r="AH256">
        <v>170</v>
      </c>
    </row>
    <row r="257" spans="1:34">
      <c r="A257" t="s">
        <v>21</v>
      </c>
      <c r="B257" t="s">
        <v>101</v>
      </c>
      <c r="C257" t="s">
        <v>152</v>
      </c>
      <c r="D257">
        <v>845.66666666666663</v>
      </c>
      <c r="E257">
        <v>871.33333333333337</v>
      </c>
      <c r="F257">
        <v>850.75</v>
      </c>
      <c r="G257">
        <v>854.8</v>
      </c>
      <c r="H257">
        <v>853.22222222222217</v>
      </c>
      <c r="I257">
        <v>849.47058823529414</v>
      </c>
      <c r="J257">
        <v>843.83333333333337</v>
      </c>
      <c r="K257">
        <v>846.68421052631584</v>
      </c>
      <c r="L257">
        <v>853</v>
      </c>
      <c r="M257">
        <v>843.76923076923072</v>
      </c>
      <c r="N257">
        <v>847.05882352941171</v>
      </c>
      <c r="O257">
        <v>854.86666666666667</v>
      </c>
      <c r="P257">
        <v>849.91666666666663</v>
      </c>
      <c r="Q257">
        <v>855.42105263157896</v>
      </c>
      <c r="R257">
        <v>858.81818181818187</v>
      </c>
      <c r="S257">
        <v>857.58333333333337</v>
      </c>
      <c r="T257">
        <v>854.8</v>
      </c>
      <c r="U257">
        <v>868.33333333333337</v>
      </c>
      <c r="V257">
        <v>847.16666666666663</v>
      </c>
      <c r="W257">
        <v>845.84615384615381</v>
      </c>
      <c r="X257">
        <v>840.4</v>
      </c>
      <c r="Y257">
        <v>850.69230769230774</v>
      </c>
      <c r="Z257">
        <v>841.44444444444446</v>
      </c>
      <c r="AA257">
        <v>846.09090909090912</v>
      </c>
      <c r="AB257">
        <v>823</v>
      </c>
      <c r="AC257">
        <v>682</v>
      </c>
      <c r="AD257">
        <v>691.9473684210526</v>
      </c>
      <c r="AE257">
        <v>691.92857142857144</v>
      </c>
      <c r="AF257">
        <v>691.9473684210526</v>
      </c>
      <c r="AG257">
        <v>691.9375</v>
      </c>
      <c r="AH257">
        <v>841.44444444444446</v>
      </c>
    </row>
    <row r="258" spans="1:34">
      <c r="A258" t="s">
        <v>69</v>
      </c>
      <c r="B258" t="s">
        <v>101</v>
      </c>
      <c r="C258" t="s">
        <v>147</v>
      </c>
      <c r="D258">
        <v>616</v>
      </c>
      <c r="E258">
        <v>616</v>
      </c>
      <c r="F258">
        <v>635.75</v>
      </c>
      <c r="G258">
        <v>616</v>
      </c>
      <c r="H258">
        <v>524.625</v>
      </c>
      <c r="I258">
        <v>612</v>
      </c>
      <c r="J258">
        <v>511.60869565217394</v>
      </c>
      <c r="K258">
        <v>511.58823529411762</v>
      </c>
      <c r="L258">
        <v>511.58823529411762</v>
      </c>
      <c r="M258">
        <v>511.61111111111109</v>
      </c>
      <c r="N258">
        <v>511.57894736842104</v>
      </c>
      <c r="O258">
        <v>507.93103448275861</v>
      </c>
      <c r="P258">
        <v>512.92857142857144</v>
      </c>
      <c r="Q258">
        <v>504</v>
      </c>
      <c r="R258">
        <v>504</v>
      </c>
      <c r="S258">
        <v>415.58064516129031</v>
      </c>
      <c r="T258">
        <v>359.74193548387098</v>
      </c>
      <c r="U258">
        <v>359.71428571428572</v>
      </c>
      <c r="V258">
        <v>359.72972972972974</v>
      </c>
      <c r="W258">
        <v>359.73333333333335</v>
      </c>
      <c r="X258">
        <v>359.72727272727275</v>
      </c>
      <c r="Y258">
        <v>359.72222222222223</v>
      </c>
      <c r="Z258">
        <v>359.72</v>
      </c>
      <c r="AA258">
        <v>359.73809523809524</v>
      </c>
      <c r="AB258">
        <v>359.73170731707319</v>
      </c>
      <c r="AC258">
        <v>359.72727272727275</v>
      </c>
      <c r="AD258">
        <v>359.72727272727275</v>
      </c>
      <c r="AE258">
        <v>359.73170731707319</v>
      </c>
      <c r="AF258">
        <v>359.73170731707319</v>
      </c>
      <c r="AG258">
        <v>359.72500000000002</v>
      </c>
      <c r="AH258">
        <v>359.72</v>
      </c>
    </row>
    <row r="259" spans="1:34">
      <c r="A259" t="s">
        <v>32</v>
      </c>
      <c r="B259" t="s">
        <v>101</v>
      </c>
      <c r="C259" t="s">
        <v>147</v>
      </c>
      <c r="D259">
        <v>845.69230769230774</v>
      </c>
      <c r="E259">
        <v>857.58333333333337</v>
      </c>
      <c r="F259">
        <v>855.64285714285711</v>
      </c>
      <c r="G259">
        <v>858.81818181818187</v>
      </c>
      <c r="H259">
        <v>844.2</v>
      </c>
      <c r="I259">
        <v>825.66666666666663</v>
      </c>
      <c r="J259">
        <v>858.5333333333333</v>
      </c>
      <c r="K259">
        <v>860.76923076923072</v>
      </c>
      <c r="L259">
        <v>849.88888888888891</v>
      </c>
      <c r="M259">
        <v>864.5</v>
      </c>
      <c r="N259">
        <v>858.5333333333333</v>
      </c>
      <c r="O259">
        <v>843.81818181818187</v>
      </c>
      <c r="P259">
        <v>847.71428571428567</v>
      </c>
      <c r="Q259">
        <v>854.125</v>
      </c>
      <c r="R259">
        <v>848.41666666666663</v>
      </c>
      <c r="S259">
        <v>843.8</v>
      </c>
      <c r="T259">
        <v>843.85714285714289</v>
      </c>
      <c r="U259">
        <v>843.83333333333337</v>
      </c>
      <c r="V259">
        <v>839.42857142857144</v>
      </c>
      <c r="W259">
        <v>836.14285714285711</v>
      </c>
      <c r="X259">
        <v>836.22222222222217</v>
      </c>
      <c r="Y259">
        <v>836.25</v>
      </c>
      <c r="Z259">
        <v>834.28571428571433</v>
      </c>
      <c r="AA259">
        <v>834.25</v>
      </c>
      <c r="AB259">
        <v>834.33333333333337</v>
      </c>
      <c r="AC259">
        <v>834.30769230769226</v>
      </c>
      <c r="AD259">
        <v>834.28571428571433</v>
      </c>
      <c r="AE259">
        <v>846.125</v>
      </c>
      <c r="AF259">
        <v>843.76923076923072</v>
      </c>
      <c r="AG259">
        <v>843.85714285714289</v>
      </c>
      <c r="AH259">
        <v>834.28571428571433</v>
      </c>
    </row>
    <row r="260" spans="1:34">
      <c r="A260" t="s">
        <v>42</v>
      </c>
      <c r="B260" t="s">
        <v>101</v>
      </c>
      <c r="C260" t="s">
        <v>152</v>
      </c>
      <c r="D260">
        <v>699</v>
      </c>
      <c r="E260">
        <v>699</v>
      </c>
      <c r="F260">
        <v>699</v>
      </c>
      <c r="G260">
        <v>699</v>
      </c>
      <c r="H260">
        <v>699</v>
      </c>
      <c r="I260">
        <v>699</v>
      </c>
      <c r="J260">
        <v>699</v>
      </c>
      <c r="K260">
        <v>699</v>
      </c>
      <c r="L260">
        <v>699</v>
      </c>
      <c r="M260">
        <v>699</v>
      </c>
      <c r="N260">
        <v>699</v>
      </c>
      <c r="O260">
        <v>699</v>
      </c>
      <c r="P260">
        <v>674</v>
      </c>
      <c r="Q260">
        <v>649</v>
      </c>
      <c r="R260">
        <v>649</v>
      </c>
      <c r="S260">
        <v>660.66666666666663</v>
      </c>
      <c r="T260">
        <v>649</v>
      </c>
      <c r="U260">
        <v>649</v>
      </c>
      <c r="V260">
        <v>649</v>
      </c>
      <c r="W260">
        <v>649</v>
      </c>
      <c r="X260">
        <v>649</v>
      </c>
      <c r="Y260">
        <v>649</v>
      </c>
      <c r="Z260">
        <v>649</v>
      </c>
      <c r="AA260">
        <v>649</v>
      </c>
      <c r="AB260">
        <v>649</v>
      </c>
      <c r="AC260">
        <v>649</v>
      </c>
      <c r="AD260">
        <v>649</v>
      </c>
      <c r="AE260">
        <v>625</v>
      </c>
      <c r="AF260">
        <v>625</v>
      </c>
      <c r="AG260">
        <v>625</v>
      </c>
      <c r="AH260">
        <v>649</v>
      </c>
    </row>
    <row r="261" spans="1:34">
      <c r="A261" t="s">
        <v>31</v>
      </c>
      <c r="B261" t="s">
        <v>101</v>
      </c>
      <c r="C261" t="s">
        <v>148</v>
      </c>
      <c r="D261">
        <v>679</v>
      </c>
      <c r="E261">
        <v>679</v>
      </c>
      <c r="F261">
        <v>679</v>
      </c>
      <c r="G261">
        <v>679</v>
      </c>
      <c r="H261">
        <v>679</v>
      </c>
      <c r="I261">
        <v>679</v>
      </c>
      <c r="J261">
        <v>679</v>
      </c>
      <c r="K261">
        <v>679</v>
      </c>
      <c r="L261">
        <v>679</v>
      </c>
      <c r="M261">
        <v>679</v>
      </c>
      <c r="N261">
        <v>679</v>
      </c>
      <c r="O261">
        <v>679</v>
      </c>
      <c r="P261">
        <v>669</v>
      </c>
      <c r="Q261">
        <v>649</v>
      </c>
      <c r="R261">
        <v>649</v>
      </c>
      <c r="S261">
        <v>649</v>
      </c>
      <c r="T261">
        <v>649</v>
      </c>
      <c r="U261">
        <v>649</v>
      </c>
      <c r="V261">
        <v>649</v>
      </c>
      <c r="W261">
        <v>649</v>
      </c>
      <c r="X261">
        <v>649</v>
      </c>
      <c r="Y261">
        <v>649</v>
      </c>
      <c r="Z261">
        <v>649</v>
      </c>
      <c r="AA261">
        <v>649</v>
      </c>
      <c r="AB261">
        <v>649</v>
      </c>
      <c r="AC261">
        <v>649</v>
      </c>
      <c r="AD261">
        <v>649</v>
      </c>
      <c r="AE261">
        <v>599</v>
      </c>
      <c r="AF261">
        <v>599</v>
      </c>
      <c r="AG261">
        <v>599</v>
      </c>
      <c r="AH261">
        <v>649</v>
      </c>
    </row>
    <row r="262" spans="1:34">
      <c r="A262" t="s">
        <v>87</v>
      </c>
      <c r="B262" t="s">
        <v>101</v>
      </c>
      <c r="C262" t="s">
        <v>148</v>
      </c>
      <c r="D262">
        <v>417.85365853658539</v>
      </c>
      <c r="E262">
        <v>417.85714285714283</v>
      </c>
      <c r="F262">
        <v>417.86111111111109</v>
      </c>
      <c r="G262">
        <v>417.85365853658539</v>
      </c>
      <c r="H262">
        <v>417.86666666666667</v>
      </c>
      <c r="I262">
        <v>417.85</v>
      </c>
      <c r="J262">
        <v>417.86666666666667</v>
      </c>
      <c r="K262">
        <v>417.85714285714283</v>
      </c>
      <c r="L262">
        <v>417.86538461538464</v>
      </c>
      <c r="M262">
        <v>417.86206896551727</v>
      </c>
      <c r="N262">
        <v>417.86274509803923</v>
      </c>
      <c r="O262">
        <v>417.86956521739131</v>
      </c>
      <c r="P262">
        <v>417.89473684210526</v>
      </c>
      <c r="Q262">
        <v>417.85185185185185</v>
      </c>
      <c r="R262">
        <v>417.86666666666667</v>
      </c>
      <c r="S262">
        <v>417.875</v>
      </c>
      <c r="T262">
        <v>417.85185185185185</v>
      </c>
      <c r="U262">
        <v>417.84848484848487</v>
      </c>
      <c r="V262">
        <v>417.875</v>
      </c>
      <c r="W262">
        <v>417.85714285714283</v>
      </c>
      <c r="X262">
        <v>417.86486486486484</v>
      </c>
      <c r="Y262">
        <v>417.86842105263156</v>
      </c>
      <c r="Z262">
        <v>417.85714285714283</v>
      </c>
      <c r="AA262">
        <v>417.87179487179486</v>
      </c>
      <c r="AB262">
        <v>417.85</v>
      </c>
      <c r="AC262">
        <v>417.85365853658539</v>
      </c>
      <c r="AD262">
        <v>417.88</v>
      </c>
      <c r="AE262">
        <v>417.85714285714283</v>
      </c>
      <c r="AF262">
        <v>417.86363636363637</v>
      </c>
      <c r="AG262">
        <v>417.85185185185185</v>
      </c>
      <c r="AH262">
        <v>417.85714285714283</v>
      </c>
    </row>
    <row r="263" spans="1:34">
      <c r="A263" t="s">
        <v>98</v>
      </c>
      <c r="B263" t="s">
        <v>101</v>
      </c>
      <c r="C263" t="s">
        <v>152</v>
      </c>
      <c r="D263">
        <v>135</v>
      </c>
      <c r="E263">
        <v>135</v>
      </c>
      <c r="F263">
        <v>135</v>
      </c>
      <c r="G263">
        <v>135</v>
      </c>
      <c r="H263">
        <v>135</v>
      </c>
      <c r="I263">
        <v>135.09929078014184</v>
      </c>
      <c r="J263">
        <v>135</v>
      </c>
      <c r="K263">
        <v>135</v>
      </c>
      <c r="L263">
        <v>135</v>
      </c>
      <c r="M263">
        <v>135</v>
      </c>
      <c r="N263">
        <v>135</v>
      </c>
      <c r="O263">
        <v>135</v>
      </c>
      <c r="P263">
        <v>135</v>
      </c>
      <c r="Q263">
        <v>135</v>
      </c>
      <c r="R263">
        <v>135</v>
      </c>
      <c r="S263">
        <v>137.43055555555554</v>
      </c>
      <c r="T263">
        <v>135</v>
      </c>
      <c r="U263">
        <v>135</v>
      </c>
      <c r="V263">
        <v>135</v>
      </c>
      <c r="W263">
        <v>135</v>
      </c>
      <c r="X263">
        <v>135.07909604519773</v>
      </c>
      <c r="Y263">
        <v>135</v>
      </c>
      <c r="Z263">
        <v>135</v>
      </c>
      <c r="AA263">
        <v>135</v>
      </c>
      <c r="AB263">
        <v>135</v>
      </c>
      <c r="AC263">
        <v>135</v>
      </c>
      <c r="AD263">
        <v>135.39344262295083</v>
      </c>
      <c r="AE263">
        <v>129.09905660377359</v>
      </c>
      <c r="AF263">
        <v>129.0042735042735</v>
      </c>
      <c r="AG263">
        <v>129.00460829493088</v>
      </c>
      <c r="AH263">
        <v>135</v>
      </c>
    </row>
    <row r="264" spans="1:34">
      <c r="A264" t="s">
        <v>60</v>
      </c>
      <c r="B264" t="s">
        <v>101</v>
      </c>
      <c r="C264" t="s">
        <v>152</v>
      </c>
      <c r="D264">
        <v>292.33333333333331</v>
      </c>
      <c r="E264">
        <v>255.66666666666666</v>
      </c>
      <c r="F264">
        <v>299</v>
      </c>
      <c r="G264">
        <v>279</v>
      </c>
      <c r="H264">
        <v>292.33333333333331</v>
      </c>
      <c r="I264">
        <v>319</v>
      </c>
      <c r="J264">
        <v>289</v>
      </c>
      <c r="K264">
        <v>299</v>
      </c>
      <c r="L264">
        <v>279</v>
      </c>
      <c r="M264">
        <v>279</v>
      </c>
      <c r="N264">
        <v>279</v>
      </c>
      <c r="O264">
        <v>279</v>
      </c>
      <c r="P264">
        <v>296.14285714285717</v>
      </c>
      <c r="Q264">
        <v>279</v>
      </c>
      <c r="R264">
        <v>285.66666666666669</v>
      </c>
      <c r="S264">
        <v>279</v>
      </c>
      <c r="T264">
        <v>279</v>
      </c>
      <c r="U264">
        <v>279</v>
      </c>
      <c r="V264">
        <v>279</v>
      </c>
      <c r="W264">
        <v>279</v>
      </c>
      <c r="X264">
        <v>208.5</v>
      </c>
      <c r="Y264">
        <v>185</v>
      </c>
      <c r="Z264">
        <v>191</v>
      </c>
      <c r="AA264">
        <v>201</v>
      </c>
      <c r="AB264">
        <v>204.33333333333334</v>
      </c>
      <c r="AC264">
        <v>195</v>
      </c>
      <c r="AD264">
        <v>185</v>
      </c>
      <c r="AE264">
        <v>185</v>
      </c>
      <c r="AF264">
        <v>196.42857142857142</v>
      </c>
      <c r="AG264">
        <v>198.33333333333334</v>
      </c>
      <c r="AH264">
        <v>191</v>
      </c>
    </row>
    <row r="265" spans="1:34">
      <c r="A265" t="s">
        <v>51</v>
      </c>
      <c r="B265" t="s">
        <v>101</v>
      </c>
      <c r="C265" t="s">
        <v>148</v>
      </c>
      <c r="D265">
        <v>162.33333333333334</v>
      </c>
      <c r="E265">
        <v>166.14285714285714</v>
      </c>
      <c r="F265">
        <v>154.71428571428572</v>
      </c>
      <c r="G265">
        <v>162.33333333333334</v>
      </c>
      <c r="H265">
        <v>179</v>
      </c>
      <c r="I265">
        <v>149</v>
      </c>
      <c r="J265">
        <v>164</v>
      </c>
      <c r="K265">
        <v>157</v>
      </c>
      <c r="L265">
        <v>173</v>
      </c>
      <c r="M265">
        <v>159</v>
      </c>
      <c r="N265">
        <v>149</v>
      </c>
      <c r="O265">
        <v>169</v>
      </c>
      <c r="P265">
        <v>149</v>
      </c>
      <c r="Q265">
        <v>162.33333333333334</v>
      </c>
      <c r="R265">
        <v>149</v>
      </c>
      <c r="S265">
        <v>181</v>
      </c>
      <c r="T265">
        <v>173</v>
      </c>
      <c r="U265">
        <v>189</v>
      </c>
      <c r="V265">
        <v>157</v>
      </c>
      <c r="W265">
        <v>169</v>
      </c>
      <c r="X265">
        <v>215</v>
      </c>
      <c r="Y265">
        <v>219</v>
      </c>
      <c r="Z265">
        <v>204</v>
      </c>
      <c r="AA265">
        <v>215</v>
      </c>
      <c r="AB265">
        <v>213.54545454545453</v>
      </c>
      <c r="AC265">
        <v>225.66666666666666</v>
      </c>
      <c r="AD265">
        <v>205.66666666666666</v>
      </c>
      <c r="AE265">
        <v>204</v>
      </c>
      <c r="AF265">
        <v>223</v>
      </c>
      <c r="AG265">
        <v>215</v>
      </c>
      <c r="AH265">
        <v>204</v>
      </c>
    </row>
    <row r="266" spans="1:34">
      <c r="A266" t="s">
        <v>13</v>
      </c>
      <c r="B266" t="s">
        <v>101</v>
      </c>
      <c r="C266" t="s">
        <v>147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479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48</v>
      </c>
      <c r="B267" t="s">
        <v>101</v>
      </c>
      <c r="C267" t="s">
        <v>147</v>
      </c>
      <c r="D267">
        <v>0</v>
      </c>
      <c r="E267">
        <v>244</v>
      </c>
      <c r="F267">
        <v>244</v>
      </c>
      <c r="G267">
        <v>244</v>
      </c>
      <c r="H267">
        <v>0</v>
      </c>
      <c r="I267">
        <v>244</v>
      </c>
      <c r="J267">
        <v>244</v>
      </c>
      <c r="K267">
        <v>0</v>
      </c>
      <c r="L267">
        <v>270.66666666666669</v>
      </c>
      <c r="M267">
        <v>257.33333333333331</v>
      </c>
      <c r="N267">
        <v>0</v>
      </c>
      <c r="O267">
        <v>244</v>
      </c>
      <c r="P267">
        <v>0</v>
      </c>
      <c r="Q267">
        <v>0</v>
      </c>
      <c r="R267">
        <v>244</v>
      </c>
      <c r="S267">
        <v>0</v>
      </c>
      <c r="T267">
        <v>0</v>
      </c>
      <c r="U267">
        <v>0</v>
      </c>
      <c r="V267">
        <v>244</v>
      </c>
      <c r="W267">
        <v>244</v>
      </c>
      <c r="X267">
        <v>244</v>
      </c>
      <c r="Y267">
        <v>0</v>
      </c>
      <c r="Z267">
        <v>0</v>
      </c>
      <c r="AA267">
        <v>0</v>
      </c>
      <c r="AB267">
        <v>0</v>
      </c>
      <c r="AC267">
        <v>244</v>
      </c>
      <c r="AD267">
        <v>244</v>
      </c>
      <c r="AE267">
        <v>244</v>
      </c>
      <c r="AF267">
        <v>244</v>
      </c>
      <c r="AG267">
        <v>0</v>
      </c>
      <c r="AH267">
        <v>0</v>
      </c>
    </row>
    <row r="268" spans="1:34">
      <c r="A268" t="s">
        <v>3</v>
      </c>
      <c r="B268" t="s">
        <v>101</v>
      </c>
      <c r="C268" t="s">
        <v>148</v>
      </c>
      <c r="D268">
        <v>846.5</v>
      </c>
      <c r="E268">
        <v>844</v>
      </c>
      <c r="F268">
        <v>844</v>
      </c>
      <c r="G268">
        <v>843.6</v>
      </c>
      <c r="H268">
        <v>844.33333333333337</v>
      </c>
      <c r="I268">
        <v>868.77777777777783</v>
      </c>
      <c r="J268">
        <v>843.77777777777783</v>
      </c>
      <c r="K268">
        <v>843.83333333333337</v>
      </c>
      <c r="L268">
        <v>843.75</v>
      </c>
      <c r="M268">
        <v>843.75</v>
      </c>
      <c r="N268">
        <v>843.85714285714289</v>
      </c>
      <c r="O268">
        <v>843.77777777777783</v>
      </c>
      <c r="P268">
        <v>843.66666666666663</v>
      </c>
      <c r="Q268">
        <v>843.8</v>
      </c>
      <c r="R268">
        <v>843.8</v>
      </c>
      <c r="S268">
        <v>843.8</v>
      </c>
      <c r="T268">
        <v>843.8</v>
      </c>
      <c r="U268">
        <v>843.85714285714289</v>
      </c>
      <c r="V268">
        <v>843.75</v>
      </c>
      <c r="W268">
        <v>836</v>
      </c>
      <c r="X268">
        <v>836.2</v>
      </c>
      <c r="Y268">
        <v>836.25</v>
      </c>
      <c r="Z268">
        <v>834.4</v>
      </c>
      <c r="AA268">
        <v>834.33333333333337</v>
      </c>
      <c r="AB268">
        <v>815.36363636363637</v>
      </c>
      <c r="AC268">
        <v>729.88888888888891</v>
      </c>
      <c r="AD268">
        <v>729.85714285714289</v>
      </c>
      <c r="AE268">
        <v>729.875</v>
      </c>
      <c r="AF268">
        <v>729.85714285714289</v>
      </c>
      <c r="AG268">
        <v>729.85714285714289</v>
      </c>
      <c r="AH268">
        <v>834.4</v>
      </c>
    </row>
    <row r="269" spans="1:34">
      <c r="A269" t="s">
        <v>61</v>
      </c>
      <c r="B269" t="s">
        <v>101</v>
      </c>
      <c r="C269" t="s">
        <v>147</v>
      </c>
      <c r="D269">
        <v>473.6</v>
      </c>
      <c r="E269">
        <v>464.14285714285717</v>
      </c>
      <c r="F269">
        <v>464</v>
      </c>
      <c r="G269">
        <v>464</v>
      </c>
      <c r="H269">
        <v>464</v>
      </c>
      <c r="I269">
        <v>464</v>
      </c>
      <c r="J269">
        <v>464</v>
      </c>
      <c r="K269">
        <v>464</v>
      </c>
      <c r="L269">
        <v>464</v>
      </c>
      <c r="M269">
        <v>464.2</v>
      </c>
      <c r="N269">
        <v>464</v>
      </c>
      <c r="O269">
        <v>464</v>
      </c>
      <c r="P269">
        <v>0</v>
      </c>
      <c r="Q269">
        <v>0</v>
      </c>
      <c r="R269">
        <v>464.14285714285717</v>
      </c>
      <c r="S269">
        <v>464</v>
      </c>
      <c r="T269">
        <v>464</v>
      </c>
      <c r="U269">
        <v>464</v>
      </c>
      <c r="V269">
        <v>464.16666666666669</v>
      </c>
      <c r="W269">
        <v>464</v>
      </c>
      <c r="X269">
        <v>464</v>
      </c>
      <c r="Y269">
        <v>467.33333333333331</v>
      </c>
      <c r="Z269">
        <v>0</v>
      </c>
      <c r="AA269">
        <v>455</v>
      </c>
      <c r="AB269">
        <v>0</v>
      </c>
      <c r="AC269">
        <v>0</v>
      </c>
      <c r="AD269">
        <v>0</v>
      </c>
      <c r="AE269">
        <v>0</v>
      </c>
      <c r="AF269">
        <v>416.6</v>
      </c>
      <c r="AG269">
        <v>416.75</v>
      </c>
      <c r="AH269">
        <v>0</v>
      </c>
    </row>
    <row r="270" spans="1:34">
      <c r="A270" t="s">
        <v>88</v>
      </c>
      <c r="B270" t="s">
        <v>101</v>
      </c>
      <c r="C270" t="s">
        <v>148</v>
      </c>
      <c r="D270">
        <v>891</v>
      </c>
      <c r="E270">
        <v>930</v>
      </c>
      <c r="F270">
        <v>891.5</v>
      </c>
      <c r="G270">
        <v>891.5</v>
      </c>
      <c r="H270">
        <v>891.33333333333337</v>
      </c>
      <c r="I270">
        <v>912</v>
      </c>
      <c r="J270">
        <v>891</v>
      </c>
      <c r="K270">
        <v>891</v>
      </c>
      <c r="L270">
        <v>891.5</v>
      </c>
      <c r="M270">
        <v>891.5</v>
      </c>
      <c r="N270">
        <v>891</v>
      </c>
      <c r="O270">
        <v>845.66666666666663</v>
      </c>
      <c r="P270">
        <v>846</v>
      </c>
      <c r="Q270">
        <v>845.5</v>
      </c>
      <c r="R270">
        <v>0</v>
      </c>
      <c r="S270">
        <v>846</v>
      </c>
      <c r="T270">
        <v>845.5</v>
      </c>
      <c r="U270">
        <v>845.5</v>
      </c>
      <c r="V270">
        <v>846</v>
      </c>
      <c r="W270">
        <v>836</v>
      </c>
      <c r="X270">
        <v>0</v>
      </c>
      <c r="Y270">
        <v>836</v>
      </c>
      <c r="Z270">
        <v>901</v>
      </c>
      <c r="AA270">
        <v>900.5</v>
      </c>
      <c r="AB270">
        <v>901</v>
      </c>
      <c r="AC270">
        <v>944.5</v>
      </c>
      <c r="AD270">
        <v>944</v>
      </c>
      <c r="AE270">
        <v>910</v>
      </c>
      <c r="AF270">
        <v>910</v>
      </c>
      <c r="AG270">
        <v>910</v>
      </c>
      <c r="AH270">
        <v>901</v>
      </c>
    </row>
    <row r="271" spans="1:34">
      <c r="A271" t="s">
        <v>22</v>
      </c>
      <c r="B271" t="s">
        <v>101</v>
      </c>
      <c r="C271" t="s">
        <v>147</v>
      </c>
      <c r="D271">
        <v>0</v>
      </c>
      <c r="E271">
        <v>899</v>
      </c>
      <c r="F271">
        <v>899</v>
      </c>
      <c r="G271">
        <v>899</v>
      </c>
      <c r="H271">
        <v>899</v>
      </c>
      <c r="I271">
        <v>0</v>
      </c>
      <c r="J271">
        <v>0</v>
      </c>
      <c r="K271">
        <v>0</v>
      </c>
      <c r="L271">
        <v>844</v>
      </c>
      <c r="M271">
        <v>843.85714285714289</v>
      </c>
      <c r="N271">
        <v>843.75</v>
      </c>
      <c r="O271">
        <v>843.75</v>
      </c>
      <c r="P271">
        <v>843.66666666666663</v>
      </c>
      <c r="Q271">
        <v>843.8</v>
      </c>
      <c r="R271">
        <v>844</v>
      </c>
      <c r="S271">
        <v>844</v>
      </c>
      <c r="T271">
        <v>843.66666666666663</v>
      </c>
      <c r="U271">
        <v>844</v>
      </c>
      <c r="V271">
        <v>836</v>
      </c>
      <c r="W271">
        <v>836</v>
      </c>
      <c r="X271">
        <v>840</v>
      </c>
      <c r="Y271">
        <v>853</v>
      </c>
      <c r="Z271">
        <v>834.30769230769226</v>
      </c>
      <c r="AA271">
        <v>834.28571428571433</v>
      </c>
      <c r="AB271">
        <v>834.28571428571433</v>
      </c>
      <c r="AC271">
        <v>834.4</v>
      </c>
      <c r="AD271">
        <v>834.28571428571433</v>
      </c>
      <c r="AE271">
        <v>813.66666666666663</v>
      </c>
      <c r="AF271">
        <v>805.81818181818187</v>
      </c>
      <c r="AG271">
        <v>805.85714285714289</v>
      </c>
      <c r="AH271">
        <v>834.30769230769226</v>
      </c>
    </row>
    <row r="272" spans="1:34">
      <c r="A272" t="s">
        <v>52</v>
      </c>
      <c r="B272" t="s">
        <v>101</v>
      </c>
      <c r="C272" t="s">
        <v>148</v>
      </c>
      <c r="D272">
        <v>417.85365853658539</v>
      </c>
      <c r="E272">
        <v>417.85714285714283</v>
      </c>
      <c r="F272">
        <v>417.86111111111109</v>
      </c>
      <c r="G272">
        <v>417.85365853658539</v>
      </c>
      <c r="H272">
        <v>417.86666666666667</v>
      </c>
      <c r="I272">
        <v>417.85</v>
      </c>
      <c r="J272">
        <v>417.86666666666667</v>
      </c>
      <c r="K272">
        <v>417.85714285714283</v>
      </c>
      <c r="L272">
        <v>417.86538461538464</v>
      </c>
      <c r="M272">
        <v>417.86206896551727</v>
      </c>
      <c r="N272">
        <v>417.86274509803923</v>
      </c>
      <c r="O272">
        <v>417.86956521739131</v>
      </c>
      <c r="P272">
        <v>417.89473684210526</v>
      </c>
      <c r="Q272">
        <v>417.85185185185185</v>
      </c>
      <c r="R272">
        <v>417.86666666666667</v>
      </c>
      <c r="S272">
        <v>417.875</v>
      </c>
      <c r="T272">
        <v>417.85185185185185</v>
      </c>
      <c r="U272">
        <v>417.84848484848487</v>
      </c>
      <c r="V272">
        <v>417.875</v>
      </c>
      <c r="W272">
        <v>417.85714285714283</v>
      </c>
      <c r="X272">
        <v>417.86486486486484</v>
      </c>
      <c r="Y272">
        <v>417.86842105263156</v>
      </c>
      <c r="Z272">
        <v>417.85714285714283</v>
      </c>
      <c r="AA272">
        <v>417.87179487179486</v>
      </c>
      <c r="AB272">
        <v>417.85</v>
      </c>
      <c r="AC272">
        <v>417.85365853658539</v>
      </c>
      <c r="AD272">
        <v>417.88</v>
      </c>
      <c r="AE272">
        <v>417.85714285714283</v>
      </c>
      <c r="AF272">
        <v>417.86363636363637</v>
      </c>
      <c r="AG272">
        <v>417.85185185185185</v>
      </c>
      <c r="AH272">
        <v>417.85714285714283</v>
      </c>
    </row>
    <row r="273" spans="1:34">
      <c r="A273" t="s">
        <v>97</v>
      </c>
      <c r="B273" t="s">
        <v>101</v>
      </c>
      <c r="C273" t="s">
        <v>148</v>
      </c>
      <c r="D273">
        <v>0</v>
      </c>
      <c r="E273">
        <v>244</v>
      </c>
      <c r="F273">
        <v>244</v>
      </c>
      <c r="G273">
        <v>244</v>
      </c>
      <c r="H273">
        <v>0</v>
      </c>
      <c r="I273">
        <v>244</v>
      </c>
      <c r="J273">
        <v>244</v>
      </c>
      <c r="K273">
        <v>0</v>
      </c>
      <c r="L273">
        <v>270.66666666666669</v>
      </c>
      <c r="M273">
        <v>257.33333333333331</v>
      </c>
      <c r="N273">
        <v>0</v>
      </c>
      <c r="O273">
        <v>244</v>
      </c>
      <c r="P273">
        <v>0</v>
      </c>
      <c r="Q273">
        <v>0</v>
      </c>
      <c r="R273">
        <v>244</v>
      </c>
      <c r="S273">
        <v>0</v>
      </c>
      <c r="T273">
        <v>0</v>
      </c>
      <c r="U273">
        <v>0</v>
      </c>
      <c r="V273">
        <v>244</v>
      </c>
      <c r="W273">
        <v>244</v>
      </c>
      <c r="X273">
        <v>244</v>
      </c>
      <c r="Y273">
        <v>0</v>
      </c>
      <c r="Z273">
        <v>0</v>
      </c>
      <c r="AA273">
        <v>0</v>
      </c>
      <c r="AB273">
        <v>0</v>
      </c>
      <c r="AC273">
        <v>244</v>
      </c>
      <c r="AD273">
        <v>244</v>
      </c>
      <c r="AE273">
        <v>244</v>
      </c>
      <c r="AF273">
        <v>244</v>
      </c>
      <c r="AG273">
        <v>0</v>
      </c>
      <c r="AH273">
        <v>0</v>
      </c>
    </row>
    <row r="274" spans="1:34">
      <c r="A274" t="s">
        <v>10</v>
      </c>
      <c r="B274" t="s">
        <v>105</v>
      </c>
      <c r="C274" t="s">
        <v>153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329</v>
      </c>
      <c r="Q274">
        <v>329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36</v>
      </c>
      <c r="B275" t="s">
        <v>104</v>
      </c>
      <c r="C275" t="s">
        <v>143</v>
      </c>
      <c r="D275">
        <v>0</v>
      </c>
      <c r="E275">
        <v>284</v>
      </c>
      <c r="F275">
        <v>284</v>
      </c>
      <c r="G275">
        <v>0</v>
      </c>
      <c r="H275">
        <v>284</v>
      </c>
      <c r="I275">
        <v>284</v>
      </c>
      <c r="J275">
        <v>284</v>
      </c>
      <c r="K275">
        <v>0</v>
      </c>
      <c r="L275">
        <v>0</v>
      </c>
      <c r="M275">
        <v>284</v>
      </c>
      <c r="N275">
        <v>0</v>
      </c>
      <c r="O275">
        <v>284</v>
      </c>
      <c r="P275">
        <v>0</v>
      </c>
      <c r="Q275">
        <v>0</v>
      </c>
      <c r="R275">
        <v>286.5</v>
      </c>
      <c r="S275">
        <v>177</v>
      </c>
      <c r="T275">
        <v>233</v>
      </c>
      <c r="U275">
        <v>0</v>
      </c>
      <c r="V275">
        <v>285.66666666666669</v>
      </c>
      <c r="W275">
        <v>284</v>
      </c>
      <c r="X275">
        <v>233</v>
      </c>
      <c r="Y275">
        <v>289</v>
      </c>
      <c r="Z275">
        <v>233.08333333333334</v>
      </c>
      <c r="AA275">
        <v>222</v>
      </c>
      <c r="AB275">
        <v>209.14285714285714</v>
      </c>
      <c r="AC275">
        <v>276</v>
      </c>
      <c r="AD275">
        <v>274.5</v>
      </c>
      <c r="AE275">
        <v>266.60000000000002</v>
      </c>
      <c r="AF275">
        <v>202.05555555555554</v>
      </c>
      <c r="AG275">
        <v>244.2</v>
      </c>
      <c r="AH275">
        <v>233.08333333333334</v>
      </c>
    </row>
    <row r="276" spans="1:34">
      <c r="A276" t="s">
        <v>11</v>
      </c>
      <c r="B276" t="s">
        <v>104</v>
      </c>
      <c r="C276" t="s">
        <v>144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56</v>
      </c>
      <c r="B277" t="s">
        <v>104</v>
      </c>
      <c r="C277" t="s">
        <v>142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96</v>
      </c>
      <c r="B278" t="s">
        <v>104</v>
      </c>
      <c r="C278" t="s">
        <v>142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479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39</v>
      </c>
      <c r="B279" t="s">
        <v>104</v>
      </c>
      <c r="C279" t="s">
        <v>142</v>
      </c>
      <c r="D279">
        <v>292.33333333333331</v>
      </c>
      <c r="E279">
        <v>255.66666666666666</v>
      </c>
      <c r="F279">
        <v>299</v>
      </c>
      <c r="G279">
        <v>279</v>
      </c>
      <c r="H279">
        <v>292.33333333333331</v>
      </c>
      <c r="I279">
        <v>319</v>
      </c>
      <c r="J279">
        <v>289</v>
      </c>
      <c r="K279">
        <v>299</v>
      </c>
      <c r="L279">
        <v>279</v>
      </c>
      <c r="M279">
        <v>279</v>
      </c>
      <c r="N279">
        <v>279</v>
      </c>
      <c r="O279">
        <v>279</v>
      </c>
      <c r="P279">
        <v>296.14285714285717</v>
      </c>
      <c r="Q279">
        <v>279</v>
      </c>
      <c r="R279">
        <v>285.66666666666669</v>
      </c>
      <c r="S279">
        <v>279</v>
      </c>
      <c r="T279">
        <v>279</v>
      </c>
      <c r="U279">
        <v>279</v>
      </c>
      <c r="V279">
        <v>279</v>
      </c>
      <c r="W279">
        <v>279</v>
      </c>
      <c r="X279">
        <v>208.5</v>
      </c>
      <c r="Y279">
        <v>185</v>
      </c>
      <c r="Z279">
        <v>191</v>
      </c>
      <c r="AA279">
        <v>201</v>
      </c>
      <c r="AB279">
        <v>204.33333333333334</v>
      </c>
      <c r="AC279">
        <v>195</v>
      </c>
      <c r="AD279">
        <v>185</v>
      </c>
      <c r="AE279">
        <v>185</v>
      </c>
      <c r="AF279">
        <v>196.42857142857142</v>
      </c>
      <c r="AG279">
        <v>198.33333333333334</v>
      </c>
      <c r="AH279">
        <v>191</v>
      </c>
    </row>
    <row r="280" spans="1:34">
      <c r="A280" t="s">
        <v>9</v>
      </c>
      <c r="B280" t="s">
        <v>104</v>
      </c>
      <c r="C280" t="s">
        <v>142</v>
      </c>
      <c r="D280">
        <v>0</v>
      </c>
      <c r="E280">
        <v>316</v>
      </c>
      <c r="F280">
        <v>0</v>
      </c>
      <c r="G280">
        <v>0</v>
      </c>
      <c r="H280">
        <v>316</v>
      </c>
      <c r="I280">
        <v>316</v>
      </c>
      <c r="J280">
        <v>336</v>
      </c>
      <c r="K280">
        <v>316</v>
      </c>
      <c r="L280">
        <v>316</v>
      </c>
      <c r="M280">
        <v>326</v>
      </c>
      <c r="N280">
        <v>316</v>
      </c>
      <c r="O280">
        <v>336</v>
      </c>
      <c r="P280">
        <v>316</v>
      </c>
      <c r="Q280">
        <v>356</v>
      </c>
      <c r="R280">
        <v>324</v>
      </c>
      <c r="S280">
        <v>336</v>
      </c>
      <c r="T280">
        <v>316</v>
      </c>
      <c r="U280">
        <v>321.71428571428572</v>
      </c>
      <c r="V280">
        <v>316</v>
      </c>
      <c r="W280">
        <v>0</v>
      </c>
      <c r="X280">
        <v>336</v>
      </c>
      <c r="Y280">
        <v>316</v>
      </c>
      <c r="Z280">
        <v>0</v>
      </c>
      <c r="AA280">
        <v>0</v>
      </c>
      <c r="AB280">
        <v>0</v>
      </c>
      <c r="AC280">
        <v>316</v>
      </c>
      <c r="AD280">
        <v>316</v>
      </c>
      <c r="AE280">
        <v>336</v>
      </c>
      <c r="AF280">
        <v>316</v>
      </c>
      <c r="AG280">
        <v>326</v>
      </c>
      <c r="AH280">
        <v>0</v>
      </c>
    </row>
    <row r="281" spans="1:34">
      <c r="A281" t="s">
        <v>92</v>
      </c>
      <c r="B281" t="s">
        <v>104</v>
      </c>
      <c r="C281" t="s">
        <v>144</v>
      </c>
      <c r="D281">
        <v>0</v>
      </c>
      <c r="E281">
        <v>244</v>
      </c>
      <c r="F281">
        <v>244</v>
      </c>
      <c r="G281">
        <v>244</v>
      </c>
      <c r="H281">
        <v>0</v>
      </c>
      <c r="I281">
        <v>244</v>
      </c>
      <c r="J281">
        <v>244</v>
      </c>
      <c r="K281">
        <v>0</v>
      </c>
      <c r="L281">
        <v>270.66666666666669</v>
      </c>
      <c r="M281">
        <v>257.33333333333331</v>
      </c>
      <c r="N281">
        <v>0</v>
      </c>
      <c r="O281">
        <v>244</v>
      </c>
      <c r="P281">
        <v>0</v>
      </c>
      <c r="Q281">
        <v>0</v>
      </c>
      <c r="R281">
        <v>244</v>
      </c>
      <c r="S281">
        <v>0</v>
      </c>
      <c r="T281">
        <v>0</v>
      </c>
      <c r="U281">
        <v>0</v>
      </c>
      <c r="V281">
        <v>244</v>
      </c>
      <c r="W281">
        <v>244</v>
      </c>
      <c r="X281">
        <v>244</v>
      </c>
      <c r="Y281">
        <v>0</v>
      </c>
      <c r="Z281">
        <v>0</v>
      </c>
      <c r="AA281">
        <v>0</v>
      </c>
      <c r="AB281">
        <v>0</v>
      </c>
      <c r="AC281">
        <v>244</v>
      </c>
      <c r="AD281">
        <v>244</v>
      </c>
      <c r="AE281">
        <v>244</v>
      </c>
      <c r="AF281">
        <v>244</v>
      </c>
      <c r="AG281">
        <v>0</v>
      </c>
      <c r="AH281">
        <v>0</v>
      </c>
    </row>
    <row r="282" spans="1:34">
      <c r="A282" t="s">
        <v>50</v>
      </c>
      <c r="B282" t="s">
        <v>104</v>
      </c>
      <c r="C282" t="s">
        <v>144</v>
      </c>
      <c r="D282">
        <v>162.33333333333334</v>
      </c>
      <c r="E282">
        <v>166.14285714285714</v>
      </c>
      <c r="F282">
        <v>154.71428571428572</v>
      </c>
      <c r="G282">
        <v>162.33333333333334</v>
      </c>
      <c r="H282">
        <v>179</v>
      </c>
      <c r="I282">
        <v>149</v>
      </c>
      <c r="J282">
        <v>164</v>
      </c>
      <c r="K282">
        <v>157</v>
      </c>
      <c r="L282">
        <v>173</v>
      </c>
      <c r="M282">
        <v>159</v>
      </c>
      <c r="N282">
        <v>149</v>
      </c>
      <c r="O282">
        <v>169</v>
      </c>
      <c r="P282">
        <v>149</v>
      </c>
      <c r="Q282">
        <v>162.33333333333334</v>
      </c>
      <c r="R282">
        <v>149</v>
      </c>
      <c r="S282">
        <v>181</v>
      </c>
      <c r="T282">
        <v>173</v>
      </c>
      <c r="U282">
        <v>189</v>
      </c>
      <c r="V282">
        <v>157</v>
      </c>
      <c r="W282">
        <v>169</v>
      </c>
      <c r="X282">
        <v>215</v>
      </c>
      <c r="Y282">
        <v>219</v>
      </c>
      <c r="Z282">
        <v>204</v>
      </c>
      <c r="AA282">
        <v>215</v>
      </c>
      <c r="AB282">
        <v>213.54545454545453</v>
      </c>
      <c r="AC282">
        <v>225.66666666666666</v>
      </c>
      <c r="AD282">
        <v>205.66666666666666</v>
      </c>
      <c r="AE282">
        <v>204</v>
      </c>
      <c r="AF282">
        <v>223</v>
      </c>
      <c r="AG282">
        <v>215</v>
      </c>
      <c r="AH282">
        <v>204</v>
      </c>
    </row>
    <row r="283" spans="1:34">
      <c r="A283" t="s">
        <v>58</v>
      </c>
      <c r="B283" t="s">
        <v>104</v>
      </c>
      <c r="C283" t="s">
        <v>142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59</v>
      </c>
      <c r="B284" t="s">
        <v>104</v>
      </c>
      <c r="C284" t="s">
        <v>142</v>
      </c>
      <c r="D284">
        <v>292.33333333333331</v>
      </c>
      <c r="E284">
        <v>255.66666666666666</v>
      </c>
      <c r="F284">
        <v>299</v>
      </c>
      <c r="G284">
        <v>279</v>
      </c>
      <c r="H284">
        <v>292.33333333333331</v>
      </c>
      <c r="I284">
        <v>319</v>
      </c>
      <c r="J284">
        <v>289</v>
      </c>
      <c r="K284">
        <v>299</v>
      </c>
      <c r="L284">
        <v>279</v>
      </c>
      <c r="M284">
        <v>279</v>
      </c>
      <c r="N284">
        <v>279</v>
      </c>
      <c r="O284">
        <v>279</v>
      </c>
      <c r="P284">
        <v>296.14285714285717</v>
      </c>
      <c r="Q284">
        <v>279</v>
      </c>
      <c r="R284">
        <v>285.66666666666669</v>
      </c>
      <c r="S284">
        <v>279</v>
      </c>
      <c r="T284">
        <v>279</v>
      </c>
      <c r="U284">
        <v>279</v>
      </c>
      <c r="V284">
        <v>279</v>
      </c>
      <c r="W284">
        <v>279</v>
      </c>
      <c r="X284">
        <v>208.5</v>
      </c>
      <c r="Y284">
        <v>185</v>
      </c>
      <c r="Z284">
        <v>191</v>
      </c>
      <c r="AA284">
        <v>201</v>
      </c>
      <c r="AB284">
        <v>204.33333333333334</v>
      </c>
      <c r="AC284">
        <v>195</v>
      </c>
      <c r="AD284">
        <v>185</v>
      </c>
      <c r="AE284">
        <v>185</v>
      </c>
      <c r="AF284">
        <v>196.42857142857142</v>
      </c>
      <c r="AG284">
        <v>198.33333333333334</v>
      </c>
      <c r="AH284">
        <v>191</v>
      </c>
    </row>
    <row r="285" spans="1:34">
      <c r="A285" t="s">
        <v>94</v>
      </c>
      <c r="B285" t="s">
        <v>104</v>
      </c>
      <c r="C285" t="s">
        <v>142</v>
      </c>
      <c r="D285">
        <v>845.69230769230774</v>
      </c>
      <c r="E285">
        <v>857.58333333333337</v>
      </c>
      <c r="F285">
        <v>855.64285714285711</v>
      </c>
      <c r="G285">
        <v>858.81818181818187</v>
      </c>
      <c r="H285">
        <v>844.2</v>
      </c>
      <c r="I285">
        <v>825.66666666666663</v>
      </c>
      <c r="J285">
        <v>858.5333333333333</v>
      </c>
      <c r="K285">
        <v>860.76923076923072</v>
      </c>
      <c r="L285">
        <v>849.88888888888891</v>
      </c>
      <c r="M285">
        <v>864.5</v>
      </c>
      <c r="N285">
        <v>858.5333333333333</v>
      </c>
      <c r="O285">
        <v>843.81818181818187</v>
      </c>
      <c r="P285">
        <v>847.71428571428567</v>
      </c>
      <c r="Q285">
        <v>854.125</v>
      </c>
      <c r="R285">
        <v>848.41666666666663</v>
      </c>
      <c r="S285">
        <v>843.8</v>
      </c>
      <c r="T285">
        <v>843.85714285714289</v>
      </c>
      <c r="U285">
        <v>843.83333333333337</v>
      </c>
      <c r="V285">
        <v>839.42857142857144</v>
      </c>
      <c r="W285">
        <v>836.14285714285711</v>
      </c>
      <c r="X285">
        <v>836.22222222222217</v>
      </c>
      <c r="Y285">
        <v>836.25</v>
      </c>
      <c r="Z285">
        <v>834.28571428571433</v>
      </c>
      <c r="AA285">
        <v>834.25</v>
      </c>
      <c r="AB285">
        <v>834.33333333333337</v>
      </c>
      <c r="AC285">
        <v>834.30769230769226</v>
      </c>
      <c r="AD285">
        <v>834.28571428571433</v>
      </c>
      <c r="AE285">
        <v>846.125</v>
      </c>
      <c r="AF285">
        <v>843.76923076923072</v>
      </c>
      <c r="AG285">
        <v>843.85714285714289</v>
      </c>
      <c r="AH285">
        <v>834.28571428571433</v>
      </c>
    </row>
    <row r="286" spans="1:34">
      <c r="A286" t="s">
        <v>38</v>
      </c>
      <c r="B286" t="s">
        <v>104</v>
      </c>
      <c r="C286" t="s">
        <v>144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40</v>
      </c>
      <c r="B287" t="s">
        <v>104</v>
      </c>
      <c r="C287" t="s">
        <v>143</v>
      </c>
      <c r="D287">
        <v>845.66666666666663</v>
      </c>
      <c r="E287">
        <v>871.33333333333337</v>
      </c>
      <c r="F287">
        <v>850.75</v>
      </c>
      <c r="G287">
        <v>854.8</v>
      </c>
      <c r="H287">
        <v>853.22222222222217</v>
      </c>
      <c r="I287">
        <v>849.47058823529414</v>
      </c>
      <c r="J287">
        <v>843.83333333333337</v>
      </c>
      <c r="K287">
        <v>846.68421052631584</v>
      </c>
      <c r="L287">
        <v>853</v>
      </c>
      <c r="M287">
        <v>843.76923076923072</v>
      </c>
      <c r="N287">
        <v>847.05882352941171</v>
      </c>
      <c r="O287">
        <v>854.86666666666667</v>
      </c>
      <c r="P287">
        <v>849.91666666666663</v>
      </c>
      <c r="Q287">
        <v>855.42105263157896</v>
      </c>
      <c r="R287">
        <v>858.81818181818187</v>
      </c>
      <c r="S287">
        <v>857.58333333333337</v>
      </c>
      <c r="T287">
        <v>854.8</v>
      </c>
      <c r="U287">
        <v>868.33333333333337</v>
      </c>
      <c r="V287">
        <v>847.16666666666663</v>
      </c>
      <c r="W287">
        <v>845.84615384615381</v>
      </c>
      <c r="X287">
        <v>840.4</v>
      </c>
      <c r="Y287">
        <v>850.69230769230774</v>
      </c>
      <c r="Z287">
        <v>841.44444444444446</v>
      </c>
      <c r="AA287">
        <v>846.09090909090912</v>
      </c>
      <c r="AB287">
        <v>823</v>
      </c>
      <c r="AC287">
        <v>682</v>
      </c>
      <c r="AD287">
        <v>691.9473684210526</v>
      </c>
      <c r="AE287">
        <v>691.92857142857144</v>
      </c>
      <c r="AF287">
        <v>691.9473684210526</v>
      </c>
      <c r="AG287">
        <v>691.9375</v>
      </c>
      <c r="AH287">
        <v>841.44444444444446</v>
      </c>
    </row>
    <row r="288" spans="1:34">
      <c r="A288" t="s">
        <v>86</v>
      </c>
      <c r="B288" t="s">
        <v>104</v>
      </c>
      <c r="C288" t="s">
        <v>144</v>
      </c>
      <c r="D288">
        <v>0</v>
      </c>
      <c r="E288">
        <v>0</v>
      </c>
      <c r="F288">
        <v>0</v>
      </c>
      <c r="G288">
        <v>269</v>
      </c>
      <c r="H288">
        <v>0</v>
      </c>
      <c r="I288">
        <v>0</v>
      </c>
      <c r="J288">
        <v>309</v>
      </c>
      <c r="K288">
        <v>0</v>
      </c>
      <c r="L288">
        <v>0</v>
      </c>
      <c r="M288">
        <v>0</v>
      </c>
      <c r="N288">
        <v>269</v>
      </c>
      <c r="O288">
        <v>0</v>
      </c>
      <c r="P288">
        <v>269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304</v>
      </c>
      <c r="W288">
        <v>0</v>
      </c>
      <c r="X288">
        <v>309</v>
      </c>
      <c r="Y288">
        <v>0</v>
      </c>
      <c r="Z288">
        <v>269</v>
      </c>
      <c r="AA288">
        <v>269</v>
      </c>
      <c r="AB288">
        <v>0</v>
      </c>
      <c r="AC288">
        <v>0</v>
      </c>
      <c r="AD288">
        <v>269</v>
      </c>
      <c r="AE288">
        <v>0</v>
      </c>
      <c r="AF288">
        <v>0</v>
      </c>
      <c r="AG288">
        <v>267</v>
      </c>
      <c r="AH288">
        <v>269</v>
      </c>
    </row>
    <row r="289" spans="1:34">
      <c r="A289" t="s">
        <v>20</v>
      </c>
      <c r="B289" t="s">
        <v>104</v>
      </c>
      <c r="C289" t="s">
        <v>142</v>
      </c>
      <c r="D289">
        <v>679</v>
      </c>
      <c r="E289">
        <v>679</v>
      </c>
      <c r="F289">
        <v>679</v>
      </c>
      <c r="G289">
        <v>679</v>
      </c>
      <c r="H289">
        <v>679</v>
      </c>
      <c r="I289">
        <v>679</v>
      </c>
      <c r="J289">
        <v>679</v>
      </c>
      <c r="K289">
        <v>679</v>
      </c>
      <c r="L289">
        <v>679</v>
      </c>
      <c r="M289">
        <v>679</v>
      </c>
      <c r="N289">
        <v>679</v>
      </c>
      <c r="O289">
        <v>679</v>
      </c>
      <c r="P289">
        <v>669</v>
      </c>
      <c r="Q289">
        <v>649</v>
      </c>
      <c r="R289">
        <v>649</v>
      </c>
      <c r="S289">
        <v>649</v>
      </c>
      <c r="T289">
        <v>649</v>
      </c>
      <c r="U289">
        <v>649</v>
      </c>
      <c r="V289">
        <v>649</v>
      </c>
      <c r="W289">
        <v>649</v>
      </c>
      <c r="X289">
        <v>649</v>
      </c>
      <c r="Y289">
        <v>649</v>
      </c>
      <c r="Z289">
        <v>649</v>
      </c>
      <c r="AA289">
        <v>649</v>
      </c>
      <c r="AB289">
        <v>649</v>
      </c>
      <c r="AC289">
        <v>649</v>
      </c>
      <c r="AD289">
        <v>649</v>
      </c>
      <c r="AE289">
        <v>599</v>
      </c>
      <c r="AF289">
        <v>599</v>
      </c>
      <c r="AG289">
        <v>599</v>
      </c>
      <c r="AH289">
        <v>649</v>
      </c>
    </row>
    <row r="290" spans="1:34">
      <c r="A290" t="s">
        <v>7</v>
      </c>
      <c r="B290" t="s">
        <v>104</v>
      </c>
      <c r="C290" t="s">
        <v>144</v>
      </c>
      <c r="D290">
        <v>498.4848484848485</v>
      </c>
      <c r="E290">
        <v>492.78125</v>
      </c>
      <c r="F290">
        <v>492.61538461538464</v>
      </c>
      <c r="G290">
        <v>492.61224489795916</v>
      </c>
      <c r="H290">
        <v>494.06976744186045</v>
      </c>
      <c r="I290">
        <v>495.17777777777781</v>
      </c>
      <c r="J290">
        <v>492.60975609756099</v>
      </c>
      <c r="K290">
        <v>492.61111111111109</v>
      </c>
      <c r="L290">
        <v>492.60975609756099</v>
      </c>
      <c r="M290">
        <v>492.61224489795916</v>
      </c>
      <c r="N290">
        <v>492.62</v>
      </c>
      <c r="O290">
        <v>492.60714285714283</v>
      </c>
      <c r="P290">
        <v>492.62857142857143</v>
      </c>
      <c r="Q290">
        <v>492.6</v>
      </c>
      <c r="R290">
        <v>492.61111111111109</v>
      </c>
      <c r="S290">
        <v>492.61290322580646</v>
      </c>
      <c r="T290">
        <v>492.62</v>
      </c>
      <c r="U290">
        <v>492.60869565217394</v>
      </c>
      <c r="V290">
        <v>492.60416666666669</v>
      </c>
      <c r="W290">
        <v>492.61702127659572</v>
      </c>
      <c r="X290">
        <v>492.61818181818182</v>
      </c>
      <c r="Y290">
        <v>492.83333333333331</v>
      </c>
      <c r="Z290">
        <v>483.12087912087912</v>
      </c>
      <c r="AA290">
        <v>483.125</v>
      </c>
      <c r="AB290">
        <v>483.12307692307695</v>
      </c>
      <c r="AC290">
        <v>483.12698412698415</v>
      </c>
      <c r="AD290">
        <v>483.125</v>
      </c>
      <c r="AE290">
        <v>493.85</v>
      </c>
      <c r="AF290">
        <v>492.60714285714283</v>
      </c>
      <c r="AG290">
        <v>492.60465116279067</v>
      </c>
      <c r="AH290">
        <v>483.12087912087912</v>
      </c>
    </row>
    <row r="291" spans="1:34">
      <c r="A291" t="s">
        <v>68</v>
      </c>
      <c r="B291" t="s">
        <v>104</v>
      </c>
      <c r="C291" t="s">
        <v>143</v>
      </c>
      <c r="D291">
        <v>227</v>
      </c>
      <c r="E291">
        <v>0</v>
      </c>
      <c r="F291">
        <v>179.5</v>
      </c>
      <c r="G291">
        <v>0</v>
      </c>
      <c r="H291">
        <v>0</v>
      </c>
      <c r="I291">
        <v>181</v>
      </c>
      <c r="J291">
        <v>0</v>
      </c>
      <c r="K291">
        <v>179</v>
      </c>
      <c r="L291">
        <v>179</v>
      </c>
      <c r="M291">
        <v>179</v>
      </c>
      <c r="N291">
        <v>0</v>
      </c>
      <c r="O291">
        <v>179</v>
      </c>
      <c r="P291">
        <v>179</v>
      </c>
      <c r="Q291">
        <v>0</v>
      </c>
      <c r="R291">
        <v>0</v>
      </c>
      <c r="S291">
        <v>179</v>
      </c>
      <c r="T291">
        <v>0</v>
      </c>
      <c r="U291">
        <v>179.33333333333334</v>
      </c>
      <c r="V291">
        <v>179</v>
      </c>
      <c r="W291">
        <v>172</v>
      </c>
      <c r="X291">
        <v>0</v>
      </c>
      <c r="Y291">
        <v>172</v>
      </c>
      <c r="Z291">
        <v>170</v>
      </c>
      <c r="AA291">
        <v>170</v>
      </c>
      <c r="AB291">
        <v>170</v>
      </c>
      <c r="AC291">
        <v>0</v>
      </c>
      <c r="AD291">
        <v>0</v>
      </c>
      <c r="AE291">
        <v>201</v>
      </c>
      <c r="AF291">
        <v>0</v>
      </c>
      <c r="AG291">
        <v>170</v>
      </c>
      <c r="AH291">
        <v>170</v>
      </c>
    </row>
    <row r="292" spans="1:34">
      <c r="A292" t="s">
        <v>76</v>
      </c>
      <c r="B292" t="s">
        <v>104</v>
      </c>
      <c r="C292" t="s">
        <v>142</v>
      </c>
      <c r="D292">
        <v>135</v>
      </c>
      <c r="E292">
        <v>135</v>
      </c>
      <c r="F292">
        <v>135</v>
      </c>
      <c r="G292">
        <v>135</v>
      </c>
      <c r="H292">
        <v>135</v>
      </c>
      <c r="I292">
        <v>135.09929078014184</v>
      </c>
      <c r="J292">
        <v>135</v>
      </c>
      <c r="K292">
        <v>135</v>
      </c>
      <c r="L292">
        <v>135</v>
      </c>
      <c r="M292">
        <v>135</v>
      </c>
      <c r="N292">
        <v>135</v>
      </c>
      <c r="O292">
        <v>135</v>
      </c>
      <c r="P292">
        <v>135</v>
      </c>
      <c r="Q292">
        <v>135</v>
      </c>
      <c r="R292">
        <v>135</v>
      </c>
      <c r="S292">
        <v>137.43055555555554</v>
      </c>
      <c r="T292">
        <v>135</v>
      </c>
      <c r="U292">
        <v>135</v>
      </c>
      <c r="V292">
        <v>135</v>
      </c>
      <c r="W292">
        <v>135</v>
      </c>
      <c r="X292">
        <v>135.07909604519773</v>
      </c>
      <c r="Y292">
        <v>135</v>
      </c>
      <c r="Z292">
        <v>135</v>
      </c>
      <c r="AA292">
        <v>135</v>
      </c>
      <c r="AB292">
        <v>135</v>
      </c>
      <c r="AC292">
        <v>135</v>
      </c>
      <c r="AD292">
        <v>135.39344262295083</v>
      </c>
      <c r="AE292">
        <v>129.09905660377359</v>
      </c>
      <c r="AF292">
        <v>129.0042735042735</v>
      </c>
      <c r="AG292">
        <v>129.00460829493088</v>
      </c>
      <c r="AH292">
        <v>135</v>
      </c>
    </row>
    <row r="293" spans="1:34">
      <c r="A293" t="s">
        <v>67</v>
      </c>
      <c r="B293" t="s">
        <v>104</v>
      </c>
      <c r="C293" t="s">
        <v>144</v>
      </c>
      <c r="D293">
        <v>845.66666666666663</v>
      </c>
      <c r="E293">
        <v>871.33333333333337</v>
      </c>
      <c r="F293">
        <v>850.75</v>
      </c>
      <c r="G293">
        <v>854.8</v>
      </c>
      <c r="H293">
        <v>853.22222222222217</v>
      </c>
      <c r="I293">
        <v>849.47058823529414</v>
      </c>
      <c r="J293">
        <v>843.83333333333337</v>
      </c>
      <c r="K293">
        <v>846.68421052631584</v>
      </c>
      <c r="L293">
        <v>853</v>
      </c>
      <c r="M293">
        <v>843.76923076923072</v>
      </c>
      <c r="N293">
        <v>847.05882352941171</v>
      </c>
      <c r="O293">
        <v>854.86666666666667</v>
      </c>
      <c r="P293">
        <v>849.91666666666663</v>
      </c>
      <c r="Q293">
        <v>855.42105263157896</v>
      </c>
      <c r="R293">
        <v>858.81818181818187</v>
      </c>
      <c r="S293">
        <v>857.58333333333337</v>
      </c>
      <c r="T293">
        <v>854.8</v>
      </c>
      <c r="U293">
        <v>868.33333333333337</v>
      </c>
      <c r="V293">
        <v>847.16666666666663</v>
      </c>
      <c r="W293">
        <v>845.84615384615381</v>
      </c>
      <c r="X293">
        <v>840.4</v>
      </c>
      <c r="Y293">
        <v>850.69230769230774</v>
      </c>
      <c r="Z293">
        <v>841.44444444444446</v>
      </c>
      <c r="AA293">
        <v>846.09090909090912</v>
      </c>
      <c r="AB293">
        <v>823</v>
      </c>
      <c r="AC293">
        <v>682</v>
      </c>
      <c r="AD293">
        <v>691.9473684210526</v>
      </c>
      <c r="AE293">
        <v>691.92857142857144</v>
      </c>
      <c r="AF293">
        <v>691.9473684210526</v>
      </c>
      <c r="AG293">
        <v>691.9375</v>
      </c>
      <c r="AH293">
        <v>841.44444444444446</v>
      </c>
    </row>
    <row r="294" spans="1:34">
      <c r="A294" t="s">
        <v>84</v>
      </c>
      <c r="B294" t="s">
        <v>104</v>
      </c>
      <c r="C294" t="s">
        <v>144</v>
      </c>
      <c r="D294">
        <v>0</v>
      </c>
      <c r="E294">
        <v>316</v>
      </c>
      <c r="F294">
        <v>0</v>
      </c>
      <c r="G294">
        <v>0</v>
      </c>
      <c r="H294">
        <v>316</v>
      </c>
      <c r="I294">
        <v>316</v>
      </c>
      <c r="J294">
        <v>336</v>
      </c>
      <c r="K294">
        <v>316</v>
      </c>
      <c r="L294">
        <v>316</v>
      </c>
      <c r="M294">
        <v>326</v>
      </c>
      <c r="N294">
        <v>316</v>
      </c>
      <c r="O294">
        <v>336</v>
      </c>
      <c r="P294">
        <v>316</v>
      </c>
      <c r="Q294">
        <v>356</v>
      </c>
      <c r="R294">
        <v>324</v>
      </c>
      <c r="S294">
        <v>336</v>
      </c>
      <c r="T294">
        <v>316</v>
      </c>
      <c r="U294">
        <v>321.71428571428572</v>
      </c>
      <c r="V294">
        <v>316</v>
      </c>
      <c r="W294">
        <v>0</v>
      </c>
      <c r="X294">
        <v>336</v>
      </c>
      <c r="Y294">
        <v>316</v>
      </c>
      <c r="Z294">
        <v>0</v>
      </c>
      <c r="AA294">
        <v>0</v>
      </c>
      <c r="AB294">
        <v>0</v>
      </c>
      <c r="AC294">
        <v>316</v>
      </c>
      <c r="AD294">
        <v>316</v>
      </c>
      <c r="AE294">
        <v>336</v>
      </c>
      <c r="AF294">
        <v>316</v>
      </c>
      <c r="AG294">
        <v>326</v>
      </c>
      <c r="AH294">
        <v>0</v>
      </c>
    </row>
    <row r="295" spans="1:34">
      <c r="A295" t="s">
        <v>95</v>
      </c>
      <c r="B295" t="s">
        <v>104</v>
      </c>
      <c r="C295" t="s">
        <v>142</v>
      </c>
      <c r="D295">
        <v>249</v>
      </c>
      <c r="E295">
        <v>253</v>
      </c>
      <c r="F295">
        <v>260.42857142857144</v>
      </c>
      <c r="G295">
        <v>249</v>
      </c>
      <c r="H295">
        <v>251.85714285714286</v>
      </c>
      <c r="I295">
        <v>255.66666666666666</v>
      </c>
      <c r="J295">
        <v>256.05882352941177</v>
      </c>
      <c r="K295">
        <v>249</v>
      </c>
      <c r="L295">
        <v>252.33333333333334</v>
      </c>
      <c r="M295">
        <v>260.42857142857144</v>
      </c>
      <c r="N295">
        <v>255.66666666666666</v>
      </c>
      <c r="O295">
        <v>249</v>
      </c>
      <c r="P295">
        <v>249</v>
      </c>
      <c r="Q295">
        <v>257.88888888888891</v>
      </c>
      <c r="R295">
        <v>254</v>
      </c>
      <c r="S295">
        <v>253.44444444444446</v>
      </c>
      <c r="T295">
        <v>249</v>
      </c>
      <c r="U295">
        <v>255.66666666666666</v>
      </c>
      <c r="V295">
        <v>259</v>
      </c>
      <c r="W295">
        <v>259</v>
      </c>
      <c r="X295">
        <v>447.66666666666669</v>
      </c>
      <c r="Y295">
        <v>0</v>
      </c>
      <c r="Z295">
        <v>0</v>
      </c>
      <c r="AA295">
        <v>0</v>
      </c>
      <c r="AB295">
        <v>0</v>
      </c>
      <c r="AC295">
        <v>527</v>
      </c>
      <c r="AD295">
        <v>527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66</v>
      </c>
      <c r="B296" t="s">
        <v>104</v>
      </c>
      <c r="C296" t="s">
        <v>144</v>
      </c>
      <c r="D296">
        <v>305.90909090909093</v>
      </c>
      <c r="E296">
        <v>295</v>
      </c>
      <c r="F296">
        <v>300.33333333333331</v>
      </c>
      <c r="G296">
        <v>308.33333333333331</v>
      </c>
      <c r="H296">
        <v>301.66666666666669</v>
      </c>
      <c r="I296">
        <v>303.88888888888891</v>
      </c>
      <c r="J296">
        <v>306.42857142857144</v>
      </c>
      <c r="K296">
        <v>297.66666666666669</v>
      </c>
      <c r="L296">
        <v>303.88888888888891</v>
      </c>
      <c r="M296">
        <v>295</v>
      </c>
      <c r="N296">
        <v>295</v>
      </c>
      <c r="O296">
        <v>305</v>
      </c>
      <c r="P296">
        <v>298.33333333333331</v>
      </c>
      <c r="Q296">
        <v>301.66666666666669</v>
      </c>
      <c r="R296">
        <v>306.42857142857144</v>
      </c>
      <c r="S296">
        <v>315</v>
      </c>
      <c r="T296">
        <v>307.30769230769232</v>
      </c>
      <c r="U296">
        <v>319</v>
      </c>
      <c r="V296">
        <v>295</v>
      </c>
      <c r="W296">
        <v>305</v>
      </c>
      <c r="X296">
        <v>288.33333333333331</v>
      </c>
      <c r="Y296">
        <v>287</v>
      </c>
      <c r="Z296">
        <v>0</v>
      </c>
      <c r="AA296">
        <v>0</v>
      </c>
      <c r="AB296">
        <v>299</v>
      </c>
      <c r="AC296">
        <v>289.43478260869563</v>
      </c>
      <c r="AD296">
        <v>281.35294117647061</v>
      </c>
      <c r="AE296">
        <v>286.22222222222223</v>
      </c>
      <c r="AF296">
        <v>283</v>
      </c>
      <c r="AG296">
        <v>291.5</v>
      </c>
      <c r="AH296">
        <v>0</v>
      </c>
    </row>
    <row r="297" spans="1:34">
      <c r="A297" t="s">
        <v>85</v>
      </c>
      <c r="B297" t="s">
        <v>104</v>
      </c>
      <c r="C297" t="s">
        <v>142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359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379</v>
      </c>
      <c r="AE297">
        <v>359</v>
      </c>
      <c r="AF297">
        <v>0</v>
      </c>
      <c r="AG297">
        <v>0</v>
      </c>
      <c r="AH297">
        <v>0</v>
      </c>
    </row>
    <row r="298" spans="1:34">
      <c r="A298" t="s">
        <v>19</v>
      </c>
      <c r="B298" t="s">
        <v>104</v>
      </c>
      <c r="C298" t="s">
        <v>143</v>
      </c>
      <c r="D298">
        <v>699</v>
      </c>
      <c r="E298">
        <v>699</v>
      </c>
      <c r="F298">
        <v>699</v>
      </c>
      <c r="G298">
        <v>699</v>
      </c>
      <c r="H298">
        <v>699</v>
      </c>
      <c r="I298">
        <v>699</v>
      </c>
      <c r="J298">
        <v>699</v>
      </c>
      <c r="K298">
        <v>699</v>
      </c>
      <c r="L298">
        <v>699</v>
      </c>
      <c r="M298">
        <v>699</v>
      </c>
      <c r="N298">
        <v>699</v>
      </c>
      <c r="O298">
        <v>699</v>
      </c>
      <c r="P298">
        <v>674</v>
      </c>
      <c r="Q298">
        <v>649</v>
      </c>
      <c r="R298">
        <v>649</v>
      </c>
      <c r="S298">
        <v>660.66666666666663</v>
      </c>
      <c r="T298">
        <v>649</v>
      </c>
      <c r="U298">
        <v>649</v>
      </c>
      <c r="V298">
        <v>649</v>
      </c>
      <c r="W298">
        <v>649</v>
      </c>
      <c r="X298">
        <v>649</v>
      </c>
      <c r="Y298">
        <v>649</v>
      </c>
      <c r="Z298">
        <v>649</v>
      </c>
      <c r="AA298">
        <v>649</v>
      </c>
      <c r="AB298">
        <v>649</v>
      </c>
      <c r="AC298">
        <v>649</v>
      </c>
      <c r="AD298">
        <v>649</v>
      </c>
      <c r="AE298">
        <v>625</v>
      </c>
      <c r="AF298">
        <v>625</v>
      </c>
      <c r="AG298">
        <v>625</v>
      </c>
      <c r="AH298">
        <v>649</v>
      </c>
    </row>
    <row r="299" spans="1:34">
      <c r="A299" t="s">
        <v>73</v>
      </c>
      <c r="B299" t="s">
        <v>104</v>
      </c>
      <c r="C299" t="s">
        <v>143</v>
      </c>
      <c r="D299">
        <v>227</v>
      </c>
      <c r="E299">
        <v>0</v>
      </c>
      <c r="F299">
        <v>179.5</v>
      </c>
      <c r="G299">
        <v>0</v>
      </c>
      <c r="H299">
        <v>0</v>
      </c>
      <c r="I299">
        <v>181</v>
      </c>
      <c r="J299">
        <v>0</v>
      </c>
      <c r="K299">
        <v>179</v>
      </c>
      <c r="L299">
        <v>179</v>
      </c>
      <c r="M299">
        <v>179</v>
      </c>
      <c r="N299">
        <v>0</v>
      </c>
      <c r="O299">
        <v>179</v>
      </c>
      <c r="P299">
        <v>179</v>
      </c>
      <c r="Q299">
        <v>0</v>
      </c>
      <c r="R299">
        <v>0</v>
      </c>
      <c r="S299">
        <v>179</v>
      </c>
      <c r="T299">
        <v>0</v>
      </c>
      <c r="U299">
        <v>179.33333333333334</v>
      </c>
      <c r="V299">
        <v>179</v>
      </c>
      <c r="W299">
        <v>172</v>
      </c>
      <c r="X299">
        <v>0</v>
      </c>
      <c r="Y299">
        <v>172</v>
      </c>
      <c r="Z299">
        <v>170</v>
      </c>
      <c r="AA299">
        <v>170</v>
      </c>
      <c r="AB299">
        <v>170</v>
      </c>
      <c r="AC299">
        <v>0</v>
      </c>
      <c r="AD299">
        <v>0</v>
      </c>
      <c r="AE299">
        <v>201</v>
      </c>
      <c r="AF299">
        <v>0</v>
      </c>
      <c r="AG299">
        <v>170</v>
      </c>
      <c r="AH299">
        <v>170</v>
      </c>
    </row>
    <row r="300" spans="1:34">
      <c r="A300" t="s">
        <v>49</v>
      </c>
      <c r="B300" t="s">
        <v>104</v>
      </c>
      <c r="C300" t="s">
        <v>142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479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30</v>
      </c>
      <c r="B301" t="s">
        <v>104</v>
      </c>
      <c r="C301" t="s">
        <v>143</v>
      </c>
      <c r="D301">
        <v>616</v>
      </c>
      <c r="E301">
        <v>616</v>
      </c>
      <c r="F301">
        <v>635.75</v>
      </c>
      <c r="G301">
        <v>616</v>
      </c>
      <c r="H301">
        <v>524.625</v>
      </c>
      <c r="I301">
        <v>612</v>
      </c>
      <c r="J301">
        <v>511.60869565217394</v>
      </c>
      <c r="K301">
        <v>511.58823529411762</v>
      </c>
      <c r="L301">
        <v>511.58823529411762</v>
      </c>
      <c r="M301">
        <v>511.61111111111109</v>
      </c>
      <c r="N301">
        <v>511.57894736842104</v>
      </c>
      <c r="O301">
        <v>507.93103448275861</v>
      </c>
      <c r="P301">
        <v>512.92857142857144</v>
      </c>
      <c r="Q301">
        <v>504</v>
      </c>
      <c r="R301">
        <v>504</v>
      </c>
      <c r="S301">
        <v>415.58064516129031</v>
      </c>
      <c r="T301">
        <v>359.74193548387098</v>
      </c>
      <c r="U301">
        <v>359.71428571428572</v>
      </c>
      <c r="V301">
        <v>359.72972972972974</v>
      </c>
      <c r="W301">
        <v>359.73333333333335</v>
      </c>
      <c r="X301">
        <v>359.72727272727275</v>
      </c>
      <c r="Y301">
        <v>359.72222222222223</v>
      </c>
      <c r="Z301">
        <v>359.72</v>
      </c>
      <c r="AA301">
        <v>359.73809523809524</v>
      </c>
      <c r="AB301">
        <v>359.73170731707319</v>
      </c>
      <c r="AC301">
        <v>359.72727272727275</v>
      </c>
      <c r="AD301">
        <v>359.72727272727275</v>
      </c>
      <c r="AE301">
        <v>359.73170731707319</v>
      </c>
      <c r="AF301">
        <v>359.73170731707319</v>
      </c>
      <c r="AG301">
        <v>359.72500000000002</v>
      </c>
      <c r="AH301">
        <v>359.72</v>
      </c>
    </row>
    <row r="302" spans="1:34">
      <c r="A302" t="s">
        <v>57</v>
      </c>
      <c r="B302" t="s">
        <v>104</v>
      </c>
      <c r="C302" t="s">
        <v>144</v>
      </c>
      <c r="D302">
        <v>0</v>
      </c>
      <c r="E302">
        <v>316</v>
      </c>
      <c r="F302">
        <v>0</v>
      </c>
      <c r="G302">
        <v>0</v>
      </c>
      <c r="H302">
        <v>316</v>
      </c>
      <c r="I302">
        <v>316</v>
      </c>
      <c r="J302">
        <v>336</v>
      </c>
      <c r="K302">
        <v>316</v>
      </c>
      <c r="L302">
        <v>316</v>
      </c>
      <c r="M302">
        <v>326</v>
      </c>
      <c r="N302">
        <v>316</v>
      </c>
      <c r="O302">
        <v>336</v>
      </c>
      <c r="P302">
        <v>316</v>
      </c>
      <c r="Q302">
        <v>356</v>
      </c>
      <c r="R302">
        <v>324</v>
      </c>
      <c r="S302">
        <v>336</v>
      </c>
      <c r="T302">
        <v>316</v>
      </c>
      <c r="U302">
        <v>321.71428571428572</v>
      </c>
      <c r="V302">
        <v>316</v>
      </c>
      <c r="W302">
        <v>0</v>
      </c>
      <c r="X302">
        <v>336</v>
      </c>
      <c r="Y302">
        <v>316</v>
      </c>
      <c r="Z302">
        <v>0</v>
      </c>
      <c r="AA302">
        <v>0</v>
      </c>
      <c r="AB302">
        <v>0</v>
      </c>
      <c r="AC302">
        <v>316</v>
      </c>
      <c r="AD302">
        <v>316</v>
      </c>
      <c r="AE302">
        <v>336</v>
      </c>
      <c r="AF302">
        <v>316</v>
      </c>
      <c r="AG302">
        <v>326</v>
      </c>
      <c r="AH302">
        <v>0</v>
      </c>
    </row>
    <row r="303" spans="1:34">
      <c r="A303" t="s">
        <v>77</v>
      </c>
      <c r="B303" t="s">
        <v>104</v>
      </c>
      <c r="C303" t="s">
        <v>143</v>
      </c>
      <c r="D303">
        <v>0</v>
      </c>
      <c r="E303">
        <v>0</v>
      </c>
      <c r="F303">
        <v>0</v>
      </c>
      <c r="G303">
        <v>269</v>
      </c>
      <c r="H303">
        <v>0</v>
      </c>
      <c r="I303">
        <v>0</v>
      </c>
      <c r="J303">
        <v>309</v>
      </c>
      <c r="K303">
        <v>0</v>
      </c>
      <c r="L303">
        <v>0</v>
      </c>
      <c r="M303">
        <v>0</v>
      </c>
      <c r="N303">
        <v>269</v>
      </c>
      <c r="O303">
        <v>0</v>
      </c>
      <c r="P303">
        <v>269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304</v>
      </c>
      <c r="W303">
        <v>0</v>
      </c>
      <c r="X303">
        <v>309</v>
      </c>
      <c r="Y303">
        <v>0</v>
      </c>
      <c r="Z303">
        <v>269</v>
      </c>
      <c r="AA303">
        <v>269</v>
      </c>
      <c r="AB303">
        <v>0</v>
      </c>
      <c r="AC303">
        <v>0</v>
      </c>
      <c r="AD303">
        <v>269</v>
      </c>
      <c r="AE303">
        <v>0</v>
      </c>
      <c r="AF303">
        <v>0</v>
      </c>
      <c r="AG303">
        <v>267</v>
      </c>
      <c r="AH303">
        <v>269</v>
      </c>
    </row>
    <row r="304" spans="1:34">
      <c r="A304" t="s">
        <v>16</v>
      </c>
      <c r="B304" t="s">
        <v>103</v>
      </c>
      <c r="C304" t="s">
        <v>151</v>
      </c>
      <c r="D304">
        <v>570.5454545454545</v>
      </c>
      <c r="E304">
        <v>570.54166666666663</v>
      </c>
      <c r="F304">
        <v>570.54285714285709</v>
      </c>
      <c r="G304">
        <v>570.55999999999995</v>
      </c>
      <c r="H304">
        <v>570.52631578947364</v>
      </c>
      <c r="I304">
        <v>570.57142857142856</v>
      </c>
      <c r="J304">
        <v>570.57142857142856</v>
      </c>
      <c r="K304">
        <v>570.55555555555554</v>
      </c>
      <c r="L304">
        <v>570.54999999999995</v>
      </c>
      <c r="M304">
        <v>570.54285714285709</v>
      </c>
      <c r="N304">
        <v>570.52380952380952</v>
      </c>
      <c r="O304">
        <v>570.54838709677415</v>
      </c>
      <c r="P304">
        <v>564.97142857142853</v>
      </c>
      <c r="Q304">
        <v>558.02857142857147</v>
      </c>
      <c r="R304">
        <v>558.05882352941171</v>
      </c>
      <c r="S304">
        <v>562.64285714285711</v>
      </c>
      <c r="T304">
        <v>558.0333333333333</v>
      </c>
      <c r="U304">
        <v>558.030303030303</v>
      </c>
      <c r="V304">
        <v>558.04347826086962</v>
      </c>
      <c r="W304">
        <v>558.46</v>
      </c>
      <c r="X304">
        <v>558.85185185185185</v>
      </c>
      <c r="Y304">
        <v>558.0344827586207</v>
      </c>
      <c r="Z304">
        <v>558.04615384615386</v>
      </c>
      <c r="AA304">
        <v>558.04123711340208</v>
      </c>
      <c r="AB304">
        <v>558.04109589041093</v>
      </c>
      <c r="AC304">
        <v>558.04</v>
      </c>
      <c r="AD304">
        <v>558.03614457831327</v>
      </c>
      <c r="AE304">
        <v>534.82051282051282</v>
      </c>
      <c r="AF304">
        <v>534.81818181818187</v>
      </c>
      <c r="AG304">
        <v>534.81981981981983</v>
      </c>
      <c r="AH304">
        <v>558.04615384615386</v>
      </c>
    </row>
    <row r="305" spans="1:34">
      <c r="A305" t="s">
        <v>74</v>
      </c>
      <c r="B305" t="s">
        <v>103</v>
      </c>
      <c r="C305" t="s">
        <v>151</v>
      </c>
      <c r="D305">
        <v>129</v>
      </c>
      <c r="E305">
        <v>129</v>
      </c>
      <c r="F305">
        <v>129</v>
      </c>
      <c r="G305">
        <v>129</v>
      </c>
      <c r="H305">
        <v>129</v>
      </c>
      <c r="I305">
        <v>129</v>
      </c>
      <c r="J305">
        <v>129</v>
      </c>
      <c r="K305">
        <v>129</v>
      </c>
      <c r="L305">
        <v>129</v>
      </c>
      <c r="M305">
        <v>129</v>
      </c>
      <c r="N305">
        <v>129</v>
      </c>
      <c r="O305">
        <v>129</v>
      </c>
      <c r="P305">
        <v>129</v>
      </c>
      <c r="Q305">
        <v>129</v>
      </c>
      <c r="R305">
        <v>129</v>
      </c>
      <c r="S305">
        <v>129</v>
      </c>
      <c r="T305">
        <v>129</v>
      </c>
      <c r="U305">
        <v>129</v>
      </c>
      <c r="V305">
        <v>129</v>
      </c>
      <c r="W305">
        <v>129</v>
      </c>
      <c r="X305">
        <v>129</v>
      </c>
      <c r="Y305">
        <v>129</v>
      </c>
      <c r="Z305">
        <v>131.21052631578948</v>
      </c>
      <c r="AA305">
        <v>129</v>
      </c>
      <c r="AB305">
        <v>129</v>
      </c>
      <c r="AC305">
        <v>129</v>
      </c>
      <c r="AD305">
        <v>132.23076923076923</v>
      </c>
      <c r="AE305">
        <v>119</v>
      </c>
      <c r="AF305">
        <v>119</v>
      </c>
      <c r="AG305">
        <v>119</v>
      </c>
      <c r="AH305">
        <v>131.21052631578948</v>
      </c>
    </row>
    <row r="306" spans="1:34">
      <c r="A306" t="s">
        <v>35</v>
      </c>
      <c r="B306" t="s">
        <v>103</v>
      </c>
      <c r="C306" t="s">
        <v>146</v>
      </c>
      <c r="D306">
        <v>129</v>
      </c>
      <c r="E306">
        <v>129</v>
      </c>
      <c r="F306">
        <v>129</v>
      </c>
      <c r="G306">
        <v>129</v>
      </c>
      <c r="H306">
        <v>129</v>
      </c>
      <c r="I306">
        <v>129.01503759398497</v>
      </c>
      <c r="J306">
        <v>129</v>
      </c>
      <c r="K306">
        <v>129</v>
      </c>
      <c r="L306">
        <v>129</v>
      </c>
      <c r="M306">
        <v>129</v>
      </c>
      <c r="N306">
        <v>129</v>
      </c>
      <c r="O306">
        <v>129</v>
      </c>
      <c r="P306">
        <v>129.03428571428572</v>
      </c>
      <c r="Q306">
        <v>129</v>
      </c>
      <c r="R306">
        <v>129</v>
      </c>
      <c r="S306">
        <v>129.27272727272728</v>
      </c>
      <c r="T306">
        <v>129</v>
      </c>
      <c r="U306">
        <v>129</v>
      </c>
      <c r="V306">
        <v>129</v>
      </c>
      <c r="W306">
        <v>128.98780487804879</v>
      </c>
      <c r="X306">
        <v>129.04878048780489</v>
      </c>
      <c r="Y306">
        <v>129</v>
      </c>
      <c r="Z306">
        <v>129</v>
      </c>
      <c r="AA306">
        <v>129</v>
      </c>
      <c r="AB306">
        <v>129</v>
      </c>
      <c r="AC306">
        <v>129</v>
      </c>
      <c r="AD306">
        <v>128.9748427672956</v>
      </c>
      <c r="AE306">
        <v>129.03333333333333</v>
      </c>
      <c r="AF306">
        <v>129</v>
      </c>
      <c r="AG306">
        <v>129</v>
      </c>
      <c r="AH306">
        <v>129</v>
      </c>
    </row>
    <row r="307" spans="1:34">
      <c r="A307" t="s">
        <v>15</v>
      </c>
      <c r="B307" t="s">
        <v>103</v>
      </c>
      <c r="C307" t="s">
        <v>146</v>
      </c>
      <c r="D307">
        <v>199</v>
      </c>
      <c r="E307">
        <v>199</v>
      </c>
      <c r="F307">
        <v>199</v>
      </c>
      <c r="G307">
        <v>199</v>
      </c>
      <c r="H307">
        <v>199</v>
      </c>
      <c r="I307">
        <v>199</v>
      </c>
      <c r="J307">
        <v>199</v>
      </c>
      <c r="K307">
        <v>199</v>
      </c>
      <c r="L307">
        <v>199</v>
      </c>
      <c r="M307">
        <v>199</v>
      </c>
      <c r="N307">
        <v>199</v>
      </c>
      <c r="O307">
        <v>199</v>
      </c>
      <c r="P307">
        <v>199</v>
      </c>
      <c r="Q307">
        <v>199</v>
      </c>
      <c r="R307">
        <v>199</v>
      </c>
      <c r="S307">
        <v>208.27272727272728</v>
      </c>
      <c r="T307">
        <v>199</v>
      </c>
      <c r="U307">
        <v>199</v>
      </c>
      <c r="V307">
        <v>199</v>
      </c>
      <c r="W307">
        <v>199</v>
      </c>
      <c r="X307">
        <v>199</v>
      </c>
      <c r="Y307">
        <v>199</v>
      </c>
      <c r="Z307">
        <v>199</v>
      </c>
      <c r="AA307">
        <v>199</v>
      </c>
      <c r="AB307">
        <v>204.1</v>
      </c>
      <c r="AC307">
        <v>199</v>
      </c>
      <c r="AD307">
        <v>199</v>
      </c>
      <c r="AE307">
        <v>199</v>
      </c>
      <c r="AF307">
        <v>199</v>
      </c>
      <c r="AG307">
        <v>199</v>
      </c>
      <c r="AH307">
        <v>199</v>
      </c>
    </row>
    <row r="308" spans="1:34">
      <c r="A308" t="s">
        <v>64</v>
      </c>
      <c r="B308" t="s">
        <v>103</v>
      </c>
      <c r="C308" t="s">
        <v>145</v>
      </c>
      <c r="D308">
        <v>699</v>
      </c>
      <c r="E308">
        <v>699</v>
      </c>
      <c r="F308">
        <v>699</v>
      </c>
      <c r="G308">
        <v>699</v>
      </c>
      <c r="H308">
        <v>699</v>
      </c>
      <c r="I308">
        <v>699</v>
      </c>
      <c r="J308">
        <v>699</v>
      </c>
      <c r="K308">
        <v>699</v>
      </c>
      <c r="L308">
        <v>699</v>
      </c>
      <c r="M308">
        <v>699</v>
      </c>
      <c r="N308">
        <v>699</v>
      </c>
      <c r="O308">
        <v>699</v>
      </c>
      <c r="P308">
        <v>674</v>
      </c>
      <c r="Q308">
        <v>649</v>
      </c>
      <c r="R308">
        <v>649</v>
      </c>
      <c r="S308">
        <v>660.66666666666663</v>
      </c>
      <c r="T308">
        <v>649</v>
      </c>
      <c r="U308">
        <v>649</v>
      </c>
      <c r="V308">
        <v>649</v>
      </c>
      <c r="W308">
        <v>649</v>
      </c>
      <c r="X308">
        <v>649</v>
      </c>
      <c r="Y308">
        <v>649</v>
      </c>
      <c r="Z308">
        <v>649</v>
      </c>
      <c r="AA308">
        <v>649</v>
      </c>
      <c r="AB308">
        <v>649</v>
      </c>
      <c r="AC308">
        <v>649</v>
      </c>
      <c r="AD308">
        <v>649</v>
      </c>
      <c r="AE308">
        <v>625</v>
      </c>
      <c r="AF308">
        <v>625</v>
      </c>
      <c r="AG308">
        <v>625</v>
      </c>
      <c r="AH308">
        <v>649</v>
      </c>
    </row>
    <row r="309" spans="1:34">
      <c r="A309" t="s">
        <v>72</v>
      </c>
      <c r="B309" t="s">
        <v>103</v>
      </c>
      <c r="C309" t="s">
        <v>145</v>
      </c>
      <c r="D309">
        <v>417.85365853658539</v>
      </c>
      <c r="E309">
        <v>417.85714285714283</v>
      </c>
      <c r="F309">
        <v>417.86111111111109</v>
      </c>
      <c r="G309">
        <v>417.85365853658539</v>
      </c>
      <c r="H309">
        <v>417.86666666666667</v>
      </c>
      <c r="I309">
        <v>417.85</v>
      </c>
      <c r="J309">
        <v>417.86666666666667</v>
      </c>
      <c r="K309">
        <v>417.85714285714283</v>
      </c>
      <c r="L309">
        <v>417.86538461538464</v>
      </c>
      <c r="M309">
        <v>417.86206896551727</v>
      </c>
      <c r="N309">
        <v>417.86274509803923</v>
      </c>
      <c r="O309">
        <v>417.86956521739131</v>
      </c>
      <c r="P309">
        <v>417.89473684210526</v>
      </c>
      <c r="Q309">
        <v>417.85185185185185</v>
      </c>
      <c r="R309">
        <v>417.86666666666667</v>
      </c>
      <c r="S309">
        <v>417.875</v>
      </c>
      <c r="T309">
        <v>417.85185185185185</v>
      </c>
      <c r="U309">
        <v>417.84848484848487</v>
      </c>
      <c r="V309">
        <v>417.875</v>
      </c>
      <c r="W309">
        <v>417.85714285714283</v>
      </c>
      <c r="X309">
        <v>417.86486486486484</v>
      </c>
      <c r="Y309">
        <v>417.86842105263156</v>
      </c>
      <c r="Z309">
        <v>417.85714285714283</v>
      </c>
      <c r="AA309">
        <v>417.87179487179486</v>
      </c>
      <c r="AB309">
        <v>417.85</v>
      </c>
      <c r="AC309">
        <v>417.85365853658539</v>
      </c>
      <c r="AD309">
        <v>417.88</v>
      </c>
      <c r="AE309">
        <v>417.85714285714283</v>
      </c>
      <c r="AF309">
        <v>417.86363636363637</v>
      </c>
      <c r="AG309">
        <v>417.85185185185185</v>
      </c>
      <c r="AH309">
        <v>417.85714285714283</v>
      </c>
    </row>
    <row r="310" spans="1:34">
      <c r="A310" t="s">
        <v>55</v>
      </c>
      <c r="B310" t="s">
        <v>103</v>
      </c>
      <c r="C310" t="s">
        <v>151</v>
      </c>
      <c r="D310">
        <v>135</v>
      </c>
      <c r="E310">
        <v>135</v>
      </c>
      <c r="F310">
        <v>135</v>
      </c>
      <c r="G310">
        <v>135</v>
      </c>
      <c r="H310">
        <v>135</v>
      </c>
      <c r="I310">
        <v>135.09929078014184</v>
      </c>
      <c r="J310">
        <v>135</v>
      </c>
      <c r="K310">
        <v>135</v>
      </c>
      <c r="L310">
        <v>135</v>
      </c>
      <c r="M310">
        <v>135</v>
      </c>
      <c r="N310">
        <v>135</v>
      </c>
      <c r="O310">
        <v>135</v>
      </c>
      <c r="P310">
        <v>135</v>
      </c>
      <c r="Q310">
        <v>135</v>
      </c>
      <c r="R310">
        <v>135</v>
      </c>
      <c r="S310">
        <v>137.43055555555554</v>
      </c>
      <c r="T310">
        <v>135</v>
      </c>
      <c r="U310">
        <v>135</v>
      </c>
      <c r="V310">
        <v>135</v>
      </c>
      <c r="W310">
        <v>135</v>
      </c>
      <c r="X310">
        <v>135.07909604519773</v>
      </c>
      <c r="Y310">
        <v>135</v>
      </c>
      <c r="Z310">
        <v>135</v>
      </c>
      <c r="AA310">
        <v>135</v>
      </c>
      <c r="AB310">
        <v>135</v>
      </c>
      <c r="AC310">
        <v>135</v>
      </c>
      <c r="AD310">
        <v>135.39344262295083</v>
      </c>
      <c r="AE310">
        <v>129.09905660377359</v>
      </c>
      <c r="AF310">
        <v>129.0042735042735</v>
      </c>
      <c r="AG310">
        <v>129.00460829493088</v>
      </c>
      <c r="AH310">
        <v>135</v>
      </c>
    </row>
    <row r="311" spans="1:34">
      <c r="A311" t="s">
        <v>24</v>
      </c>
      <c r="B311" t="s">
        <v>103</v>
      </c>
      <c r="C311" t="s">
        <v>151</v>
      </c>
      <c r="D311">
        <v>679</v>
      </c>
      <c r="E311">
        <v>679</v>
      </c>
      <c r="F311">
        <v>679</v>
      </c>
      <c r="G311">
        <v>679</v>
      </c>
      <c r="H311">
        <v>679</v>
      </c>
      <c r="I311">
        <v>679</v>
      </c>
      <c r="J311">
        <v>679</v>
      </c>
      <c r="K311">
        <v>679</v>
      </c>
      <c r="L311">
        <v>679</v>
      </c>
      <c r="M311">
        <v>679</v>
      </c>
      <c r="N311">
        <v>679</v>
      </c>
      <c r="O311">
        <v>679</v>
      </c>
      <c r="P311">
        <v>669</v>
      </c>
      <c r="Q311">
        <v>649</v>
      </c>
      <c r="R311">
        <v>649</v>
      </c>
      <c r="S311">
        <v>649</v>
      </c>
      <c r="T311">
        <v>649</v>
      </c>
      <c r="U311">
        <v>649</v>
      </c>
      <c r="V311">
        <v>649</v>
      </c>
      <c r="W311">
        <v>649</v>
      </c>
      <c r="X311">
        <v>649</v>
      </c>
      <c r="Y311">
        <v>649</v>
      </c>
      <c r="Z311">
        <v>649</v>
      </c>
      <c r="AA311">
        <v>649</v>
      </c>
      <c r="AB311">
        <v>649</v>
      </c>
      <c r="AC311">
        <v>649</v>
      </c>
      <c r="AD311">
        <v>649</v>
      </c>
      <c r="AE311">
        <v>599</v>
      </c>
      <c r="AF311">
        <v>599</v>
      </c>
      <c r="AG311">
        <v>599</v>
      </c>
      <c r="AH311">
        <v>649</v>
      </c>
    </row>
    <row r="312" spans="1:34">
      <c r="A312" t="s">
        <v>90</v>
      </c>
      <c r="B312" t="s">
        <v>103</v>
      </c>
      <c r="C312" t="s">
        <v>151</v>
      </c>
      <c r="D312">
        <v>498.4848484848485</v>
      </c>
      <c r="E312">
        <v>492.78125</v>
      </c>
      <c r="F312">
        <v>492.61538461538464</v>
      </c>
      <c r="G312">
        <v>492.61224489795916</v>
      </c>
      <c r="H312">
        <v>494.06976744186045</v>
      </c>
      <c r="I312">
        <v>495.17777777777781</v>
      </c>
      <c r="J312">
        <v>492.60975609756099</v>
      </c>
      <c r="K312">
        <v>492.61111111111109</v>
      </c>
      <c r="L312">
        <v>492.60975609756099</v>
      </c>
      <c r="M312">
        <v>492.61224489795916</v>
      </c>
      <c r="N312">
        <v>492.62</v>
      </c>
      <c r="O312">
        <v>492.60714285714283</v>
      </c>
      <c r="P312">
        <v>492.62857142857143</v>
      </c>
      <c r="Q312">
        <v>492.6</v>
      </c>
      <c r="R312">
        <v>492.61111111111109</v>
      </c>
      <c r="S312">
        <v>492.61290322580646</v>
      </c>
      <c r="T312">
        <v>492.62</v>
      </c>
      <c r="U312">
        <v>492.60869565217394</v>
      </c>
      <c r="V312">
        <v>492.60416666666669</v>
      </c>
      <c r="W312">
        <v>492.61702127659572</v>
      </c>
      <c r="X312">
        <v>492.61818181818182</v>
      </c>
      <c r="Y312">
        <v>492.83333333333331</v>
      </c>
      <c r="Z312">
        <v>483.12087912087912</v>
      </c>
      <c r="AA312">
        <v>483.125</v>
      </c>
      <c r="AB312">
        <v>483.12307692307695</v>
      </c>
      <c r="AC312">
        <v>483.12698412698415</v>
      </c>
      <c r="AD312">
        <v>483.125</v>
      </c>
      <c r="AE312">
        <v>493.85</v>
      </c>
      <c r="AF312">
        <v>492.60714285714283</v>
      </c>
      <c r="AG312">
        <v>492.60465116279067</v>
      </c>
      <c r="AH312">
        <v>483.12087912087912</v>
      </c>
    </row>
    <row r="313" spans="1:34">
      <c r="A313" t="s">
        <v>81</v>
      </c>
      <c r="B313" t="s">
        <v>103</v>
      </c>
      <c r="C313" t="s">
        <v>151</v>
      </c>
      <c r="D313">
        <v>417.85365853658539</v>
      </c>
      <c r="E313">
        <v>417.85714285714283</v>
      </c>
      <c r="F313">
        <v>417.86111111111109</v>
      </c>
      <c r="G313">
        <v>417.85365853658539</v>
      </c>
      <c r="H313">
        <v>417.86666666666667</v>
      </c>
      <c r="I313">
        <v>417.85</v>
      </c>
      <c r="J313">
        <v>417.86666666666667</v>
      </c>
      <c r="K313">
        <v>417.85714285714283</v>
      </c>
      <c r="L313">
        <v>417.86538461538464</v>
      </c>
      <c r="M313">
        <v>417.86206896551727</v>
      </c>
      <c r="N313">
        <v>417.86274509803923</v>
      </c>
      <c r="O313">
        <v>417.86956521739131</v>
      </c>
      <c r="P313">
        <v>417.89473684210526</v>
      </c>
      <c r="Q313">
        <v>417.85185185185185</v>
      </c>
      <c r="R313">
        <v>417.86666666666667</v>
      </c>
      <c r="S313">
        <v>417.875</v>
      </c>
      <c r="T313">
        <v>417.85185185185185</v>
      </c>
      <c r="U313">
        <v>417.84848484848487</v>
      </c>
      <c r="V313">
        <v>417.875</v>
      </c>
      <c r="W313">
        <v>417.85714285714283</v>
      </c>
      <c r="X313">
        <v>417.86486486486484</v>
      </c>
      <c r="Y313">
        <v>417.86842105263156</v>
      </c>
      <c r="Z313">
        <v>417.85714285714283</v>
      </c>
      <c r="AA313">
        <v>417.87179487179486</v>
      </c>
      <c r="AB313">
        <v>417.85</v>
      </c>
      <c r="AC313">
        <v>417.85365853658539</v>
      </c>
      <c r="AD313">
        <v>417.88</v>
      </c>
      <c r="AE313">
        <v>417.85714285714283</v>
      </c>
      <c r="AF313">
        <v>417.86363636363637</v>
      </c>
      <c r="AG313">
        <v>417.85185185185185</v>
      </c>
      <c r="AH313">
        <v>417.85714285714283</v>
      </c>
    </row>
    <row r="314" spans="1:34">
      <c r="A314" t="s">
        <v>99</v>
      </c>
      <c r="B314" t="s">
        <v>103</v>
      </c>
      <c r="C314" t="s">
        <v>146</v>
      </c>
      <c r="D314">
        <v>227</v>
      </c>
      <c r="E314">
        <v>0</v>
      </c>
      <c r="F314">
        <v>179.5</v>
      </c>
      <c r="G314">
        <v>0</v>
      </c>
      <c r="H314">
        <v>0</v>
      </c>
      <c r="I314">
        <v>181</v>
      </c>
      <c r="J314">
        <v>0</v>
      </c>
      <c r="K314">
        <v>179</v>
      </c>
      <c r="L314">
        <v>179</v>
      </c>
      <c r="M314">
        <v>179</v>
      </c>
      <c r="N314">
        <v>0</v>
      </c>
      <c r="O314">
        <v>179</v>
      </c>
      <c r="P314">
        <v>179</v>
      </c>
      <c r="Q314">
        <v>0</v>
      </c>
      <c r="R314">
        <v>0</v>
      </c>
      <c r="S314">
        <v>179</v>
      </c>
      <c r="T314">
        <v>0</v>
      </c>
      <c r="U314">
        <v>179.33333333333334</v>
      </c>
      <c r="V314">
        <v>179</v>
      </c>
      <c r="W314">
        <v>172</v>
      </c>
      <c r="X314">
        <v>0</v>
      </c>
      <c r="Y314">
        <v>172</v>
      </c>
      <c r="Z314">
        <v>170</v>
      </c>
      <c r="AA314">
        <v>170</v>
      </c>
      <c r="AB314">
        <v>170</v>
      </c>
      <c r="AC314">
        <v>0</v>
      </c>
      <c r="AD314">
        <v>0</v>
      </c>
      <c r="AE314">
        <v>201</v>
      </c>
      <c r="AF314">
        <v>0</v>
      </c>
      <c r="AG314">
        <v>170</v>
      </c>
      <c r="AH314">
        <v>170</v>
      </c>
    </row>
    <row r="315" spans="1:34">
      <c r="A315" t="s">
        <v>45</v>
      </c>
      <c r="B315" t="s">
        <v>103</v>
      </c>
      <c r="C315" t="s">
        <v>151</v>
      </c>
      <c r="D315">
        <v>135</v>
      </c>
      <c r="E315">
        <v>135</v>
      </c>
      <c r="F315">
        <v>135</v>
      </c>
      <c r="G315">
        <v>135</v>
      </c>
      <c r="H315">
        <v>135</v>
      </c>
      <c r="I315">
        <v>135.09929078014184</v>
      </c>
      <c r="J315">
        <v>135</v>
      </c>
      <c r="K315">
        <v>135</v>
      </c>
      <c r="L315">
        <v>135</v>
      </c>
      <c r="M315">
        <v>135</v>
      </c>
      <c r="N315">
        <v>135</v>
      </c>
      <c r="O315">
        <v>135</v>
      </c>
      <c r="P315">
        <v>135</v>
      </c>
      <c r="Q315">
        <v>135</v>
      </c>
      <c r="R315">
        <v>135</v>
      </c>
      <c r="S315">
        <v>137.43055555555554</v>
      </c>
      <c r="T315">
        <v>135</v>
      </c>
      <c r="U315">
        <v>135</v>
      </c>
      <c r="V315">
        <v>135</v>
      </c>
      <c r="W315">
        <v>135</v>
      </c>
      <c r="X315">
        <v>135.07909604519773</v>
      </c>
      <c r="Y315">
        <v>135</v>
      </c>
      <c r="Z315">
        <v>135</v>
      </c>
      <c r="AA315">
        <v>135</v>
      </c>
      <c r="AB315">
        <v>135</v>
      </c>
      <c r="AC315">
        <v>135</v>
      </c>
      <c r="AD315">
        <v>135.39344262295083</v>
      </c>
      <c r="AE315">
        <v>129.09905660377359</v>
      </c>
      <c r="AF315">
        <v>129.0042735042735</v>
      </c>
      <c r="AG315">
        <v>129.00460829493088</v>
      </c>
      <c r="AH315">
        <v>135</v>
      </c>
    </row>
    <row r="316" spans="1:34">
      <c r="A316" t="s">
        <v>100</v>
      </c>
      <c r="B316" t="s">
        <v>103</v>
      </c>
      <c r="C316" t="s">
        <v>145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479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63</v>
      </c>
      <c r="B317" t="s">
        <v>103</v>
      </c>
      <c r="C317" t="s">
        <v>151</v>
      </c>
      <c r="D317">
        <v>845.66666666666663</v>
      </c>
      <c r="E317">
        <v>871.33333333333337</v>
      </c>
      <c r="F317">
        <v>850.75</v>
      </c>
      <c r="G317">
        <v>854.8</v>
      </c>
      <c r="H317">
        <v>853.22222222222217</v>
      </c>
      <c r="I317">
        <v>849.47058823529414</v>
      </c>
      <c r="J317">
        <v>843.83333333333337</v>
      </c>
      <c r="K317">
        <v>846.68421052631584</v>
      </c>
      <c r="L317">
        <v>853</v>
      </c>
      <c r="M317">
        <v>843.76923076923072</v>
      </c>
      <c r="N317">
        <v>847.05882352941171</v>
      </c>
      <c r="O317">
        <v>854.86666666666667</v>
      </c>
      <c r="P317">
        <v>849.91666666666663</v>
      </c>
      <c r="Q317">
        <v>855.42105263157896</v>
      </c>
      <c r="R317">
        <v>858.81818181818187</v>
      </c>
      <c r="S317">
        <v>857.58333333333337</v>
      </c>
      <c r="T317">
        <v>854.8</v>
      </c>
      <c r="U317">
        <v>868.33333333333337</v>
      </c>
      <c r="V317">
        <v>847.16666666666663</v>
      </c>
      <c r="W317">
        <v>845.84615384615381</v>
      </c>
      <c r="X317">
        <v>840.4</v>
      </c>
      <c r="Y317">
        <v>850.69230769230774</v>
      </c>
      <c r="Z317">
        <v>841.44444444444446</v>
      </c>
      <c r="AA317">
        <v>846.09090909090912</v>
      </c>
      <c r="AB317">
        <v>823</v>
      </c>
      <c r="AC317">
        <v>682</v>
      </c>
      <c r="AD317">
        <v>691.9473684210526</v>
      </c>
      <c r="AE317">
        <v>691.92857142857144</v>
      </c>
      <c r="AF317">
        <v>691.9473684210526</v>
      </c>
      <c r="AG317">
        <v>691.9375</v>
      </c>
      <c r="AH317">
        <v>841.44444444444446</v>
      </c>
    </row>
    <row r="318" spans="1:34">
      <c r="A318" t="s">
        <v>93</v>
      </c>
      <c r="B318" t="s">
        <v>103</v>
      </c>
      <c r="C318" t="s">
        <v>146</v>
      </c>
      <c r="D318">
        <v>616</v>
      </c>
      <c r="E318">
        <v>616</v>
      </c>
      <c r="F318">
        <v>635.75</v>
      </c>
      <c r="G318">
        <v>616</v>
      </c>
      <c r="H318">
        <v>524.625</v>
      </c>
      <c r="I318">
        <v>612</v>
      </c>
      <c r="J318">
        <v>511.60869565217394</v>
      </c>
      <c r="K318">
        <v>511.58823529411762</v>
      </c>
      <c r="L318">
        <v>511.58823529411762</v>
      </c>
      <c r="M318">
        <v>511.61111111111109</v>
      </c>
      <c r="N318">
        <v>511.57894736842104</v>
      </c>
      <c r="O318">
        <v>507.93103448275861</v>
      </c>
      <c r="P318">
        <v>512.92857142857144</v>
      </c>
      <c r="Q318">
        <v>504</v>
      </c>
      <c r="R318">
        <v>504</v>
      </c>
      <c r="S318">
        <v>415.58064516129031</v>
      </c>
      <c r="T318">
        <v>359.74193548387098</v>
      </c>
      <c r="U318">
        <v>359.71428571428572</v>
      </c>
      <c r="V318">
        <v>359.72972972972974</v>
      </c>
      <c r="W318">
        <v>359.73333333333335</v>
      </c>
      <c r="X318">
        <v>359.72727272727275</v>
      </c>
      <c r="Y318">
        <v>359.72222222222223</v>
      </c>
      <c r="Z318">
        <v>359.72</v>
      </c>
      <c r="AA318">
        <v>359.73809523809524</v>
      </c>
      <c r="AB318">
        <v>359.73170731707319</v>
      </c>
      <c r="AC318">
        <v>359.72727272727275</v>
      </c>
      <c r="AD318">
        <v>359.72727272727275</v>
      </c>
      <c r="AE318">
        <v>359.73170731707319</v>
      </c>
      <c r="AF318">
        <v>359.73170731707319</v>
      </c>
      <c r="AG318">
        <v>359.72500000000002</v>
      </c>
      <c r="AH318">
        <v>359.72</v>
      </c>
    </row>
    <row r="319" spans="1:34">
      <c r="A319" t="s">
        <v>37</v>
      </c>
      <c r="B319" t="s">
        <v>103</v>
      </c>
      <c r="C319" t="s">
        <v>146</v>
      </c>
      <c r="D319">
        <v>162.33333333333334</v>
      </c>
      <c r="E319">
        <v>166.14285714285714</v>
      </c>
      <c r="F319">
        <v>154.71428571428572</v>
      </c>
      <c r="G319">
        <v>162.33333333333334</v>
      </c>
      <c r="H319">
        <v>179</v>
      </c>
      <c r="I319">
        <v>149</v>
      </c>
      <c r="J319">
        <v>164</v>
      </c>
      <c r="K319">
        <v>157</v>
      </c>
      <c r="L319">
        <v>173</v>
      </c>
      <c r="M319">
        <v>159</v>
      </c>
      <c r="N319">
        <v>149</v>
      </c>
      <c r="O319">
        <v>169</v>
      </c>
      <c r="P319">
        <v>149</v>
      </c>
      <c r="Q319">
        <v>162.33333333333334</v>
      </c>
      <c r="R319">
        <v>149</v>
      </c>
      <c r="S319">
        <v>181</v>
      </c>
      <c r="T319">
        <v>173</v>
      </c>
      <c r="U319">
        <v>189</v>
      </c>
      <c r="V319">
        <v>157</v>
      </c>
      <c r="W319">
        <v>169</v>
      </c>
      <c r="X319">
        <v>215</v>
      </c>
      <c r="Y319">
        <v>219</v>
      </c>
      <c r="Z319">
        <v>204</v>
      </c>
      <c r="AA319">
        <v>215</v>
      </c>
      <c r="AB319">
        <v>213.54545454545453</v>
      </c>
      <c r="AC319">
        <v>225.66666666666666</v>
      </c>
      <c r="AD319">
        <v>205.66666666666666</v>
      </c>
      <c r="AE319">
        <v>204</v>
      </c>
      <c r="AF319">
        <v>223</v>
      </c>
      <c r="AG319">
        <v>215</v>
      </c>
      <c r="AH319">
        <v>204</v>
      </c>
    </row>
    <row r="320" spans="1:34">
      <c r="A320" t="s">
        <v>15</v>
      </c>
      <c r="B320" t="s">
        <v>103</v>
      </c>
      <c r="C320" t="s">
        <v>151</v>
      </c>
      <c r="D320">
        <v>498.4848484848485</v>
      </c>
      <c r="E320">
        <v>492.78125</v>
      </c>
      <c r="F320">
        <v>492.61538461538464</v>
      </c>
      <c r="G320">
        <v>492.61224489795916</v>
      </c>
      <c r="H320">
        <v>494.06976744186045</v>
      </c>
      <c r="I320">
        <v>495.17777777777781</v>
      </c>
      <c r="J320">
        <v>492.60975609756099</v>
      </c>
      <c r="K320">
        <v>492.61111111111109</v>
      </c>
      <c r="L320">
        <v>492.60975609756099</v>
      </c>
      <c r="M320">
        <v>492.61224489795916</v>
      </c>
      <c r="N320">
        <v>492.62</v>
      </c>
      <c r="O320">
        <v>492.60714285714283</v>
      </c>
      <c r="P320">
        <v>492.62857142857143</v>
      </c>
      <c r="Q320">
        <v>492.6</v>
      </c>
      <c r="R320">
        <v>492.61111111111109</v>
      </c>
      <c r="S320">
        <v>492.61290322580646</v>
      </c>
      <c r="T320">
        <v>492.62</v>
      </c>
      <c r="U320">
        <v>492.60869565217394</v>
      </c>
      <c r="V320">
        <v>492.60416666666669</v>
      </c>
      <c r="W320">
        <v>492.61702127659572</v>
      </c>
      <c r="X320">
        <v>492.61818181818182</v>
      </c>
      <c r="Y320">
        <v>492.83333333333331</v>
      </c>
      <c r="Z320">
        <v>483.12087912087912</v>
      </c>
      <c r="AA320">
        <v>483.125</v>
      </c>
      <c r="AB320">
        <v>483.12307692307695</v>
      </c>
      <c r="AC320">
        <v>483.12698412698415</v>
      </c>
      <c r="AD320">
        <v>483.125</v>
      </c>
      <c r="AE320">
        <v>493.85</v>
      </c>
      <c r="AF320">
        <v>492.60714285714283</v>
      </c>
      <c r="AG320">
        <v>492.60465116279067</v>
      </c>
      <c r="AH320">
        <v>483.12087912087912</v>
      </c>
    </row>
    <row r="321" spans="1:34">
      <c r="A321" t="s">
        <v>54</v>
      </c>
      <c r="B321" t="s">
        <v>103</v>
      </c>
      <c r="C321" t="s">
        <v>151</v>
      </c>
      <c r="D321">
        <v>227</v>
      </c>
      <c r="E321">
        <v>0</v>
      </c>
      <c r="F321">
        <v>179.5</v>
      </c>
      <c r="G321">
        <v>0</v>
      </c>
      <c r="H321">
        <v>0</v>
      </c>
      <c r="I321">
        <v>181</v>
      </c>
      <c r="J321">
        <v>0</v>
      </c>
      <c r="K321">
        <v>179</v>
      </c>
      <c r="L321">
        <v>179</v>
      </c>
      <c r="M321">
        <v>179</v>
      </c>
      <c r="N321">
        <v>0</v>
      </c>
      <c r="O321">
        <v>179</v>
      </c>
      <c r="P321">
        <v>179</v>
      </c>
      <c r="Q321">
        <v>0</v>
      </c>
      <c r="R321">
        <v>0</v>
      </c>
      <c r="S321">
        <v>179</v>
      </c>
      <c r="T321">
        <v>0</v>
      </c>
      <c r="U321">
        <v>179.33333333333334</v>
      </c>
      <c r="V321">
        <v>179</v>
      </c>
      <c r="W321">
        <v>172</v>
      </c>
      <c r="X321">
        <v>0</v>
      </c>
      <c r="Y321">
        <v>172</v>
      </c>
      <c r="Z321">
        <v>170</v>
      </c>
      <c r="AA321">
        <v>170</v>
      </c>
      <c r="AB321">
        <v>170</v>
      </c>
      <c r="AC321">
        <v>0</v>
      </c>
      <c r="AD321">
        <v>0</v>
      </c>
      <c r="AE321">
        <v>201</v>
      </c>
      <c r="AF321">
        <v>0</v>
      </c>
      <c r="AG321">
        <v>170</v>
      </c>
      <c r="AH321">
        <v>170</v>
      </c>
    </row>
    <row r="322" spans="1:34">
      <c r="A322" t="s">
        <v>5</v>
      </c>
      <c r="B322" t="s">
        <v>103</v>
      </c>
      <c r="C322" t="s">
        <v>151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83</v>
      </c>
      <c r="B323" t="s">
        <v>103</v>
      </c>
      <c r="C323" t="s">
        <v>146</v>
      </c>
      <c r="D323">
        <v>616</v>
      </c>
      <c r="E323">
        <v>616</v>
      </c>
      <c r="F323">
        <v>635.75</v>
      </c>
      <c r="G323">
        <v>616</v>
      </c>
      <c r="H323">
        <v>524.625</v>
      </c>
      <c r="I323">
        <v>612</v>
      </c>
      <c r="J323">
        <v>511.60869565217394</v>
      </c>
      <c r="K323">
        <v>511.58823529411762</v>
      </c>
      <c r="L323">
        <v>511.58823529411762</v>
      </c>
      <c r="M323">
        <v>511.61111111111109</v>
      </c>
      <c r="N323">
        <v>511.57894736842104</v>
      </c>
      <c r="O323">
        <v>507.93103448275861</v>
      </c>
      <c r="P323">
        <v>512.92857142857144</v>
      </c>
      <c r="Q323">
        <v>504</v>
      </c>
      <c r="R323">
        <v>504</v>
      </c>
      <c r="S323">
        <v>415.58064516129031</v>
      </c>
      <c r="T323">
        <v>359.74193548387098</v>
      </c>
      <c r="U323">
        <v>359.71428571428572</v>
      </c>
      <c r="V323">
        <v>359.72972972972974</v>
      </c>
      <c r="W323">
        <v>359.73333333333335</v>
      </c>
      <c r="X323">
        <v>359.72727272727275</v>
      </c>
      <c r="Y323">
        <v>359.72222222222223</v>
      </c>
      <c r="Z323">
        <v>359.72</v>
      </c>
      <c r="AA323">
        <v>359.73809523809524</v>
      </c>
      <c r="AB323">
        <v>359.73170731707319</v>
      </c>
      <c r="AC323">
        <v>359.72727272727275</v>
      </c>
      <c r="AD323">
        <v>359.72727272727275</v>
      </c>
      <c r="AE323">
        <v>359.73170731707319</v>
      </c>
      <c r="AF323">
        <v>359.73170731707319</v>
      </c>
      <c r="AG323">
        <v>359.72500000000002</v>
      </c>
      <c r="AH323">
        <v>359.72</v>
      </c>
    </row>
    <row r="324" spans="1:34">
      <c r="A324" t="s">
        <v>91</v>
      </c>
      <c r="B324" t="s">
        <v>103</v>
      </c>
      <c r="C324" t="s">
        <v>145</v>
      </c>
      <c r="D324">
        <v>0</v>
      </c>
      <c r="E324">
        <v>244</v>
      </c>
      <c r="F324">
        <v>244</v>
      </c>
      <c r="G324">
        <v>244</v>
      </c>
      <c r="H324">
        <v>0</v>
      </c>
      <c r="I324">
        <v>244</v>
      </c>
      <c r="J324">
        <v>244</v>
      </c>
      <c r="K324">
        <v>0</v>
      </c>
      <c r="L324">
        <v>270.66666666666669</v>
      </c>
      <c r="M324">
        <v>257.33333333333331</v>
      </c>
      <c r="N324">
        <v>0</v>
      </c>
      <c r="O324">
        <v>244</v>
      </c>
      <c r="P324">
        <v>0</v>
      </c>
      <c r="Q324">
        <v>0</v>
      </c>
      <c r="R324">
        <v>244</v>
      </c>
      <c r="S324">
        <v>0</v>
      </c>
      <c r="T324">
        <v>0</v>
      </c>
      <c r="U324">
        <v>0</v>
      </c>
      <c r="V324">
        <v>244</v>
      </c>
      <c r="W324">
        <v>244</v>
      </c>
      <c r="X324">
        <v>244</v>
      </c>
      <c r="Y324">
        <v>0</v>
      </c>
      <c r="Z324">
        <v>0</v>
      </c>
      <c r="AA324">
        <v>0</v>
      </c>
      <c r="AB324">
        <v>0</v>
      </c>
      <c r="AC324">
        <v>244</v>
      </c>
      <c r="AD324">
        <v>244</v>
      </c>
      <c r="AE324">
        <v>244</v>
      </c>
      <c r="AF324">
        <v>244</v>
      </c>
      <c r="AG324">
        <v>0</v>
      </c>
      <c r="AH324">
        <v>0</v>
      </c>
    </row>
    <row r="325" spans="1:34">
      <c r="A325" t="s">
        <v>65</v>
      </c>
      <c r="B325" t="s">
        <v>103</v>
      </c>
      <c r="C325" t="s">
        <v>151</v>
      </c>
      <c r="D325">
        <v>699</v>
      </c>
      <c r="E325">
        <v>699</v>
      </c>
      <c r="F325">
        <v>699</v>
      </c>
      <c r="G325">
        <v>699</v>
      </c>
      <c r="H325">
        <v>699</v>
      </c>
      <c r="I325">
        <v>699</v>
      </c>
      <c r="J325">
        <v>699</v>
      </c>
      <c r="K325">
        <v>699</v>
      </c>
      <c r="L325">
        <v>699</v>
      </c>
      <c r="M325">
        <v>699</v>
      </c>
      <c r="N325">
        <v>699</v>
      </c>
      <c r="O325">
        <v>699</v>
      </c>
      <c r="P325">
        <v>674</v>
      </c>
      <c r="Q325">
        <v>649</v>
      </c>
      <c r="R325">
        <v>649</v>
      </c>
      <c r="S325">
        <v>660.66666666666663</v>
      </c>
      <c r="T325">
        <v>649</v>
      </c>
      <c r="U325">
        <v>649</v>
      </c>
      <c r="V325">
        <v>649</v>
      </c>
      <c r="W325">
        <v>649</v>
      </c>
      <c r="X325">
        <v>649</v>
      </c>
      <c r="Y325">
        <v>649</v>
      </c>
      <c r="Z325">
        <v>649</v>
      </c>
      <c r="AA325">
        <v>649</v>
      </c>
      <c r="AB325">
        <v>649</v>
      </c>
      <c r="AC325">
        <v>649</v>
      </c>
      <c r="AD325">
        <v>649</v>
      </c>
      <c r="AE325">
        <v>625</v>
      </c>
      <c r="AF325">
        <v>625</v>
      </c>
      <c r="AG325">
        <v>625</v>
      </c>
      <c r="AH325">
        <v>649</v>
      </c>
    </row>
    <row r="326" spans="1:34">
      <c r="A326" t="s">
        <v>27</v>
      </c>
      <c r="B326" t="s">
        <v>103</v>
      </c>
      <c r="C326" t="s">
        <v>145</v>
      </c>
      <c r="D326">
        <v>292.33333333333331</v>
      </c>
      <c r="E326">
        <v>255.66666666666666</v>
      </c>
      <c r="F326">
        <v>299</v>
      </c>
      <c r="G326">
        <v>279</v>
      </c>
      <c r="H326">
        <v>292.33333333333331</v>
      </c>
      <c r="I326">
        <v>319</v>
      </c>
      <c r="J326">
        <v>289</v>
      </c>
      <c r="K326">
        <v>299</v>
      </c>
      <c r="L326">
        <v>279</v>
      </c>
      <c r="M326">
        <v>279</v>
      </c>
      <c r="N326">
        <v>279</v>
      </c>
      <c r="O326">
        <v>279</v>
      </c>
      <c r="P326">
        <v>296.14285714285717</v>
      </c>
      <c r="Q326">
        <v>279</v>
      </c>
      <c r="R326">
        <v>285.66666666666669</v>
      </c>
      <c r="S326">
        <v>279</v>
      </c>
      <c r="T326">
        <v>279</v>
      </c>
      <c r="U326">
        <v>279</v>
      </c>
      <c r="V326">
        <v>279</v>
      </c>
      <c r="W326">
        <v>279</v>
      </c>
      <c r="X326">
        <v>208.5</v>
      </c>
      <c r="Y326">
        <v>185</v>
      </c>
      <c r="Z326">
        <v>191</v>
      </c>
      <c r="AA326">
        <v>201</v>
      </c>
      <c r="AB326">
        <v>204.33333333333334</v>
      </c>
      <c r="AC326">
        <v>195</v>
      </c>
      <c r="AD326">
        <v>185</v>
      </c>
      <c r="AE326">
        <v>185</v>
      </c>
      <c r="AF326">
        <v>196.42857142857142</v>
      </c>
      <c r="AG326">
        <v>198.33333333333334</v>
      </c>
      <c r="AH326">
        <v>191</v>
      </c>
    </row>
    <row r="327" spans="1:34">
      <c r="A327" t="s">
        <v>25</v>
      </c>
      <c r="B327" t="s">
        <v>103</v>
      </c>
      <c r="C327" t="s">
        <v>146</v>
      </c>
      <c r="D327">
        <v>0</v>
      </c>
      <c r="E327">
        <v>0</v>
      </c>
      <c r="F327">
        <v>0</v>
      </c>
      <c r="G327">
        <v>269</v>
      </c>
      <c r="H327">
        <v>0</v>
      </c>
      <c r="I327">
        <v>0</v>
      </c>
      <c r="J327">
        <v>309</v>
      </c>
      <c r="K327">
        <v>0</v>
      </c>
      <c r="L327">
        <v>0</v>
      </c>
      <c r="M327">
        <v>0</v>
      </c>
      <c r="N327">
        <v>269</v>
      </c>
      <c r="O327">
        <v>0</v>
      </c>
      <c r="P327">
        <v>269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304</v>
      </c>
      <c r="W327">
        <v>0</v>
      </c>
      <c r="X327">
        <v>309</v>
      </c>
      <c r="Y327">
        <v>0</v>
      </c>
      <c r="Z327">
        <v>269</v>
      </c>
      <c r="AA327">
        <v>269</v>
      </c>
      <c r="AB327">
        <v>0</v>
      </c>
      <c r="AC327">
        <v>0</v>
      </c>
      <c r="AD327">
        <v>269</v>
      </c>
      <c r="AE327">
        <v>0</v>
      </c>
      <c r="AF327">
        <v>0</v>
      </c>
      <c r="AG327">
        <v>267</v>
      </c>
      <c r="AH327">
        <v>269</v>
      </c>
    </row>
    <row r="328" spans="1:34">
      <c r="A328" t="s">
        <v>44</v>
      </c>
      <c r="B328" t="s">
        <v>103</v>
      </c>
      <c r="C328" t="s">
        <v>146</v>
      </c>
      <c r="D328">
        <v>145</v>
      </c>
      <c r="E328">
        <v>145</v>
      </c>
      <c r="F328">
        <v>145</v>
      </c>
      <c r="G328">
        <v>145</v>
      </c>
      <c r="H328">
        <v>145</v>
      </c>
      <c r="I328">
        <v>145</v>
      </c>
      <c r="J328">
        <v>145</v>
      </c>
      <c r="K328">
        <v>145</v>
      </c>
      <c r="L328">
        <v>145</v>
      </c>
      <c r="M328">
        <v>145</v>
      </c>
      <c r="N328">
        <v>145</v>
      </c>
      <c r="O328">
        <v>145</v>
      </c>
      <c r="P328">
        <v>145</v>
      </c>
      <c r="Q328">
        <v>145</v>
      </c>
      <c r="R328">
        <v>145</v>
      </c>
      <c r="S328">
        <v>145</v>
      </c>
      <c r="T328">
        <v>145</v>
      </c>
      <c r="U328">
        <v>145</v>
      </c>
      <c r="V328">
        <v>145</v>
      </c>
      <c r="W328">
        <v>145</v>
      </c>
      <c r="X328">
        <v>145</v>
      </c>
      <c r="Y328">
        <v>145</v>
      </c>
      <c r="Z328">
        <v>145</v>
      </c>
      <c r="AA328">
        <v>145</v>
      </c>
      <c r="AB328">
        <v>145</v>
      </c>
      <c r="AC328">
        <v>145</v>
      </c>
      <c r="AD328">
        <v>145</v>
      </c>
      <c r="AE328">
        <v>135</v>
      </c>
      <c r="AF328">
        <v>135</v>
      </c>
      <c r="AG328">
        <v>135</v>
      </c>
      <c r="AH328">
        <v>145</v>
      </c>
    </row>
    <row r="329" spans="1:34">
      <c r="A329" t="s">
        <v>47</v>
      </c>
      <c r="B329" t="s">
        <v>103</v>
      </c>
      <c r="C329" t="s">
        <v>145</v>
      </c>
      <c r="D329">
        <v>0</v>
      </c>
      <c r="E329">
        <v>0</v>
      </c>
      <c r="F329">
        <v>732.33333333333337</v>
      </c>
      <c r="G329">
        <v>399</v>
      </c>
      <c r="H329">
        <v>399</v>
      </c>
      <c r="I329">
        <v>399</v>
      </c>
      <c r="J329">
        <v>399</v>
      </c>
      <c r="K329">
        <v>399</v>
      </c>
      <c r="L329">
        <v>399</v>
      </c>
      <c r="M329">
        <v>499</v>
      </c>
      <c r="N329">
        <v>399</v>
      </c>
      <c r="O329">
        <v>399</v>
      </c>
      <c r="P329">
        <v>399</v>
      </c>
      <c r="Q329">
        <v>399</v>
      </c>
      <c r="R329">
        <v>399</v>
      </c>
      <c r="S329">
        <v>399</v>
      </c>
      <c r="T329">
        <v>399</v>
      </c>
      <c r="U329">
        <v>399</v>
      </c>
      <c r="V329">
        <v>399</v>
      </c>
      <c r="W329">
        <v>399</v>
      </c>
      <c r="X329">
        <v>399</v>
      </c>
      <c r="Y329">
        <v>399</v>
      </c>
      <c r="Z329">
        <v>399</v>
      </c>
      <c r="AA329">
        <v>399</v>
      </c>
      <c r="AB329">
        <v>399</v>
      </c>
      <c r="AC329">
        <v>0</v>
      </c>
      <c r="AD329">
        <v>899</v>
      </c>
      <c r="AE329">
        <v>399</v>
      </c>
      <c r="AF329">
        <v>399</v>
      </c>
      <c r="AG329">
        <v>859</v>
      </c>
      <c r="AH329">
        <v>399</v>
      </c>
    </row>
    <row r="330" spans="1:34">
      <c r="A330" t="s">
        <v>34</v>
      </c>
      <c r="B330" t="s">
        <v>103</v>
      </c>
      <c r="C330" t="s">
        <v>145</v>
      </c>
      <c r="D330">
        <v>135</v>
      </c>
      <c r="E330">
        <v>135</v>
      </c>
      <c r="F330">
        <v>135</v>
      </c>
      <c r="G330">
        <v>135</v>
      </c>
      <c r="H330">
        <v>135</v>
      </c>
      <c r="I330">
        <v>135.09929078014184</v>
      </c>
      <c r="J330">
        <v>135</v>
      </c>
      <c r="K330">
        <v>135</v>
      </c>
      <c r="L330">
        <v>135</v>
      </c>
      <c r="M330">
        <v>135</v>
      </c>
      <c r="N330">
        <v>135</v>
      </c>
      <c r="O330">
        <v>135</v>
      </c>
      <c r="P330">
        <v>135</v>
      </c>
      <c r="Q330">
        <v>135</v>
      </c>
      <c r="R330">
        <v>135</v>
      </c>
      <c r="S330">
        <v>137.43055555555554</v>
      </c>
      <c r="T330">
        <v>135</v>
      </c>
      <c r="U330">
        <v>135</v>
      </c>
      <c r="V330">
        <v>135</v>
      </c>
      <c r="W330">
        <v>135</v>
      </c>
      <c r="X330">
        <v>135.07909604519773</v>
      </c>
      <c r="Y330">
        <v>135</v>
      </c>
      <c r="Z330">
        <v>135</v>
      </c>
      <c r="AA330">
        <v>135</v>
      </c>
      <c r="AB330">
        <v>135</v>
      </c>
      <c r="AC330">
        <v>135</v>
      </c>
      <c r="AD330">
        <v>135.39344262295083</v>
      </c>
      <c r="AE330">
        <v>129.09905660377359</v>
      </c>
      <c r="AF330">
        <v>129.0042735042735</v>
      </c>
      <c r="AG330">
        <v>129.00460829493088</v>
      </c>
      <c r="AH330">
        <v>135</v>
      </c>
    </row>
    <row r="331" spans="1:34">
      <c r="A331" t="s">
        <v>71</v>
      </c>
      <c r="B331" t="s">
        <v>103</v>
      </c>
      <c r="C331" t="s">
        <v>145</v>
      </c>
      <c r="D331">
        <v>292.33333333333331</v>
      </c>
      <c r="E331">
        <v>255.66666666666666</v>
      </c>
      <c r="F331">
        <v>299</v>
      </c>
      <c r="G331">
        <v>279</v>
      </c>
      <c r="H331">
        <v>292.33333333333331</v>
      </c>
      <c r="I331">
        <v>319</v>
      </c>
      <c r="J331">
        <v>289</v>
      </c>
      <c r="K331">
        <v>299</v>
      </c>
      <c r="L331">
        <v>279</v>
      </c>
      <c r="M331">
        <v>279</v>
      </c>
      <c r="N331">
        <v>279</v>
      </c>
      <c r="O331">
        <v>279</v>
      </c>
      <c r="P331">
        <v>296.14285714285717</v>
      </c>
      <c r="Q331">
        <v>279</v>
      </c>
      <c r="R331">
        <v>285.66666666666669</v>
      </c>
      <c r="S331">
        <v>279</v>
      </c>
      <c r="T331">
        <v>279</v>
      </c>
      <c r="U331">
        <v>279</v>
      </c>
      <c r="V331">
        <v>279</v>
      </c>
      <c r="W331">
        <v>279</v>
      </c>
      <c r="X331">
        <v>208.5</v>
      </c>
      <c r="Y331">
        <v>185</v>
      </c>
      <c r="Z331">
        <v>191</v>
      </c>
      <c r="AA331">
        <v>201</v>
      </c>
      <c r="AB331">
        <v>204.33333333333334</v>
      </c>
      <c r="AC331">
        <v>195</v>
      </c>
      <c r="AD331">
        <v>185</v>
      </c>
      <c r="AE331">
        <v>185</v>
      </c>
      <c r="AF331">
        <v>196.42857142857142</v>
      </c>
      <c r="AG331">
        <v>198.33333333333334</v>
      </c>
      <c r="AH331">
        <v>191</v>
      </c>
    </row>
    <row r="332" spans="1:34">
      <c r="A332" t="s">
        <v>80</v>
      </c>
      <c r="B332" t="s">
        <v>103</v>
      </c>
      <c r="C332" t="s">
        <v>151</v>
      </c>
      <c r="D332">
        <v>845.66666666666663</v>
      </c>
      <c r="E332">
        <v>871.33333333333337</v>
      </c>
      <c r="F332">
        <v>850.75</v>
      </c>
      <c r="G332">
        <v>854.8</v>
      </c>
      <c r="H332">
        <v>853.22222222222217</v>
      </c>
      <c r="I332">
        <v>849.47058823529414</v>
      </c>
      <c r="J332">
        <v>843.83333333333337</v>
      </c>
      <c r="K332">
        <v>846.68421052631584</v>
      </c>
      <c r="L332">
        <v>853</v>
      </c>
      <c r="M332">
        <v>843.76923076923072</v>
      </c>
      <c r="N332">
        <v>847.05882352941171</v>
      </c>
      <c r="O332">
        <v>854.86666666666667</v>
      </c>
      <c r="P332">
        <v>849.91666666666663</v>
      </c>
      <c r="Q332">
        <v>855.42105263157896</v>
      </c>
      <c r="R332">
        <v>858.81818181818187</v>
      </c>
      <c r="S332">
        <v>857.58333333333337</v>
      </c>
      <c r="T332">
        <v>854.8</v>
      </c>
      <c r="U332">
        <v>868.33333333333337</v>
      </c>
      <c r="V332">
        <v>847.16666666666663</v>
      </c>
      <c r="W332">
        <v>845.84615384615381</v>
      </c>
      <c r="X332">
        <v>840.4</v>
      </c>
      <c r="Y332">
        <v>850.69230769230774</v>
      </c>
      <c r="Z332">
        <v>841.44444444444446</v>
      </c>
      <c r="AA332">
        <v>846.09090909090912</v>
      </c>
      <c r="AB332">
        <v>823</v>
      </c>
      <c r="AC332">
        <v>682</v>
      </c>
      <c r="AD332">
        <v>691.9473684210526</v>
      </c>
      <c r="AE332">
        <v>691.92857142857144</v>
      </c>
      <c r="AF332">
        <v>691.9473684210526</v>
      </c>
      <c r="AG332">
        <v>691.9375</v>
      </c>
      <c r="AH332">
        <v>841.44444444444446</v>
      </c>
    </row>
    <row r="333" spans="1:34">
      <c r="A333" t="s">
        <v>6</v>
      </c>
      <c r="B333" t="s">
        <v>103</v>
      </c>
      <c r="C333" t="s">
        <v>151</v>
      </c>
      <c r="D333">
        <v>679</v>
      </c>
      <c r="E333">
        <v>679</v>
      </c>
      <c r="F333">
        <v>679</v>
      </c>
      <c r="G333">
        <v>679</v>
      </c>
      <c r="H333">
        <v>679</v>
      </c>
      <c r="I333">
        <v>679</v>
      </c>
      <c r="J333">
        <v>679</v>
      </c>
      <c r="K333">
        <v>679</v>
      </c>
      <c r="L333">
        <v>679</v>
      </c>
      <c r="M333">
        <v>679</v>
      </c>
      <c r="N333">
        <v>679</v>
      </c>
      <c r="O333">
        <v>679</v>
      </c>
      <c r="P333">
        <v>669</v>
      </c>
      <c r="Q333">
        <v>649</v>
      </c>
      <c r="R333">
        <v>649</v>
      </c>
      <c r="S333">
        <v>649</v>
      </c>
      <c r="T333">
        <v>649</v>
      </c>
      <c r="U333">
        <v>649</v>
      </c>
      <c r="V333">
        <v>649</v>
      </c>
      <c r="W333">
        <v>649</v>
      </c>
      <c r="X333">
        <v>649</v>
      </c>
      <c r="Y333">
        <v>649</v>
      </c>
      <c r="Z333">
        <v>649</v>
      </c>
      <c r="AA333">
        <v>649</v>
      </c>
      <c r="AB333">
        <v>649</v>
      </c>
      <c r="AC333">
        <v>649</v>
      </c>
      <c r="AD333">
        <v>649</v>
      </c>
      <c r="AE333">
        <v>599</v>
      </c>
      <c r="AF333">
        <v>599</v>
      </c>
      <c r="AG333">
        <v>599</v>
      </c>
      <c r="AH333">
        <v>649</v>
      </c>
    </row>
    <row r="334" spans="1:34">
      <c r="A334" t="s">
        <v>29</v>
      </c>
      <c r="B334" t="s">
        <v>102</v>
      </c>
      <c r="C334" t="s">
        <v>149</v>
      </c>
      <c r="D334">
        <v>289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249</v>
      </c>
      <c r="Q334">
        <v>0</v>
      </c>
      <c r="R334">
        <v>0</v>
      </c>
      <c r="S334">
        <v>0</v>
      </c>
      <c r="T334">
        <v>289</v>
      </c>
      <c r="U334">
        <v>249</v>
      </c>
      <c r="V334">
        <v>289</v>
      </c>
      <c r="W334">
        <v>0</v>
      </c>
      <c r="X334">
        <v>0</v>
      </c>
      <c r="Y334">
        <v>289</v>
      </c>
      <c r="Z334">
        <v>0</v>
      </c>
      <c r="AA334">
        <v>257</v>
      </c>
      <c r="AB334">
        <v>257</v>
      </c>
      <c r="AC334">
        <v>257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89</v>
      </c>
      <c r="B335" t="s">
        <v>102</v>
      </c>
      <c r="C335" t="s">
        <v>149</v>
      </c>
      <c r="D335">
        <v>0</v>
      </c>
      <c r="E335">
        <v>0</v>
      </c>
      <c r="F335">
        <v>0</v>
      </c>
      <c r="G335">
        <v>269</v>
      </c>
      <c r="H335">
        <v>0</v>
      </c>
      <c r="I335">
        <v>0</v>
      </c>
      <c r="J335">
        <v>309</v>
      </c>
      <c r="K335">
        <v>0</v>
      </c>
      <c r="L335">
        <v>0</v>
      </c>
      <c r="M335">
        <v>0</v>
      </c>
      <c r="N335">
        <v>269</v>
      </c>
      <c r="O335">
        <v>0</v>
      </c>
      <c r="P335">
        <v>269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304</v>
      </c>
      <c r="W335">
        <v>0</v>
      </c>
      <c r="X335">
        <v>309</v>
      </c>
      <c r="Y335">
        <v>0</v>
      </c>
      <c r="Z335">
        <v>269</v>
      </c>
      <c r="AA335">
        <v>269</v>
      </c>
      <c r="AB335">
        <v>0</v>
      </c>
      <c r="AC335">
        <v>0</v>
      </c>
      <c r="AD335">
        <v>269</v>
      </c>
      <c r="AE335">
        <v>0</v>
      </c>
      <c r="AF335">
        <v>0</v>
      </c>
      <c r="AG335">
        <v>267</v>
      </c>
      <c r="AH335">
        <v>269</v>
      </c>
    </row>
    <row r="336" spans="1:34">
      <c r="A336" t="s">
        <v>53</v>
      </c>
      <c r="B336" t="s">
        <v>102</v>
      </c>
      <c r="C336" t="s">
        <v>150</v>
      </c>
      <c r="D336">
        <v>0</v>
      </c>
      <c r="E336">
        <v>316</v>
      </c>
      <c r="F336">
        <v>0</v>
      </c>
      <c r="G336">
        <v>0</v>
      </c>
      <c r="H336">
        <v>316</v>
      </c>
      <c r="I336">
        <v>316</v>
      </c>
      <c r="J336">
        <v>336</v>
      </c>
      <c r="K336">
        <v>316</v>
      </c>
      <c r="L336">
        <v>316</v>
      </c>
      <c r="M336">
        <v>326</v>
      </c>
      <c r="N336">
        <v>316</v>
      </c>
      <c r="O336">
        <v>336</v>
      </c>
      <c r="P336">
        <v>316</v>
      </c>
      <c r="Q336">
        <v>356</v>
      </c>
      <c r="R336">
        <v>324</v>
      </c>
      <c r="S336">
        <v>336</v>
      </c>
      <c r="T336">
        <v>316</v>
      </c>
      <c r="U336">
        <v>321.71428571428572</v>
      </c>
      <c r="V336">
        <v>316</v>
      </c>
      <c r="W336">
        <v>0</v>
      </c>
      <c r="X336">
        <v>336</v>
      </c>
      <c r="Y336">
        <v>316</v>
      </c>
      <c r="Z336">
        <v>0</v>
      </c>
      <c r="AA336">
        <v>0</v>
      </c>
      <c r="AB336">
        <v>0</v>
      </c>
      <c r="AC336">
        <v>316</v>
      </c>
      <c r="AD336">
        <v>316</v>
      </c>
      <c r="AE336">
        <v>336</v>
      </c>
      <c r="AF336">
        <v>316</v>
      </c>
      <c r="AG336">
        <v>326</v>
      </c>
      <c r="AH336">
        <v>0</v>
      </c>
    </row>
    <row r="337" spans="1:34">
      <c r="A337" t="s">
        <v>4</v>
      </c>
      <c r="B337" t="s">
        <v>102</v>
      </c>
      <c r="C337" t="s">
        <v>154</v>
      </c>
      <c r="D337">
        <v>0</v>
      </c>
      <c r="E337">
        <v>0</v>
      </c>
      <c r="F337">
        <v>0</v>
      </c>
      <c r="G337">
        <v>269</v>
      </c>
      <c r="H337">
        <v>0</v>
      </c>
      <c r="I337">
        <v>0</v>
      </c>
      <c r="J337">
        <v>309</v>
      </c>
      <c r="K337">
        <v>0</v>
      </c>
      <c r="L337">
        <v>0</v>
      </c>
      <c r="M337">
        <v>0</v>
      </c>
      <c r="N337">
        <v>269</v>
      </c>
      <c r="O337">
        <v>0</v>
      </c>
      <c r="P337">
        <v>269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304</v>
      </c>
      <c r="W337">
        <v>0</v>
      </c>
      <c r="X337">
        <v>309</v>
      </c>
      <c r="Y337">
        <v>0</v>
      </c>
      <c r="Z337">
        <v>269</v>
      </c>
      <c r="AA337">
        <v>269</v>
      </c>
      <c r="AB337">
        <v>0</v>
      </c>
      <c r="AC337">
        <v>0</v>
      </c>
      <c r="AD337">
        <v>269</v>
      </c>
      <c r="AE337">
        <v>0</v>
      </c>
      <c r="AF337">
        <v>0</v>
      </c>
      <c r="AG337">
        <v>267</v>
      </c>
      <c r="AH337">
        <v>269</v>
      </c>
    </row>
    <row r="338" spans="1:34">
      <c r="A338" t="s">
        <v>43</v>
      </c>
      <c r="B338" t="s">
        <v>102</v>
      </c>
      <c r="C338" t="s">
        <v>150</v>
      </c>
      <c r="D338">
        <v>0</v>
      </c>
      <c r="E338">
        <v>244</v>
      </c>
      <c r="F338">
        <v>244</v>
      </c>
      <c r="G338">
        <v>244</v>
      </c>
      <c r="H338">
        <v>0</v>
      </c>
      <c r="I338">
        <v>244</v>
      </c>
      <c r="J338">
        <v>244</v>
      </c>
      <c r="K338">
        <v>0</v>
      </c>
      <c r="L338">
        <v>270.66666666666669</v>
      </c>
      <c r="M338">
        <v>257.33333333333331</v>
      </c>
      <c r="N338">
        <v>0</v>
      </c>
      <c r="O338">
        <v>244</v>
      </c>
      <c r="P338">
        <v>0</v>
      </c>
      <c r="Q338">
        <v>0</v>
      </c>
      <c r="R338">
        <v>244</v>
      </c>
      <c r="S338">
        <v>0</v>
      </c>
      <c r="T338">
        <v>0</v>
      </c>
      <c r="U338">
        <v>0</v>
      </c>
      <c r="V338">
        <v>244</v>
      </c>
      <c r="W338">
        <v>244</v>
      </c>
      <c r="X338">
        <v>244</v>
      </c>
      <c r="Y338">
        <v>0</v>
      </c>
      <c r="Z338">
        <v>0</v>
      </c>
      <c r="AA338">
        <v>0</v>
      </c>
      <c r="AB338">
        <v>0</v>
      </c>
      <c r="AC338">
        <v>244</v>
      </c>
      <c r="AD338">
        <v>244</v>
      </c>
      <c r="AE338">
        <v>244</v>
      </c>
      <c r="AF338">
        <v>244</v>
      </c>
      <c r="AG338">
        <v>0</v>
      </c>
      <c r="AH338">
        <v>0</v>
      </c>
    </row>
    <row r="339" spans="1:34">
      <c r="A339" t="s">
        <v>82</v>
      </c>
      <c r="B339" t="s">
        <v>102</v>
      </c>
      <c r="C339" t="s">
        <v>154</v>
      </c>
      <c r="D339">
        <v>699</v>
      </c>
      <c r="E339">
        <v>699</v>
      </c>
      <c r="F339">
        <v>699</v>
      </c>
      <c r="G339">
        <v>699</v>
      </c>
      <c r="H339">
        <v>699</v>
      </c>
      <c r="I339">
        <v>699</v>
      </c>
      <c r="J339">
        <v>699</v>
      </c>
      <c r="K339">
        <v>699</v>
      </c>
      <c r="L339">
        <v>699</v>
      </c>
      <c r="M339">
        <v>699</v>
      </c>
      <c r="N339">
        <v>699</v>
      </c>
      <c r="O339">
        <v>699</v>
      </c>
      <c r="P339">
        <v>674</v>
      </c>
      <c r="Q339">
        <v>649</v>
      </c>
      <c r="R339">
        <v>649</v>
      </c>
      <c r="S339">
        <v>660.66666666666663</v>
      </c>
      <c r="T339">
        <v>649</v>
      </c>
      <c r="U339">
        <v>649</v>
      </c>
      <c r="V339">
        <v>649</v>
      </c>
      <c r="W339">
        <v>649</v>
      </c>
      <c r="X339">
        <v>649</v>
      </c>
      <c r="Y339">
        <v>649</v>
      </c>
      <c r="Z339">
        <v>649</v>
      </c>
      <c r="AA339">
        <v>649</v>
      </c>
      <c r="AB339">
        <v>649</v>
      </c>
      <c r="AC339">
        <v>649</v>
      </c>
      <c r="AD339">
        <v>649</v>
      </c>
      <c r="AE339">
        <v>625</v>
      </c>
      <c r="AF339">
        <v>625</v>
      </c>
      <c r="AG339">
        <v>625</v>
      </c>
      <c r="AH339">
        <v>649</v>
      </c>
    </row>
    <row r="340" spans="1:34">
      <c r="A340" t="s">
        <v>14</v>
      </c>
      <c r="B340" t="s">
        <v>102</v>
      </c>
      <c r="C340" t="s">
        <v>150</v>
      </c>
      <c r="D340">
        <v>0</v>
      </c>
      <c r="E340">
        <v>316</v>
      </c>
      <c r="F340">
        <v>0</v>
      </c>
      <c r="G340">
        <v>0</v>
      </c>
      <c r="H340">
        <v>316</v>
      </c>
      <c r="I340">
        <v>316</v>
      </c>
      <c r="J340">
        <v>336</v>
      </c>
      <c r="K340">
        <v>316</v>
      </c>
      <c r="L340">
        <v>316</v>
      </c>
      <c r="M340">
        <v>326</v>
      </c>
      <c r="N340">
        <v>316</v>
      </c>
      <c r="O340">
        <v>336</v>
      </c>
      <c r="P340">
        <v>316</v>
      </c>
      <c r="Q340">
        <v>356</v>
      </c>
      <c r="R340">
        <v>324</v>
      </c>
      <c r="S340">
        <v>336</v>
      </c>
      <c r="T340">
        <v>316</v>
      </c>
      <c r="U340">
        <v>321.71428571428572</v>
      </c>
      <c r="V340">
        <v>316</v>
      </c>
      <c r="W340">
        <v>0</v>
      </c>
      <c r="X340">
        <v>336</v>
      </c>
      <c r="Y340">
        <v>316</v>
      </c>
      <c r="Z340">
        <v>0</v>
      </c>
      <c r="AA340">
        <v>0</v>
      </c>
      <c r="AB340">
        <v>0</v>
      </c>
      <c r="AC340">
        <v>316</v>
      </c>
      <c r="AD340">
        <v>316</v>
      </c>
      <c r="AE340">
        <v>336</v>
      </c>
      <c r="AF340">
        <v>316</v>
      </c>
      <c r="AG340">
        <v>326</v>
      </c>
      <c r="AH340">
        <v>0</v>
      </c>
    </row>
    <row r="341" spans="1:34">
      <c r="A341" t="s">
        <v>62</v>
      </c>
      <c r="B341" t="s">
        <v>102</v>
      </c>
      <c r="C341" t="s">
        <v>150</v>
      </c>
      <c r="D341">
        <v>845.69230769230774</v>
      </c>
      <c r="E341">
        <v>857.58333333333337</v>
      </c>
      <c r="F341">
        <v>855.64285714285711</v>
      </c>
      <c r="G341">
        <v>858.81818181818187</v>
      </c>
      <c r="H341">
        <v>844.2</v>
      </c>
      <c r="I341">
        <v>825.66666666666663</v>
      </c>
      <c r="J341">
        <v>858.5333333333333</v>
      </c>
      <c r="K341">
        <v>860.76923076923072</v>
      </c>
      <c r="L341">
        <v>849.88888888888891</v>
      </c>
      <c r="M341">
        <v>864.5</v>
      </c>
      <c r="N341">
        <v>858.5333333333333</v>
      </c>
      <c r="O341">
        <v>843.81818181818187</v>
      </c>
      <c r="P341">
        <v>847.71428571428567</v>
      </c>
      <c r="Q341">
        <v>854.125</v>
      </c>
      <c r="R341">
        <v>848.41666666666663</v>
      </c>
      <c r="S341">
        <v>843.8</v>
      </c>
      <c r="T341">
        <v>843.85714285714289</v>
      </c>
      <c r="U341">
        <v>843.83333333333337</v>
      </c>
      <c r="V341">
        <v>839.42857142857144</v>
      </c>
      <c r="W341">
        <v>836.14285714285711</v>
      </c>
      <c r="X341">
        <v>836.22222222222217</v>
      </c>
      <c r="Y341">
        <v>836.25</v>
      </c>
      <c r="Z341">
        <v>834.28571428571433</v>
      </c>
      <c r="AA341">
        <v>834.25</v>
      </c>
      <c r="AB341">
        <v>834.33333333333337</v>
      </c>
      <c r="AC341">
        <v>834.30769230769226</v>
      </c>
      <c r="AD341">
        <v>834.28571428571433</v>
      </c>
      <c r="AE341">
        <v>846.125</v>
      </c>
      <c r="AF341">
        <v>843.76923076923072</v>
      </c>
      <c r="AG341">
        <v>843.85714285714289</v>
      </c>
      <c r="AH341">
        <v>834.28571428571433</v>
      </c>
    </row>
    <row r="342" spans="1:34">
      <c r="A342" t="s">
        <v>17</v>
      </c>
      <c r="B342" t="s">
        <v>102</v>
      </c>
      <c r="C342" t="s">
        <v>154</v>
      </c>
      <c r="D342">
        <v>417.85365853658539</v>
      </c>
      <c r="E342">
        <v>417.85714285714283</v>
      </c>
      <c r="F342">
        <v>417.86111111111109</v>
      </c>
      <c r="G342">
        <v>417.85365853658539</v>
      </c>
      <c r="H342">
        <v>417.86666666666667</v>
      </c>
      <c r="I342">
        <v>417.85</v>
      </c>
      <c r="J342">
        <v>417.86666666666667</v>
      </c>
      <c r="K342">
        <v>417.85714285714283</v>
      </c>
      <c r="L342">
        <v>417.86538461538464</v>
      </c>
      <c r="M342">
        <v>417.86206896551727</v>
      </c>
      <c r="N342">
        <v>417.86274509803923</v>
      </c>
      <c r="O342">
        <v>417.86956521739131</v>
      </c>
      <c r="P342">
        <v>417.89473684210526</v>
      </c>
      <c r="Q342">
        <v>417.85185185185185</v>
      </c>
      <c r="R342">
        <v>417.86666666666667</v>
      </c>
      <c r="S342">
        <v>417.875</v>
      </c>
      <c r="T342">
        <v>417.85185185185185</v>
      </c>
      <c r="U342">
        <v>417.84848484848487</v>
      </c>
      <c r="V342">
        <v>417.875</v>
      </c>
      <c r="W342">
        <v>417.85714285714283</v>
      </c>
      <c r="X342">
        <v>417.86486486486484</v>
      </c>
      <c r="Y342">
        <v>417.86842105263156</v>
      </c>
      <c r="Z342">
        <v>417.85714285714283</v>
      </c>
      <c r="AA342">
        <v>417.87179487179486</v>
      </c>
      <c r="AB342">
        <v>417.85</v>
      </c>
      <c r="AC342">
        <v>417.85365853658539</v>
      </c>
      <c r="AD342">
        <v>417.88</v>
      </c>
      <c r="AE342">
        <v>417.85714285714283</v>
      </c>
      <c r="AF342">
        <v>417.86363636363637</v>
      </c>
      <c r="AG342">
        <v>417.85185185185185</v>
      </c>
      <c r="AH342">
        <v>417.85714285714283</v>
      </c>
    </row>
    <row r="343" spans="1:34">
      <c r="A343" t="s">
        <v>18</v>
      </c>
      <c r="B343" t="s">
        <v>102</v>
      </c>
      <c r="C343" t="s">
        <v>154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26</v>
      </c>
      <c r="B344" t="s">
        <v>102</v>
      </c>
      <c r="C344" t="s">
        <v>149</v>
      </c>
      <c r="D344">
        <v>616</v>
      </c>
      <c r="E344">
        <v>616</v>
      </c>
      <c r="F344">
        <v>635.75</v>
      </c>
      <c r="G344">
        <v>616</v>
      </c>
      <c r="H344">
        <v>524.625</v>
      </c>
      <c r="I344">
        <v>612</v>
      </c>
      <c r="J344">
        <v>511.60869565217394</v>
      </c>
      <c r="K344">
        <v>511.58823529411762</v>
      </c>
      <c r="L344">
        <v>511.58823529411762</v>
      </c>
      <c r="M344">
        <v>511.61111111111109</v>
      </c>
      <c r="N344">
        <v>511.57894736842104</v>
      </c>
      <c r="O344">
        <v>507.93103448275861</v>
      </c>
      <c r="P344">
        <v>512.92857142857144</v>
      </c>
      <c r="Q344">
        <v>504</v>
      </c>
      <c r="R344">
        <v>504</v>
      </c>
      <c r="S344">
        <v>415.58064516129031</v>
      </c>
      <c r="T344">
        <v>359.74193548387098</v>
      </c>
      <c r="U344">
        <v>359.71428571428572</v>
      </c>
      <c r="V344">
        <v>359.72972972972974</v>
      </c>
      <c r="W344">
        <v>359.73333333333335</v>
      </c>
      <c r="X344">
        <v>359.72727272727275</v>
      </c>
      <c r="Y344">
        <v>359.72222222222223</v>
      </c>
      <c r="Z344">
        <v>359.72</v>
      </c>
      <c r="AA344">
        <v>359.73809523809524</v>
      </c>
      <c r="AB344">
        <v>359.73170731707319</v>
      </c>
      <c r="AC344">
        <v>359.72727272727275</v>
      </c>
      <c r="AD344">
        <v>359.72727272727275</v>
      </c>
      <c r="AE344">
        <v>359.73170731707319</v>
      </c>
      <c r="AF344">
        <v>359.73170731707319</v>
      </c>
      <c r="AG344">
        <v>359.72500000000002</v>
      </c>
      <c r="AH344">
        <v>359.72</v>
      </c>
    </row>
    <row r="345" spans="1:34">
      <c r="A345" t="s">
        <v>33</v>
      </c>
      <c r="B345" t="s">
        <v>102</v>
      </c>
      <c r="C345" t="s">
        <v>149</v>
      </c>
      <c r="D345">
        <v>679</v>
      </c>
      <c r="E345">
        <v>679</v>
      </c>
      <c r="F345">
        <v>679</v>
      </c>
      <c r="G345">
        <v>679</v>
      </c>
      <c r="H345">
        <v>679</v>
      </c>
      <c r="I345">
        <v>679</v>
      </c>
      <c r="J345">
        <v>679</v>
      </c>
      <c r="K345">
        <v>679</v>
      </c>
      <c r="L345">
        <v>679</v>
      </c>
      <c r="M345">
        <v>679</v>
      </c>
      <c r="N345">
        <v>679</v>
      </c>
      <c r="O345">
        <v>679</v>
      </c>
      <c r="P345">
        <v>669</v>
      </c>
      <c r="Q345">
        <v>649</v>
      </c>
      <c r="R345">
        <v>649</v>
      </c>
      <c r="S345">
        <v>649</v>
      </c>
      <c r="T345">
        <v>649</v>
      </c>
      <c r="U345">
        <v>649</v>
      </c>
      <c r="V345">
        <v>649</v>
      </c>
      <c r="W345">
        <v>649</v>
      </c>
      <c r="X345">
        <v>649</v>
      </c>
      <c r="Y345">
        <v>649</v>
      </c>
      <c r="Z345">
        <v>649</v>
      </c>
      <c r="AA345">
        <v>649</v>
      </c>
      <c r="AB345">
        <v>649</v>
      </c>
      <c r="AC345">
        <v>649</v>
      </c>
      <c r="AD345">
        <v>649</v>
      </c>
      <c r="AE345">
        <v>599</v>
      </c>
      <c r="AF345">
        <v>599</v>
      </c>
      <c r="AG345">
        <v>599</v>
      </c>
      <c r="AH345">
        <v>649</v>
      </c>
    </row>
    <row r="346" spans="1:34">
      <c r="A346" t="s">
        <v>79</v>
      </c>
      <c r="B346" t="s">
        <v>102</v>
      </c>
      <c r="C346" t="s">
        <v>150</v>
      </c>
      <c r="D346">
        <v>162.33333333333334</v>
      </c>
      <c r="E346">
        <v>166.14285714285714</v>
      </c>
      <c r="F346">
        <v>154.71428571428572</v>
      </c>
      <c r="G346">
        <v>162.33333333333334</v>
      </c>
      <c r="H346">
        <v>179</v>
      </c>
      <c r="I346">
        <v>149</v>
      </c>
      <c r="J346">
        <v>164</v>
      </c>
      <c r="K346">
        <v>157</v>
      </c>
      <c r="L346">
        <v>173</v>
      </c>
      <c r="M346">
        <v>159</v>
      </c>
      <c r="N346">
        <v>149</v>
      </c>
      <c r="O346">
        <v>169</v>
      </c>
      <c r="P346">
        <v>149</v>
      </c>
      <c r="Q346">
        <v>162.33333333333334</v>
      </c>
      <c r="R346">
        <v>149</v>
      </c>
      <c r="S346">
        <v>181</v>
      </c>
      <c r="T346">
        <v>173</v>
      </c>
      <c r="U346">
        <v>189</v>
      </c>
      <c r="V346">
        <v>157</v>
      </c>
      <c r="W346">
        <v>169</v>
      </c>
      <c r="X346">
        <v>215</v>
      </c>
      <c r="Y346">
        <v>219</v>
      </c>
      <c r="Z346">
        <v>204</v>
      </c>
      <c r="AA346">
        <v>215</v>
      </c>
      <c r="AB346">
        <v>213.54545454545453</v>
      </c>
      <c r="AC346">
        <v>225.66666666666666</v>
      </c>
      <c r="AD346">
        <v>205.66666666666666</v>
      </c>
      <c r="AE346">
        <v>204</v>
      </c>
      <c r="AF346">
        <v>223</v>
      </c>
      <c r="AG346">
        <v>215</v>
      </c>
      <c r="AH346">
        <v>204</v>
      </c>
    </row>
    <row r="347" spans="1:34">
      <c r="A347" t="s">
        <v>70</v>
      </c>
      <c r="B347" t="s">
        <v>102</v>
      </c>
      <c r="C347" t="s">
        <v>149</v>
      </c>
      <c r="D347">
        <v>167</v>
      </c>
      <c r="E347">
        <v>170.63636363636363</v>
      </c>
      <c r="F347">
        <v>175.88888888888889</v>
      </c>
      <c r="G347">
        <v>172.71428571428572</v>
      </c>
      <c r="H347">
        <v>177</v>
      </c>
      <c r="I347">
        <v>167</v>
      </c>
      <c r="J347">
        <v>171.44444444444446</v>
      </c>
      <c r="K347">
        <v>167</v>
      </c>
      <c r="L347">
        <v>132</v>
      </c>
      <c r="M347">
        <v>167</v>
      </c>
      <c r="N347">
        <v>167</v>
      </c>
      <c r="O347">
        <v>173.66666666666666</v>
      </c>
      <c r="P347">
        <v>169.66666666666666</v>
      </c>
      <c r="Q347">
        <v>172.625</v>
      </c>
      <c r="R347">
        <v>167</v>
      </c>
      <c r="S347">
        <v>177</v>
      </c>
      <c r="T347">
        <v>167</v>
      </c>
      <c r="U347">
        <v>180.33333333333334</v>
      </c>
      <c r="V347">
        <v>172.71428571428572</v>
      </c>
      <c r="W347">
        <v>167</v>
      </c>
      <c r="X347">
        <v>171.44444444444446</v>
      </c>
      <c r="Y347">
        <v>178.375</v>
      </c>
      <c r="Z347">
        <v>186.88888888888889</v>
      </c>
      <c r="AA347">
        <v>183</v>
      </c>
      <c r="AB347">
        <v>184.15384615384616</v>
      </c>
      <c r="AC347">
        <v>181.07692307692307</v>
      </c>
      <c r="AD347">
        <v>185.27272727272728</v>
      </c>
      <c r="AE347">
        <v>185.05882352941177</v>
      </c>
      <c r="AF347">
        <v>181.07692307692307</v>
      </c>
      <c r="AG347">
        <v>182</v>
      </c>
      <c r="AH347">
        <v>186.88888888888889</v>
      </c>
    </row>
    <row r="348" spans="1:34">
      <c r="A348" t="s">
        <v>23</v>
      </c>
      <c r="B348" t="s">
        <v>102</v>
      </c>
      <c r="C348" t="s">
        <v>150</v>
      </c>
      <c r="D348">
        <v>191.85714285714286</v>
      </c>
      <c r="E348">
        <v>193.76190476190476</v>
      </c>
      <c r="F348">
        <v>195.66666666666666</v>
      </c>
      <c r="G348">
        <v>191.66666666666666</v>
      </c>
      <c r="H348">
        <v>193.10256410256412</v>
      </c>
      <c r="I348">
        <v>195.66666666666666</v>
      </c>
      <c r="J348">
        <v>195.4</v>
      </c>
      <c r="K348">
        <v>190.12</v>
      </c>
      <c r="L348">
        <v>195</v>
      </c>
      <c r="M348">
        <v>195.25</v>
      </c>
      <c r="N348">
        <v>194.58139534883722</v>
      </c>
      <c r="O348">
        <v>194.05263157894737</v>
      </c>
      <c r="P348">
        <v>189.4</v>
      </c>
      <c r="Q348">
        <v>191.08695652173913</v>
      </c>
      <c r="R348">
        <v>194.34615384615384</v>
      </c>
      <c r="S348">
        <v>193.31818181818181</v>
      </c>
      <c r="T348">
        <v>192.55555555555554</v>
      </c>
      <c r="U348">
        <v>191.72727272727272</v>
      </c>
      <c r="V348">
        <v>191.05714285714285</v>
      </c>
      <c r="W348">
        <v>200.7948717948718</v>
      </c>
      <c r="X348">
        <v>193.76190476190476</v>
      </c>
      <c r="Y348">
        <v>193.5</v>
      </c>
      <c r="Z348">
        <v>217</v>
      </c>
      <c r="AA348">
        <v>215.4</v>
      </c>
      <c r="AB348">
        <v>214.33333333333334</v>
      </c>
      <c r="AC348">
        <v>209</v>
      </c>
      <c r="AD348">
        <v>213.70588235294119</v>
      </c>
      <c r="AE348">
        <v>211.85714285714286</v>
      </c>
      <c r="AF348">
        <v>211.10526315789474</v>
      </c>
      <c r="AG348">
        <v>214</v>
      </c>
      <c r="AH348">
        <v>217</v>
      </c>
    </row>
    <row r="349" spans="1:34">
      <c r="A349" t="s">
        <v>28</v>
      </c>
      <c r="B349" t="s">
        <v>102</v>
      </c>
      <c r="C349" t="s">
        <v>149</v>
      </c>
      <c r="D349">
        <v>498.4848484848485</v>
      </c>
      <c r="E349">
        <v>492.78125</v>
      </c>
      <c r="F349">
        <v>492.61538461538464</v>
      </c>
      <c r="G349">
        <v>492.61224489795916</v>
      </c>
      <c r="H349">
        <v>494.06976744186045</v>
      </c>
      <c r="I349">
        <v>495.17777777777781</v>
      </c>
      <c r="J349">
        <v>492.60975609756099</v>
      </c>
      <c r="K349">
        <v>492.61111111111109</v>
      </c>
      <c r="L349">
        <v>492.60975609756099</v>
      </c>
      <c r="M349">
        <v>492.61224489795916</v>
      </c>
      <c r="N349">
        <v>492.62</v>
      </c>
      <c r="O349">
        <v>492.60714285714283</v>
      </c>
      <c r="P349">
        <v>492.62857142857143</v>
      </c>
      <c r="Q349">
        <v>492.6</v>
      </c>
      <c r="R349">
        <v>492.61111111111109</v>
      </c>
      <c r="S349">
        <v>492.61290322580646</v>
      </c>
      <c r="T349">
        <v>492.62</v>
      </c>
      <c r="U349">
        <v>492.60869565217394</v>
      </c>
      <c r="V349">
        <v>492.60416666666669</v>
      </c>
      <c r="W349">
        <v>492.61702127659572</v>
      </c>
      <c r="X349">
        <v>492.61818181818182</v>
      </c>
      <c r="Y349">
        <v>492.83333333333331</v>
      </c>
      <c r="Z349">
        <v>483.12087912087912</v>
      </c>
      <c r="AA349">
        <v>483.125</v>
      </c>
      <c r="AB349">
        <v>483.12307692307695</v>
      </c>
      <c r="AC349">
        <v>483.12698412698415</v>
      </c>
      <c r="AD349">
        <v>483.125</v>
      </c>
      <c r="AE349">
        <v>493.85</v>
      </c>
      <c r="AF349">
        <v>492.60714285714283</v>
      </c>
      <c r="AG349">
        <v>492.60465116279067</v>
      </c>
      <c r="AH349">
        <v>483.12087912087912</v>
      </c>
    </row>
    <row r="350" spans="1:34">
      <c r="A350" t="s">
        <v>75</v>
      </c>
      <c r="B350" t="s">
        <v>102</v>
      </c>
      <c r="C350" t="s">
        <v>149</v>
      </c>
      <c r="D350">
        <v>845.69230769230774</v>
      </c>
      <c r="E350">
        <v>857.58333333333337</v>
      </c>
      <c r="F350">
        <v>855.64285714285711</v>
      </c>
      <c r="G350">
        <v>858.81818181818187</v>
      </c>
      <c r="H350">
        <v>844.2</v>
      </c>
      <c r="I350">
        <v>825.66666666666663</v>
      </c>
      <c r="J350">
        <v>858.5333333333333</v>
      </c>
      <c r="K350">
        <v>860.76923076923072</v>
      </c>
      <c r="L350">
        <v>849.88888888888891</v>
      </c>
      <c r="M350">
        <v>864.5</v>
      </c>
      <c r="N350">
        <v>858.5333333333333</v>
      </c>
      <c r="O350">
        <v>843.81818181818187</v>
      </c>
      <c r="P350">
        <v>847.71428571428567</v>
      </c>
      <c r="Q350">
        <v>854.125</v>
      </c>
      <c r="R350">
        <v>848.41666666666663</v>
      </c>
      <c r="S350">
        <v>843.8</v>
      </c>
      <c r="T350">
        <v>843.85714285714289</v>
      </c>
      <c r="U350">
        <v>843.83333333333337</v>
      </c>
      <c r="V350">
        <v>839.42857142857144</v>
      </c>
      <c r="W350">
        <v>836.14285714285711</v>
      </c>
      <c r="X350">
        <v>836.22222222222217</v>
      </c>
      <c r="Y350">
        <v>836.25</v>
      </c>
      <c r="Z350">
        <v>834.28571428571433</v>
      </c>
      <c r="AA350">
        <v>834.25</v>
      </c>
      <c r="AB350">
        <v>834.33333333333337</v>
      </c>
      <c r="AC350">
        <v>834.30769230769226</v>
      </c>
      <c r="AD350">
        <v>834.28571428571433</v>
      </c>
      <c r="AE350">
        <v>846.125</v>
      </c>
      <c r="AF350">
        <v>843.76923076923072</v>
      </c>
      <c r="AG350">
        <v>843.85714285714289</v>
      </c>
      <c r="AH350">
        <v>834.28571428571433</v>
      </c>
    </row>
    <row r="351" spans="1:34">
      <c r="A351" t="s">
        <v>46</v>
      </c>
      <c r="B351" t="s">
        <v>102</v>
      </c>
      <c r="C351" t="s">
        <v>154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3" spans="1:4">
      <c r="D353">
        <f>IF(Dashboard!$B$3="",SUMIF(Table1[[Category]:[Category]],Dashboard!$A$3,Table1[GMV 1]),SUMIFS(Table1[GMV 1],Table1[[Category]:[Category]],Dashboard!$A$3,Table1[[Sub-Category]:[Sub-Category]],Dashboard!$B$3))</f>
        <v>137384</v>
      </c>
    </row>
    <row r="357" spans="1:4">
      <c r="A357" t="str">
        <f t="array" ref="A357:A456">Table1[Product ID]</f>
        <v>ITEM8265</v>
      </c>
      <c r="B357" t="str">
        <f t="array" ref="B357:B456">Table1[Category]</f>
        <v>Apple</v>
      </c>
      <c r="C357" t="str">
        <f t="array" ref="C357:C456">Table1[Sub-Category]</f>
        <v>Robin</v>
      </c>
    </row>
    <row r="358" spans="1:4">
      <c r="A358" t="str">
        <v>ITEM1785</v>
      </c>
      <c r="B358" t="str">
        <v>Apple</v>
      </c>
      <c r="C358" t="str">
        <v>Golden</v>
      </c>
    </row>
    <row r="359" spans="1:4">
      <c r="A359" t="str">
        <v>ITEM3032</v>
      </c>
      <c r="B359" t="str">
        <v>Apple</v>
      </c>
      <c r="C359" t="str">
        <v>Red</v>
      </c>
    </row>
    <row r="360" spans="1:4">
      <c r="A360" t="str">
        <v>ITEM3313</v>
      </c>
      <c r="B360" t="str">
        <v>Apple</v>
      </c>
      <c r="C360" t="str">
        <v>Golden</v>
      </c>
    </row>
    <row r="361" spans="1:4">
      <c r="A361" t="str">
        <v>ITEM2978</v>
      </c>
      <c r="B361" t="str">
        <v>Apple</v>
      </c>
      <c r="C361" t="str">
        <v>Robin</v>
      </c>
    </row>
    <row r="362" spans="1:4">
      <c r="A362" t="str">
        <v>ITEM2513</v>
      </c>
      <c r="B362" t="str">
        <v>Apple</v>
      </c>
      <c r="C362" t="str">
        <v>Robin</v>
      </c>
    </row>
    <row r="363" spans="1:4">
      <c r="A363" t="str">
        <v>ITEM3731</v>
      </c>
      <c r="B363" t="str">
        <v>Apple</v>
      </c>
      <c r="C363" t="str">
        <v>Golden</v>
      </c>
    </row>
    <row r="364" spans="1:4">
      <c r="A364" t="str">
        <v>ITEM9640</v>
      </c>
      <c r="B364" t="str">
        <v>Apple</v>
      </c>
      <c r="C364" t="str">
        <v>Golden</v>
      </c>
    </row>
    <row r="365" spans="1:4">
      <c r="A365" t="str">
        <v>ITEM7902</v>
      </c>
      <c r="B365" t="str">
        <v>Apple</v>
      </c>
      <c r="C365" t="str">
        <v>Robin</v>
      </c>
    </row>
    <row r="366" spans="1:4">
      <c r="A366" t="str">
        <v>ITEM9717</v>
      </c>
      <c r="B366" t="str">
        <v>Apple</v>
      </c>
      <c r="C366" t="str">
        <v>Red</v>
      </c>
    </row>
    <row r="367" spans="1:4">
      <c r="A367" t="str">
        <v>ITEM1791</v>
      </c>
      <c r="B367" t="str">
        <v>Apple</v>
      </c>
      <c r="C367" t="str">
        <v>Red</v>
      </c>
    </row>
    <row r="368" spans="1:4">
      <c r="A368" t="str">
        <v>ITEM4188</v>
      </c>
      <c r="B368" t="str">
        <v>Apple</v>
      </c>
      <c r="C368" t="str">
        <v>Robin</v>
      </c>
    </row>
    <row r="369" spans="1:3">
      <c r="A369" t="str">
        <v>ITEM7516</v>
      </c>
      <c r="B369" t="str">
        <v>Apple</v>
      </c>
      <c r="C369" t="str">
        <v>Robin</v>
      </c>
    </row>
    <row r="370" spans="1:3">
      <c r="A370" t="str">
        <v>ITEM9671</v>
      </c>
      <c r="B370" t="str">
        <v>Apple</v>
      </c>
      <c r="C370" t="str">
        <v>Red</v>
      </c>
    </row>
    <row r="371" spans="1:3">
      <c r="A371" t="str">
        <v>ITEM7519</v>
      </c>
      <c r="B371" t="str">
        <v>Apple</v>
      </c>
      <c r="C371" t="str">
        <v>Golden</v>
      </c>
    </row>
    <row r="372" spans="1:3">
      <c r="A372" t="str">
        <v>ITEM2360</v>
      </c>
      <c r="B372" t="str">
        <v>Apple</v>
      </c>
      <c r="C372" t="str">
        <v>Golden</v>
      </c>
    </row>
    <row r="373" spans="1:3">
      <c r="A373" t="str">
        <v>ITEM8897</v>
      </c>
      <c r="B373" t="str">
        <v>Apple</v>
      </c>
      <c r="C373" t="str">
        <v>Red</v>
      </c>
    </row>
    <row r="374" spans="1:3">
      <c r="A374" t="str">
        <v>ITEM4672</v>
      </c>
      <c r="B374" t="str">
        <v>Apple</v>
      </c>
      <c r="C374" t="str">
        <v>Golden</v>
      </c>
    </row>
    <row r="375" spans="1:3">
      <c r="A375" t="str">
        <v>ITEM8933</v>
      </c>
      <c r="B375" t="str">
        <v>Apple</v>
      </c>
      <c r="C375" t="str">
        <v>Red</v>
      </c>
    </row>
    <row r="376" spans="1:3">
      <c r="A376" t="str">
        <v>ITEM6354</v>
      </c>
      <c r="B376" t="str">
        <v>Apple</v>
      </c>
      <c r="C376" t="str">
        <v>Golden</v>
      </c>
    </row>
    <row r="377" spans="1:3">
      <c r="A377" t="str">
        <v>ITEM2248</v>
      </c>
      <c r="B377" t="str">
        <v>Apple</v>
      </c>
      <c r="C377" t="str">
        <v>Red</v>
      </c>
    </row>
    <row r="378" spans="1:3">
      <c r="A378" t="str">
        <v>ITEM6480</v>
      </c>
      <c r="B378" t="str">
        <v>Apple</v>
      </c>
      <c r="C378" t="str">
        <v>Red</v>
      </c>
    </row>
    <row r="379" spans="1:3">
      <c r="A379" t="str">
        <v>ITEM8226</v>
      </c>
      <c r="B379" t="str">
        <v>Guava</v>
      </c>
      <c r="C379" t="str">
        <v>Sour</v>
      </c>
    </row>
    <row r="380" spans="1:3">
      <c r="A380" t="str">
        <v>ITEM5047</v>
      </c>
      <c r="B380" t="str">
        <v>Lemon</v>
      </c>
      <c r="C380" t="str">
        <v>Nimbu</v>
      </c>
    </row>
    <row r="381" spans="1:3">
      <c r="A381" t="str">
        <v>ITEM8923</v>
      </c>
      <c r="B381" t="str">
        <v>Lemon</v>
      </c>
      <c r="C381" t="str">
        <v>Oblong</v>
      </c>
    </row>
    <row r="382" spans="1:3">
      <c r="A382" t="str">
        <v>ITEM5498</v>
      </c>
      <c r="B382" t="str">
        <v>Lemon</v>
      </c>
      <c r="C382" t="str">
        <v>Lisbon</v>
      </c>
    </row>
    <row r="383" spans="1:3">
      <c r="A383" t="str">
        <v>ITEM1945</v>
      </c>
      <c r="B383" t="str">
        <v>Lemon</v>
      </c>
      <c r="C383" t="str">
        <v>Lisbon</v>
      </c>
    </row>
    <row r="384" spans="1:3">
      <c r="A384" t="str">
        <v>ITEM5204</v>
      </c>
      <c r="B384" t="str">
        <v>Lemon</v>
      </c>
      <c r="C384" t="str">
        <v>Lisbon</v>
      </c>
    </row>
    <row r="385" spans="1:3">
      <c r="A385" t="str">
        <v>ITEM3632</v>
      </c>
      <c r="B385" t="str">
        <v>Lemon</v>
      </c>
      <c r="C385" t="str">
        <v>Lisbon</v>
      </c>
    </row>
    <row r="386" spans="1:3">
      <c r="A386" t="str">
        <v>ITEM8061</v>
      </c>
      <c r="B386" t="str">
        <v>Lemon</v>
      </c>
      <c r="C386" t="str">
        <v>Oblong</v>
      </c>
    </row>
    <row r="387" spans="1:3">
      <c r="A387" t="str">
        <v>ITEM4894</v>
      </c>
      <c r="B387" t="str">
        <v>Lemon</v>
      </c>
      <c r="C387" t="str">
        <v>Oblong</v>
      </c>
    </row>
    <row r="388" spans="1:3">
      <c r="A388" t="str">
        <v>ITEM6307</v>
      </c>
      <c r="B388" t="str">
        <v>Lemon</v>
      </c>
      <c r="C388" t="str">
        <v>Lisbon</v>
      </c>
    </row>
    <row r="389" spans="1:3">
      <c r="A389" t="str">
        <v>ITEM5747</v>
      </c>
      <c r="B389" t="str">
        <v>Lemon</v>
      </c>
      <c r="C389" t="str">
        <v>Lisbon</v>
      </c>
    </row>
    <row r="390" spans="1:3">
      <c r="A390" t="str">
        <v>ITEM8277</v>
      </c>
      <c r="B390" t="str">
        <v>Lemon</v>
      </c>
      <c r="C390" t="str">
        <v>Lisbon</v>
      </c>
    </row>
    <row r="391" spans="1:3">
      <c r="A391" t="str">
        <v>ITEM4685</v>
      </c>
      <c r="B391" t="str">
        <v>Lemon</v>
      </c>
      <c r="C391" t="str">
        <v>Oblong</v>
      </c>
    </row>
    <row r="392" spans="1:3">
      <c r="A392" t="str">
        <v>ITEM8963</v>
      </c>
      <c r="B392" t="str">
        <v>Lemon</v>
      </c>
      <c r="C392" t="str">
        <v>Nimbu</v>
      </c>
    </row>
    <row r="393" spans="1:3">
      <c r="A393" t="str">
        <v>ITEM8401</v>
      </c>
      <c r="B393" t="str">
        <v>Lemon</v>
      </c>
      <c r="C393" t="str">
        <v>Oblong</v>
      </c>
    </row>
    <row r="394" spans="1:3">
      <c r="A394" t="str">
        <v>ITEM6857</v>
      </c>
      <c r="B394" t="str">
        <v>Lemon</v>
      </c>
      <c r="C394" t="str">
        <v>Lisbon</v>
      </c>
    </row>
    <row r="395" spans="1:3">
      <c r="A395" t="str">
        <v>ITEM9924</v>
      </c>
      <c r="B395" t="str">
        <v>Lemon</v>
      </c>
      <c r="C395" t="str">
        <v>Oblong</v>
      </c>
    </row>
    <row r="396" spans="1:3">
      <c r="A396" t="str">
        <v>ITEM2260</v>
      </c>
      <c r="B396" t="str">
        <v>Lemon</v>
      </c>
      <c r="C396" t="str">
        <v>Nimbu</v>
      </c>
    </row>
    <row r="397" spans="1:3">
      <c r="A397" t="str">
        <v>ITEM9882</v>
      </c>
      <c r="B397" t="str">
        <v>Lemon</v>
      </c>
      <c r="C397" t="str">
        <v>Lisbon</v>
      </c>
    </row>
    <row r="398" spans="1:3">
      <c r="A398" t="str">
        <v>ITEM7622</v>
      </c>
      <c r="B398" t="str">
        <v>Lemon</v>
      </c>
      <c r="C398" t="str">
        <v>Oblong</v>
      </c>
    </row>
    <row r="399" spans="1:3">
      <c r="A399" t="str">
        <v>ITEM3306</v>
      </c>
      <c r="B399" t="str">
        <v>Lemon</v>
      </c>
      <c r="C399" t="str">
        <v>Oblong</v>
      </c>
    </row>
    <row r="400" spans="1:3">
      <c r="A400" t="str">
        <v>ITEM5049</v>
      </c>
      <c r="B400" t="str">
        <v>Lemon</v>
      </c>
      <c r="C400" t="str">
        <v>Lisbon</v>
      </c>
    </row>
    <row r="401" spans="1:3">
      <c r="A401" t="str">
        <v>ITEM2852</v>
      </c>
      <c r="B401" t="str">
        <v>Lemon</v>
      </c>
      <c r="C401" t="str">
        <v>Oblong</v>
      </c>
    </row>
    <row r="402" spans="1:3">
      <c r="A402" t="str">
        <v>ITEM4931</v>
      </c>
      <c r="B402" t="str">
        <v>Lemon</v>
      </c>
      <c r="C402" t="str">
        <v>Lisbon</v>
      </c>
    </row>
    <row r="403" spans="1:3">
      <c r="A403" t="str">
        <v>ITEM3405</v>
      </c>
      <c r="B403" t="str">
        <v>Lemon</v>
      </c>
      <c r="C403" t="str">
        <v>Nimbu</v>
      </c>
    </row>
    <row r="404" spans="1:3">
      <c r="A404" t="str">
        <v>ITEM6460</v>
      </c>
      <c r="B404" t="str">
        <v>Lemon</v>
      </c>
      <c r="C404" t="str">
        <v>Nimbu</v>
      </c>
    </row>
    <row r="405" spans="1:3">
      <c r="A405" t="str">
        <v>ITEM8733</v>
      </c>
      <c r="B405" t="str">
        <v>Lemon</v>
      </c>
      <c r="C405" t="str">
        <v>Lisbon</v>
      </c>
    </row>
    <row r="406" spans="1:3">
      <c r="A406" t="str">
        <v>ITEM2083</v>
      </c>
      <c r="B406" t="str">
        <v>Lemon</v>
      </c>
      <c r="C406" t="str">
        <v>Nimbu</v>
      </c>
    </row>
    <row r="407" spans="1:3">
      <c r="A407" t="str">
        <v>ITEM9903</v>
      </c>
      <c r="B407" t="str">
        <v>Lemon</v>
      </c>
      <c r="C407" t="str">
        <v>Oblong</v>
      </c>
    </row>
    <row r="408" spans="1:3">
      <c r="A408" t="str">
        <v>ITEM2624</v>
      </c>
      <c r="B408" t="str">
        <v>Lemon</v>
      </c>
      <c r="C408" t="str">
        <v>Nimbu</v>
      </c>
    </row>
    <row r="409" spans="1:3">
      <c r="A409" t="str">
        <v>ITEM3062</v>
      </c>
      <c r="B409" t="str">
        <v>Mango</v>
      </c>
      <c r="C409" t="str">
        <v>Green</v>
      </c>
    </row>
    <row r="410" spans="1:3">
      <c r="A410" t="str">
        <v>ITEM8095</v>
      </c>
      <c r="B410" t="str">
        <v>Mango</v>
      </c>
      <c r="C410" t="str">
        <v>Green</v>
      </c>
    </row>
    <row r="411" spans="1:3">
      <c r="A411" t="str">
        <v>ITEM5418</v>
      </c>
      <c r="B411" t="str">
        <v>Mango</v>
      </c>
      <c r="C411" t="str">
        <v>Alphonso</v>
      </c>
    </row>
    <row r="412" spans="1:3">
      <c r="A412" t="str">
        <v>ITEM7423</v>
      </c>
      <c r="B412" t="str">
        <v>Mango</v>
      </c>
      <c r="C412" t="str">
        <v>Alphonso</v>
      </c>
    </row>
    <row r="413" spans="1:3">
      <c r="A413" t="str">
        <v>ITEM8108</v>
      </c>
      <c r="B413" t="str">
        <v>Mango</v>
      </c>
      <c r="C413" t="str">
        <v>Amrapalli</v>
      </c>
    </row>
    <row r="414" spans="1:3">
      <c r="A414" t="str">
        <v>ITEM3659</v>
      </c>
      <c r="B414" t="str">
        <v>Mango</v>
      </c>
      <c r="C414" t="str">
        <v>Amrapalli</v>
      </c>
    </row>
    <row r="415" spans="1:3">
      <c r="A415" t="str">
        <v>ITEM9485</v>
      </c>
      <c r="B415" t="str">
        <v>Mango</v>
      </c>
      <c r="C415" t="str">
        <v>Green</v>
      </c>
    </row>
    <row r="416" spans="1:3">
      <c r="A416" t="str">
        <v>ITEM9891</v>
      </c>
      <c r="B416" t="str">
        <v>Mango</v>
      </c>
      <c r="C416" t="str">
        <v>Green</v>
      </c>
    </row>
    <row r="417" spans="1:3">
      <c r="A417" t="str">
        <v>ITEM1375</v>
      </c>
      <c r="B417" t="str">
        <v>Mango</v>
      </c>
      <c r="C417" t="str">
        <v>Green</v>
      </c>
    </row>
    <row r="418" spans="1:3">
      <c r="A418" t="str">
        <v>ITEM4459</v>
      </c>
      <c r="B418" t="str">
        <v>Mango</v>
      </c>
      <c r="C418" t="str">
        <v>Green</v>
      </c>
    </row>
    <row r="419" spans="1:3">
      <c r="A419" t="str">
        <v>ITEM9894</v>
      </c>
      <c r="B419" t="str">
        <v>Mango</v>
      </c>
      <c r="C419" t="str">
        <v>Alphonso</v>
      </c>
    </row>
    <row r="420" spans="1:3">
      <c r="A420" t="str">
        <v>ITEM6251</v>
      </c>
      <c r="B420" t="str">
        <v>Mango</v>
      </c>
      <c r="C420" t="str">
        <v>Green</v>
      </c>
    </row>
    <row r="421" spans="1:3">
      <c r="A421" t="str">
        <v>ITEM4609</v>
      </c>
      <c r="B421" t="str">
        <v>Mango</v>
      </c>
      <c r="C421" t="str">
        <v>Amrapalli</v>
      </c>
    </row>
    <row r="422" spans="1:3">
      <c r="A422" t="str">
        <v>ITEM8090</v>
      </c>
      <c r="B422" t="str">
        <v>Mango</v>
      </c>
      <c r="C422" t="str">
        <v>Green</v>
      </c>
    </row>
    <row r="423" spans="1:3">
      <c r="A423" t="str">
        <v>ITEM6199</v>
      </c>
      <c r="B423" t="str">
        <v>Mango</v>
      </c>
      <c r="C423" t="str">
        <v>Alphonso</v>
      </c>
    </row>
    <row r="424" spans="1:3">
      <c r="A424" t="str">
        <v>ITEM4838</v>
      </c>
      <c r="B424" t="str">
        <v>Mango</v>
      </c>
      <c r="C424" t="str">
        <v>Alphonso</v>
      </c>
    </row>
    <row r="425" spans="1:3">
      <c r="A425" t="str">
        <v>ITEM7423</v>
      </c>
      <c r="B425" t="str">
        <v>Mango</v>
      </c>
      <c r="C425" t="str">
        <v>Green</v>
      </c>
    </row>
    <row r="426" spans="1:3">
      <c r="A426" t="str">
        <v>ITEM5665</v>
      </c>
      <c r="B426" t="str">
        <v>Mango</v>
      </c>
      <c r="C426" t="str">
        <v>Green</v>
      </c>
    </row>
    <row r="427" spans="1:3">
      <c r="A427" t="str">
        <v>ITEM9480</v>
      </c>
      <c r="B427" t="str">
        <v>Mango</v>
      </c>
      <c r="C427" t="str">
        <v>Green</v>
      </c>
    </row>
    <row r="428" spans="1:3">
      <c r="A428" t="str">
        <v>ITEM8186</v>
      </c>
      <c r="B428" t="str">
        <v>Mango</v>
      </c>
      <c r="C428" t="str">
        <v>Alphonso</v>
      </c>
    </row>
    <row r="429" spans="1:3">
      <c r="A429" t="str">
        <v>ITEM8920</v>
      </c>
      <c r="B429" t="str">
        <v>Mango</v>
      </c>
      <c r="C429" t="str">
        <v>Amrapalli</v>
      </c>
    </row>
    <row r="430" spans="1:3">
      <c r="A430" t="str">
        <v>ITEM1283</v>
      </c>
      <c r="B430" t="str">
        <v>Mango</v>
      </c>
      <c r="C430" t="str">
        <v>Green</v>
      </c>
    </row>
    <row r="431" spans="1:3">
      <c r="A431" t="str">
        <v>ITEM6204</v>
      </c>
      <c r="B431" t="str">
        <v>Mango</v>
      </c>
      <c r="C431" t="str">
        <v>Amrapalli</v>
      </c>
    </row>
    <row r="432" spans="1:3">
      <c r="A432" t="str">
        <v>ITEM8789</v>
      </c>
      <c r="B432" t="str">
        <v>Mango</v>
      </c>
      <c r="C432" t="str">
        <v>Alphonso</v>
      </c>
    </row>
    <row r="433" spans="1:3">
      <c r="A433" t="str">
        <v>ITEM7663</v>
      </c>
      <c r="B433" t="str">
        <v>Mango</v>
      </c>
      <c r="C433" t="str">
        <v>Alphonso</v>
      </c>
    </row>
    <row r="434" spans="1:3">
      <c r="A434" t="str">
        <v>ITEM2329</v>
      </c>
      <c r="B434" t="str">
        <v>Mango</v>
      </c>
      <c r="C434" t="str">
        <v>Amrapalli</v>
      </c>
    </row>
    <row r="435" spans="1:3">
      <c r="A435" t="str">
        <v>ITEM5159</v>
      </c>
      <c r="B435" t="str">
        <v>Mango</v>
      </c>
      <c r="C435" t="str">
        <v>Amrapalli</v>
      </c>
    </row>
    <row r="436" spans="1:3">
      <c r="A436" t="str">
        <v>ITEM5211</v>
      </c>
      <c r="B436" t="str">
        <v>Mango</v>
      </c>
      <c r="C436" t="str">
        <v>Amrapalli</v>
      </c>
    </row>
    <row r="437" spans="1:3">
      <c r="A437" t="str">
        <v>ITEM1965</v>
      </c>
      <c r="B437" t="str">
        <v>Mango</v>
      </c>
      <c r="C437" t="str">
        <v>Green</v>
      </c>
    </row>
    <row r="438" spans="1:3">
      <c r="A438" t="str">
        <v>ITEM5846</v>
      </c>
      <c r="B438" t="str">
        <v>Mango</v>
      </c>
      <c r="C438" t="str">
        <v>Green</v>
      </c>
    </row>
    <row r="439" spans="1:3">
      <c r="A439" t="str">
        <v>ITEM3567</v>
      </c>
      <c r="B439" t="str">
        <v>Orange</v>
      </c>
      <c r="C439" t="str">
        <v>Tangerine</v>
      </c>
    </row>
    <row r="440" spans="1:3">
      <c r="A440" t="str">
        <v>ITEM7636</v>
      </c>
      <c r="B440" t="str">
        <v>Orange</v>
      </c>
      <c r="C440" t="str">
        <v>Tangerine</v>
      </c>
    </row>
    <row r="441" spans="1:3">
      <c r="A441" t="str">
        <v>ITEM6544</v>
      </c>
      <c r="B441" t="str">
        <v>Orange</v>
      </c>
      <c r="C441" t="str">
        <v>Mandarin</v>
      </c>
    </row>
    <row r="442" spans="1:3">
      <c r="A442" t="str">
        <v>ITEM1731</v>
      </c>
      <c r="B442" t="str">
        <v>Orange</v>
      </c>
      <c r="C442" t="str">
        <v>Indie</v>
      </c>
    </row>
    <row r="443" spans="1:3">
      <c r="A443" t="str">
        <v>ITEM1406</v>
      </c>
      <c r="B443" t="str">
        <v>Orange</v>
      </c>
      <c r="C443" t="str">
        <v>Mandarin</v>
      </c>
    </row>
    <row r="444" spans="1:3">
      <c r="A444" t="str">
        <v>ITEM5806</v>
      </c>
      <c r="B444" t="str">
        <v>Orange</v>
      </c>
      <c r="C444" t="str">
        <v>Indie</v>
      </c>
    </row>
    <row r="445" spans="1:3">
      <c r="A445" t="str">
        <v>ITEM1064</v>
      </c>
      <c r="B445" t="str">
        <v>Orange</v>
      </c>
      <c r="C445" t="str">
        <v>Mandarin</v>
      </c>
    </row>
    <row r="446" spans="1:3">
      <c r="A446" t="str">
        <v>ITEM9090</v>
      </c>
      <c r="B446" t="str">
        <v>Orange</v>
      </c>
      <c r="C446" t="str">
        <v>Mandarin</v>
      </c>
    </row>
    <row r="447" spans="1:3">
      <c r="A447" t="str">
        <v>ITEM9564</v>
      </c>
      <c r="B447" t="str">
        <v>Orange</v>
      </c>
      <c r="C447" t="str">
        <v>Indie</v>
      </c>
    </row>
    <row r="448" spans="1:3">
      <c r="A448" t="str">
        <v>ITEM1813</v>
      </c>
      <c r="B448" t="str">
        <v>Orange</v>
      </c>
      <c r="C448" t="str">
        <v>Indie</v>
      </c>
    </row>
    <row r="449" spans="1:3">
      <c r="A449" t="str">
        <v>ITEM9161</v>
      </c>
      <c r="B449" t="str">
        <v>Orange</v>
      </c>
      <c r="C449" t="str">
        <v>Tangerine</v>
      </c>
    </row>
    <row r="450" spans="1:3">
      <c r="A450" t="str">
        <v>ITEM3301</v>
      </c>
      <c r="B450" t="str">
        <v>Orange</v>
      </c>
      <c r="C450" t="str">
        <v>Tangerine</v>
      </c>
    </row>
    <row r="451" spans="1:3">
      <c r="A451" t="str">
        <v>ITEM5899</v>
      </c>
      <c r="B451" t="str">
        <v>Orange</v>
      </c>
      <c r="C451" t="str">
        <v>Mandarin</v>
      </c>
    </row>
    <row r="452" spans="1:3">
      <c r="A452" t="str">
        <v>ITEM8886</v>
      </c>
      <c r="B452" t="str">
        <v>Orange</v>
      </c>
      <c r="C452" t="str">
        <v>Tangerine</v>
      </c>
    </row>
    <row r="453" spans="1:3">
      <c r="A453" t="str">
        <v>ITEM7861</v>
      </c>
      <c r="B453" t="str">
        <v>Orange</v>
      </c>
      <c r="C453" t="str">
        <v>Mandarin</v>
      </c>
    </row>
    <row r="454" spans="1:3">
      <c r="A454" t="str">
        <v>ITEM3252</v>
      </c>
      <c r="B454" t="str">
        <v>Orange</v>
      </c>
      <c r="C454" t="str">
        <v>Tangerine</v>
      </c>
    </row>
    <row r="455" spans="1:3">
      <c r="A455" t="str">
        <v>ITEM8353</v>
      </c>
      <c r="B455" t="str">
        <v>Orange</v>
      </c>
      <c r="C455" t="str">
        <v>Tangerine</v>
      </c>
    </row>
    <row r="456" spans="1:3">
      <c r="A456" t="str">
        <v>ITEM7691</v>
      </c>
      <c r="B456" t="str">
        <v>Orange</v>
      </c>
      <c r="C456" t="str">
        <v>Indie</v>
      </c>
    </row>
    <row r="466" spans="1:67">
      <c r="C466" t="e" cm="1">
        <f t="array" ref="C466:BO466">INDEX(Table1[],2, COLUMN(Table1[])-2) / INDEX(Table1[], , COLUMN(Table1[])-1)</f>
        <v>#VALUE!</v>
      </c>
      <c r="D466" t="e">
        <v>#VALUE!</v>
      </c>
      <c r="E466" t="e">
        <v>#VALUE!</v>
      </c>
      <c r="F466" t="e">
        <v>#VALUE!</v>
      </c>
      <c r="G466" t="e">
        <v>#VALUE!</v>
      </c>
      <c r="H466">
        <v>0</v>
      </c>
      <c r="I466">
        <v>0</v>
      </c>
      <c r="J466">
        <v>141.875</v>
      </c>
      <c r="K466">
        <v>1.170240777039876E-4</v>
      </c>
      <c r="L466">
        <v>44.789473684210527</v>
      </c>
      <c r="M466">
        <v>1.8528812303131369E-4</v>
      </c>
      <c r="N466">
        <v>315.33333333333331</v>
      </c>
      <c r="O466">
        <v>3.873716831299632E-4</v>
      </c>
      <c r="P466">
        <v>227.06666666666666</v>
      </c>
      <c r="Q466">
        <v>2.7968768208833469E-4</v>
      </c>
      <c r="R466">
        <v>40.56</v>
      </c>
      <c r="S466">
        <v>2.1277727538698867E-4</v>
      </c>
      <c r="T466">
        <v>180.63636363636363</v>
      </c>
      <c r="U466">
        <v>3.15074042399964E-4</v>
      </c>
      <c r="V466">
        <v>196.46153846153845</v>
      </c>
      <c r="W466">
        <v>5.8513750731421885E-4</v>
      </c>
      <c r="X466">
        <v>63.111111111111114</v>
      </c>
      <c r="Y466">
        <v>7.3142188414277356E-5</v>
      </c>
      <c r="Z466">
        <v>124.1875</v>
      </c>
      <c r="AA466">
        <v>3.4133021259996101E-4</v>
      </c>
      <c r="AB466">
        <v>212.83333333333334</v>
      </c>
      <c r="AC466">
        <v>3.5108250438853128E-4</v>
      </c>
      <c r="AD466">
        <v>208.13333333333333</v>
      </c>
      <c r="AE466">
        <v>4.0228203627852544E-4</v>
      </c>
      <c r="AF466">
        <v>95.25</v>
      </c>
      <c r="AG466">
        <v>1.4628437682855471E-4</v>
      </c>
      <c r="AH466">
        <v>156.1</v>
      </c>
      <c r="AI466">
        <v>4.5975089860402911E-4</v>
      </c>
      <c r="AJ466">
        <v>141.92857142857142</v>
      </c>
      <c r="AK466">
        <v>3.7236023192723015E-4</v>
      </c>
      <c r="AL466">
        <v>258</v>
      </c>
      <c r="AM466">
        <v>3.2507639295234378E-4</v>
      </c>
      <c r="AN466">
        <v>141.88888888888889</v>
      </c>
      <c r="AO466">
        <v>4.3842556508183944E-4</v>
      </c>
      <c r="AP466">
        <v>118.25</v>
      </c>
      <c r="AQ466">
        <v>3.6517674554484373E-4</v>
      </c>
      <c r="AR466">
        <v>283.75</v>
      </c>
      <c r="AS466">
        <v>4.2532830028178001E-4</v>
      </c>
      <c r="AT466">
        <v>206.36363636363637</v>
      </c>
      <c r="AU466">
        <v>5.885815185403178E-4</v>
      </c>
      <c r="AV466">
        <v>248.375</v>
      </c>
      <c r="AW466">
        <v>1.2711094970038134E-3</v>
      </c>
      <c r="AX466">
        <v>1513.6666666666667</v>
      </c>
      <c r="AY466">
        <v>1.9036287923854848E-3</v>
      </c>
      <c r="AZ466">
        <v>567.6</v>
      </c>
      <c r="BA466">
        <v>5.8823529411764701E-4</v>
      </c>
      <c r="BB466">
        <v>368.9</v>
      </c>
      <c r="BC466">
        <v>1.9385624813599762E-3</v>
      </c>
      <c r="BD466">
        <v>922.25</v>
      </c>
      <c r="BE466">
        <v>1.0464461080254366E-3</v>
      </c>
      <c r="BF466">
        <v>243.28571428571428</v>
      </c>
      <c r="BG466">
        <v>-5.4595086442220204E-3</v>
      </c>
      <c r="BH466">
        <v>-1135</v>
      </c>
      <c r="BI466">
        <v>1.0081407364468079E-4</v>
      </c>
      <c r="BJ466">
        <v>49.347826086956523</v>
      </c>
      <c r="BK466">
        <v>2.6159178601791903E-4</v>
      </c>
      <c r="BL466">
        <v>63.111111111111114</v>
      </c>
      <c r="BM466">
        <v>1.3071041108424287E-4</v>
      </c>
      <c r="BN466">
        <v>126.11111111111111</v>
      </c>
      <c r="BO466">
        <v>4.759071980963712E-4</v>
      </c>
    </row>
    <row r="469" spans="1:67">
      <c r="A469" t="str" cm="1">
        <f t="array" ref="A469:BM469">IF(Dashboard!G3="","Choose Product ID",_xlfn._xlws.FILTER(Table1[],Table1[Product ID]=Dashboard!G3))</f>
        <v>ITEM3252</v>
      </c>
      <c r="B469" t="str">
        <v>Orange</v>
      </c>
      <c r="C469" t="str">
        <v>Tangerine</v>
      </c>
      <c r="D469">
        <v>16450</v>
      </c>
      <c r="E469">
        <v>33</v>
      </c>
      <c r="F469">
        <v>15769</v>
      </c>
      <c r="G469">
        <v>32</v>
      </c>
      <c r="H469">
        <v>19212</v>
      </c>
      <c r="I469">
        <v>39</v>
      </c>
      <c r="J469">
        <v>24138</v>
      </c>
      <c r="K469">
        <v>49</v>
      </c>
      <c r="L469">
        <v>21245</v>
      </c>
      <c r="M469">
        <v>43</v>
      </c>
      <c r="N469">
        <v>22283</v>
      </c>
      <c r="O469">
        <v>45</v>
      </c>
      <c r="P469">
        <v>20197</v>
      </c>
      <c r="Q469">
        <v>41</v>
      </c>
      <c r="R469">
        <v>17734</v>
      </c>
      <c r="S469">
        <v>36</v>
      </c>
      <c r="T469">
        <v>20197</v>
      </c>
      <c r="U469">
        <v>41</v>
      </c>
      <c r="V469">
        <v>24138</v>
      </c>
      <c r="W469">
        <v>49</v>
      </c>
      <c r="X469">
        <v>24631</v>
      </c>
      <c r="Y469">
        <v>50</v>
      </c>
      <c r="Z469">
        <v>13793</v>
      </c>
      <c r="AA469">
        <v>28</v>
      </c>
      <c r="AB469">
        <v>17242</v>
      </c>
      <c r="AC469">
        <v>35</v>
      </c>
      <c r="AD469">
        <v>14778</v>
      </c>
      <c r="AE469">
        <v>30</v>
      </c>
      <c r="AF469">
        <v>17734</v>
      </c>
      <c r="AG469">
        <v>36</v>
      </c>
      <c r="AH469">
        <v>15271</v>
      </c>
      <c r="AI469">
        <v>31</v>
      </c>
      <c r="AJ469">
        <v>24631</v>
      </c>
      <c r="AK469">
        <v>50</v>
      </c>
      <c r="AL469">
        <v>22660</v>
      </c>
      <c r="AM469">
        <v>46</v>
      </c>
      <c r="AN469">
        <v>23645</v>
      </c>
      <c r="AO469">
        <v>48</v>
      </c>
      <c r="AP469">
        <v>23153</v>
      </c>
      <c r="AQ469">
        <v>47</v>
      </c>
      <c r="AR469">
        <v>27094</v>
      </c>
      <c r="AS469">
        <v>55</v>
      </c>
      <c r="AT469">
        <v>38441</v>
      </c>
      <c r="AU469">
        <v>78</v>
      </c>
      <c r="AV469">
        <v>43964</v>
      </c>
      <c r="AW469">
        <v>91</v>
      </c>
      <c r="AX469">
        <v>50245</v>
      </c>
      <c r="AY469">
        <v>104</v>
      </c>
      <c r="AZ469">
        <v>31403</v>
      </c>
      <c r="BA469">
        <v>65</v>
      </c>
      <c r="BB469">
        <v>30437</v>
      </c>
      <c r="BC469">
        <v>63</v>
      </c>
      <c r="BD469">
        <v>34785</v>
      </c>
      <c r="BE469">
        <v>72</v>
      </c>
      <c r="BF469">
        <v>29631</v>
      </c>
      <c r="BG469">
        <v>60</v>
      </c>
      <c r="BH469">
        <v>27586</v>
      </c>
      <c r="BI469">
        <v>56</v>
      </c>
      <c r="BJ469">
        <v>21182</v>
      </c>
      <c r="BK469">
        <v>43</v>
      </c>
      <c r="BL469">
        <v>43964</v>
      </c>
      <c r="BM469">
        <v>91</v>
      </c>
    </row>
    <row r="473" spans="1:67">
      <c r="B473" t="e" cm="1">
        <f t="array" ref="B473">INDEX($D$469:$BM$469,1, (COLUMN()-COLUMN($D$469))*2+1)</f>
        <v>#VALUE!</v>
      </c>
      <c r="C473" t="e">
        <f t="array" ref="C473">INDEX($D$469:$BM$469,1, (COLUMN()-COLUMN($D$469))*2+1)</f>
        <v>#VALUE!</v>
      </c>
      <c r="D473">
        <f t="array" ref="D473">INDEX($D$469:$BM$469,1, (COLUMN()-COLUMN($D$469))*2+1)</f>
        <v>16450</v>
      </c>
      <c r="E473">
        <f t="array" ref="E473">INDEX($D$469:$BM$469,1, (COLUMN()-COLUMN($D$469))*2+1)</f>
        <v>15769</v>
      </c>
      <c r="F473">
        <f t="array" ref="F473">INDEX($D$469:$BM$469,1, (COLUMN()-COLUMN($D$469))*2+1)</f>
        <v>19212</v>
      </c>
      <c r="G473">
        <f t="array" ref="G473">INDEX($D$469:$BM$469,1, (COLUMN()-COLUMN($D$469))*2+1)</f>
        <v>24138</v>
      </c>
      <c r="H473">
        <f t="array" ref="H473">INDEX($D$469:$BM$469,1, (COLUMN()-COLUMN($D$469))*2+1)</f>
        <v>21245</v>
      </c>
      <c r="I473">
        <f t="array" ref="I473">INDEX($D$469:$BM$469,1, (COLUMN()-COLUMN($D$469))*2+1)</f>
        <v>22283</v>
      </c>
      <c r="J473">
        <f t="array" ref="J473">INDEX($D$469:$BM$469,1, (COLUMN()-COLUMN($D$469))*2+1)</f>
        <v>20197</v>
      </c>
      <c r="K473">
        <f t="array" ref="K473">INDEX($D$469:$BM$469,1, (COLUMN()-COLUMN($D$469))*2+1)</f>
        <v>17734</v>
      </c>
      <c r="L473">
        <f t="array" ref="L473">INDEX($D$469:$BM$469,1, (COLUMN()-COLUMN($D$469))*2+1)</f>
        <v>20197</v>
      </c>
      <c r="M473">
        <f t="array" ref="M473">INDEX($D$469:$BM$469,1, (COLUMN()-COLUMN($D$469))*2+1)</f>
        <v>24138</v>
      </c>
      <c r="N473">
        <f t="array" ref="N473">INDEX($D$469:$BM$469,1, (COLUMN()-COLUMN($D$469))*2+1)</f>
        <v>24631</v>
      </c>
      <c r="O473">
        <f t="array" ref="O473">INDEX($D$469:$BM$469,1, (COLUMN()-COLUMN($D$469))*2+1)</f>
        <v>13793</v>
      </c>
      <c r="P473">
        <f t="array" ref="P473">INDEX($D$469:$BM$469,1, (COLUMN()-COLUMN($D$469))*2+1)</f>
        <v>17242</v>
      </c>
      <c r="Q473">
        <f t="array" ref="Q473">INDEX($D$469:$BM$469,1, (COLUMN()-COLUMN($D$469))*2+1)</f>
        <v>14778</v>
      </c>
      <c r="R473">
        <f t="array" ref="R473">INDEX($D$469:$BM$469,1, (COLUMN()-COLUMN($D$469))*2+1)</f>
        <v>17734</v>
      </c>
      <c r="S473">
        <f t="array" ref="S473">INDEX($D$469:$BM$469,1, (COLUMN()-COLUMN($D$469))*2+1)</f>
        <v>15271</v>
      </c>
      <c r="T473">
        <f t="array" ref="T473">INDEX($D$469:$BM$469,1, (COLUMN()-COLUMN($D$469))*2+1)</f>
        <v>24631</v>
      </c>
      <c r="U473">
        <f t="array" ref="U473">INDEX($D$469:$BM$469,1, (COLUMN()-COLUMN($D$469))*2+1)</f>
        <v>22660</v>
      </c>
      <c r="V473">
        <f t="array" ref="V473">INDEX($D$469:$BM$469,1, (COLUMN()-COLUMN($D$469))*2+1)</f>
        <v>23645</v>
      </c>
      <c r="W473">
        <f t="array" ref="W473">INDEX($D$469:$BM$469,1, (COLUMN()-COLUMN($D$469))*2+1)</f>
        <v>23153</v>
      </c>
      <c r="X473">
        <f t="array" ref="X473">INDEX($D$469:$BM$469,1, (COLUMN()-COLUMN($D$469))*2+1)</f>
        <v>27094</v>
      </c>
      <c r="Y473">
        <f t="array" ref="Y473">INDEX($D$469:$BM$469,1, (COLUMN()-COLUMN($D$469))*2+1)</f>
        <v>38441</v>
      </c>
      <c r="Z473">
        <f t="array" ref="Z473">INDEX($D$469:$BM$469,1, (COLUMN()-COLUMN($D$469))*2+1)</f>
        <v>43964</v>
      </c>
      <c r="AA473">
        <f t="array" ref="AA473">INDEX($D$469:$BM$469,1, (COLUMN()-COLUMN($D$469))*2+1)</f>
        <v>50245</v>
      </c>
      <c r="AB473">
        <f t="array" ref="AB473">INDEX($D$469:$BM$469,1, (COLUMN()-COLUMN($D$469))*2+1)</f>
        <v>31403</v>
      </c>
      <c r="AC473">
        <f t="array" ref="AC473">INDEX($D$469:$BM$469,1, (COLUMN()-COLUMN($D$469))*2+1)</f>
        <v>30437</v>
      </c>
      <c r="AD473">
        <f t="array" ref="AD473">INDEX($D$469:$BM$469,1, (COLUMN()-COLUMN($D$469))*2+1)</f>
        <v>34785</v>
      </c>
      <c r="AE473">
        <f t="array" ref="AE473">INDEX($D$469:$BM$469,1, (COLUMN()-COLUMN($D$469))*2+1)</f>
        <v>29631</v>
      </c>
      <c r="AF473">
        <f t="array" ref="AF473">INDEX($D$469:$BM$469,1, (COLUMN()-COLUMN($D$469))*2+1)</f>
        <v>27586</v>
      </c>
      <c r="AG473">
        <f t="array" ref="AG473">INDEX($D$469:$BM$469,1, (COLUMN()-COLUMN($D$469))*2+1)</f>
        <v>21182</v>
      </c>
      <c r="AH473">
        <f t="array" ref="AH473">INDEX($D$469:$BM$469,1, (COLUMN()-COLUMN($D$469))*2+1)</f>
        <v>43964</v>
      </c>
    </row>
    <row r="474" spans="1:67">
      <c r="B474" t="e" cm="1">
        <f t="array" ref="B474">INDEX($D$469:$BM$469,1, (COLUMN()-COLUMN($D$469))*2)</f>
        <v>#VALUE!</v>
      </c>
      <c r="C474" t="e" cm="1">
        <f t="array" ref="C474">INDEX($D$469:$BM$469,1, (COLUMN()-COLUMN($D$469))*2)</f>
        <v>#VALUE!</v>
      </c>
      <c r="D474" t="e" cm="1" vm="1">
        <f t="array" aca="1" ref="D474" ca="1">INDEX($D$469:$BM$469,1, (COLUMN()-COLUMN($D$469))*2)</f>
        <v>#VALUE!</v>
      </c>
      <c r="E474" cm="1">
        <f t="array" ref="E474">INDEX($D$469:$BM$469,1, (COLUMN()-COLUMN($D$469))*2)</f>
        <v>33</v>
      </c>
      <c r="F474" cm="1">
        <f t="array" ref="F474">INDEX($D$469:$BM$469,1, (COLUMN()-COLUMN($D$469))*2)</f>
        <v>32</v>
      </c>
      <c r="G474" cm="1">
        <f t="array" ref="G474">INDEX($D$469:$BM$469,1, (COLUMN()-COLUMN($D$469))*2)</f>
        <v>39</v>
      </c>
      <c r="H474" cm="1">
        <f t="array" ref="H474">INDEX($D$469:$BM$469,1, (COLUMN()-COLUMN($D$469))*2)</f>
        <v>49</v>
      </c>
      <c r="I474" cm="1">
        <f t="array" ref="I474">INDEX($D$469:$BM$469,1, (COLUMN()-COLUMN($D$469))*2)</f>
        <v>43</v>
      </c>
      <c r="J474" cm="1">
        <f t="array" ref="J474">INDEX($D$469:$BM$469,1, (COLUMN()-COLUMN($D$469))*2)</f>
        <v>45</v>
      </c>
      <c r="K474" cm="1">
        <f t="array" ref="K474">INDEX($D$469:$BM$469,1, (COLUMN()-COLUMN($D$469))*2)</f>
        <v>41</v>
      </c>
      <c r="L474" cm="1">
        <f t="array" ref="L474">INDEX($D$469:$BM$469,1, (COLUMN()-COLUMN($D$469))*2)</f>
        <v>36</v>
      </c>
      <c r="M474" cm="1">
        <f t="array" ref="M474">INDEX($D$469:$BM$469,1, (COLUMN()-COLUMN($D$469))*2)</f>
        <v>41</v>
      </c>
      <c r="N474" cm="1">
        <f t="array" ref="N474">INDEX($D$469:$BM$469,1, (COLUMN()-COLUMN($D$469))*2)</f>
        <v>49</v>
      </c>
      <c r="O474" cm="1">
        <f t="array" ref="O474">INDEX($D$469:$BM$469,1, (COLUMN()-COLUMN($D$469))*2)</f>
        <v>50</v>
      </c>
      <c r="P474" cm="1">
        <f t="array" ref="P474">INDEX($D$469:$BM$469,1, (COLUMN()-COLUMN($D$469))*2)</f>
        <v>28</v>
      </c>
      <c r="Q474" cm="1">
        <f t="array" ref="Q474">INDEX($D$469:$BM$469,1, (COLUMN()-COLUMN($D$469))*2)</f>
        <v>35</v>
      </c>
      <c r="R474" cm="1">
        <f t="array" ref="R474">INDEX($D$469:$BM$469,1, (COLUMN()-COLUMN($D$469))*2)</f>
        <v>30</v>
      </c>
      <c r="S474" cm="1">
        <f t="array" ref="S474">INDEX($D$469:$BM$469,1, (COLUMN()-COLUMN($D$469))*2)</f>
        <v>36</v>
      </c>
      <c r="T474" cm="1">
        <f t="array" ref="T474">INDEX($D$469:$BM$469,1, (COLUMN()-COLUMN($D$469))*2)</f>
        <v>31</v>
      </c>
      <c r="U474" cm="1">
        <f t="array" ref="U474">INDEX($D$469:$BM$469,1, (COLUMN()-COLUMN($D$469))*2)</f>
        <v>50</v>
      </c>
      <c r="V474" cm="1">
        <f t="array" ref="V474">INDEX($D$469:$BM$469,1, (COLUMN()-COLUMN($D$469))*2)</f>
        <v>46</v>
      </c>
      <c r="W474" cm="1">
        <f t="array" ref="W474">INDEX($D$469:$BM$469,1, (COLUMN()-COLUMN($D$469))*2)</f>
        <v>48</v>
      </c>
      <c r="X474" cm="1">
        <f t="array" ref="X474">INDEX($D$469:$BM$469,1, (COLUMN()-COLUMN($D$469))*2)</f>
        <v>47</v>
      </c>
      <c r="Y474" cm="1">
        <f t="array" ref="Y474">INDEX($D$469:$BM$469,1, (COLUMN()-COLUMN($D$469))*2)</f>
        <v>55</v>
      </c>
      <c r="Z474" cm="1">
        <f t="array" ref="Z474">INDEX($D$469:$BM$469,1, (COLUMN()-COLUMN($D$469))*2)</f>
        <v>78</v>
      </c>
      <c r="AA474" cm="1">
        <f t="array" ref="AA474">INDEX($D$469:$BM$469,1, (COLUMN()-COLUMN($D$469))*2)</f>
        <v>91</v>
      </c>
      <c r="AB474" cm="1">
        <f t="array" ref="AB474">INDEX($D$469:$BM$469,1, (COLUMN()-COLUMN($D$469))*2)</f>
        <v>104</v>
      </c>
      <c r="AC474" cm="1">
        <f t="array" ref="AC474">INDEX($D$469:$BM$469,1, (COLUMN()-COLUMN($D$469))*2)</f>
        <v>65</v>
      </c>
      <c r="AD474" cm="1">
        <f t="array" ref="AD474">INDEX($D$469:$BM$469,1, (COLUMN()-COLUMN($D$469))*2)</f>
        <v>63</v>
      </c>
      <c r="AE474" cm="1">
        <f t="array" ref="AE474">INDEX($D$469:$BM$469,1, (COLUMN()-COLUMN($D$469))*2)</f>
        <v>72</v>
      </c>
      <c r="AF474" cm="1">
        <f t="array" ref="AF474">INDEX($D$469:$BM$469,1, (COLUMN()-COLUMN($D$469))*2)</f>
        <v>60</v>
      </c>
      <c r="AG474" cm="1">
        <f t="array" ref="AG474">INDEX($D$469:$BM$469,1, (COLUMN()-COLUMN($D$469))*2)</f>
        <v>56</v>
      </c>
      <c r="AH474" cm="1">
        <f t="array" ref="AH474">INDEX($D$469:$BM$469,1, (COLUMN()-COLUMN($D$469))*2)</f>
        <v>43</v>
      </c>
      <c r="AI474" cm="1">
        <f t="array" ref="AI474">INDEX($D$469:$BM$469,1, (COLUMN()-COLUMN($D$469))*2)</f>
        <v>91</v>
      </c>
    </row>
    <row r="478" spans="1:67">
      <c r="A478" t="s">
        <v>323</v>
      </c>
    </row>
    <row r="479" spans="1:67">
      <c r="A479" t="s">
        <v>324</v>
      </c>
      <c r="D479" s="43">
        <f>QUOTIENT(31,7)</f>
        <v>4</v>
      </c>
    </row>
    <row r="480" spans="1:67">
      <c r="A480" t="s">
        <v>325</v>
      </c>
    </row>
    <row r="481" spans="1:2">
      <c r="A481" t="s">
        <v>326</v>
      </c>
    </row>
    <row r="482" spans="1:2">
      <c r="A482" t="s">
        <v>327</v>
      </c>
    </row>
    <row r="484" spans="1:2">
      <c r="A484" t="s">
        <v>198</v>
      </c>
      <c r="B484" t="s">
        <v>211</v>
      </c>
    </row>
    <row r="488" spans="1:2">
      <c r="A488">
        <v>1</v>
      </c>
    </row>
    <row r="489" spans="1:2">
      <c r="A489">
        <v>2</v>
      </c>
    </row>
    <row r="490" spans="1:2">
      <c r="A490">
        <v>3</v>
      </c>
    </row>
    <row r="491" spans="1:2">
      <c r="A491">
        <v>4</v>
      </c>
    </row>
    <row r="492" spans="1:2">
      <c r="A492">
        <v>5</v>
      </c>
    </row>
    <row r="493" spans="1:2">
      <c r="A493">
        <v>6</v>
      </c>
    </row>
    <row r="494" spans="1:2">
      <c r="A494">
        <v>7</v>
      </c>
    </row>
    <row r="495" spans="1:2">
      <c r="A495">
        <v>8</v>
      </c>
    </row>
    <row r="496" spans="1:2">
      <c r="A496">
        <v>9</v>
      </c>
    </row>
    <row r="497" spans="1:3">
      <c r="A497">
        <v>10</v>
      </c>
    </row>
    <row r="498" spans="1:3">
      <c r="A498">
        <v>11</v>
      </c>
    </row>
    <row r="499" spans="1:3">
      <c r="A499">
        <v>12</v>
      </c>
    </row>
    <row r="500" spans="1:3">
      <c r="A500">
        <v>13</v>
      </c>
    </row>
    <row r="501" spans="1:3">
      <c r="A501">
        <v>14</v>
      </c>
    </row>
    <row r="502" spans="1:3">
      <c r="A502">
        <v>15</v>
      </c>
    </row>
    <row r="503" spans="1:3" ht="14.4">
      <c r="A503">
        <v>16</v>
      </c>
      <c r="B503" s="10"/>
      <c r="C503" s="11"/>
    </row>
    <row r="504" spans="1:3" ht="14.4">
      <c r="A504">
        <v>17</v>
      </c>
      <c r="B504" s="10"/>
      <c r="C504" s="11"/>
    </row>
    <row r="505" spans="1:3" ht="14.4">
      <c r="A505">
        <v>18</v>
      </c>
      <c r="B505" s="10"/>
      <c r="C505" s="11"/>
    </row>
    <row r="506" spans="1:3" ht="14.4">
      <c r="A506">
        <v>19</v>
      </c>
      <c r="B506" s="10"/>
      <c r="C506" s="11"/>
    </row>
    <row r="507" spans="1:3" ht="14.4">
      <c r="A507">
        <v>20</v>
      </c>
      <c r="B507" s="10"/>
      <c r="C507" s="11"/>
    </row>
    <row r="508" spans="1:3" ht="14.4">
      <c r="A508">
        <v>21</v>
      </c>
      <c r="B508" s="10"/>
      <c r="C508" s="11"/>
    </row>
    <row r="509" spans="1:3" ht="14.4">
      <c r="A509">
        <v>22</v>
      </c>
      <c r="B509" s="10"/>
      <c r="C509" s="11"/>
    </row>
    <row r="510" spans="1:3" ht="14.4">
      <c r="A510">
        <v>23</v>
      </c>
      <c r="B510" s="10"/>
      <c r="C510" s="11"/>
    </row>
    <row r="511" spans="1:3" ht="14.4">
      <c r="A511">
        <v>24</v>
      </c>
      <c r="B511" s="10"/>
      <c r="C511" s="11"/>
    </row>
    <row r="512" spans="1:3" ht="14.4">
      <c r="A512">
        <v>25</v>
      </c>
      <c r="B512" s="10"/>
      <c r="C512" s="11"/>
    </row>
    <row r="513" spans="1:65" ht="14.4">
      <c r="A513">
        <v>26</v>
      </c>
      <c r="B513" s="10"/>
      <c r="C513" s="11"/>
    </row>
    <row r="514" spans="1:65" ht="14.4">
      <c r="A514">
        <v>27</v>
      </c>
      <c r="B514" s="10"/>
      <c r="C514" s="11"/>
    </row>
    <row r="515" spans="1:65" ht="14.4">
      <c r="A515">
        <v>28</v>
      </c>
      <c r="B515" s="10"/>
      <c r="C515" s="11"/>
    </row>
    <row r="516" spans="1:65" ht="14.4">
      <c r="A516">
        <v>29</v>
      </c>
      <c r="B516" s="10"/>
      <c r="C516" s="11"/>
    </row>
    <row r="517" spans="1:65" ht="14.4">
      <c r="A517">
        <v>30</v>
      </c>
      <c r="B517" s="10"/>
      <c r="C517" s="11"/>
    </row>
    <row r="518" spans="1:65" ht="14.4">
      <c r="A518">
        <v>31</v>
      </c>
      <c r="B518" s="10"/>
      <c r="C518" s="11"/>
    </row>
    <row r="519" spans="1:65" ht="14.4">
      <c r="A519" s="2" t="s">
        <v>331</v>
      </c>
      <c r="B519" s="10"/>
      <c r="C519" s="11"/>
    </row>
    <row r="520" spans="1:65" ht="14.4">
      <c r="A520" s="2"/>
      <c r="B520" s="10"/>
      <c r="C520" s="11"/>
    </row>
    <row r="521" spans="1:65" ht="14.4">
      <c r="A521" s="2" t="str" cm="1">
        <f t="array" ref="A521:BM542">IF(Dashboard!$B$3="",_xlfn._xlws.FILTER(Table1[],(Table1[Category]=Dashboard!A3),"Choose correctly"),_xlfn._xlws.FILTER(Table1[],(Table1[Category]=Dashboard!A3)*(Table1[Sub-Category]=Dashboard!B3),"Choose correctly"))</f>
        <v>ITEM8265</v>
      </c>
      <c r="B521" s="10" t="str">
        <v>Apple</v>
      </c>
      <c r="C521" s="11" t="str">
        <v>Robin</v>
      </c>
      <c r="D521">
        <v>4116</v>
      </c>
      <c r="E521">
        <v>2</v>
      </c>
      <c r="F521">
        <v>14392</v>
      </c>
      <c r="G521">
        <v>8</v>
      </c>
      <c r="H521">
        <v>34181</v>
      </c>
      <c r="I521">
        <v>19</v>
      </c>
      <c r="J521">
        <v>16191</v>
      </c>
      <c r="K521">
        <v>9</v>
      </c>
      <c r="L521">
        <v>25815</v>
      </c>
      <c r="M521">
        <v>15</v>
      </c>
      <c r="N521">
        <v>42905</v>
      </c>
      <c r="O521">
        <v>25</v>
      </c>
      <c r="P521">
        <v>18799</v>
      </c>
      <c r="Q521">
        <v>11</v>
      </c>
      <c r="R521">
        <v>22217</v>
      </c>
      <c r="S521">
        <v>13</v>
      </c>
      <c r="T521">
        <v>15381</v>
      </c>
      <c r="U521">
        <v>9</v>
      </c>
      <c r="V521">
        <v>27344</v>
      </c>
      <c r="W521">
        <v>16</v>
      </c>
      <c r="X521">
        <v>20508</v>
      </c>
      <c r="Y521">
        <v>12</v>
      </c>
      <c r="Z521">
        <v>25635</v>
      </c>
      <c r="AA521">
        <v>15</v>
      </c>
      <c r="AB521">
        <v>27344</v>
      </c>
      <c r="AC521">
        <v>16</v>
      </c>
      <c r="AD521">
        <v>34180</v>
      </c>
      <c r="AE521">
        <v>20</v>
      </c>
      <c r="AF521">
        <v>23926</v>
      </c>
      <c r="AG521">
        <v>14</v>
      </c>
      <c r="AH521">
        <v>18799</v>
      </c>
      <c r="AI521">
        <v>11</v>
      </c>
      <c r="AJ521">
        <v>30762</v>
      </c>
      <c r="AK521">
        <v>18</v>
      </c>
      <c r="AL521">
        <v>20528</v>
      </c>
      <c r="AM521">
        <v>12</v>
      </c>
      <c r="AN521">
        <v>13692</v>
      </c>
      <c r="AO521">
        <v>8</v>
      </c>
      <c r="AP521">
        <v>18809</v>
      </c>
      <c r="AQ521">
        <v>11</v>
      </c>
      <c r="AR521">
        <v>13592</v>
      </c>
      <c r="AS521">
        <v>8</v>
      </c>
      <c r="AT521">
        <v>5507</v>
      </c>
      <c r="AU521">
        <v>3</v>
      </c>
      <c r="AV521">
        <v>8405</v>
      </c>
      <c r="AW521">
        <v>5</v>
      </c>
      <c r="AX521">
        <v>17000</v>
      </c>
      <c r="AY521">
        <v>10</v>
      </c>
      <c r="AZ521">
        <v>6706</v>
      </c>
      <c r="BA521">
        <v>4</v>
      </c>
      <c r="BB521">
        <v>12423</v>
      </c>
      <c r="BC521">
        <v>7</v>
      </c>
      <c r="BD521">
        <v>-1099</v>
      </c>
      <c r="BE521">
        <v>-1</v>
      </c>
      <c r="BF521">
        <v>39677</v>
      </c>
      <c r="BG521">
        <v>23</v>
      </c>
      <c r="BH521">
        <v>15291</v>
      </c>
      <c r="BI521">
        <v>9</v>
      </c>
      <c r="BJ521">
        <v>15301</v>
      </c>
      <c r="BK521">
        <v>9</v>
      </c>
      <c r="BL521">
        <v>8405</v>
      </c>
      <c r="BM521">
        <v>5</v>
      </c>
    </row>
    <row r="522" spans="1:65" ht="14.4">
      <c r="A522" s="2" t="str">
        <v>ITEM1785</v>
      </c>
      <c r="B522" s="10" t="str">
        <v>Apple</v>
      </c>
      <c r="C522" s="11" t="str">
        <v>Golden</v>
      </c>
      <c r="D522">
        <v>0</v>
      </c>
      <c r="E522">
        <v>0</v>
      </c>
      <c r="F522">
        <v>1135</v>
      </c>
      <c r="G522">
        <v>4</v>
      </c>
      <c r="H522">
        <v>851</v>
      </c>
      <c r="I522">
        <v>3</v>
      </c>
      <c r="J522">
        <v>2838</v>
      </c>
      <c r="K522">
        <v>10</v>
      </c>
      <c r="L522">
        <v>3406</v>
      </c>
      <c r="M522">
        <v>12</v>
      </c>
      <c r="N522">
        <v>1014</v>
      </c>
      <c r="O522">
        <v>4</v>
      </c>
      <c r="P522">
        <v>1987</v>
      </c>
      <c r="Q522">
        <v>7</v>
      </c>
      <c r="R522">
        <v>2554</v>
      </c>
      <c r="S522">
        <v>9</v>
      </c>
      <c r="T522">
        <v>568</v>
      </c>
      <c r="U522">
        <v>2</v>
      </c>
      <c r="V522">
        <v>1987</v>
      </c>
      <c r="W522">
        <v>7</v>
      </c>
      <c r="X522">
        <v>2554</v>
      </c>
      <c r="Y522">
        <v>9</v>
      </c>
      <c r="Z522">
        <v>3122</v>
      </c>
      <c r="AA522">
        <v>11</v>
      </c>
      <c r="AB522">
        <v>1524</v>
      </c>
      <c r="AC522">
        <v>5</v>
      </c>
      <c r="AD522">
        <v>3122</v>
      </c>
      <c r="AE522">
        <v>11</v>
      </c>
      <c r="AF522">
        <v>1987</v>
      </c>
      <c r="AG522">
        <v>7</v>
      </c>
      <c r="AH522">
        <v>2838</v>
      </c>
      <c r="AI522">
        <v>10</v>
      </c>
      <c r="AJ522">
        <v>2554</v>
      </c>
      <c r="AK522">
        <v>9</v>
      </c>
      <c r="AL522">
        <v>1419</v>
      </c>
      <c r="AM522">
        <v>5</v>
      </c>
      <c r="AN522">
        <v>2270</v>
      </c>
      <c r="AO522">
        <v>8</v>
      </c>
      <c r="AP522">
        <v>2270</v>
      </c>
      <c r="AQ522">
        <v>8</v>
      </c>
      <c r="AR522">
        <v>1987</v>
      </c>
      <c r="AS522">
        <v>7</v>
      </c>
      <c r="AT522">
        <v>4541</v>
      </c>
      <c r="AU522">
        <v>16</v>
      </c>
      <c r="AV522">
        <v>2838</v>
      </c>
      <c r="AW522">
        <v>10</v>
      </c>
      <c r="AX522">
        <v>3689</v>
      </c>
      <c r="AY522">
        <v>13</v>
      </c>
      <c r="AZ522">
        <v>3689</v>
      </c>
      <c r="BA522">
        <v>13</v>
      </c>
      <c r="BB522">
        <v>1703</v>
      </c>
      <c r="BC522">
        <v>6</v>
      </c>
      <c r="BD522">
        <v>1135</v>
      </c>
      <c r="BE522">
        <v>4</v>
      </c>
      <c r="BF522">
        <v>1135</v>
      </c>
      <c r="BG522">
        <v>4</v>
      </c>
      <c r="BH522">
        <v>568</v>
      </c>
      <c r="BI522">
        <v>2</v>
      </c>
      <c r="BJ522">
        <v>1135</v>
      </c>
      <c r="BK522">
        <v>4</v>
      </c>
      <c r="BL522">
        <v>2838</v>
      </c>
      <c r="BM522">
        <v>10</v>
      </c>
    </row>
    <row r="523" spans="1:65" ht="14.4">
      <c r="A523" s="2" t="str">
        <v>ITEM3032</v>
      </c>
      <c r="B523" s="10" t="str">
        <v>Apple</v>
      </c>
      <c r="C523" s="11" t="str">
        <v>Red</v>
      </c>
      <c r="D523">
        <v>16450</v>
      </c>
      <c r="E523">
        <v>33</v>
      </c>
      <c r="F523">
        <v>15769</v>
      </c>
      <c r="G523">
        <v>32</v>
      </c>
      <c r="H523">
        <v>19212</v>
      </c>
      <c r="I523">
        <v>39</v>
      </c>
      <c r="J523">
        <v>24138</v>
      </c>
      <c r="K523">
        <v>49</v>
      </c>
      <c r="L523">
        <v>21245</v>
      </c>
      <c r="M523">
        <v>43</v>
      </c>
      <c r="N523">
        <v>22283</v>
      </c>
      <c r="O523">
        <v>45</v>
      </c>
      <c r="P523">
        <v>20197</v>
      </c>
      <c r="Q523">
        <v>41</v>
      </c>
      <c r="R523">
        <v>17734</v>
      </c>
      <c r="S523">
        <v>36</v>
      </c>
      <c r="T523">
        <v>20197</v>
      </c>
      <c r="U523">
        <v>41</v>
      </c>
      <c r="V523">
        <v>24138</v>
      </c>
      <c r="W523">
        <v>49</v>
      </c>
      <c r="X523">
        <v>24631</v>
      </c>
      <c r="Y523">
        <v>50</v>
      </c>
      <c r="Z523">
        <v>13793</v>
      </c>
      <c r="AA523">
        <v>28</v>
      </c>
      <c r="AB523">
        <v>17242</v>
      </c>
      <c r="AC523">
        <v>35</v>
      </c>
      <c r="AD523">
        <v>14778</v>
      </c>
      <c r="AE523">
        <v>30</v>
      </c>
      <c r="AF523">
        <v>17734</v>
      </c>
      <c r="AG523">
        <v>36</v>
      </c>
      <c r="AH523">
        <v>15271</v>
      </c>
      <c r="AI523">
        <v>31</v>
      </c>
      <c r="AJ523">
        <v>24631</v>
      </c>
      <c r="AK523">
        <v>50</v>
      </c>
      <c r="AL523">
        <v>22660</v>
      </c>
      <c r="AM523">
        <v>46</v>
      </c>
      <c r="AN523">
        <v>23645</v>
      </c>
      <c r="AO523">
        <v>48</v>
      </c>
      <c r="AP523">
        <v>23153</v>
      </c>
      <c r="AQ523">
        <v>47</v>
      </c>
      <c r="AR523">
        <v>27094</v>
      </c>
      <c r="AS523">
        <v>55</v>
      </c>
      <c r="AT523">
        <v>38441</v>
      </c>
      <c r="AU523">
        <v>78</v>
      </c>
      <c r="AV523">
        <v>43964</v>
      </c>
      <c r="AW523">
        <v>91</v>
      </c>
      <c r="AX523">
        <v>50245</v>
      </c>
      <c r="AY523">
        <v>104</v>
      </c>
      <c r="AZ523">
        <v>31403</v>
      </c>
      <c r="BA523">
        <v>65</v>
      </c>
      <c r="BB523">
        <v>30437</v>
      </c>
      <c r="BC523">
        <v>63</v>
      </c>
      <c r="BD523">
        <v>34785</v>
      </c>
      <c r="BE523">
        <v>72</v>
      </c>
      <c r="BF523">
        <v>29631</v>
      </c>
      <c r="BG523">
        <v>60</v>
      </c>
      <c r="BH523">
        <v>27586</v>
      </c>
      <c r="BI523">
        <v>56</v>
      </c>
      <c r="BJ523">
        <v>21182</v>
      </c>
      <c r="BK523">
        <v>43</v>
      </c>
      <c r="BL523">
        <v>43964</v>
      </c>
      <c r="BM523">
        <v>91</v>
      </c>
    </row>
    <row r="524" spans="1:65" ht="14.4">
      <c r="A524" s="2" t="str">
        <v>ITEM3313</v>
      </c>
      <c r="B524" s="10" t="str">
        <v>Apple</v>
      </c>
      <c r="C524" s="11" t="str">
        <v>Golden</v>
      </c>
      <c r="D524">
        <v>10994</v>
      </c>
      <c r="E524">
        <v>13</v>
      </c>
      <c r="F524">
        <v>10291</v>
      </c>
      <c r="G524">
        <v>12</v>
      </c>
      <c r="H524">
        <v>11979</v>
      </c>
      <c r="I524">
        <v>14</v>
      </c>
      <c r="J524">
        <v>9447</v>
      </c>
      <c r="K524">
        <v>11</v>
      </c>
      <c r="L524">
        <v>4221</v>
      </c>
      <c r="M524">
        <v>5</v>
      </c>
      <c r="N524">
        <v>2477</v>
      </c>
      <c r="O524">
        <v>3</v>
      </c>
      <c r="P524">
        <v>12878</v>
      </c>
      <c r="Q524">
        <v>15</v>
      </c>
      <c r="R524">
        <v>11190</v>
      </c>
      <c r="S524">
        <v>13</v>
      </c>
      <c r="T524">
        <v>7649</v>
      </c>
      <c r="U524">
        <v>9</v>
      </c>
      <c r="V524">
        <v>6916</v>
      </c>
      <c r="W524">
        <v>8</v>
      </c>
      <c r="X524">
        <v>12878</v>
      </c>
      <c r="Y524">
        <v>15</v>
      </c>
      <c r="Z524">
        <v>9282</v>
      </c>
      <c r="AA524">
        <v>11</v>
      </c>
      <c r="AB524">
        <v>11868</v>
      </c>
      <c r="AC524">
        <v>14</v>
      </c>
      <c r="AD524">
        <v>13666</v>
      </c>
      <c r="AE524">
        <v>16</v>
      </c>
      <c r="AF524">
        <v>10181</v>
      </c>
      <c r="AG524">
        <v>12</v>
      </c>
      <c r="AH524">
        <v>8438</v>
      </c>
      <c r="AI524">
        <v>10</v>
      </c>
      <c r="AJ524">
        <v>5907</v>
      </c>
      <c r="AK524">
        <v>7</v>
      </c>
      <c r="AL524">
        <v>5063</v>
      </c>
      <c r="AM524">
        <v>6</v>
      </c>
      <c r="AN524">
        <v>5876</v>
      </c>
      <c r="AO524">
        <v>7</v>
      </c>
      <c r="AP524">
        <v>5853</v>
      </c>
      <c r="AQ524">
        <v>7</v>
      </c>
      <c r="AR524">
        <v>7526</v>
      </c>
      <c r="AS524">
        <v>9</v>
      </c>
      <c r="AT524">
        <v>6690</v>
      </c>
      <c r="AU524">
        <v>8</v>
      </c>
      <c r="AV524">
        <v>5840</v>
      </c>
      <c r="AW524">
        <v>7</v>
      </c>
      <c r="AX524">
        <v>6674</v>
      </c>
      <c r="AY524">
        <v>8</v>
      </c>
      <c r="AZ524">
        <v>5006</v>
      </c>
      <c r="BA524">
        <v>6</v>
      </c>
      <c r="BB524">
        <v>10846</v>
      </c>
      <c r="BC524">
        <v>13</v>
      </c>
      <c r="BD524">
        <v>5840</v>
      </c>
      <c r="BE524">
        <v>7</v>
      </c>
      <c r="BF524">
        <v>6769</v>
      </c>
      <c r="BG524">
        <v>8</v>
      </c>
      <c r="BH524">
        <v>10969</v>
      </c>
      <c r="BI524">
        <v>13</v>
      </c>
      <c r="BJ524">
        <v>5907</v>
      </c>
      <c r="BK524">
        <v>7</v>
      </c>
      <c r="BL524">
        <v>5840</v>
      </c>
      <c r="BM524">
        <v>7</v>
      </c>
    </row>
    <row r="525" spans="1:65" ht="14.4">
      <c r="A525" s="2" t="str">
        <v>ITEM2978</v>
      </c>
      <c r="B525" s="10" t="str">
        <v>Apple</v>
      </c>
      <c r="C525" s="11" t="str">
        <v>Robin</v>
      </c>
      <c r="D525">
        <v>227</v>
      </c>
      <c r="E525">
        <v>1</v>
      </c>
      <c r="F525">
        <v>0</v>
      </c>
      <c r="G525">
        <v>0</v>
      </c>
      <c r="H525">
        <v>359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362</v>
      </c>
      <c r="O525">
        <v>2</v>
      </c>
      <c r="P525">
        <v>0</v>
      </c>
      <c r="Q525">
        <v>0</v>
      </c>
      <c r="R525">
        <v>179</v>
      </c>
      <c r="S525">
        <v>1</v>
      </c>
      <c r="T525">
        <v>179</v>
      </c>
      <c r="U525">
        <v>1</v>
      </c>
      <c r="V525">
        <v>179</v>
      </c>
      <c r="W525">
        <v>1</v>
      </c>
      <c r="X525">
        <v>0</v>
      </c>
      <c r="Y525">
        <v>0</v>
      </c>
      <c r="Z525">
        <v>179</v>
      </c>
      <c r="AA525">
        <v>1</v>
      </c>
      <c r="AB525">
        <v>179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179</v>
      </c>
      <c r="AI525">
        <v>1</v>
      </c>
      <c r="AJ525">
        <v>0</v>
      </c>
      <c r="AK525">
        <v>0</v>
      </c>
      <c r="AL525">
        <v>538</v>
      </c>
      <c r="AM525">
        <v>3</v>
      </c>
      <c r="AN525">
        <v>179</v>
      </c>
      <c r="AO525">
        <v>1</v>
      </c>
      <c r="AP525">
        <v>172</v>
      </c>
      <c r="AQ525">
        <v>1</v>
      </c>
      <c r="AR525">
        <v>0</v>
      </c>
      <c r="AS525">
        <v>0</v>
      </c>
      <c r="AT525">
        <v>172</v>
      </c>
      <c r="AU525">
        <v>1</v>
      </c>
      <c r="AV525">
        <v>170</v>
      </c>
      <c r="AW525">
        <v>1</v>
      </c>
      <c r="AX525">
        <v>170</v>
      </c>
      <c r="AY525">
        <v>1</v>
      </c>
      <c r="AZ525">
        <v>340</v>
      </c>
      <c r="BA525">
        <v>2</v>
      </c>
      <c r="BB525">
        <v>0</v>
      </c>
      <c r="BC525">
        <v>0</v>
      </c>
      <c r="BD525">
        <v>0</v>
      </c>
      <c r="BE525">
        <v>0</v>
      </c>
      <c r="BF525">
        <v>402</v>
      </c>
      <c r="BG525">
        <v>2</v>
      </c>
      <c r="BH525">
        <v>0</v>
      </c>
      <c r="BI525">
        <v>0</v>
      </c>
      <c r="BJ525">
        <v>170</v>
      </c>
      <c r="BK525">
        <v>1</v>
      </c>
      <c r="BL525">
        <v>170</v>
      </c>
      <c r="BM525">
        <v>1</v>
      </c>
    </row>
    <row r="526" spans="1:65" ht="14.4">
      <c r="A526" s="2" t="str">
        <v>ITEM2513</v>
      </c>
      <c r="B526" s="10" t="str">
        <v>Apple</v>
      </c>
      <c r="C526" s="11" t="str">
        <v>Robin</v>
      </c>
      <c r="D526">
        <v>10148</v>
      </c>
      <c r="E526">
        <v>12</v>
      </c>
      <c r="F526">
        <v>5228</v>
      </c>
      <c r="G526">
        <v>6</v>
      </c>
      <c r="H526">
        <v>6806</v>
      </c>
      <c r="I526">
        <v>8</v>
      </c>
      <c r="J526">
        <v>8548</v>
      </c>
      <c r="K526">
        <v>10</v>
      </c>
      <c r="L526">
        <v>15358</v>
      </c>
      <c r="M526">
        <v>18</v>
      </c>
      <c r="N526">
        <v>14441</v>
      </c>
      <c r="O526">
        <v>17</v>
      </c>
      <c r="P526">
        <v>10126</v>
      </c>
      <c r="Q526">
        <v>12</v>
      </c>
      <c r="R526">
        <v>16087</v>
      </c>
      <c r="S526">
        <v>19</v>
      </c>
      <c r="T526">
        <v>5118</v>
      </c>
      <c r="U526">
        <v>6</v>
      </c>
      <c r="V526">
        <v>10969</v>
      </c>
      <c r="W526">
        <v>13</v>
      </c>
      <c r="X526">
        <v>14400</v>
      </c>
      <c r="Y526">
        <v>17</v>
      </c>
      <c r="Z526">
        <v>12823</v>
      </c>
      <c r="AA526">
        <v>15</v>
      </c>
      <c r="AB526">
        <v>10199</v>
      </c>
      <c r="AC526">
        <v>12</v>
      </c>
      <c r="AD526">
        <v>16253</v>
      </c>
      <c r="AE526">
        <v>19</v>
      </c>
      <c r="AF526">
        <v>9447</v>
      </c>
      <c r="AG526">
        <v>11</v>
      </c>
      <c r="AH526">
        <v>10291</v>
      </c>
      <c r="AI526">
        <v>12</v>
      </c>
      <c r="AJ526">
        <v>8548</v>
      </c>
      <c r="AK526">
        <v>10</v>
      </c>
      <c r="AL526">
        <v>7815</v>
      </c>
      <c r="AM526">
        <v>9</v>
      </c>
      <c r="AN526">
        <v>10166</v>
      </c>
      <c r="AO526">
        <v>12</v>
      </c>
      <c r="AP526">
        <v>10996</v>
      </c>
      <c r="AQ526">
        <v>13</v>
      </c>
      <c r="AR526">
        <v>12606</v>
      </c>
      <c r="AS526">
        <v>15</v>
      </c>
      <c r="AT526">
        <v>11059</v>
      </c>
      <c r="AU526">
        <v>13</v>
      </c>
      <c r="AV526">
        <v>7573</v>
      </c>
      <c r="AW526">
        <v>9</v>
      </c>
      <c r="AX526">
        <v>9307</v>
      </c>
      <c r="AY526">
        <v>11</v>
      </c>
      <c r="AZ526">
        <v>9053</v>
      </c>
      <c r="BA526">
        <v>11</v>
      </c>
      <c r="BB526">
        <v>12958</v>
      </c>
      <c r="BC526">
        <v>19</v>
      </c>
      <c r="BD526">
        <v>13147</v>
      </c>
      <c r="BE526">
        <v>19</v>
      </c>
      <c r="BF526">
        <v>19374</v>
      </c>
      <c r="BG526">
        <v>28</v>
      </c>
      <c r="BH526">
        <v>13147</v>
      </c>
      <c r="BI526">
        <v>19</v>
      </c>
      <c r="BJ526">
        <v>11071</v>
      </c>
      <c r="BK526">
        <v>16</v>
      </c>
      <c r="BL526">
        <v>7573</v>
      </c>
      <c r="BM526">
        <v>9</v>
      </c>
    </row>
    <row r="527" spans="1:65" ht="14.4">
      <c r="A527" s="2" t="str">
        <v>ITEM3731</v>
      </c>
      <c r="B527" s="10" t="str">
        <v>Apple</v>
      </c>
      <c r="C527" s="11" t="str">
        <v>Golden</v>
      </c>
      <c r="D527">
        <v>10472</v>
      </c>
      <c r="E527">
        <v>17</v>
      </c>
      <c r="F527">
        <v>6776</v>
      </c>
      <c r="G527">
        <v>11</v>
      </c>
      <c r="H527">
        <v>7629</v>
      </c>
      <c r="I527">
        <v>12</v>
      </c>
      <c r="J527">
        <v>7392</v>
      </c>
      <c r="K527">
        <v>12</v>
      </c>
      <c r="L527">
        <v>8394</v>
      </c>
      <c r="M527">
        <v>16</v>
      </c>
      <c r="N527">
        <v>6120</v>
      </c>
      <c r="O527">
        <v>10</v>
      </c>
      <c r="P527">
        <v>11767</v>
      </c>
      <c r="Q527">
        <v>23</v>
      </c>
      <c r="R527">
        <v>8697</v>
      </c>
      <c r="S527">
        <v>17</v>
      </c>
      <c r="T527">
        <v>17394</v>
      </c>
      <c r="U527">
        <v>34</v>
      </c>
      <c r="V527">
        <v>9209</v>
      </c>
      <c r="W527">
        <v>18</v>
      </c>
      <c r="X527">
        <v>9720</v>
      </c>
      <c r="Y527">
        <v>19</v>
      </c>
      <c r="Z527">
        <v>14730</v>
      </c>
      <c r="AA527">
        <v>29</v>
      </c>
      <c r="AB527">
        <v>7181</v>
      </c>
      <c r="AC527">
        <v>14</v>
      </c>
      <c r="AD527">
        <v>12600</v>
      </c>
      <c r="AE527">
        <v>25</v>
      </c>
      <c r="AF527">
        <v>11592</v>
      </c>
      <c r="AG527">
        <v>23</v>
      </c>
      <c r="AH527">
        <v>12883</v>
      </c>
      <c r="AI527">
        <v>31</v>
      </c>
      <c r="AJ527">
        <v>11152</v>
      </c>
      <c r="AK527">
        <v>31</v>
      </c>
      <c r="AL527">
        <v>10072</v>
      </c>
      <c r="AM527">
        <v>28</v>
      </c>
      <c r="AN527">
        <v>13310</v>
      </c>
      <c r="AO527">
        <v>37</v>
      </c>
      <c r="AP527">
        <v>10792</v>
      </c>
      <c r="AQ527">
        <v>30</v>
      </c>
      <c r="AR527">
        <v>11871</v>
      </c>
      <c r="AS527">
        <v>33</v>
      </c>
      <c r="AT527">
        <v>12950</v>
      </c>
      <c r="AU527">
        <v>36</v>
      </c>
      <c r="AV527">
        <v>17986</v>
      </c>
      <c r="AW527">
        <v>50</v>
      </c>
      <c r="AX527">
        <v>15109</v>
      </c>
      <c r="AY527">
        <v>42</v>
      </c>
      <c r="AZ527">
        <v>14749</v>
      </c>
      <c r="BA527">
        <v>41</v>
      </c>
      <c r="BB527">
        <v>15828</v>
      </c>
      <c r="BC527">
        <v>44</v>
      </c>
      <c r="BD527">
        <v>19785</v>
      </c>
      <c r="BE527">
        <v>55</v>
      </c>
      <c r="BF527">
        <v>14749</v>
      </c>
      <c r="BG527">
        <v>41</v>
      </c>
      <c r="BH527">
        <v>14749</v>
      </c>
      <c r="BI527">
        <v>41</v>
      </c>
      <c r="BJ527">
        <v>14389</v>
      </c>
      <c r="BK527">
        <v>40</v>
      </c>
      <c r="BL527">
        <v>17986</v>
      </c>
      <c r="BM527">
        <v>50</v>
      </c>
    </row>
    <row r="528" spans="1:65" ht="14.4">
      <c r="A528" s="2" t="str">
        <v>ITEM9640</v>
      </c>
      <c r="B528" s="10" t="str">
        <v>Apple</v>
      </c>
      <c r="C528" s="11" t="str">
        <v>Golden</v>
      </c>
      <c r="D528">
        <v>10994</v>
      </c>
      <c r="E528">
        <v>13</v>
      </c>
      <c r="F528">
        <v>10291</v>
      </c>
      <c r="G528">
        <v>12</v>
      </c>
      <c r="H528">
        <v>11979</v>
      </c>
      <c r="I528">
        <v>14</v>
      </c>
      <c r="J528">
        <v>9447</v>
      </c>
      <c r="K528">
        <v>11</v>
      </c>
      <c r="L528">
        <v>4221</v>
      </c>
      <c r="M528">
        <v>5</v>
      </c>
      <c r="N528">
        <v>2477</v>
      </c>
      <c r="O528">
        <v>3</v>
      </c>
      <c r="P528">
        <v>12878</v>
      </c>
      <c r="Q528">
        <v>15</v>
      </c>
      <c r="R528">
        <v>11190</v>
      </c>
      <c r="S528">
        <v>13</v>
      </c>
      <c r="T528">
        <v>7649</v>
      </c>
      <c r="U528">
        <v>9</v>
      </c>
      <c r="V528">
        <v>6916</v>
      </c>
      <c r="W528">
        <v>8</v>
      </c>
      <c r="X528">
        <v>12878</v>
      </c>
      <c r="Y528">
        <v>15</v>
      </c>
      <c r="Z528">
        <v>9282</v>
      </c>
      <c r="AA528">
        <v>11</v>
      </c>
      <c r="AB528">
        <v>11868</v>
      </c>
      <c r="AC528">
        <v>14</v>
      </c>
      <c r="AD528">
        <v>13666</v>
      </c>
      <c r="AE528">
        <v>16</v>
      </c>
      <c r="AF528">
        <v>10181</v>
      </c>
      <c r="AG528">
        <v>12</v>
      </c>
      <c r="AH528">
        <v>8438</v>
      </c>
      <c r="AI528">
        <v>10</v>
      </c>
      <c r="AJ528">
        <v>5907</v>
      </c>
      <c r="AK528">
        <v>7</v>
      </c>
      <c r="AL528">
        <v>5063</v>
      </c>
      <c r="AM528">
        <v>6</v>
      </c>
      <c r="AN528">
        <v>5876</v>
      </c>
      <c r="AO528">
        <v>7</v>
      </c>
      <c r="AP528">
        <v>5853</v>
      </c>
      <c r="AQ528">
        <v>7</v>
      </c>
      <c r="AR528">
        <v>7526</v>
      </c>
      <c r="AS528">
        <v>9</v>
      </c>
      <c r="AT528">
        <v>6690</v>
      </c>
      <c r="AU528">
        <v>8</v>
      </c>
      <c r="AV528">
        <v>5840</v>
      </c>
      <c r="AW528">
        <v>7</v>
      </c>
      <c r="AX528">
        <v>6674</v>
      </c>
      <c r="AY528">
        <v>8</v>
      </c>
      <c r="AZ528">
        <v>5006</v>
      </c>
      <c r="BA528">
        <v>6</v>
      </c>
      <c r="BB528">
        <v>10846</v>
      </c>
      <c r="BC528">
        <v>13</v>
      </c>
      <c r="BD528">
        <v>5840</v>
      </c>
      <c r="BE528">
        <v>7</v>
      </c>
      <c r="BF528">
        <v>6769</v>
      </c>
      <c r="BG528">
        <v>8</v>
      </c>
      <c r="BH528">
        <v>10969</v>
      </c>
      <c r="BI528">
        <v>13</v>
      </c>
      <c r="BJ528">
        <v>5907</v>
      </c>
      <c r="BK528">
        <v>7</v>
      </c>
      <c r="BL528">
        <v>5840</v>
      </c>
      <c r="BM528">
        <v>7</v>
      </c>
    </row>
    <row r="529" spans="1:65" ht="14.4">
      <c r="A529" s="2" t="str">
        <v>ITEM7902</v>
      </c>
      <c r="B529" s="10" t="str">
        <v>Apple</v>
      </c>
      <c r="C529" s="11" t="str">
        <v>Robin</v>
      </c>
      <c r="D529">
        <v>9087</v>
      </c>
      <c r="E529">
        <v>13</v>
      </c>
      <c r="F529">
        <v>6291</v>
      </c>
      <c r="G529">
        <v>9</v>
      </c>
      <c r="H529">
        <v>6990</v>
      </c>
      <c r="I529">
        <v>10</v>
      </c>
      <c r="J529">
        <v>8388</v>
      </c>
      <c r="K529">
        <v>12</v>
      </c>
      <c r="L529">
        <v>7689</v>
      </c>
      <c r="M529">
        <v>11</v>
      </c>
      <c r="N529">
        <v>7689</v>
      </c>
      <c r="O529">
        <v>11</v>
      </c>
      <c r="P529">
        <v>9087</v>
      </c>
      <c r="Q529">
        <v>13</v>
      </c>
      <c r="R529">
        <v>11184</v>
      </c>
      <c r="S529">
        <v>16</v>
      </c>
      <c r="T529">
        <v>11883</v>
      </c>
      <c r="U529">
        <v>17</v>
      </c>
      <c r="V529">
        <v>12582</v>
      </c>
      <c r="W529">
        <v>18</v>
      </c>
      <c r="X529">
        <v>11883</v>
      </c>
      <c r="Y529">
        <v>17</v>
      </c>
      <c r="Z529">
        <v>11883</v>
      </c>
      <c r="AA529">
        <v>17</v>
      </c>
      <c r="AB529">
        <v>10784</v>
      </c>
      <c r="AC529">
        <v>16</v>
      </c>
      <c r="AD529">
        <v>16874</v>
      </c>
      <c r="AE529">
        <v>26</v>
      </c>
      <c r="AF529">
        <v>12980</v>
      </c>
      <c r="AG529">
        <v>20</v>
      </c>
      <c r="AH529">
        <v>15856</v>
      </c>
      <c r="AI529">
        <v>24</v>
      </c>
      <c r="AJ529">
        <v>15576</v>
      </c>
      <c r="AK529">
        <v>24</v>
      </c>
      <c r="AL529">
        <v>13629</v>
      </c>
      <c r="AM529">
        <v>21</v>
      </c>
      <c r="AN529">
        <v>15576</v>
      </c>
      <c r="AO529">
        <v>24</v>
      </c>
      <c r="AP529">
        <v>18172</v>
      </c>
      <c r="AQ529">
        <v>28</v>
      </c>
      <c r="AR529">
        <v>11033</v>
      </c>
      <c r="AS529">
        <v>17</v>
      </c>
      <c r="AT529">
        <v>17523</v>
      </c>
      <c r="AU529">
        <v>27</v>
      </c>
      <c r="AV529">
        <v>22066</v>
      </c>
      <c r="AW529">
        <v>34</v>
      </c>
      <c r="AX529">
        <v>16225</v>
      </c>
      <c r="AY529">
        <v>25</v>
      </c>
      <c r="AZ529">
        <v>14927</v>
      </c>
      <c r="BA529">
        <v>23</v>
      </c>
      <c r="BB529">
        <v>18172</v>
      </c>
      <c r="BC529">
        <v>28</v>
      </c>
      <c r="BD529">
        <v>20119</v>
      </c>
      <c r="BE529">
        <v>31</v>
      </c>
      <c r="BF529">
        <v>23750</v>
      </c>
      <c r="BG529">
        <v>38</v>
      </c>
      <c r="BH529">
        <v>20000</v>
      </c>
      <c r="BI529">
        <v>32</v>
      </c>
      <c r="BJ529">
        <v>13750</v>
      </c>
      <c r="BK529">
        <v>22</v>
      </c>
      <c r="BL529">
        <v>22066</v>
      </c>
      <c r="BM529">
        <v>34</v>
      </c>
    </row>
    <row r="530" spans="1:65" ht="14.4">
      <c r="A530" s="2" t="str">
        <v>ITEM9717</v>
      </c>
      <c r="B530" s="10" t="str">
        <v>Apple</v>
      </c>
      <c r="C530" s="11" t="str">
        <v>Red</v>
      </c>
      <c r="D530">
        <v>2716</v>
      </c>
      <c r="E530">
        <v>4</v>
      </c>
      <c r="F530">
        <v>3395</v>
      </c>
      <c r="G530">
        <v>5</v>
      </c>
      <c r="H530">
        <v>2037</v>
      </c>
      <c r="I530">
        <v>3</v>
      </c>
      <c r="J530">
        <v>2037</v>
      </c>
      <c r="K530">
        <v>3</v>
      </c>
      <c r="L530">
        <v>2037</v>
      </c>
      <c r="M530">
        <v>3</v>
      </c>
      <c r="N530">
        <v>4753</v>
      </c>
      <c r="O530">
        <v>7</v>
      </c>
      <c r="P530">
        <v>4074</v>
      </c>
      <c r="Q530">
        <v>6</v>
      </c>
      <c r="R530">
        <v>4074</v>
      </c>
      <c r="S530">
        <v>6</v>
      </c>
      <c r="T530">
        <v>1358</v>
      </c>
      <c r="U530">
        <v>2</v>
      </c>
      <c r="V530">
        <v>2037</v>
      </c>
      <c r="W530">
        <v>3</v>
      </c>
      <c r="X530">
        <v>2716</v>
      </c>
      <c r="Y530">
        <v>4</v>
      </c>
      <c r="Z530">
        <v>3395</v>
      </c>
      <c r="AA530">
        <v>5</v>
      </c>
      <c r="AB530">
        <v>2007</v>
      </c>
      <c r="AC530">
        <v>3</v>
      </c>
      <c r="AD530">
        <v>4543</v>
      </c>
      <c r="AE530">
        <v>7</v>
      </c>
      <c r="AF530">
        <v>7788</v>
      </c>
      <c r="AG530">
        <v>12</v>
      </c>
      <c r="AH530">
        <v>3245</v>
      </c>
      <c r="AI530">
        <v>5</v>
      </c>
      <c r="AJ530">
        <v>5841</v>
      </c>
      <c r="AK530">
        <v>9</v>
      </c>
      <c r="AL530">
        <v>2596</v>
      </c>
      <c r="AM530">
        <v>4</v>
      </c>
      <c r="AN530">
        <v>5192</v>
      </c>
      <c r="AO530">
        <v>8</v>
      </c>
      <c r="AP530">
        <v>5192</v>
      </c>
      <c r="AQ530">
        <v>8</v>
      </c>
      <c r="AR530">
        <v>3894</v>
      </c>
      <c r="AS530">
        <v>6</v>
      </c>
      <c r="AT530">
        <v>6490</v>
      </c>
      <c r="AU530">
        <v>10</v>
      </c>
      <c r="AV530">
        <v>9735</v>
      </c>
      <c r="AW530">
        <v>15</v>
      </c>
      <c r="AX530">
        <v>12331</v>
      </c>
      <c r="AY530">
        <v>19</v>
      </c>
      <c r="AZ530">
        <v>5192</v>
      </c>
      <c r="BA530">
        <v>8</v>
      </c>
      <c r="BB530">
        <v>9086</v>
      </c>
      <c r="BC530">
        <v>14</v>
      </c>
      <c r="BD530">
        <v>5192</v>
      </c>
      <c r="BE530">
        <v>8</v>
      </c>
      <c r="BF530">
        <v>8985</v>
      </c>
      <c r="BG530">
        <v>15</v>
      </c>
      <c r="BH530">
        <v>11381</v>
      </c>
      <c r="BI530">
        <v>19</v>
      </c>
      <c r="BJ530">
        <v>7787</v>
      </c>
      <c r="BK530">
        <v>13</v>
      </c>
      <c r="BL530">
        <v>9735</v>
      </c>
      <c r="BM530">
        <v>15</v>
      </c>
    </row>
    <row r="531" spans="1:65" ht="14.4">
      <c r="A531" s="2" t="str">
        <v>ITEM1791</v>
      </c>
      <c r="B531" s="10" t="str">
        <v>Apple</v>
      </c>
      <c r="C531" s="11" t="str">
        <v>Red</v>
      </c>
      <c r="D531">
        <v>17132</v>
      </c>
      <c r="E531">
        <v>41</v>
      </c>
      <c r="F531">
        <v>23400</v>
      </c>
      <c r="G531">
        <v>56</v>
      </c>
      <c r="H531">
        <v>30086</v>
      </c>
      <c r="I531">
        <v>72</v>
      </c>
      <c r="J531">
        <v>17132</v>
      </c>
      <c r="K531">
        <v>41</v>
      </c>
      <c r="L531">
        <v>18804</v>
      </c>
      <c r="M531">
        <v>45</v>
      </c>
      <c r="N531">
        <v>16714</v>
      </c>
      <c r="O531">
        <v>40</v>
      </c>
      <c r="P531">
        <v>12536</v>
      </c>
      <c r="Q531">
        <v>30</v>
      </c>
      <c r="R531">
        <v>20475</v>
      </c>
      <c r="S531">
        <v>49</v>
      </c>
      <c r="T531">
        <v>21729</v>
      </c>
      <c r="U531">
        <v>52</v>
      </c>
      <c r="V531">
        <v>24236</v>
      </c>
      <c r="W531">
        <v>58</v>
      </c>
      <c r="X531">
        <v>21311</v>
      </c>
      <c r="Y531">
        <v>51</v>
      </c>
      <c r="Z531">
        <v>19222</v>
      </c>
      <c r="AA531">
        <v>46</v>
      </c>
      <c r="AB531">
        <v>15880</v>
      </c>
      <c r="AC531">
        <v>38</v>
      </c>
      <c r="AD531">
        <v>11282</v>
      </c>
      <c r="AE531">
        <v>27</v>
      </c>
      <c r="AF531">
        <v>18804</v>
      </c>
      <c r="AG531">
        <v>45</v>
      </c>
      <c r="AH531">
        <v>13372</v>
      </c>
      <c r="AI531">
        <v>32</v>
      </c>
      <c r="AJ531">
        <v>11282</v>
      </c>
      <c r="AK531">
        <v>27</v>
      </c>
      <c r="AL531">
        <v>13789</v>
      </c>
      <c r="AM531">
        <v>33</v>
      </c>
      <c r="AN531">
        <v>13372</v>
      </c>
      <c r="AO531">
        <v>32</v>
      </c>
      <c r="AP531">
        <v>11700</v>
      </c>
      <c r="AQ531">
        <v>28</v>
      </c>
      <c r="AR531">
        <v>15461</v>
      </c>
      <c r="AS531">
        <v>37</v>
      </c>
      <c r="AT531">
        <v>15879</v>
      </c>
      <c r="AU531">
        <v>38</v>
      </c>
      <c r="AV531">
        <v>14625</v>
      </c>
      <c r="AW531">
        <v>35</v>
      </c>
      <c r="AX531">
        <v>16297</v>
      </c>
      <c r="AY531">
        <v>39</v>
      </c>
      <c r="AZ531">
        <v>16714</v>
      </c>
      <c r="BA531">
        <v>40</v>
      </c>
      <c r="BB531">
        <v>17132</v>
      </c>
      <c r="BC531">
        <v>41</v>
      </c>
      <c r="BD531">
        <v>10447</v>
      </c>
      <c r="BE531">
        <v>25</v>
      </c>
      <c r="BF531">
        <v>8775</v>
      </c>
      <c r="BG531">
        <v>21</v>
      </c>
      <c r="BH531">
        <v>9193</v>
      </c>
      <c r="BI531">
        <v>22</v>
      </c>
      <c r="BJ531">
        <v>11282</v>
      </c>
      <c r="BK531">
        <v>27</v>
      </c>
      <c r="BL531">
        <v>14625</v>
      </c>
      <c r="BM531">
        <v>35</v>
      </c>
    </row>
    <row r="532" spans="1:65" ht="14.4">
      <c r="A532" s="2" t="str">
        <v>ITEM4188</v>
      </c>
      <c r="B532" s="10" t="str">
        <v>Apple</v>
      </c>
      <c r="C532" s="11" t="str">
        <v>Robin</v>
      </c>
      <c r="D532">
        <v>21600</v>
      </c>
      <c r="E532">
        <v>160</v>
      </c>
      <c r="F532">
        <v>19035</v>
      </c>
      <c r="G532">
        <v>141</v>
      </c>
      <c r="H532">
        <v>18495</v>
      </c>
      <c r="I532">
        <v>137</v>
      </c>
      <c r="J532">
        <v>19170</v>
      </c>
      <c r="K532">
        <v>142</v>
      </c>
      <c r="L532">
        <v>15930</v>
      </c>
      <c r="M532">
        <v>118</v>
      </c>
      <c r="N532">
        <v>19049</v>
      </c>
      <c r="O532">
        <v>141</v>
      </c>
      <c r="P532">
        <v>20250</v>
      </c>
      <c r="Q532">
        <v>150</v>
      </c>
      <c r="R532">
        <v>20115</v>
      </c>
      <c r="S532">
        <v>149</v>
      </c>
      <c r="T532">
        <v>17955</v>
      </c>
      <c r="U532">
        <v>133</v>
      </c>
      <c r="V532">
        <v>20115</v>
      </c>
      <c r="W532">
        <v>149</v>
      </c>
      <c r="X532">
        <v>9720</v>
      </c>
      <c r="Y532">
        <v>72</v>
      </c>
      <c r="Z532">
        <v>675</v>
      </c>
      <c r="AA532">
        <v>5</v>
      </c>
      <c r="AB532">
        <v>2295</v>
      </c>
      <c r="AC532">
        <v>17</v>
      </c>
      <c r="AD532">
        <v>945</v>
      </c>
      <c r="AE532">
        <v>7</v>
      </c>
      <c r="AF532">
        <v>24030</v>
      </c>
      <c r="AG532">
        <v>178</v>
      </c>
      <c r="AH532">
        <v>29685</v>
      </c>
      <c r="AI532">
        <v>216</v>
      </c>
      <c r="AJ532">
        <v>34830</v>
      </c>
      <c r="AK532">
        <v>258</v>
      </c>
      <c r="AL532">
        <v>27540</v>
      </c>
      <c r="AM532">
        <v>204</v>
      </c>
      <c r="AN532">
        <v>26190</v>
      </c>
      <c r="AO532">
        <v>194</v>
      </c>
      <c r="AP532">
        <v>27270</v>
      </c>
      <c r="AQ532">
        <v>202</v>
      </c>
      <c r="AR532">
        <v>23909</v>
      </c>
      <c r="AS532">
        <v>177</v>
      </c>
      <c r="AT532">
        <v>32940</v>
      </c>
      <c r="AU532">
        <v>244</v>
      </c>
      <c r="AV532">
        <v>32265</v>
      </c>
      <c r="AW532">
        <v>239</v>
      </c>
      <c r="AX532">
        <v>25785</v>
      </c>
      <c r="AY532">
        <v>191</v>
      </c>
      <c r="AZ532">
        <v>20250</v>
      </c>
      <c r="BA532">
        <v>150</v>
      </c>
      <c r="BB532">
        <v>10530</v>
      </c>
      <c r="BC532">
        <v>78</v>
      </c>
      <c r="BD532">
        <v>8259</v>
      </c>
      <c r="BE532">
        <v>61</v>
      </c>
      <c r="BF532">
        <v>27369</v>
      </c>
      <c r="BG532">
        <v>212</v>
      </c>
      <c r="BH532">
        <v>30187</v>
      </c>
      <c r="BI532">
        <v>234</v>
      </c>
      <c r="BJ532">
        <v>27994</v>
      </c>
      <c r="BK532">
        <v>217</v>
      </c>
      <c r="BL532">
        <v>32265</v>
      </c>
      <c r="BM532">
        <v>239</v>
      </c>
    </row>
    <row r="533" spans="1:65" ht="14.4">
      <c r="A533" s="2" t="str">
        <v>ITEM7516</v>
      </c>
      <c r="B533" s="10" t="str">
        <v>Apple</v>
      </c>
      <c r="C533" s="11" t="str">
        <v>Robin</v>
      </c>
      <c r="D533">
        <v>877</v>
      </c>
      <c r="E533">
        <v>3</v>
      </c>
      <c r="F533">
        <v>767</v>
      </c>
      <c r="G533">
        <v>3</v>
      </c>
      <c r="H533">
        <v>1196</v>
      </c>
      <c r="I533">
        <v>4</v>
      </c>
      <c r="J533">
        <v>837</v>
      </c>
      <c r="K533">
        <v>3</v>
      </c>
      <c r="L533">
        <v>877</v>
      </c>
      <c r="M533">
        <v>3</v>
      </c>
      <c r="N533">
        <v>957</v>
      </c>
      <c r="O533">
        <v>3</v>
      </c>
      <c r="P533">
        <v>1156</v>
      </c>
      <c r="Q533">
        <v>4</v>
      </c>
      <c r="R533">
        <v>1196</v>
      </c>
      <c r="S533">
        <v>4</v>
      </c>
      <c r="T533">
        <v>3348</v>
      </c>
      <c r="U533">
        <v>12</v>
      </c>
      <c r="V533">
        <v>279</v>
      </c>
      <c r="W533">
        <v>1</v>
      </c>
      <c r="X533">
        <v>558</v>
      </c>
      <c r="Y533">
        <v>2</v>
      </c>
      <c r="Z533">
        <v>837</v>
      </c>
      <c r="AA533">
        <v>3</v>
      </c>
      <c r="AB533">
        <v>2073</v>
      </c>
      <c r="AC533">
        <v>7</v>
      </c>
      <c r="AD533">
        <v>558</v>
      </c>
      <c r="AE533">
        <v>2</v>
      </c>
      <c r="AF533">
        <v>1714</v>
      </c>
      <c r="AG533">
        <v>6</v>
      </c>
      <c r="AH533">
        <v>1395</v>
      </c>
      <c r="AI533">
        <v>5</v>
      </c>
      <c r="AJ533">
        <v>1116</v>
      </c>
      <c r="AK533">
        <v>4</v>
      </c>
      <c r="AL533">
        <v>279</v>
      </c>
      <c r="AM533">
        <v>1</v>
      </c>
      <c r="AN533">
        <v>279</v>
      </c>
      <c r="AO533">
        <v>1</v>
      </c>
      <c r="AP533">
        <v>279</v>
      </c>
      <c r="AQ533">
        <v>1</v>
      </c>
      <c r="AR533">
        <v>1668</v>
      </c>
      <c r="AS533">
        <v>8</v>
      </c>
      <c r="AT533">
        <v>185</v>
      </c>
      <c r="AU533">
        <v>1</v>
      </c>
      <c r="AV533">
        <v>764</v>
      </c>
      <c r="AW533">
        <v>4</v>
      </c>
      <c r="AX533">
        <v>804</v>
      </c>
      <c r="AY533">
        <v>4</v>
      </c>
      <c r="AZ533">
        <v>613</v>
      </c>
      <c r="BA533">
        <v>3</v>
      </c>
      <c r="BB533">
        <v>1560</v>
      </c>
      <c r="BC533">
        <v>8</v>
      </c>
      <c r="BD533">
        <v>925</v>
      </c>
      <c r="BE533">
        <v>5</v>
      </c>
      <c r="BF533">
        <v>1110</v>
      </c>
      <c r="BG533">
        <v>6</v>
      </c>
      <c r="BH533">
        <v>1375</v>
      </c>
      <c r="BI533">
        <v>7</v>
      </c>
      <c r="BJ533">
        <v>1190</v>
      </c>
      <c r="BK533">
        <v>6</v>
      </c>
      <c r="BL533">
        <v>764</v>
      </c>
      <c r="BM533">
        <v>4</v>
      </c>
    </row>
    <row r="534" spans="1:65" ht="14.4">
      <c r="A534" s="2" t="str">
        <v>ITEM9671</v>
      </c>
      <c r="B534" s="10" t="str">
        <v>Apple</v>
      </c>
      <c r="C534" s="11" t="str">
        <v>Red</v>
      </c>
      <c r="D534">
        <v>487</v>
      </c>
      <c r="E534">
        <v>3</v>
      </c>
      <c r="F534">
        <v>1163</v>
      </c>
      <c r="G534">
        <v>7</v>
      </c>
      <c r="H534">
        <v>1083</v>
      </c>
      <c r="I534">
        <v>7</v>
      </c>
      <c r="J534">
        <v>487</v>
      </c>
      <c r="K534">
        <v>3</v>
      </c>
      <c r="L534">
        <v>716</v>
      </c>
      <c r="M534">
        <v>4</v>
      </c>
      <c r="N534">
        <v>447</v>
      </c>
      <c r="O534">
        <v>3</v>
      </c>
      <c r="P534">
        <v>984</v>
      </c>
      <c r="Q534">
        <v>6</v>
      </c>
      <c r="R534">
        <v>785</v>
      </c>
      <c r="S534">
        <v>5</v>
      </c>
      <c r="T534">
        <v>865</v>
      </c>
      <c r="U534">
        <v>5</v>
      </c>
      <c r="V534">
        <v>636</v>
      </c>
      <c r="W534">
        <v>4</v>
      </c>
      <c r="X534">
        <v>596</v>
      </c>
      <c r="Y534">
        <v>4</v>
      </c>
      <c r="Z534">
        <v>1014</v>
      </c>
      <c r="AA534">
        <v>6</v>
      </c>
      <c r="AB534">
        <v>447</v>
      </c>
      <c r="AC534">
        <v>3</v>
      </c>
      <c r="AD534">
        <v>487</v>
      </c>
      <c r="AE534">
        <v>3</v>
      </c>
      <c r="AF534">
        <v>447</v>
      </c>
      <c r="AG534">
        <v>3</v>
      </c>
      <c r="AH534">
        <v>905</v>
      </c>
      <c r="AI534">
        <v>5</v>
      </c>
      <c r="AJ534">
        <v>865</v>
      </c>
      <c r="AK534">
        <v>5</v>
      </c>
      <c r="AL534">
        <v>189</v>
      </c>
      <c r="AM534">
        <v>1</v>
      </c>
      <c r="AN534">
        <v>785</v>
      </c>
      <c r="AO534">
        <v>5</v>
      </c>
      <c r="AP534">
        <v>338</v>
      </c>
      <c r="AQ534">
        <v>2</v>
      </c>
      <c r="AR534">
        <v>1075</v>
      </c>
      <c r="AS534">
        <v>5</v>
      </c>
      <c r="AT534">
        <v>1314</v>
      </c>
      <c r="AU534">
        <v>6</v>
      </c>
      <c r="AV534">
        <v>1632</v>
      </c>
      <c r="AW534">
        <v>8</v>
      </c>
      <c r="AX534">
        <v>1075</v>
      </c>
      <c r="AY534">
        <v>5</v>
      </c>
      <c r="AZ534">
        <v>2349</v>
      </c>
      <c r="BA534">
        <v>11</v>
      </c>
      <c r="BB534">
        <v>677</v>
      </c>
      <c r="BC534">
        <v>3</v>
      </c>
      <c r="BD534">
        <v>1234</v>
      </c>
      <c r="BE534">
        <v>6</v>
      </c>
      <c r="BF534">
        <v>1632</v>
      </c>
      <c r="BG534">
        <v>8</v>
      </c>
      <c r="BH534">
        <v>1115</v>
      </c>
      <c r="BI534">
        <v>5</v>
      </c>
      <c r="BJ534">
        <v>1075</v>
      </c>
      <c r="BK534">
        <v>5</v>
      </c>
      <c r="BL534">
        <v>1632</v>
      </c>
      <c r="BM534">
        <v>8</v>
      </c>
    </row>
    <row r="535" spans="1:65" ht="14.4">
      <c r="A535" s="2" t="str">
        <v>ITEM7519</v>
      </c>
      <c r="B535" s="10" t="str">
        <v>Apple</v>
      </c>
      <c r="C535" s="11" t="str">
        <v>Golden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479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ht="14.4">
      <c r="A536" s="2" t="str">
        <v>ITEM2360</v>
      </c>
      <c r="B536" s="10" t="str">
        <v>Apple</v>
      </c>
      <c r="C536" s="11" t="str">
        <v>Golden</v>
      </c>
      <c r="D536">
        <v>0</v>
      </c>
      <c r="E536">
        <v>0</v>
      </c>
      <c r="F536">
        <v>244</v>
      </c>
      <c r="G536">
        <v>1</v>
      </c>
      <c r="H536">
        <v>488</v>
      </c>
      <c r="I536">
        <v>2</v>
      </c>
      <c r="J536">
        <v>244</v>
      </c>
      <c r="K536">
        <v>1</v>
      </c>
      <c r="L536">
        <v>0</v>
      </c>
      <c r="M536">
        <v>0</v>
      </c>
      <c r="N536">
        <v>488</v>
      </c>
      <c r="O536">
        <v>2</v>
      </c>
      <c r="P536">
        <v>244</v>
      </c>
      <c r="Q536">
        <v>1</v>
      </c>
      <c r="R536">
        <v>0</v>
      </c>
      <c r="S536">
        <v>0</v>
      </c>
      <c r="T536">
        <v>812</v>
      </c>
      <c r="U536">
        <v>3</v>
      </c>
      <c r="V536">
        <v>772</v>
      </c>
      <c r="W536">
        <v>3</v>
      </c>
      <c r="X536">
        <v>0</v>
      </c>
      <c r="Y536">
        <v>0</v>
      </c>
      <c r="Z536">
        <v>488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244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244</v>
      </c>
      <c r="AO536">
        <v>1</v>
      </c>
      <c r="AP536">
        <v>244</v>
      </c>
      <c r="AQ536">
        <v>1</v>
      </c>
      <c r="AR536">
        <v>732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732</v>
      </c>
      <c r="BC536">
        <v>3</v>
      </c>
      <c r="BD536">
        <v>732</v>
      </c>
      <c r="BE536">
        <v>3</v>
      </c>
      <c r="BF536">
        <v>732</v>
      </c>
      <c r="BG536">
        <v>3</v>
      </c>
      <c r="BH536">
        <v>732</v>
      </c>
      <c r="BI536">
        <v>3</v>
      </c>
      <c r="BJ536">
        <v>0</v>
      </c>
      <c r="BK536">
        <v>0</v>
      </c>
      <c r="BL536">
        <v>0</v>
      </c>
      <c r="BM536">
        <v>0</v>
      </c>
    </row>
    <row r="537" spans="1:65" ht="14.4">
      <c r="A537" s="2" t="str">
        <v>ITEM8897</v>
      </c>
      <c r="B537" s="10" t="str">
        <v>Apple</v>
      </c>
      <c r="C537" s="11" t="str">
        <v>Red</v>
      </c>
      <c r="D537">
        <v>1693</v>
      </c>
      <c r="E537">
        <v>2</v>
      </c>
      <c r="F537">
        <v>7596</v>
      </c>
      <c r="G537">
        <v>9</v>
      </c>
      <c r="H537">
        <v>844</v>
      </c>
      <c r="I537">
        <v>1</v>
      </c>
      <c r="J537">
        <v>8436</v>
      </c>
      <c r="K537">
        <v>10</v>
      </c>
      <c r="L537">
        <v>2533</v>
      </c>
      <c r="M537">
        <v>3</v>
      </c>
      <c r="N537">
        <v>7819</v>
      </c>
      <c r="O537">
        <v>9</v>
      </c>
      <c r="P537">
        <v>7594</v>
      </c>
      <c r="Q537">
        <v>9</v>
      </c>
      <c r="R537">
        <v>5063</v>
      </c>
      <c r="S537">
        <v>6</v>
      </c>
      <c r="T537">
        <v>3375</v>
      </c>
      <c r="U537">
        <v>4</v>
      </c>
      <c r="V537">
        <v>3375</v>
      </c>
      <c r="W537">
        <v>4</v>
      </c>
      <c r="X537">
        <v>5907</v>
      </c>
      <c r="Y537">
        <v>7</v>
      </c>
      <c r="Z537">
        <v>7594</v>
      </c>
      <c r="AA537">
        <v>9</v>
      </c>
      <c r="AB537">
        <v>2531</v>
      </c>
      <c r="AC537">
        <v>3</v>
      </c>
      <c r="AD537">
        <v>8438</v>
      </c>
      <c r="AE537">
        <v>10</v>
      </c>
      <c r="AF537">
        <v>4219</v>
      </c>
      <c r="AG537">
        <v>5</v>
      </c>
      <c r="AH537">
        <v>4219</v>
      </c>
      <c r="AI537">
        <v>5</v>
      </c>
      <c r="AJ537">
        <v>4219</v>
      </c>
      <c r="AK537">
        <v>5</v>
      </c>
      <c r="AL537">
        <v>5907</v>
      </c>
      <c r="AM537">
        <v>7</v>
      </c>
      <c r="AN537">
        <v>3375</v>
      </c>
      <c r="AO537">
        <v>4</v>
      </c>
      <c r="AP537">
        <v>1672</v>
      </c>
      <c r="AQ537">
        <v>2</v>
      </c>
      <c r="AR537">
        <v>8362</v>
      </c>
      <c r="AS537">
        <v>10</v>
      </c>
      <c r="AT537">
        <v>3345</v>
      </c>
      <c r="AU537">
        <v>4</v>
      </c>
      <c r="AV537">
        <v>4172</v>
      </c>
      <c r="AW537">
        <v>5</v>
      </c>
      <c r="AX537">
        <v>7509</v>
      </c>
      <c r="AY537">
        <v>9</v>
      </c>
      <c r="AZ537">
        <v>8969</v>
      </c>
      <c r="BA537">
        <v>11</v>
      </c>
      <c r="BB537">
        <v>6569</v>
      </c>
      <c r="BC537">
        <v>9</v>
      </c>
      <c r="BD537">
        <v>5109</v>
      </c>
      <c r="BE537">
        <v>7</v>
      </c>
      <c r="BF537">
        <v>11678</v>
      </c>
      <c r="BG537">
        <v>16</v>
      </c>
      <c r="BH537">
        <v>5109</v>
      </c>
      <c r="BI537">
        <v>7</v>
      </c>
      <c r="BJ537">
        <v>5109</v>
      </c>
      <c r="BK537">
        <v>7</v>
      </c>
      <c r="BL537">
        <v>4172</v>
      </c>
      <c r="BM537">
        <v>5</v>
      </c>
    </row>
    <row r="538" spans="1:65" ht="14.4">
      <c r="A538" s="2" t="str">
        <v>ITEM4672</v>
      </c>
      <c r="B538" s="10" t="str">
        <v>Apple</v>
      </c>
      <c r="C538" s="11" t="str">
        <v>Golden</v>
      </c>
      <c r="D538">
        <v>2368</v>
      </c>
      <c r="E538">
        <v>5</v>
      </c>
      <c r="F538">
        <v>3249</v>
      </c>
      <c r="G538">
        <v>7</v>
      </c>
      <c r="H538">
        <v>928</v>
      </c>
      <c r="I538">
        <v>2</v>
      </c>
      <c r="J538">
        <v>464</v>
      </c>
      <c r="K538">
        <v>1</v>
      </c>
      <c r="L538">
        <v>928</v>
      </c>
      <c r="M538">
        <v>2</v>
      </c>
      <c r="N538">
        <v>928</v>
      </c>
      <c r="O538">
        <v>2</v>
      </c>
      <c r="P538">
        <v>928</v>
      </c>
      <c r="Q538">
        <v>2</v>
      </c>
      <c r="R538">
        <v>1392</v>
      </c>
      <c r="S538">
        <v>3</v>
      </c>
      <c r="T538">
        <v>928</v>
      </c>
      <c r="U538">
        <v>2</v>
      </c>
      <c r="V538">
        <v>2321</v>
      </c>
      <c r="W538">
        <v>5</v>
      </c>
      <c r="X538">
        <v>464</v>
      </c>
      <c r="Y538">
        <v>1</v>
      </c>
      <c r="Z538">
        <v>464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3249</v>
      </c>
      <c r="AG538">
        <v>7</v>
      </c>
      <c r="AH538">
        <v>464</v>
      </c>
      <c r="AI538">
        <v>1</v>
      </c>
      <c r="AJ538">
        <v>928</v>
      </c>
      <c r="AK538">
        <v>2</v>
      </c>
      <c r="AL538">
        <v>1392</v>
      </c>
      <c r="AM538">
        <v>3</v>
      </c>
      <c r="AN538">
        <v>2785</v>
      </c>
      <c r="AO538">
        <v>6</v>
      </c>
      <c r="AP538">
        <v>1392</v>
      </c>
      <c r="AQ538">
        <v>3</v>
      </c>
      <c r="AR538">
        <v>464</v>
      </c>
      <c r="AS538">
        <v>1</v>
      </c>
      <c r="AT538">
        <v>1402</v>
      </c>
      <c r="AU538">
        <v>3</v>
      </c>
      <c r="AV538">
        <v>0</v>
      </c>
      <c r="AW538">
        <v>0</v>
      </c>
      <c r="AX538">
        <v>455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2083</v>
      </c>
      <c r="BI538">
        <v>5</v>
      </c>
      <c r="BJ538">
        <v>1667</v>
      </c>
      <c r="BK538">
        <v>4</v>
      </c>
      <c r="BL538">
        <v>0</v>
      </c>
      <c r="BM538">
        <v>0</v>
      </c>
    </row>
    <row r="539" spans="1:65" ht="14.4">
      <c r="A539" s="2" t="str">
        <v>ITEM8933</v>
      </c>
      <c r="B539" s="10" t="str">
        <v>Apple</v>
      </c>
      <c r="C539" s="11" t="str">
        <v>Red</v>
      </c>
      <c r="D539">
        <v>891</v>
      </c>
      <c r="E539">
        <v>1</v>
      </c>
      <c r="F539">
        <v>1860</v>
      </c>
      <c r="G539">
        <v>2</v>
      </c>
      <c r="H539">
        <v>1783</v>
      </c>
      <c r="I539">
        <v>2</v>
      </c>
      <c r="J539">
        <v>1783</v>
      </c>
      <c r="K539">
        <v>2</v>
      </c>
      <c r="L539">
        <v>2674</v>
      </c>
      <c r="M539">
        <v>3</v>
      </c>
      <c r="N539">
        <v>912</v>
      </c>
      <c r="O539">
        <v>1</v>
      </c>
      <c r="P539">
        <v>891</v>
      </c>
      <c r="Q539">
        <v>1</v>
      </c>
      <c r="R539">
        <v>891</v>
      </c>
      <c r="S539">
        <v>1</v>
      </c>
      <c r="T539">
        <v>1783</v>
      </c>
      <c r="U539">
        <v>2</v>
      </c>
      <c r="V539">
        <v>1783</v>
      </c>
      <c r="W539">
        <v>2</v>
      </c>
      <c r="X539">
        <v>891</v>
      </c>
      <c r="Y539">
        <v>1</v>
      </c>
      <c r="Z539">
        <v>2537</v>
      </c>
      <c r="AA539">
        <v>3</v>
      </c>
      <c r="AB539">
        <v>846</v>
      </c>
      <c r="AC539">
        <v>1</v>
      </c>
      <c r="AD539">
        <v>1691</v>
      </c>
      <c r="AE539">
        <v>2</v>
      </c>
      <c r="AF539">
        <v>0</v>
      </c>
      <c r="AG539">
        <v>0</v>
      </c>
      <c r="AH539">
        <v>846</v>
      </c>
      <c r="AI539">
        <v>1</v>
      </c>
      <c r="AJ539">
        <v>1691</v>
      </c>
      <c r="AK539">
        <v>2</v>
      </c>
      <c r="AL539">
        <v>1691</v>
      </c>
      <c r="AM539">
        <v>2</v>
      </c>
      <c r="AN539">
        <v>846</v>
      </c>
      <c r="AO539">
        <v>1</v>
      </c>
      <c r="AP539">
        <v>1672</v>
      </c>
      <c r="AQ539">
        <v>2</v>
      </c>
      <c r="AR539">
        <v>0</v>
      </c>
      <c r="AS539">
        <v>0</v>
      </c>
      <c r="AT539">
        <v>836</v>
      </c>
      <c r="AU539">
        <v>1</v>
      </c>
      <c r="AV539">
        <v>901</v>
      </c>
      <c r="AW539">
        <v>1</v>
      </c>
      <c r="AX539">
        <v>1801</v>
      </c>
      <c r="AY539">
        <v>2</v>
      </c>
      <c r="AZ539">
        <v>901</v>
      </c>
      <c r="BA539">
        <v>1</v>
      </c>
      <c r="BB539">
        <v>1889</v>
      </c>
      <c r="BC539">
        <v>2</v>
      </c>
      <c r="BD539">
        <v>944</v>
      </c>
      <c r="BE539">
        <v>1</v>
      </c>
      <c r="BF539">
        <v>910</v>
      </c>
      <c r="BG539">
        <v>1</v>
      </c>
      <c r="BH539">
        <v>910</v>
      </c>
      <c r="BI539">
        <v>1</v>
      </c>
      <c r="BJ539">
        <v>910</v>
      </c>
      <c r="BK539">
        <v>1</v>
      </c>
      <c r="BL539">
        <v>901</v>
      </c>
      <c r="BM539">
        <v>1</v>
      </c>
    </row>
    <row r="540" spans="1:65" ht="14.4">
      <c r="A540" s="2" t="str">
        <v>ITEM6354</v>
      </c>
      <c r="B540" s="10" t="str">
        <v>Apple</v>
      </c>
      <c r="C540" s="11" t="str">
        <v>Golden</v>
      </c>
      <c r="D540">
        <v>0</v>
      </c>
      <c r="E540">
        <v>0</v>
      </c>
      <c r="F540">
        <v>1798</v>
      </c>
      <c r="G540">
        <v>2</v>
      </c>
      <c r="H540">
        <v>2697</v>
      </c>
      <c r="I540">
        <v>3</v>
      </c>
      <c r="J540">
        <v>2697</v>
      </c>
      <c r="K540">
        <v>3</v>
      </c>
      <c r="L540">
        <v>1798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844</v>
      </c>
      <c r="U540">
        <v>1</v>
      </c>
      <c r="V540">
        <v>5907</v>
      </c>
      <c r="W540">
        <v>7</v>
      </c>
      <c r="X540">
        <v>3375</v>
      </c>
      <c r="Y540">
        <v>4</v>
      </c>
      <c r="Z540">
        <v>3375</v>
      </c>
      <c r="AA540">
        <v>4</v>
      </c>
      <c r="AB540">
        <v>2531</v>
      </c>
      <c r="AC540">
        <v>3</v>
      </c>
      <c r="AD540">
        <v>4219</v>
      </c>
      <c r="AE540">
        <v>5</v>
      </c>
      <c r="AF540">
        <v>1688</v>
      </c>
      <c r="AG540">
        <v>2</v>
      </c>
      <c r="AH540">
        <v>1688</v>
      </c>
      <c r="AI540">
        <v>2</v>
      </c>
      <c r="AJ540">
        <v>2531</v>
      </c>
      <c r="AK540">
        <v>3</v>
      </c>
      <c r="AL540">
        <v>1688</v>
      </c>
      <c r="AM540">
        <v>2</v>
      </c>
      <c r="AN540">
        <v>1672</v>
      </c>
      <c r="AO540">
        <v>2</v>
      </c>
      <c r="AP540">
        <v>836</v>
      </c>
      <c r="AQ540">
        <v>1</v>
      </c>
      <c r="AR540">
        <v>1680</v>
      </c>
      <c r="AS540">
        <v>2</v>
      </c>
      <c r="AT540">
        <v>853</v>
      </c>
      <c r="AU540">
        <v>1</v>
      </c>
      <c r="AV540">
        <v>10846</v>
      </c>
      <c r="AW540">
        <v>13</v>
      </c>
      <c r="AX540">
        <v>5840</v>
      </c>
      <c r="AY540">
        <v>7</v>
      </c>
      <c r="AZ540">
        <v>5840</v>
      </c>
      <c r="BA540">
        <v>7</v>
      </c>
      <c r="BB540">
        <v>4172</v>
      </c>
      <c r="BC540">
        <v>5</v>
      </c>
      <c r="BD540">
        <v>5840</v>
      </c>
      <c r="BE540">
        <v>7</v>
      </c>
      <c r="BF540">
        <v>4882</v>
      </c>
      <c r="BG540">
        <v>6</v>
      </c>
      <c r="BH540">
        <v>8864</v>
      </c>
      <c r="BI540">
        <v>11</v>
      </c>
      <c r="BJ540">
        <v>5641</v>
      </c>
      <c r="BK540">
        <v>7</v>
      </c>
      <c r="BL540">
        <v>10846</v>
      </c>
      <c r="BM540">
        <v>13</v>
      </c>
    </row>
    <row r="541" spans="1:65" ht="14.4">
      <c r="A541" s="2" t="str">
        <v>ITEM2248</v>
      </c>
      <c r="B541" s="10" t="str">
        <v>Apple</v>
      </c>
      <c r="C541" s="11" t="str">
        <v>Red</v>
      </c>
      <c r="D541">
        <v>17132</v>
      </c>
      <c r="E541">
        <v>41</v>
      </c>
      <c r="F541">
        <v>23400</v>
      </c>
      <c r="G541">
        <v>56</v>
      </c>
      <c r="H541">
        <v>30086</v>
      </c>
      <c r="I541">
        <v>72</v>
      </c>
      <c r="J541">
        <v>17132</v>
      </c>
      <c r="K541">
        <v>41</v>
      </c>
      <c r="L541">
        <v>18804</v>
      </c>
      <c r="M541">
        <v>45</v>
      </c>
      <c r="N541">
        <v>16714</v>
      </c>
      <c r="O541">
        <v>40</v>
      </c>
      <c r="P541">
        <v>12536</v>
      </c>
      <c r="Q541">
        <v>30</v>
      </c>
      <c r="R541">
        <v>20475</v>
      </c>
      <c r="S541">
        <v>49</v>
      </c>
      <c r="T541">
        <v>21729</v>
      </c>
      <c r="U541">
        <v>52</v>
      </c>
      <c r="V541">
        <v>24236</v>
      </c>
      <c r="W541">
        <v>58</v>
      </c>
      <c r="X541">
        <v>21311</v>
      </c>
      <c r="Y541">
        <v>51</v>
      </c>
      <c r="Z541">
        <v>19222</v>
      </c>
      <c r="AA541">
        <v>46</v>
      </c>
      <c r="AB541">
        <v>15880</v>
      </c>
      <c r="AC541">
        <v>38</v>
      </c>
      <c r="AD541">
        <v>11282</v>
      </c>
      <c r="AE541">
        <v>27</v>
      </c>
      <c r="AF541">
        <v>18804</v>
      </c>
      <c r="AG541">
        <v>45</v>
      </c>
      <c r="AH541">
        <v>13372</v>
      </c>
      <c r="AI541">
        <v>32</v>
      </c>
      <c r="AJ541">
        <v>11282</v>
      </c>
      <c r="AK541">
        <v>27</v>
      </c>
      <c r="AL541">
        <v>13789</v>
      </c>
      <c r="AM541">
        <v>33</v>
      </c>
      <c r="AN541">
        <v>13372</v>
      </c>
      <c r="AO541">
        <v>32</v>
      </c>
      <c r="AP541">
        <v>11700</v>
      </c>
      <c r="AQ541">
        <v>28</v>
      </c>
      <c r="AR541">
        <v>15461</v>
      </c>
      <c r="AS541">
        <v>37</v>
      </c>
      <c r="AT541">
        <v>15879</v>
      </c>
      <c r="AU541">
        <v>38</v>
      </c>
      <c r="AV541">
        <v>14625</v>
      </c>
      <c r="AW541">
        <v>35</v>
      </c>
      <c r="AX541">
        <v>16297</v>
      </c>
      <c r="AY541">
        <v>39</v>
      </c>
      <c r="AZ541">
        <v>16714</v>
      </c>
      <c r="BA541">
        <v>40</v>
      </c>
      <c r="BB541">
        <v>17132</v>
      </c>
      <c r="BC541">
        <v>41</v>
      </c>
      <c r="BD541">
        <v>10447</v>
      </c>
      <c r="BE541">
        <v>25</v>
      </c>
      <c r="BF541">
        <v>8775</v>
      </c>
      <c r="BG541">
        <v>21</v>
      </c>
      <c r="BH541">
        <v>9193</v>
      </c>
      <c r="BI541">
        <v>22</v>
      </c>
      <c r="BJ541">
        <v>11282</v>
      </c>
      <c r="BK541">
        <v>27</v>
      </c>
      <c r="BL541">
        <v>14625</v>
      </c>
      <c r="BM541">
        <v>35</v>
      </c>
    </row>
    <row r="542" spans="1:65" ht="14.4">
      <c r="A542" s="2" t="str">
        <v>ITEM6480</v>
      </c>
      <c r="B542" s="10" t="str">
        <v>Apple</v>
      </c>
      <c r="C542" s="11" t="str">
        <v>Red</v>
      </c>
      <c r="D542">
        <v>0</v>
      </c>
      <c r="E542">
        <v>0</v>
      </c>
      <c r="F542">
        <v>244</v>
      </c>
      <c r="G542">
        <v>1</v>
      </c>
      <c r="H542">
        <v>488</v>
      </c>
      <c r="I542">
        <v>2</v>
      </c>
      <c r="J542">
        <v>244</v>
      </c>
      <c r="K542">
        <v>1</v>
      </c>
      <c r="L542">
        <v>0</v>
      </c>
      <c r="M542">
        <v>0</v>
      </c>
      <c r="N542">
        <v>488</v>
      </c>
      <c r="O542">
        <v>2</v>
      </c>
      <c r="P542">
        <v>244</v>
      </c>
      <c r="Q542">
        <v>1</v>
      </c>
      <c r="R542">
        <v>0</v>
      </c>
      <c r="S542">
        <v>0</v>
      </c>
      <c r="T542">
        <v>812</v>
      </c>
      <c r="U542">
        <v>3</v>
      </c>
      <c r="V542">
        <v>772</v>
      </c>
      <c r="W542">
        <v>3</v>
      </c>
      <c r="X542">
        <v>0</v>
      </c>
      <c r="Y542">
        <v>0</v>
      </c>
      <c r="Z542">
        <v>488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244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244</v>
      </c>
      <c r="AO542">
        <v>1</v>
      </c>
      <c r="AP542">
        <v>244</v>
      </c>
      <c r="AQ542">
        <v>1</v>
      </c>
      <c r="AR542">
        <v>732</v>
      </c>
      <c r="AS542">
        <v>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732</v>
      </c>
      <c r="BC542">
        <v>3</v>
      </c>
      <c r="BD542">
        <v>732</v>
      </c>
      <c r="BE542">
        <v>3</v>
      </c>
      <c r="BF542">
        <v>732</v>
      </c>
      <c r="BG542">
        <v>3</v>
      </c>
      <c r="BH542">
        <v>732</v>
      </c>
      <c r="BI542">
        <v>3</v>
      </c>
      <c r="BJ542">
        <v>0</v>
      </c>
      <c r="BK542">
        <v>0</v>
      </c>
      <c r="BL542">
        <v>0</v>
      </c>
      <c r="BM542">
        <v>0</v>
      </c>
    </row>
    <row r="543" spans="1:65" ht="14.4">
      <c r="A543" s="2"/>
      <c r="B543" s="10"/>
      <c r="C543" s="11"/>
    </row>
    <row r="544" spans="1:65" ht="14.4">
      <c r="A544" s="2"/>
      <c r="B544" s="10"/>
      <c r="C544" s="11"/>
    </row>
    <row r="545" spans="1:3" ht="14.4">
      <c r="A545" s="2" cm="1">
        <f t="array" ref="A545:A644">_xlfn._xlws.FILTER(Table1[],(Table1[#Headers]=_xlfn.CONCAT("GMV ",$A$518)))</f>
        <v>8405</v>
      </c>
      <c r="B545" s="10"/>
      <c r="C545" s="11"/>
    </row>
    <row r="546" spans="1:3" ht="14.4">
      <c r="A546" s="2">
        <v>2838</v>
      </c>
      <c r="B546" s="10"/>
      <c r="C546" s="11"/>
    </row>
    <row r="547" spans="1:3" ht="14.4">
      <c r="A547" s="2">
        <v>43964</v>
      </c>
      <c r="B547" s="10"/>
      <c r="C547" s="11"/>
    </row>
    <row r="548" spans="1:3" ht="14.4">
      <c r="A548" s="2">
        <v>5840</v>
      </c>
      <c r="B548" s="10"/>
      <c r="C548" s="11"/>
    </row>
    <row r="549" spans="1:3" ht="14.4">
      <c r="A549" s="2">
        <v>170</v>
      </c>
      <c r="B549" s="10"/>
      <c r="C549" s="11"/>
    </row>
    <row r="550" spans="1:3" ht="14.4">
      <c r="A550" s="2">
        <v>7573</v>
      </c>
      <c r="B550" s="10"/>
      <c r="C550" s="11"/>
    </row>
    <row r="551" spans="1:3" ht="14.4">
      <c r="A551" s="2">
        <v>17986</v>
      </c>
      <c r="B551" s="10"/>
      <c r="C551" s="11"/>
    </row>
    <row r="552" spans="1:3" ht="14.4">
      <c r="A552" s="2">
        <v>5840</v>
      </c>
      <c r="B552" s="10"/>
      <c r="C552" s="11"/>
    </row>
    <row r="553" spans="1:3" ht="14.4">
      <c r="A553" s="2">
        <v>22066</v>
      </c>
      <c r="B553" s="10"/>
      <c r="C553" s="11"/>
    </row>
    <row r="554" spans="1:3" ht="14.4">
      <c r="A554" s="2">
        <v>9735</v>
      </c>
      <c r="B554" s="10"/>
      <c r="C554" s="11"/>
    </row>
    <row r="555" spans="1:3" ht="14.4">
      <c r="A555" s="2">
        <v>14625</v>
      </c>
      <c r="B555" s="10"/>
      <c r="C555" s="11"/>
    </row>
    <row r="556" spans="1:3" ht="14.4">
      <c r="A556" s="2">
        <v>32265</v>
      </c>
      <c r="B556" s="10"/>
      <c r="C556" s="11"/>
    </row>
    <row r="557" spans="1:3" ht="14.4">
      <c r="A557" s="2">
        <v>764</v>
      </c>
      <c r="B557" s="10"/>
      <c r="C557" s="11"/>
    </row>
    <row r="558" spans="1:3" ht="14.4">
      <c r="A558" s="2">
        <v>1632</v>
      </c>
      <c r="B558" s="10"/>
      <c r="C558" s="11"/>
    </row>
    <row r="559" spans="1:3" ht="14.4">
      <c r="A559" s="2">
        <v>0</v>
      </c>
      <c r="B559" s="10"/>
      <c r="C559" s="11"/>
    </row>
    <row r="560" spans="1:3" ht="14.4">
      <c r="A560" s="2">
        <v>0</v>
      </c>
      <c r="B560" s="10"/>
      <c r="C560" s="11"/>
    </row>
    <row r="561" spans="1:3" ht="14.4">
      <c r="A561" s="2">
        <v>4172</v>
      </c>
      <c r="B561" s="10"/>
      <c r="C561" s="11"/>
    </row>
    <row r="562" spans="1:3" ht="14.4">
      <c r="A562" s="2">
        <v>0</v>
      </c>
      <c r="B562" s="10"/>
      <c r="C562" s="11"/>
    </row>
    <row r="563" spans="1:3" ht="14.4">
      <c r="A563" s="2">
        <v>901</v>
      </c>
      <c r="B563" s="10"/>
      <c r="C563" s="11"/>
    </row>
    <row r="564" spans="1:3" ht="14.4">
      <c r="A564" s="2">
        <v>10846</v>
      </c>
      <c r="B564" s="10"/>
      <c r="C564" s="11"/>
    </row>
    <row r="565" spans="1:3" ht="14.4">
      <c r="A565" s="2">
        <v>14625</v>
      </c>
      <c r="B565" s="10"/>
      <c r="C565" s="11"/>
    </row>
    <row r="566" spans="1:3" ht="14.4">
      <c r="A566" s="2">
        <v>0</v>
      </c>
      <c r="B566" s="10"/>
      <c r="C566" s="11"/>
    </row>
    <row r="567" spans="1:3" ht="14.4">
      <c r="A567" s="2">
        <v>0</v>
      </c>
      <c r="B567" s="10"/>
      <c r="C567" s="11"/>
    </row>
    <row r="568" spans="1:3" ht="14.4">
      <c r="A568" s="2">
        <v>2797</v>
      </c>
      <c r="B568" s="10"/>
      <c r="C568" s="11"/>
    </row>
    <row r="569" spans="1:3" ht="14.4">
      <c r="A569" s="2">
        <v>0</v>
      </c>
      <c r="B569" s="10"/>
      <c r="C569" s="11"/>
    </row>
    <row r="570" spans="1:3" ht="14.4">
      <c r="A570" s="2">
        <v>0</v>
      </c>
      <c r="B570" s="10"/>
      <c r="C570" s="11"/>
    </row>
    <row r="571" spans="1:3" ht="14.4">
      <c r="A571" s="2">
        <v>0</v>
      </c>
      <c r="B571" s="10"/>
      <c r="C571" s="11"/>
    </row>
    <row r="572" spans="1:3" ht="14.4">
      <c r="A572" s="2">
        <v>764</v>
      </c>
      <c r="B572" s="10"/>
      <c r="C572" s="11"/>
    </row>
    <row r="573" spans="1:3" ht="14.4">
      <c r="A573" s="2">
        <v>0</v>
      </c>
      <c r="B573" s="10"/>
      <c r="C573" s="11"/>
    </row>
    <row r="574" spans="1:3" ht="14.4">
      <c r="A574" s="2">
        <v>0</v>
      </c>
      <c r="B574" s="10"/>
      <c r="C574" s="11"/>
    </row>
    <row r="575" spans="1:3" ht="14.4">
      <c r="A575" s="2">
        <v>1632</v>
      </c>
      <c r="B575" s="10"/>
      <c r="C575" s="11"/>
    </row>
    <row r="576" spans="1:3" ht="14.4">
      <c r="A576" s="2">
        <v>0</v>
      </c>
      <c r="B576" s="10"/>
      <c r="C576" s="11"/>
    </row>
    <row r="577" spans="1:3" ht="14.4">
      <c r="A577" s="2">
        <v>764</v>
      </c>
      <c r="B577" s="10"/>
      <c r="C577" s="11"/>
    </row>
    <row r="578" spans="1:3" ht="14.4">
      <c r="A578" s="2">
        <v>5840</v>
      </c>
      <c r="B578" s="10"/>
      <c r="C578" s="11"/>
    </row>
    <row r="579" spans="1:3" ht="14.4">
      <c r="A579" s="2">
        <v>0</v>
      </c>
      <c r="B579" s="10"/>
      <c r="C579" s="11"/>
    </row>
    <row r="580" spans="1:3" ht="14.4">
      <c r="A580" s="2">
        <v>7573</v>
      </c>
      <c r="B580" s="10"/>
      <c r="C580" s="11"/>
    </row>
    <row r="581" spans="1:3" ht="14.4">
      <c r="A581" s="2">
        <v>269</v>
      </c>
      <c r="B581" s="10"/>
      <c r="C581" s="11"/>
    </row>
    <row r="582" spans="1:3" ht="14.4">
      <c r="A582" s="2">
        <v>9735</v>
      </c>
      <c r="B582" s="10"/>
      <c r="C582" s="11"/>
    </row>
    <row r="583" spans="1:3" ht="14.4">
      <c r="A583" s="2">
        <v>43964</v>
      </c>
      <c r="B583" s="10"/>
      <c r="C583" s="11"/>
    </row>
    <row r="584" spans="1:3" ht="14.4">
      <c r="A584" s="2">
        <v>170</v>
      </c>
      <c r="B584" s="10"/>
      <c r="C584" s="11"/>
    </row>
    <row r="585" spans="1:3" ht="14.4">
      <c r="A585" s="2">
        <v>32265</v>
      </c>
      <c r="B585" s="10"/>
      <c r="C585" s="11"/>
    </row>
    <row r="586" spans="1:3" ht="14.4">
      <c r="A586" s="2">
        <v>7573</v>
      </c>
      <c r="B586" s="10"/>
      <c r="C586" s="11"/>
    </row>
    <row r="587" spans="1:3" ht="14.4">
      <c r="A587" s="2">
        <v>0</v>
      </c>
      <c r="B587" s="10"/>
      <c r="C587" s="11"/>
    </row>
    <row r="588" spans="1:3" ht="14.4">
      <c r="A588" s="2">
        <v>0</v>
      </c>
      <c r="B588" s="10"/>
      <c r="C588" s="11"/>
    </row>
    <row r="589" spans="1:3" ht="14.4">
      <c r="A589" s="2">
        <v>0</v>
      </c>
      <c r="B589" s="10"/>
      <c r="C589" s="11"/>
    </row>
    <row r="590" spans="1:3" ht="14.4">
      <c r="A590" s="2">
        <v>0</v>
      </c>
      <c r="B590" s="10"/>
      <c r="C590" s="11"/>
    </row>
    <row r="591" spans="1:3" ht="14.4">
      <c r="A591" s="2">
        <v>22066</v>
      </c>
      <c r="B591" s="10"/>
      <c r="C591" s="11"/>
    </row>
    <row r="592" spans="1:3" ht="14.4">
      <c r="A592" s="2">
        <v>170</v>
      </c>
      <c r="B592" s="10"/>
      <c r="C592" s="11"/>
    </row>
    <row r="593" spans="1:3" ht="14.4">
      <c r="A593" s="2">
        <v>0</v>
      </c>
      <c r="B593" s="10"/>
      <c r="C593" s="11"/>
    </row>
    <row r="594" spans="1:3" ht="14.4">
      <c r="A594" s="2">
        <v>17986</v>
      </c>
      <c r="B594" s="10"/>
      <c r="C594" s="11"/>
    </row>
    <row r="595" spans="1:3" ht="14.4">
      <c r="A595" s="2">
        <v>0</v>
      </c>
      <c r="B595" s="10"/>
      <c r="C595" s="11"/>
    </row>
    <row r="596" spans="1:3" ht="14.4">
      <c r="A596" s="2">
        <v>269</v>
      </c>
      <c r="B596" s="10"/>
      <c r="C596" s="11"/>
    </row>
    <row r="597" spans="1:3" ht="14.4">
      <c r="A597" s="2">
        <v>36273</v>
      </c>
      <c r="B597" s="10"/>
      <c r="C597" s="11"/>
    </row>
    <row r="598" spans="1:3" ht="14.4">
      <c r="A598" s="2">
        <v>2493</v>
      </c>
      <c r="B598" s="10"/>
      <c r="C598" s="11"/>
    </row>
    <row r="599" spans="1:3" ht="14.4">
      <c r="A599" s="2">
        <v>25284</v>
      </c>
      <c r="B599" s="10"/>
      <c r="C599" s="11"/>
    </row>
    <row r="600" spans="1:3" ht="14.4">
      <c r="A600" s="2">
        <v>2388</v>
      </c>
      <c r="B600" s="10"/>
      <c r="C600" s="11"/>
    </row>
    <row r="601" spans="1:3" ht="14.4">
      <c r="A601" s="2">
        <v>22066</v>
      </c>
      <c r="B601" s="10"/>
      <c r="C601" s="11"/>
    </row>
    <row r="602" spans="1:3" ht="14.4">
      <c r="A602" s="2">
        <v>14625</v>
      </c>
      <c r="B602" s="10"/>
      <c r="C602" s="11"/>
    </row>
    <row r="603" spans="1:3">
      <c r="A603">
        <v>32265</v>
      </c>
    </row>
    <row r="604" spans="1:3">
      <c r="A604">
        <v>9735</v>
      </c>
    </row>
    <row r="605" spans="1:3">
      <c r="A605">
        <v>43964</v>
      </c>
    </row>
    <row r="606" spans="1:3">
      <c r="A606">
        <v>14625</v>
      </c>
    </row>
    <row r="607" spans="1:3">
      <c r="A607">
        <v>170</v>
      </c>
    </row>
    <row r="608" spans="1:3">
      <c r="A608">
        <v>32265</v>
      </c>
    </row>
    <row r="609" spans="1:1">
      <c r="A609">
        <v>0</v>
      </c>
    </row>
    <row r="610" spans="1:1">
      <c r="A610">
        <v>7573</v>
      </c>
    </row>
    <row r="611" spans="1:1">
      <c r="A611">
        <v>17986</v>
      </c>
    </row>
    <row r="612" spans="1:1">
      <c r="A612">
        <v>1632</v>
      </c>
    </row>
    <row r="613" spans="1:1">
      <c r="A613">
        <v>43964</v>
      </c>
    </row>
    <row r="614" spans="1:1">
      <c r="A614">
        <v>170</v>
      </c>
    </row>
    <row r="615" spans="1:1">
      <c r="A615">
        <v>0</v>
      </c>
    </row>
    <row r="616" spans="1:1">
      <c r="A616">
        <v>17986</v>
      </c>
    </row>
    <row r="617" spans="1:1">
      <c r="A617">
        <v>0</v>
      </c>
    </row>
    <row r="618" spans="1:1">
      <c r="A618">
        <v>22066</v>
      </c>
    </row>
    <row r="619" spans="1:1">
      <c r="A619">
        <v>764</v>
      </c>
    </row>
    <row r="620" spans="1:1">
      <c r="A620">
        <v>269</v>
      </c>
    </row>
    <row r="621" spans="1:1">
      <c r="A621">
        <v>2900</v>
      </c>
    </row>
    <row r="622" spans="1:1">
      <c r="A622">
        <v>1596</v>
      </c>
    </row>
    <row r="623" spans="1:1">
      <c r="A623">
        <v>32265</v>
      </c>
    </row>
    <row r="624" spans="1:1">
      <c r="A624">
        <v>764</v>
      </c>
    </row>
    <row r="625" spans="1:1">
      <c r="A625">
        <v>7573</v>
      </c>
    </row>
    <row r="626" spans="1:1">
      <c r="A626">
        <v>9735</v>
      </c>
    </row>
    <row r="627" spans="1:1">
      <c r="A627">
        <v>0</v>
      </c>
    </row>
    <row r="628" spans="1:1">
      <c r="A628">
        <v>269</v>
      </c>
    </row>
    <row r="629" spans="1:1">
      <c r="A629">
        <v>0</v>
      </c>
    </row>
    <row r="630" spans="1:1">
      <c r="A630">
        <v>269</v>
      </c>
    </row>
    <row r="631" spans="1:1">
      <c r="A631">
        <v>0</v>
      </c>
    </row>
    <row r="632" spans="1:1">
      <c r="A632">
        <v>22066</v>
      </c>
    </row>
    <row r="633" spans="1:1">
      <c r="A633">
        <v>0</v>
      </c>
    </row>
    <row r="634" spans="1:1">
      <c r="A634">
        <v>5840</v>
      </c>
    </row>
    <row r="635" spans="1:1">
      <c r="A635">
        <v>14625</v>
      </c>
    </row>
    <row r="636" spans="1:1">
      <c r="A636">
        <v>0</v>
      </c>
    </row>
    <row r="637" spans="1:1">
      <c r="A637">
        <v>17986</v>
      </c>
    </row>
    <row r="638" spans="1:1">
      <c r="A638">
        <v>9735</v>
      </c>
    </row>
    <row r="639" spans="1:1">
      <c r="A639">
        <v>1632</v>
      </c>
    </row>
    <row r="640" spans="1:1">
      <c r="A640">
        <v>1682</v>
      </c>
    </row>
    <row r="641" spans="1:6">
      <c r="A641">
        <v>2170</v>
      </c>
    </row>
    <row r="642" spans="1:6">
      <c r="A642">
        <v>43964</v>
      </c>
    </row>
    <row r="643" spans="1:6">
      <c r="A643">
        <v>5840</v>
      </c>
    </row>
    <row r="644" spans="1:6">
      <c r="A644">
        <v>0</v>
      </c>
      <c r="C644" s="47" t="s">
        <v>136</v>
      </c>
      <c r="D644" s="47" t="s">
        <v>136</v>
      </c>
      <c r="E644" s="47" t="s">
        <v>136</v>
      </c>
      <c r="F644" s="47"/>
    </row>
    <row r="646" spans="1:6">
      <c r="A646" s="39" t="s">
        <v>112</v>
      </c>
    </row>
    <row r="658" spans="1:20">
      <c r="D658">
        <f>MATCH(A646,Data!E1:BN1,1)</f>
        <v>62</v>
      </c>
    </row>
    <row r="661" spans="1:20">
      <c r="A661">
        <f t="array" ref="A661:B661">COLUMN(Data!E1:BN1)</f>
        <v>5</v>
      </c>
      <c r="B661">
        <v>6</v>
      </c>
    </row>
    <row r="662" spans="1:20">
      <c r="G662" t="str">
        <f t="array" ref="G662">LOOKUP($A$646,Data!E1:BN1,Data!E1:BN1)</f>
        <v>Dec 31</v>
      </c>
      <c r="H662" t="str">
        <f t="array" ref="H662">LOOKUP($A$646,Data!F1:BO1,Data!F1:BO1)</f>
        <v>Dec 31</v>
      </c>
    </row>
    <row r="663" spans="1:20">
      <c r="A663">
        <f>COLUMN()</f>
        <v>1</v>
      </c>
    </row>
    <row r="666" spans="1:20">
      <c r="A666" s="44" t="s">
        <v>332</v>
      </c>
      <c r="B666" t="str">
        <f t="array" ref="B666">INDEX(Data!C2:BO102,0,MATCH(rough!$A$646,Data!F1:BO1,0))</f>
        <v>Units 4</v>
      </c>
      <c r="C666" t="str">
        <f t="array" ref="C666">INDEX(Data!D2:BP102,0,MATCH(rough!$A$646,Data!G1:BP1,0))</f>
        <v>Units 4</v>
      </c>
      <c r="D666" t="str">
        <f t="array" ref="D666">INDEX(Data!E2:BQ102,0,MATCH(rough!$A$646,Data!H1:BQ1,0))</f>
        <v>Units 4</v>
      </c>
      <c r="E666" t="str">
        <f t="array" ref="E666">INDEX(Data!F2:BR102,0,MATCH(rough!$A$646,Data!I1:BR1,0))</f>
        <v>Units 4</v>
      </c>
    </row>
    <row r="667" spans="1:20">
      <c r="A667" s="44"/>
    </row>
    <row r="668" spans="1:20">
      <c r="A668" s="44"/>
    </row>
    <row r="669" spans="1:20">
      <c r="A669" s="44"/>
    </row>
    <row r="670" spans="1:20">
      <c r="A670" s="45" t="s">
        <v>106</v>
      </c>
      <c r="B670" s="44" t="s">
        <v>140</v>
      </c>
      <c r="C670" s="44" t="s">
        <v>141</v>
      </c>
      <c r="D670" t="s">
        <v>0</v>
      </c>
      <c r="E670" t="s">
        <v>1</v>
      </c>
      <c r="P670" t="str" cm="1">
        <f t="array" ref="P670:T670">_xlfn._xlws.FILTER(date_Table10[],date_Table10[GMV]=MAX(date_Table10[GMV]))</f>
        <v>ITEM8265</v>
      </c>
      <c r="Q670" t="str">
        <v>Apple</v>
      </c>
      <c r="R670" t="str">
        <v>Robin</v>
      </c>
      <c r="S670">
        <v>25815</v>
      </c>
      <c r="T670">
        <v>15</v>
      </c>
    </row>
    <row r="671" spans="1:20">
      <c r="A671" s="44" t="str">
        <f t="array" ref="A671">Data!B3:D103</f>
        <v>ITEM1064</v>
      </c>
      <c r="B671" s="44" t="str">
        <f t="array" ref="B671">Data!C3:E103</f>
        <v>Orange</v>
      </c>
      <c r="C671" s="44" t="str">
        <f t="array" ref="C671">Data!D3:F103</f>
        <v>Mandarin</v>
      </c>
      <c r="D671">
        <f t="array" ref="D671">INDEX(Data!A3:BM103,,MATCH(_xlfn.CONCAT("Dec ",Dashboard!$A$43),Data!$A$1:$BN$1,0))</f>
        <v>316</v>
      </c>
      <c r="E671">
        <f t="array" ref="E671">INDEX(Data!B3:BN103,,MATCH(_xlfn.CONCAT("Dec ",Dashboard!$A$43),Data!$A$1:$BN$1,0))</f>
        <v>1</v>
      </c>
    </row>
    <row r="672" spans="1:20">
      <c r="A672" s="44" t="str">
        <f t="array" ref="A672">Data!B4:D104</f>
        <v>ITEM1283</v>
      </c>
      <c r="B672" s="44" t="str">
        <f t="array" ref="B672">Data!C4:E104</f>
        <v>Mango</v>
      </c>
      <c r="C672" s="44" t="str">
        <f t="array" ref="C672">Data!D4:F104</f>
        <v>Green</v>
      </c>
      <c r="D672">
        <f t="array" ref="D672">INDEX(Data!A4:BM104,,MATCH(_xlfn.CONCAT("Dec ",Dashboard!$A$43),Data!$A$1:$BN$1,0))</f>
        <v>7689</v>
      </c>
      <c r="E672">
        <f t="array" ref="E672">INDEX(Data!B4:BN104,,MATCH(_xlfn.CONCAT("Dec ",Dashboard!$A$43),Data!$A$1:$BN$1,0))</f>
        <v>11</v>
      </c>
    </row>
    <row r="673" spans="1:11">
      <c r="A673" s="44" t="str">
        <f t="array" ref="A673">Data!B5:D105</f>
        <v>ITEM1375</v>
      </c>
      <c r="B673" s="44" t="str">
        <f t="array" ref="B673">Data!C5:E105</f>
        <v>Mango</v>
      </c>
      <c r="C673" s="44" t="str">
        <f t="array" ref="C673">Data!D5:F105</f>
        <v>Green</v>
      </c>
      <c r="D673">
        <f t="array" ref="D673">INDEX(Data!A5:BM105,,MATCH(_xlfn.CONCAT("Dec ",Dashboard!$A$43),Data!$A$1:$BN$1,0))</f>
        <v>21245</v>
      </c>
      <c r="E673">
        <f t="array" ref="E673">INDEX(Data!B5:BN105,,MATCH(_xlfn.CONCAT("Dec ",Dashboard!$A$43),Data!$A$1:$BN$1,0))</f>
        <v>43</v>
      </c>
    </row>
    <row r="674" spans="1:11">
      <c r="A674" s="44" t="str">
        <f t="array" ref="A674">Data!B6:D106</f>
        <v>ITEM1406</v>
      </c>
      <c r="B674" s="44" t="str">
        <f t="array" ref="B674">Data!C6:E106</f>
        <v>Orange</v>
      </c>
      <c r="C674" s="44" t="str">
        <f t="array" ref="C674">Data!D6:F106</f>
        <v>Mandarin</v>
      </c>
      <c r="D674">
        <f t="array" ref="D674">INDEX(Data!A6:BM106,,MATCH(_xlfn.CONCAT("Dec ",Dashboard!$A$43),Data!$A$1:$BN$1,0))</f>
        <v>0</v>
      </c>
      <c r="E674">
        <f t="array" ref="E674">INDEX(Data!B6:BN106,,MATCH(_xlfn.CONCAT("Dec ",Dashboard!$A$43),Data!$A$1:$BN$1,0))</f>
        <v>0</v>
      </c>
      <c r="G674" t="str">
        <f t="array" ref="G674:K773">_xlfn._xlws.FILTER(date_Table10[],date_Table10[GMV]=MAX(date_Table10[GMV]))</f>
        <v>ITEM8265</v>
      </c>
      <c r="H674" t="str">
        <v>Apple</v>
      </c>
      <c r="I674" t="str">
        <v>Robin</v>
      </c>
      <c r="J674">
        <v>25815</v>
      </c>
      <c r="K674">
        <v>15</v>
      </c>
    </row>
    <row r="675" spans="1:11">
      <c r="A675" s="44" t="str">
        <f t="array" ref="A675">Data!B7:D107</f>
        <v>ITEM1731</v>
      </c>
      <c r="B675" s="44" t="str">
        <f t="array" ref="B675">Data!C7:E107</f>
        <v>Orange</v>
      </c>
      <c r="C675" s="44" t="str">
        <f t="array" ref="C675">Data!D7:F107</f>
        <v>Indie</v>
      </c>
      <c r="D675">
        <f t="array" ref="D675">INDEX(Data!A7:BM107,,MATCH(_xlfn.CONCAT("Dec ",Dashboard!$A$43),Data!$A$1:$BN$1,0))</f>
        <v>0</v>
      </c>
      <c r="E675">
        <f t="array" ref="E675">INDEX(Data!B7:BN107,,MATCH(_xlfn.CONCAT("Dec ",Dashboard!$A$43),Data!$A$1:$BN$1,0))</f>
        <v>0</v>
      </c>
      <c r="G675" t="str">
        <v>ITEM8265</v>
      </c>
      <c r="H675" t="str">
        <v>Apple</v>
      </c>
      <c r="I675" t="str">
        <v>Robin</v>
      </c>
      <c r="J675">
        <v>25815</v>
      </c>
      <c r="K675">
        <v>15</v>
      </c>
    </row>
    <row r="676" spans="1:11">
      <c r="A676" s="44" t="str">
        <f t="array" ref="A676">Data!B8:D108</f>
        <v>ITEM1785</v>
      </c>
      <c r="B676" s="44" t="str">
        <f t="array" ref="B676">Data!C8:E108</f>
        <v>Apple</v>
      </c>
      <c r="C676" s="44" t="str">
        <f t="array" ref="C676">Data!D8:F108</f>
        <v>Golden</v>
      </c>
      <c r="D676">
        <f t="array" ref="D676">INDEX(Data!A8:BM108,,MATCH(_xlfn.CONCAT("Dec ",Dashboard!$A$43),Data!$A$1:$BN$1,0))</f>
        <v>3406</v>
      </c>
      <c r="E676">
        <f t="array" ref="E676">INDEX(Data!B8:BN108,,MATCH(_xlfn.CONCAT("Dec ",Dashboard!$A$43),Data!$A$1:$BN$1,0))</f>
        <v>12</v>
      </c>
      <c r="G676" t="str">
        <v>ITEM8265</v>
      </c>
      <c r="H676" t="str">
        <v>Apple</v>
      </c>
      <c r="I676" t="str">
        <v>Robin</v>
      </c>
      <c r="J676">
        <v>25815</v>
      </c>
      <c r="K676">
        <v>15</v>
      </c>
    </row>
    <row r="677" spans="1:11">
      <c r="A677" s="44" t="str">
        <f t="array" ref="A677">Data!B9:D109</f>
        <v>ITEM1791</v>
      </c>
      <c r="B677" s="44" t="str">
        <f t="array" ref="B677">Data!C9:E109</f>
        <v>Apple</v>
      </c>
      <c r="C677" s="44" t="str">
        <f t="array" ref="C677">Data!D9:F109</f>
        <v>Red</v>
      </c>
      <c r="D677">
        <f t="array" ref="D677">INDEX(Data!A9:BM109,,MATCH(_xlfn.CONCAT("Dec ",Dashboard!$A$43),Data!$A$1:$BN$1,0))</f>
        <v>18804</v>
      </c>
      <c r="E677">
        <f t="array" ref="E677">INDEX(Data!B9:BN109,,MATCH(_xlfn.CONCAT("Dec ",Dashboard!$A$43),Data!$A$1:$BN$1,0))</f>
        <v>45</v>
      </c>
      <c r="G677" t="str">
        <v>ITEM8265</v>
      </c>
      <c r="H677" t="str">
        <v>Apple</v>
      </c>
      <c r="I677" t="str">
        <v>Robin</v>
      </c>
      <c r="J677">
        <v>25815</v>
      </c>
      <c r="K677">
        <v>15</v>
      </c>
    </row>
    <row r="678" spans="1:11">
      <c r="A678" s="44" t="str">
        <f t="array" ref="A678">Data!B10:D110</f>
        <v>ITEM1813</v>
      </c>
      <c r="B678" s="44" t="str">
        <f t="array" ref="B678">Data!C10:E110</f>
        <v>Orange</v>
      </c>
      <c r="C678" s="44" t="str">
        <f t="array" ref="C678">Data!D10:F110</f>
        <v>Indie</v>
      </c>
      <c r="D678">
        <f t="array" ref="D678">INDEX(Data!A10:BM110,,MATCH(_xlfn.CONCAT("Dec ",Dashboard!$A$43),Data!$A$1:$BN$1,0))</f>
        <v>0</v>
      </c>
      <c r="E678">
        <f t="array" ref="E678">INDEX(Data!B10:BN110,,MATCH(_xlfn.CONCAT("Dec ",Dashboard!$A$43),Data!$A$1:$BN$1,0))</f>
        <v>0</v>
      </c>
      <c r="G678" t="str">
        <v>ITEM8265</v>
      </c>
      <c r="H678" t="str">
        <v>Apple</v>
      </c>
      <c r="I678" t="str">
        <v>Robin</v>
      </c>
      <c r="J678">
        <v>25815</v>
      </c>
      <c r="K678">
        <v>15</v>
      </c>
    </row>
    <row r="679" spans="1:11">
      <c r="A679" s="44" t="str">
        <f t="array" ref="A679">Data!B11:D111</f>
        <v>ITEM1945</v>
      </c>
      <c r="B679" s="44" t="str">
        <f t="array" ref="B679">Data!C11:E111</f>
        <v>Lemon</v>
      </c>
      <c r="C679" s="44" t="str">
        <f t="array" ref="C679">Data!D11:F111</f>
        <v>Lisbon</v>
      </c>
      <c r="D679">
        <f t="array" ref="D679">INDEX(Data!A11:BM111,,MATCH(_xlfn.CONCAT("Dec ",Dashboard!$A$43),Data!$A$1:$BN$1,0))</f>
        <v>0</v>
      </c>
      <c r="E679">
        <f t="array" ref="E679">INDEX(Data!B11:BN111,,MATCH(_xlfn.CONCAT("Dec ",Dashboard!$A$43),Data!$A$1:$BN$1,0))</f>
        <v>0</v>
      </c>
      <c r="G679" t="str">
        <v>ITEM8265</v>
      </c>
      <c r="H679" t="str">
        <v>Apple</v>
      </c>
      <c r="I679" t="str">
        <v>Robin</v>
      </c>
      <c r="J679">
        <v>25815</v>
      </c>
      <c r="K679">
        <v>15</v>
      </c>
    </row>
    <row r="680" spans="1:11">
      <c r="A680" s="44" t="str">
        <f t="array" ref="A680">Data!B12:D112</f>
        <v>ITEM1965</v>
      </c>
      <c r="B680" s="44" t="str">
        <f t="array" ref="B680">Data!C12:E112</f>
        <v>Mango</v>
      </c>
      <c r="C680" s="44" t="str">
        <f t="array" ref="C680">Data!D12:F112</f>
        <v>Green</v>
      </c>
      <c r="D680">
        <f t="array" ref="D680">INDEX(Data!A12:BM112,,MATCH(_xlfn.CONCAT("Dec ",Dashboard!$A$43),Data!$A$1:$BN$1,0))</f>
        <v>15358</v>
      </c>
      <c r="E680">
        <f t="array" ref="E680">INDEX(Data!B12:BN112,,MATCH(_xlfn.CONCAT("Dec ",Dashboard!$A$43),Data!$A$1:$BN$1,0))</f>
        <v>18</v>
      </c>
      <c r="G680" t="str">
        <v>ITEM8265</v>
      </c>
      <c r="H680" t="str">
        <v>Apple</v>
      </c>
      <c r="I680" t="str">
        <v>Robin</v>
      </c>
      <c r="J680">
        <v>25815</v>
      </c>
      <c r="K680">
        <v>15</v>
      </c>
    </row>
    <row r="681" spans="1:11">
      <c r="A681" s="44" t="str">
        <f t="array" ref="A681">Data!B13:D113</f>
        <v>ITEM2083</v>
      </c>
      <c r="B681" s="44" t="str">
        <f t="array" ref="B681">Data!C13:E113</f>
        <v>Lemon</v>
      </c>
      <c r="C681" s="44" t="str">
        <f t="array" ref="C681">Data!D13:F113</f>
        <v>Nimbu</v>
      </c>
      <c r="D681">
        <f t="array" ref="D681">INDEX(Data!A13:BM113,,MATCH(_xlfn.CONCAT("Dec ",Dashboard!$A$43),Data!$A$1:$BN$1,0))</f>
        <v>8394</v>
      </c>
      <c r="E681">
        <f t="array" ref="E681">INDEX(Data!B13:BN113,,MATCH(_xlfn.CONCAT("Dec ",Dashboard!$A$43),Data!$A$1:$BN$1,0))</f>
        <v>16</v>
      </c>
      <c r="G681" t="str">
        <v>ITEM8265</v>
      </c>
      <c r="H681" t="str">
        <v>Apple</v>
      </c>
      <c r="I681" t="str">
        <v>Robin</v>
      </c>
      <c r="J681">
        <v>25815</v>
      </c>
      <c r="K681">
        <v>15</v>
      </c>
    </row>
    <row r="682" spans="1:11">
      <c r="A682" s="44" t="str">
        <f t="array" ref="A682">Data!B14:D114</f>
        <v>ITEM2248</v>
      </c>
      <c r="B682" s="44" t="str">
        <f t="array" ref="B682">Data!C14:E114</f>
        <v>Apple</v>
      </c>
      <c r="C682" s="44" t="str">
        <f t="array" ref="C682">Data!D14:F114</f>
        <v>Red</v>
      </c>
      <c r="D682">
        <f t="array" ref="D682">INDEX(Data!A14:BM114,,MATCH(_xlfn.CONCAT("Dec ",Dashboard!$A$43),Data!$A$1:$BN$1,0))</f>
        <v>18804</v>
      </c>
      <c r="E682">
        <f t="array" ref="E682">INDEX(Data!B14:BN114,,MATCH(_xlfn.CONCAT("Dec ",Dashboard!$A$43),Data!$A$1:$BN$1,0))</f>
        <v>45</v>
      </c>
      <c r="G682" t="str">
        <v>ITEM8265</v>
      </c>
      <c r="H682" t="str">
        <v>Apple</v>
      </c>
      <c r="I682" t="str">
        <v>Robin</v>
      </c>
      <c r="J682">
        <v>25815</v>
      </c>
      <c r="K682">
        <v>15</v>
      </c>
    </row>
    <row r="683" spans="1:11">
      <c r="A683" s="44" t="str">
        <f t="array" ref="A683">Data!B15:D115</f>
        <v>ITEM2260</v>
      </c>
      <c r="B683" s="44" t="str">
        <f t="array" ref="B683">Data!C15:E115</f>
        <v>Lemon</v>
      </c>
      <c r="C683" s="44" t="str">
        <f t="array" ref="C683">Data!D15:F115</f>
        <v>Nimbu</v>
      </c>
      <c r="D683">
        <f t="array" ref="D683">INDEX(Data!A15:BM115,,MATCH(_xlfn.CONCAT("Dec ",Dashboard!$A$43),Data!$A$1:$BN$1,0))</f>
        <v>0</v>
      </c>
      <c r="E683">
        <f t="array" ref="E683">INDEX(Data!B15:BN115,,MATCH(_xlfn.CONCAT("Dec ",Dashboard!$A$43),Data!$A$1:$BN$1,0))</f>
        <v>0</v>
      </c>
      <c r="G683" t="str">
        <v>ITEM8265</v>
      </c>
      <c r="H683" t="str">
        <v>Apple</v>
      </c>
      <c r="I683" t="str">
        <v>Robin</v>
      </c>
      <c r="J683">
        <v>25815</v>
      </c>
      <c r="K683">
        <v>15</v>
      </c>
    </row>
    <row r="684" spans="1:11">
      <c r="A684" s="44" t="str">
        <f t="array" ref="A684">Data!B16:D116</f>
        <v>ITEM2329</v>
      </c>
      <c r="B684" s="44" t="str">
        <f t="array" ref="B684">Data!C16:E116</f>
        <v>Mango</v>
      </c>
      <c r="C684" s="44" t="str">
        <f t="array" ref="C684">Data!D16:F116</f>
        <v>Amrapalli</v>
      </c>
      <c r="D684">
        <f t="array" ref="D684">INDEX(Data!A16:BM116,,MATCH(_xlfn.CONCAT("Dec ",Dashboard!$A$43),Data!$A$1:$BN$1,0))</f>
        <v>2394</v>
      </c>
      <c r="E684">
        <f t="array" ref="E684">INDEX(Data!B16:BN116,,MATCH(_xlfn.CONCAT("Dec ",Dashboard!$A$43),Data!$A$1:$BN$1,0))</f>
        <v>6</v>
      </c>
      <c r="G684" t="str">
        <v>ITEM8265</v>
      </c>
      <c r="H684" t="str">
        <v>Apple</v>
      </c>
      <c r="I684" t="str">
        <v>Robin</v>
      </c>
      <c r="J684">
        <v>25815</v>
      </c>
      <c r="K684">
        <v>15</v>
      </c>
    </row>
    <row r="685" spans="1:11">
      <c r="A685" s="44" t="str">
        <f t="array" ref="A685">Data!B17:D117</f>
        <v>ITEM2360</v>
      </c>
      <c r="B685" s="44" t="str">
        <f t="array" ref="B685">Data!C17:E117</f>
        <v>Apple</v>
      </c>
      <c r="C685" s="44" t="str">
        <f t="array" ref="C685">Data!D17:F117</f>
        <v>Golden</v>
      </c>
      <c r="D685">
        <f t="array" ref="D685">INDEX(Data!A17:BM117,,MATCH(_xlfn.CONCAT("Dec ",Dashboard!$A$43),Data!$A$1:$BN$1,0))</f>
        <v>0</v>
      </c>
      <c r="E685">
        <f t="array" ref="E685">INDEX(Data!B17:BN117,,MATCH(_xlfn.CONCAT("Dec ",Dashboard!$A$43),Data!$A$1:$BN$1,0))</f>
        <v>0</v>
      </c>
      <c r="G685" t="str">
        <v>ITEM8265</v>
      </c>
      <c r="H685" t="str">
        <v>Apple</v>
      </c>
      <c r="I685" t="str">
        <v>Robin</v>
      </c>
      <c r="J685">
        <v>25815</v>
      </c>
      <c r="K685">
        <v>15</v>
      </c>
    </row>
    <row r="686" spans="1:11">
      <c r="A686" s="44" t="str">
        <f t="array" ref="A686">Data!B18:D118</f>
        <v>ITEM2513</v>
      </c>
      <c r="B686" s="44" t="str">
        <f t="array" ref="B686">Data!C18:E118</f>
        <v>Apple</v>
      </c>
      <c r="C686" s="44" t="str">
        <f t="array" ref="C686">Data!D18:F118</f>
        <v>Robin</v>
      </c>
      <c r="D686">
        <f t="array" ref="D686">INDEX(Data!A18:BM118,,MATCH(_xlfn.CONCAT("Dec ",Dashboard!$A$43),Data!$A$1:$BN$1,0))</f>
        <v>15358</v>
      </c>
      <c r="E686">
        <f t="array" ref="E686">INDEX(Data!B18:BN118,,MATCH(_xlfn.CONCAT("Dec ",Dashboard!$A$43),Data!$A$1:$BN$1,0))</f>
        <v>18</v>
      </c>
      <c r="G686" t="str">
        <v>ITEM8265</v>
      </c>
      <c r="H686" t="str">
        <v>Apple</v>
      </c>
      <c r="I686" t="str">
        <v>Robin</v>
      </c>
      <c r="J686">
        <v>25815</v>
      </c>
      <c r="K686">
        <v>15</v>
      </c>
    </row>
    <row r="687" spans="1:11">
      <c r="A687" s="44" t="str">
        <f t="array" ref="A687">Data!B19:D119</f>
        <v>ITEM2624</v>
      </c>
      <c r="B687" s="44" t="str">
        <f t="array" ref="B687">Data!C19:E119</f>
        <v>Lemon</v>
      </c>
      <c r="C687" s="44" t="str">
        <f t="array" ref="C687">Data!D19:F119</f>
        <v>Nimbu</v>
      </c>
      <c r="D687">
        <f t="array" ref="D687">INDEX(Data!A19:BM119,,MATCH(_xlfn.CONCAT("Dec ",Dashboard!$A$43),Data!$A$1:$BN$1,0))</f>
        <v>0</v>
      </c>
      <c r="E687">
        <f t="array" ref="E687">INDEX(Data!B19:BN119,,MATCH(_xlfn.CONCAT("Dec ",Dashboard!$A$43),Data!$A$1:$BN$1,0))</f>
        <v>0</v>
      </c>
      <c r="G687" t="str">
        <v>ITEM8265</v>
      </c>
      <c r="H687" t="str">
        <v>Apple</v>
      </c>
      <c r="I687" t="str">
        <v>Robin</v>
      </c>
      <c r="J687">
        <v>25815</v>
      </c>
      <c r="K687">
        <v>15</v>
      </c>
    </row>
    <row r="688" spans="1:11">
      <c r="A688" s="44" t="str">
        <f t="array" ref="A688">Data!B20:D120</f>
        <v>ITEM2852</v>
      </c>
      <c r="B688" s="44" t="str">
        <f t="array" ref="B688">Data!C20:E120</f>
        <v>Lemon</v>
      </c>
      <c r="C688" s="44" t="str">
        <f t="array" ref="C688">Data!D20:F120</f>
        <v>Oblong</v>
      </c>
      <c r="D688">
        <f t="array" ref="D688">INDEX(Data!A20:BM120,,MATCH(_xlfn.CONCAT("Dec ",Dashboard!$A$43),Data!$A$1:$BN$1,0))</f>
        <v>3620</v>
      </c>
      <c r="E688">
        <f t="array" ref="E688">INDEX(Data!B20:BN120,,MATCH(_xlfn.CONCAT("Dec ",Dashboard!$A$43),Data!$A$1:$BN$1,0))</f>
        <v>12</v>
      </c>
      <c r="G688" t="str">
        <v>ITEM8265</v>
      </c>
      <c r="H688" t="str">
        <v>Apple</v>
      </c>
      <c r="I688" t="str">
        <v>Robin</v>
      </c>
      <c r="J688">
        <v>25815</v>
      </c>
      <c r="K688">
        <v>15</v>
      </c>
    </row>
    <row r="689" spans="1:11">
      <c r="A689" s="44" t="str">
        <f t="array" ref="A689">Data!B21:D121</f>
        <v>ITEM2978</v>
      </c>
      <c r="B689" s="44" t="str">
        <f t="array" ref="B689">Data!C21:E121</f>
        <v>Apple</v>
      </c>
      <c r="C689" s="44" t="str">
        <f t="array" ref="C689">Data!D21:F121</f>
        <v>Robin</v>
      </c>
      <c r="D689">
        <f t="array" ref="D689">INDEX(Data!A21:BM121,,MATCH(_xlfn.CONCAT("Dec ",Dashboard!$A$43),Data!$A$1:$BN$1,0))</f>
        <v>0</v>
      </c>
      <c r="E689">
        <f t="array" ref="E689">INDEX(Data!B21:BN121,,MATCH(_xlfn.CONCAT("Dec ",Dashboard!$A$43),Data!$A$1:$BN$1,0))</f>
        <v>0</v>
      </c>
      <c r="G689" t="str">
        <v>ITEM8265</v>
      </c>
      <c r="H689" t="str">
        <v>Apple</v>
      </c>
      <c r="I689" t="str">
        <v>Robin</v>
      </c>
      <c r="J689">
        <v>25815</v>
      </c>
      <c r="K689">
        <v>15</v>
      </c>
    </row>
    <row r="690" spans="1:11">
      <c r="A690" s="44" t="str">
        <f t="array" ref="A690">Data!B22:D122</f>
        <v>ITEM3032</v>
      </c>
      <c r="B690" s="44" t="str">
        <f t="array" ref="B690">Data!C22:E122</f>
        <v>Apple</v>
      </c>
      <c r="C690" s="44" t="str">
        <f t="array" ref="C690">Data!D22:F122</f>
        <v>Red</v>
      </c>
      <c r="D690">
        <f t="array" ref="D690">INDEX(Data!A22:BM122,,MATCH(_xlfn.CONCAT("Dec ",Dashboard!$A$43),Data!$A$1:$BN$1,0))</f>
        <v>21245</v>
      </c>
      <c r="E690">
        <f t="array" ref="E690">INDEX(Data!B22:BN122,,MATCH(_xlfn.CONCAT("Dec ",Dashboard!$A$43),Data!$A$1:$BN$1,0))</f>
        <v>43</v>
      </c>
      <c r="G690" t="str">
        <v>ITEM8265</v>
      </c>
      <c r="H690" t="str">
        <v>Apple</v>
      </c>
      <c r="I690" t="str">
        <v>Robin</v>
      </c>
      <c r="J690">
        <v>25815</v>
      </c>
      <c r="K690">
        <v>15</v>
      </c>
    </row>
    <row r="691" spans="1:11">
      <c r="A691" s="44" t="str">
        <f t="array" ref="A691">Data!B23:D123</f>
        <v>ITEM3062</v>
      </c>
      <c r="B691" s="44" t="str">
        <f t="array" ref="B691">Data!C23:E123</f>
        <v>Mango</v>
      </c>
      <c r="C691" s="44" t="str">
        <f t="array" ref="C691">Data!D23:F123</f>
        <v>Green</v>
      </c>
      <c r="D691">
        <f t="array" ref="D691">INDEX(Data!A23:BM123,,MATCH(_xlfn.CONCAT("Dec ",Dashboard!$A$43),Data!$A$1:$BN$1,0))</f>
        <v>10840</v>
      </c>
      <c r="E691">
        <f t="array" ref="E691">INDEX(Data!B23:BN123,,MATCH(_xlfn.CONCAT("Dec ",Dashboard!$A$43),Data!$A$1:$BN$1,0))</f>
        <v>19</v>
      </c>
      <c r="G691" t="str">
        <v>ITEM8265</v>
      </c>
      <c r="H691" t="str">
        <v>Apple</v>
      </c>
      <c r="I691" t="str">
        <v>Robin</v>
      </c>
      <c r="J691">
        <v>25815</v>
      </c>
      <c r="K691">
        <v>15</v>
      </c>
    </row>
    <row r="692" spans="1:11">
      <c r="A692" s="44" t="str">
        <f t="array" ref="A692">Data!B24:D124</f>
        <v>ITEM3252</v>
      </c>
      <c r="B692" s="44" t="str">
        <f t="array" ref="B692">Data!C24:E124</f>
        <v>Orange</v>
      </c>
      <c r="C692" s="44" t="str">
        <f t="array" ref="C692">Data!D24:F124</f>
        <v>Tangerine</v>
      </c>
      <c r="D692">
        <f t="array" ref="D692">INDEX(Data!A24:BM124,,MATCH(_xlfn.CONCAT("Dec ",Dashboard!$A$43),Data!$A$1:$BN$1,0))</f>
        <v>21245</v>
      </c>
      <c r="E692">
        <f t="array" ref="E692">INDEX(Data!B24:BN124,,MATCH(_xlfn.CONCAT("Dec ",Dashboard!$A$43),Data!$A$1:$BN$1,0))</f>
        <v>43</v>
      </c>
      <c r="G692" t="str">
        <v>ITEM8265</v>
      </c>
      <c r="H692" t="str">
        <v>Apple</v>
      </c>
      <c r="I692" t="str">
        <v>Robin</v>
      </c>
      <c r="J692">
        <v>25815</v>
      </c>
      <c r="K692">
        <v>15</v>
      </c>
    </row>
    <row r="693" spans="1:11">
      <c r="A693" s="44" t="str">
        <f t="array" ref="A693">Data!B25:D125</f>
        <v>ITEM3301</v>
      </c>
      <c r="B693" s="44" t="str">
        <f t="array" ref="B693">Data!C25:E125</f>
        <v>Orange</v>
      </c>
      <c r="C693" s="44" t="str">
        <f t="array" ref="C693">Data!D25:F125</f>
        <v>Tangerine</v>
      </c>
      <c r="D693">
        <f t="array" ref="D693">INDEX(Data!A25:BM125,,MATCH(_xlfn.CONCAT("Dec ",Dashboard!$A$43),Data!$A$1:$BN$1,0))</f>
        <v>2037</v>
      </c>
      <c r="E693">
        <f t="array" ref="E693">INDEX(Data!B25:BN125,,MATCH(_xlfn.CONCAT("Dec ",Dashboard!$A$43),Data!$A$1:$BN$1,0))</f>
        <v>3</v>
      </c>
      <c r="G693" t="str">
        <v>ITEM8265</v>
      </c>
      <c r="H693" t="str">
        <v>Apple</v>
      </c>
      <c r="I693" t="str">
        <v>Robin</v>
      </c>
      <c r="J693">
        <v>25815</v>
      </c>
      <c r="K693">
        <v>15</v>
      </c>
    </row>
    <row r="694" spans="1:11">
      <c r="A694" s="44" t="str">
        <f t="array" ref="A694">Data!B26:D126</f>
        <v>ITEM3306</v>
      </c>
      <c r="B694" s="44" t="str">
        <f t="array" ref="B694">Data!C26:E126</f>
        <v>Lemon</v>
      </c>
      <c r="C694" s="44" t="str">
        <f t="array" ref="C694">Data!D26:F126</f>
        <v>Oblong</v>
      </c>
      <c r="D694">
        <f t="array" ref="D694">INDEX(Data!A26:BM126,,MATCH(_xlfn.CONCAT("Dec ",Dashboard!$A$43),Data!$A$1:$BN$1,0))</f>
        <v>316</v>
      </c>
      <c r="E694">
        <f t="array" ref="E694">INDEX(Data!B26:BN126,,MATCH(_xlfn.CONCAT("Dec ",Dashboard!$A$43),Data!$A$1:$BN$1,0))</f>
        <v>1</v>
      </c>
      <c r="G694" t="str">
        <v>ITEM8265</v>
      </c>
      <c r="H694" t="str">
        <v>Apple</v>
      </c>
      <c r="I694" t="str">
        <v>Robin</v>
      </c>
      <c r="J694">
        <v>25815</v>
      </c>
      <c r="K694">
        <v>15</v>
      </c>
    </row>
    <row r="695" spans="1:11">
      <c r="A695" s="44" t="str">
        <f t="array" ref="A695">Data!B27:D127</f>
        <v>ITEM3313</v>
      </c>
      <c r="B695" s="44" t="str">
        <f t="array" ref="B695">Data!C27:E127</f>
        <v>Apple</v>
      </c>
      <c r="C695" s="44" t="str">
        <f t="array" ref="C695">Data!D27:F127</f>
        <v>Golden</v>
      </c>
      <c r="D695">
        <f t="array" ref="D695">INDEX(Data!A27:BM127,,MATCH(_xlfn.CONCAT("Dec ",Dashboard!$A$43),Data!$A$1:$BN$1,0))</f>
        <v>4221</v>
      </c>
      <c r="E695">
        <f t="array" ref="E695">INDEX(Data!B27:BN127,,MATCH(_xlfn.CONCAT("Dec ",Dashboard!$A$43),Data!$A$1:$BN$1,0))</f>
        <v>5</v>
      </c>
      <c r="G695" t="str">
        <v>ITEM8265</v>
      </c>
      <c r="H695" t="str">
        <v>Apple</v>
      </c>
      <c r="I695" t="str">
        <v>Robin</v>
      </c>
      <c r="J695">
        <v>25815</v>
      </c>
      <c r="K695">
        <v>15</v>
      </c>
    </row>
    <row r="696" spans="1:11">
      <c r="A696" s="44" t="str">
        <f t="array" ref="A696">Data!B28:D128</f>
        <v>ITEM3405</v>
      </c>
      <c r="B696" s="44" t="str">
        <f t="array" ref="B696">Data!C28:E128</f>
        <v>Lemon</v>
      </c>
      <c r="C696" s="44" t="str">
        <f t="array" ref="C696">Data!D28:F128</f>
        <v>Nimbu</v>
      </c>
      <c r="D696">
        <f t="array" ref="D696">INDEX(Data!A28:BM128,,MATCH(_xlfn.CONCAT("Dec ",Dashboard!$A$43),Data!$A$1:$BN$1,0))</f>
        <v>7689</v>
      </c>
      <c r="E696">
        <f t="array" ref="E696">INDEX(Data!B28:BN128,,MATCH(_xlfn.CONCAT("Dec ",Dashboard!$A$43),Data!$A$1:$BN$1,0))</f>
        <v>11</v>
      </c>
      <c r="G696" t="str">
        <v>ITEM8265</v>
      </c>
      <c r="H696" t="str">
        <v>Apple</v>
      </c>
      <c r="I696" t="str">
        <v>Robin</v>
      </c>
      <c r="J696">
        <v>25815</v>
      </c>
      <c r="K696">
        <v>15</v>
      </c>
    </row>
    <row r="697" spans="1:11">
      <c r="A697" s="44" t="str">
        <f t="array" ref="A697">Data!B29:D129</f>
        <v>ITEM3567</v>
      </c>
      <c r="B697" s="44" t="str">
        <f t="array" ref="B697">Data!C29:E129</f>
        <v>Orange</v>
      </c>
      <c r="C697" s="44" t="str">
        <f t="array" ref="C697">Data!D29:F129</f>
        <v>Tangerine</v>
      </c>
      <c r="D697">
        <f t="array" ref="D697">INDEX(Data!A29:BM129,,MATCH(_xlfn.CONCAT("Dec ",Dashboard!$A$43),Data!$A$1:$BN$1,0))</f>
        <v>0</v>
      </c>
      <c r="E697">
        <f t="array" ref="E697">INDEX(Data!B29:BN129,,MATCH(_xlfn.CONCAT("Dec ",Dashboard!$A$43),Data!$A$1:$BN$1,0))</f>
        <v>0</v>
      </c>
      <c r="G697" t="str">
        <v>ITEM8265</v>
      </c>
      <c r="H697" t="str">
        <v>Apple</v>
      </c>
      <c r="I697" t="str">
        <v>Robin</v>
      </c>
      <c r="J697">
        <v>25815</v>
      </c>
      <c r="K697">
        <v>15</v>
      </c>
    </row>
    <row r="698" spans="1:11">
      <c r="A698" s="44" t="str">
        <f t="array" ref="A698">Data!B30:D130</f>
        <v>ITEM3632</v>
      </c>
      <c r="B698" s="44" t="str">
        <f t="array" ref="B698">Data!C30:E130</f>
        <v>Lemon</v>
      </c>
      <c r="C698" s="44" t="str">
        <f t="array" ref="C698">Data!D30:F130</f>
        <v>Lisbon</v>
      </c>
      <c r="D698">
        <f t="array" ref="D698">INDEX(Data!A30:BM130,,MATCH(_xlfn.CONCAT("Dec ",Dashboard!$A$43),Data!$A$1:$BN$1,0))</f>
        <v>316</v>
      </c>
      <c r="E698">
        <f t="array" ref="E698">INDEX(Data!B30:BN130,,MATCH(_xlfn.CONCAT("Dec ",Dashboard!$A$43),Data!$A$1:$BN$1,0))</f>
        <v>1</v>
      </c>
      <c r="G698" t="str">
        <v>ITEM8265</v>
      </c>
      <c r="H698" t="str">
        <v>Apple</v>
      </c>
      <c r="I698" t="str">
        <v>Robin</v>
      </c>
      <c r="J698">
        <v>25815</v>
      </c>
      <c r="K698">
        <v>15</v>
      </c>
    </row>
    <row r="699" spans="1:11">
      <c r="A699" s="44" t="str">
        <f t="array" ref="A699">Data!B31:D131</f>
        <v>ITEM3659</v>
      </c>
      <c r="B699" s="44" t="str">
        <f t="array" ref="B699">Data!C31:E131</f>
        <v>Mango</v>
      </c>
      <c r="C699" s="44" t="str">
        <f t="array" ref="C699">Data!D31:F131</f>
        <v>Amrapalli</v>
      </c>
      <c r="D699">
        <f t="array" ref="D699">INDEX(Data!A31:BM131,,MATCH(_xlfn.CONCAT("Dec ",Dashboard!$A$43),Data!$A$1:$BN$1,0))</f>
        <v>18804</v>
      </c>
      <c r="E699">
        <f t="array" ref="E699">INDEX(Data!B31:BN131,,MATCH(_xlfn.CONCAT("Dec ",Dashboard!$A$43),Data!$A$1:$BN$1,0))</f>
        <v>45</v>
      </c>
      <c r="G699" t="str">
        <v>ITEM8265</v>
      </c>
      <c r="H699" t="str">
        <v>Apple</v>
      </c>
      <c r="I699" t="str">
        <v>Robin</v>
      </c>
      <c r="J699">
        <v>25815</v>
      </c>
      <c r="K699">
        <v>15</v>
      </c>
    </row>
    <row r="700" spans="1:11">
      <c r="A700" s="44" t="str">
        <f t="array" ref="A700">Data!B32:D132</f>
        <v>ITEM3731</v>
      </c>
      <c r="B700" s="44" t="str">
        <f t="array" ref="B700">Data!C32:E132</f>
        <v>Apple</v>
      </c>
      <c r="C700" s="44" t="str">
        <f t="array" ref="C700">Data!D32:F132</f>
        <v>Golden</v>
      </c>
      <c r="D700">
        <f t="array" ref="D700">INDEX(Data!A32:BM132,,MATCH(_xlfn.CONCAT("Dec ",Dashboard!$A$43),Data!$A$1:$BN$1,0))</f>
        <v>8394</v>
      </c>
      <c r="E700">
        <f t="array" ref="E700">INDEX(Data!B32:BN132,,MATCH(_xlfn.CONCAT("Dec ",Dashboard!$A$43),Data!$A$1:$BN$1,0))</f>
        <v>16</v>
      </c>
      <c r="G700" t="str">
        <v>ITEM8265</v>
      </c>
      <c r="H700" t="str">
        <v>Apple</v>
      </c>
      <c r="I700" t="str">
        <v>Robin</v>
      </c>
      <c r="J700">
        <v>25815</v>
      </c>
      <c r="K700">
        <v>15</v>
      </c>
    </row>
    <row r="701" spans="1:11">
      <c r="A701" s="44" t="str">
        <f t="array" ref="A701">Data!B33:D133</f>
        <v>ITEM4188</v>
      </c>
      <c r="B701" s="44" t="str">
        <f t="array" ref="B701">Data!C33:E133</f>
        <v>Apple</v>
      </c>
      <c r="C701" s="44" t="str">
        <f t="array" ref="C701">Data!D33:F133</f>
        <v>Robin</v>
      </c>
      <c r="D701">
        <f t="array" ref="D701">INDEX(Data!A33:BM133,,MATCH(_xlfn.CONCAT("Dec ",Dashboard!$A$43),Data!$A$1:$BN$1,0))</f>
        <v>15930</v>
      </c>
      <c r="E701">
        <f t="array" ref="E701">INDEX(Data!B33:BN133,,MATCH(_xlfn.CONCAT("Dec ",Dashboard!$A$43),Data!$A$1:$BN$1,0))</f>
        <v>118</v>
      </c>
      <c r="G701" t="str">
        <v>ITEM8265</v>
      </c>
      <c r="H701" t="str">
        <v>Apple</v>
      </c>
      <c r="I701" t="str">
        <v>Robin</v>
      </c>
      <c r="J701">
        <v>25815</v>
      </c>
      <c r="K701">
        <v>15</v>
      </c>
    </row>
    <row r="702" spans="1:11">
      <c r="A702" s="44" t="str">
        <f t="array" ref="A702">Data!B34:D134</f>
        <v>ITEM4459</v>
      </c>
      <c r="B702" s="44" t="str">
        <f t="array" ref="B702">Data!C34:E134</f>
        <v>Mango</v>
      </c>
      <c r="C702" s="44" t="str">
        <f t="array" ref="C702">Data!D34:F134</f>
        <v>Green</v>
      </c>
      <c r="D702">
        <f t="array" ref="D702">INDEX(Data!A34:BM134,,MATCH(_xlfn.CONCAT("Dec ",Dashboard!$A$43),Data!$A$1:$BN$1,0))</f>
        <v>18804</v>
      </c>
      <c r="E702">
        <f t="array" ref="E702">INDEX(Data!B34:BN134,,MATCH(_xlfn.CONCAT("Dec ",Dashboard!$A$43),Data!$A$1:$BN$1,0))</f>
        <v>45</v>
      </c>
      <c r="G702" t="str">
        <v>ITEM8265</v>
      </c>
      <c r="H702" t="str">
        <v>Apple</v>
      </c>
      <c r="I702" t="str">
        <v>Robin</v>
      </c>
      <c r="J702">
        <v>25815</v>
      </c>
      <c r="K702">
        <v>15</v>
      </c>
    </row>
    <row r="703" spans="1:11">
      <c r="A703" s="44" t="str">
        <f t="array" ref="A703">Data!B35:D135</f>
        <v>ITEM4609</v>
      </c>
      <c r="B703" s="44" t="str">
        <f t="array" ref="B703">Data!C35:E135</f>
        <v>Mango</v>
      </c>
      <c r="C703" s="44" t="str">
        <f t="array" ref="C703">Data!D35:F135</f>
        <v>Amrapalli</v>
      </c>
      <c r="D703">
        <f t="array" ref="D703">INDEX(Data!A35:BM135,,MATCH(_xlfn.CONCAT("Dec ",Dashboard!$A$43),Data!$A$1:$BN$1,0))</f>
        <v>0</v>
      </c>
      <c r="E703">
        <f t="array" ref="E703">INDEX(Data!B35:BN135,,MATCH(_xlfn.CONCAT("Dec ",Dashboard!$A$43),Data!$A$1:$BN$1,0))</f>
        <v>0</v>
      </c>
      <c r="G703" t="str">
        <v>ITEM8265</v>
      </c>
      <c r="H703" t="str">
        <v>Apple</v>
      </c>
      <c r="I703" t="str">
        <v>Robin</v>
      </c>
      <c r="J703">
        <v>25815</v>
      </c>
      <c r="K703">
        <v>15</v>
      </c>
    </row>
    <row r="704" spans="1:11">
      <c r="A704" s="44" t="str">
        <f t="array" ref="A704">Data!B36:D136</f>
        <v>ITEM4672</v>
      </c>
      <c r="B704" s="44" t="str">
        <f t="array" ref="B704">Data!C36:E136</f>
        <v>Apple</v>
      </c>
      <c r="C704" s="44" t="str">
        <f t="array" ref="C704">Data!D36:F136</f>
        <v>Golden</v>
      </c>
      <c r="D704">
        <f t="array" ref="D704">INDEX(Data!A36:BM136,,MATCH(_xlfn.CONCAT("Dec ",Dashboard!$A$43),Data!$A$1:$BN$1,0))</f>
        <v>928</v>
      </c>
      <c r="E704">
        <f t="array" ref="E704">INDEX(Data!B36:BN136,,MATCH(_xlfn.CONCAT("Dec ",Dashboard!$A$43),Data!$A$1:$BN$1,0))</f>
        <v>2</v>
      </c>
      <c r="G704" t="str">
        <v>ITEM8265</v>
      </c>
      <c r="H704" t="str">
        <v>Apple</v>
      </c>
      <c r="I704" t="str">
        <v>Robin</v>
      </c>
      <c r="J704">
        <v>25815</v>
      </c>
      <c r="K704">
        <v>15</v>
      </c>
    </row>
    <row r="705" spans="1:11">
      <c r="A705" s="44" t="str">
        <f t="array" ref="A705">Data!B37:D137</f>
        <v>ITEM4685</v>
      </c>
      <c r="B705" s="44" t="str">
        <f t="array" ref="B705">Data!C37:E137</f>
        <v>Lemon</v>
      </c>
      <c r="C705" s="44" t="str">
        <f t="array" ref="C705">Data!D37:F137</f>
        <v>Oblong</v>
      </c>
      <c r="D705">
        <f t="array" ref="D705">INDEX(Data!A37:BM137,,MATCH(_xlfn.CONCAT("Dec ",Dashboard!$A$43),Data!$A$1:$BN$1,0))</f>
        <v>0</v>
      </c>
      <c r="E705">
        <f t="array" ref="E705">INDEX(Data!B37:BN137,,MATCH(_xlfn.CONCAT("Dec ",Dashboard!$A$43),Data!$A$1:$BN$1,0))</f>
        <v>0</v>
      </c>
      <c r="G705" t="str">
        <v>ITEM8265</v>
      </c>
      <c r="H705" t="str">
        <v>Apple</v>
      </c>
      <c r="I705" t="str">
        <v>Robin</v>
      </c>
      <c r="J705">
        <v>25815</v>
      </c>
      <c r="K705">
        <v>15</v>
      </c>
    </row>
    <row r="706" spans="1:11">
      <c r="A706" s="44" t="str">
        <f t="array" ref="A706">Data!B38:D138</f>
        <v>ITEM4838</v>
      </c>
      <c r="B706" s="44" t="str">
        <f t="array" ref="B706">Data!C38:E138</f>
        <v>Mango</v>
      </c>
      <c r="C706" s="44" t="str">
        <f t="array" ref="C706">Data!D38:F138</f>
        <v>Alphonso</v>
      </c>
      <c r="D706">
        <f t="array" ref="D706">INDEX(Data!A38:BM138,,MATCH(_xlfn.CONCAT("Dec ",Dashboard!$A$43),Data!$A$1:$BN$1,0))</f>
        <v>716</v>
      </c>
      <c r="E706">
        <f t="array" ref="E706">INDEX(Data!B38:BN138,,MATCH(_xlfn.CONCAT("Dec ",Dashboard!$A$43),Data!$A$1:$BN$1,0))</f>
        <v>4</v>
      </c>
      <c r="G706" t="str">
        <v>ITEM8265</v>
      </c>
      <c r="H706" t="str">
        <v>Apple</v>
      </c>
      <c r="I706" t="str">
        <v>Robin</v>
      </c>
      <c r="J706">
        <v>25815</v>
      </c>
      <c r="K706">
        <v>15</v>
      </c>
    </row>
    <row r="707" spans="1:11">
      <c r="A707" s="44" t="str">
        <f t="array" ref="A707">Data!B39:D139</f>
        <v>ITEM4894</v>
      </c>
      <c r="B707" s="44" t="str">
        <f t="array" ref="B707">Data!C39:E139</f>
        <v>Lemon</v>
      </c>
      <c r="C707" s="44" t="str">
        <f t="array" ref="C707">Data!D39:F139</f>
        <v>Oblong</v>
      </c>
      <c r="D707">
        <f t="array" ref="D707">INDEX(Data!A39:BM139,,MATCH(_xlfn.CONCAT("Dec ",Dashboard!$A$43),Data!$A$1:$BN$1,0))</f>
        <v>716</v>
      </c>
      <c r="E707">
        <f t="array" ref="E707">INDEX(Data!B39:BN139,,MATCH(_xlfn.CONCAT("Dec ",Dashboard!$A$43),Data!$A$1:$BN$1,0))</f>
        <v>4</v>
      </c>
      <c r="G707" t="str">
        <v>ITEM8265</v>
      </c>
      <c r="H707" t="str">
        <v>Apple</v>
      </c>
      <c r="I707" t="str">
        <v>Robin</v>
      </c>
      <c r="J707">
        <v>25815</v>
      </c>
      <c r="K707">
        <v>15</v>
      </c>
    </row>
    <row r="708" spans="1:11">
      <c r="A708" s="44" t="str">
        <f t="array" ref="A708">Data!B40:D140</f>
        <v>ITEM4931</v>
      </c>
      <c r="B708" s="44" t="str">
        <f t="array" ref="B708">Data!C40:E140</f>
        <v>Lemon</v>
      </c>
      <c r="C708" s="44" t="str">
        <f t="array" ref="C708">Data!D40:F140</f>
        <v>Lisbon</v>
      </c>
      <c r="D708">
        <f t="array" ref="D708">INDEX(Data!A40:BM140,,MATCH(_xlfn.CONCAT("Dec ",Dashboard!$A$43),Data!$A$1:$BN$1,0))</f>
        <v>0</v>
      </c>
      <c r="E708">
        <f t="array" ref="E708">INDEX(Data!B40:BN140,,MATCH(_xlfn.CONCAT("Dec ",Dashboard!$A$43),Data!$A$1:$BN$1,0))</f>
        <v>0</v>
      </c>
      <c r="G708" t="str">
        <v>ITEM8265</v>
      </c>
      <c r="H708" t="str">
        <v>Apple</v>
      </c>
      <c r="I708" t="str">
        <v>Robin</v>
      </c>
      <c r="J708">
        <v>25815</v>
      </c>
      <c r="K708">
        <v>15</v>
      </c>
    </row>
    <row r="709" spans="1:11">
      <c r="A709" s="44" t="str">
        <f t="array" ref="A709">Data!B41:D141</f>
        <v>ITEM5047</v>
      </c>
      <c r="B709" s="44" t="str">
        <f t="array" ref="B709">Data!C41:E141</f>
        <v>Lemon</v>
      </c>
      <c r="C709" s="44" t="str">
        <f t="array" ref="C709">Data!D41:F141</f>
        <v>Nimbu</v>
      </c>
      <c r="D709">
        <f t="array" ref="D709">INDEX(Data!A41:BM141,,MATCH(_xlfn.CONCAT("Dec ",Dashboard!$A$43),Data!$A$1:$BN$1,0))</f>
        <v>568</v>
      </c>
      <c r="E709">
        <f t="array" ref="E709">INDEX(Data!B41:BN141,,MATCH(_xlfn.CONCAT("Dec ",Dashboard!$A$43),Data!$A$1:$BN$1,0))</f>
        <v>2</v>
      </c>
      <c r="G709" t="str">
        <v>ITEM8265</v>
      </c>
      <c r="H709" t="str">
        <v>Apple</v>
      </c>
      <c r="I709" t="str">
        <v>Robin</v>
      </c>
      <c r="J709">
        <v>25815</v>
      </c>
      <c r="K709">
        <v>15</v>
      </c>
    </row>
    <row r="710" spans="1:11">
      <c r="A710" s="44" t="str">
        <f t="array" ref="A710">Data!B42:D142</f>
        <v>ITEM5049</v>
      </c>
      <c r="B710" s="44" t="str">
        <f t="array" ref="B710">Data!C42:E142</f>
        <v>Lemon</v>
      </c>
      <c r="C710" s="44" t="str">
        <f t="array" ref="C710">Data!D42:F142</f>
        <v>Lisbon</v>
      </c>
      <c r="D710">
        <f t="array" ref="D710">INDEX(Data!A42:BM142,,MATCH(_xlfn.CONCAT("Dec ",Dashboard!$A$43),Data!$A$1:$BN$1,0))</f>
        <v>3526</v>
      </c>
      <c r="E710">
        <f t="array" ref="E710">INDEX(Data!B42:BN142,,MATCH(_xlfn.CONCAT("Dec ",Dashboard!$A$43),Data!$A$1:$BN$1,0))</f>
        <v>14</v>
      </c>
      <c r="G710" t="str">
        <v>ITEM8265</v>
      </c>
      <c r="H710" t="str">
        <v>Apple</v>
      </c>
      <c r="I710" t="str">
        <v>Robin</v>
      </c>
      <c r="J710">
        <v>25815</v>
      </c>
      <c r="K710">
        <v>15</v>
      </c>
    </row>
    <row r="711" spans="1:11">
      <c r="A711" s="44" t="str">
        <f t="array" ref="A711">Data!B43:D143</f>
        <v>ITEM5159</v>
      </c>
      <c r="B711" s="44" t="str">
        <f t="array" ref="B711">Data!C43:E143</f>
        <v>Mango</v>
      </c>
      <c r="C711" s="44" t="str">
        <f t="array" ref="C711">Data!D43:F143</f>
        <v>Amrapalli</v>
      </c>
      <c r="D711">
        <f t="array" ref="D711">INDEX(Data!A43:BM143,,MATCH(_xlfn.CONCAT("Dec ",Dashboard!$A$43),Data!$A$1:$BN$1,0))</f>
        <v>15930</v>
      </c>
      <c r="E711">
        <f t="array" ref="E711">INDEX(Data!B43:BN143,,MATCH(_xlfn.CONCAT("Dec ",Dashboard!$A$43),Data!$A$1:$BN$1,0))</f>
        <v>118</v>
      </c>
      <c r="G711" t="str">
        <v>ITEM8265</v>
      </c>
      <c r="H711" t="str">
        <v>Apple</v>
      </c>
      <c r="I711" t="str">
        <v>Robin</v>
      </c>
      <c r="J711">
        <v>25815</v>
      </c>
      <c r="K711">
        <v>15</v>
      </c>
    </row>
    <row r="712" spans="1:11">
      <c r="A712" s="44" t="str">
        <f t="array" ref="A712">Data!B44:D144</f>
        <v>ITEM5204</v>
      </c>
      <c r="B712" s="44" t="str">
        <f t="array" ref="B712">Data!C44:E144</f>
        <v>Lemon</v>
      </c>
      <c r="C712" s="44" t="str">
        <f t="array" ref="C712">Data!D44:F144</f>
        <v>Lisbon</v>
      </c>
      <c r="D712">
        <f t="array" ref="D712">INDEX(Data!A44:BM144,,MATCH(_xlfn.CONCAT("Dec ",Dashboard!$A$43),Data!$A$1:$BN$1,0))</f>
        <v>877</v>
      </c>
      <c r="E712">
        <f t="array" ref="E712">INDEX(Data!B44:BN144,,MATCH(_xlfn.CONCAT("Dec ",Dashboard!$A$43),Data!$A$1:$BN$1,0))</f>
        <v>3</v>
      </c>
      <c r="G712" t="str">
        <v>ITEM8265</v>
      </c>
      <c r="H712" t="str">
        <v>Apple</v>
      </c>
      <c r="I712" t="str">
        <v>Robin</v>
      </c>
      <c r="J712">
        <v>25815</v>
      </c>
      <c r="K712">
        <v>15</v>
      </c>
    </row>
    <row r="713" spans="1:11">
      <c r="A713" s="44" t="str">
        <f t="array" ref="A713">Data!B45:D145</f>
        <v>ITEM5211</v>
      </c>
      <c r="B713" s="44" t="str">
        <f t="array" ref="B713">Data!C45:E145</f>
        <v>Mango</v>
      </c>
      <c r="C713" s="44" t="str">
        <f t="array" ref="C713">Data!D45:F145</f>
        <v>Amrapalli</v>
      </c>
      <c r="D713">
        <f t="array" ref="D713">INDEX(Data!A45:BM145,,MATCH(_xlfn.CONCAT("Dec ",Dashboard!$A$43),Data!$A$1:$BN$1,0))</f>
        <v>877</v>
      </c>
      <c r="E713">
        <f t="array" ref="E713">INDEX(Data!B45:BN145,,MATCH(_xlfn.CONCAT("Dec ",Dashboard!$A$43),Data!$A$1:$BN$1,0))</f>
        <v>3</v>
      </c>
      <c r="G713" t="str">
        <v>ITEM8265</v>
      </c>
      <c r="H713" t="str">
        <v>Apple</v>
      </c>
      <c r="I713" t="str">
        <v>Robin</v>
      </c>
      <c r="J713">
        <v>25815</v>
      </c>
      <c r="K713">
        <v>15</v>
      </c>
    </row>
    <row r="714" spans="1:11">
      <c r="A714" s="44" t="str">
        <f t="array" ref="A714">Data!B46:D146</f>
        <v>ITEM5418</v>
      </c>
      <c r="B714" s="44" t="str">
        <f t="array" ref="B714">Data!C46:E146</f>
        <v>Mango</v>
      </c>
      <c r="C714" s="44" t="str">
        <f t="array" ref="C714">Data!D46:F146</f>
        <v>Alphonso</v>
      </c>
      <c r="D714">
        <f t="array" ref="D714">INDEX(Data!A46:BM146,,MATCH(_xlfn.CONCAT("Dec ",Dashboard!$A$43),Data!$A$1:$BN$1,0))</f>
        <v>16125</v>
      </c>
      <c r="E714">
        <f t="array" ref="E714">INDEX(Data!B46:BN146,,MATCH(_xlfn.CONCAT("Dec ",Dashboard!$A$43),Data!$A$1:$BN$1,0))</f>
        <v>125</v>
      </c>
      <c r="G714" t="str">
        <v>ITEM8265</v>
      </c>
      <c r="H714" t="str">
        <v>Apple</v>
      </c>
      <c r="I714" t="str">
        <v>Robin</v>
      </c>
      <c r="J714">
        <v>25815</v>
      </c>
      <c r="K714">
        <v>15</v>
      </c>
    </row>
    <row r="715" spans="1:11">
      <c r="A715" s="44" t="str">
        <f t="array" ref="A715">Data!B47:D147</f>
        <v>ITEM5498</v>
      </c>
      <c r="B715" s="44" t="str">
        <f t="array" ref="B715">Data!C47:E147</f>
        <v>Lemon</v>
      </c>
      <c r="C715" s="44" t="str">
        <f t="array" ref="C715">Data!D47:F147</f>
        <v>Lisbon</v>
      </c>
      <c r="D715">
        <f t="array" ref="D715">INDEX(Data!A47:BM147,,MATCH(_xlfn.CONCAT("Dec ",Dashboard!$A$43),Data!$A$1:$BN$1,0))</f>
        <v>0</v>
      </c>
      <c r="E715">
        <f t="array" ref="E715">INDEX(Data!B47:BN147,,MATCH(_xlfn.CONCAT("Dec ",Dashboard!$A$43),Data!$A$1:$BN$1,0))</f>
        <v>0</v>
      </c>
      <c r="G715" t="str">
        <v>ITEM8265</v>
      </c>
      <c r="H715" t="str">
        <v>Apple</v>
      </c>
      <c r="I715" t="str">
        <v>Robin</v>
      </c>
      <c r="J715">
        <v>25815</v>
      </c>
      <c r="K715">
        <v>15</v>
      </c>
    </row>
    <row r="716" spans="1:11">
      <c r="A716" s="44" t="str">
        <f t="array" ref="A716">Data!B48:D148</f>
        <v>ITEM5665</v>
      </c>
      <c r="B716" s="44" t="str">
        <f t="array" ref="B716">Data!C48:E148</f>
        <v>Mango</v>
      </c>
      <c r="C716" s="44" t="str">
        <f t="array" ref="C716">Data!D48:F148</f>
        <v>Green</v>
      </c>
      <c r="D716">
        <f t="array" ref="D716">INDEX(Data!A48:BM148,,MATCH(_xlfn.CONCAT("Dec ",Dashboard!$A$43),Data!$A$1:$BN$1,0))</f>
        <v>0</v>
      </c>
      <c r="E716">
        <f t="array" ref="E716">INDEX(Data!B48:BN148,,MATCH(_xlfn.CONCAT("Dec ",Dashboard!$A$43),Data!$A$1:$BN$1,0))</f>
        <v>0</v>
      </c>
      <c r="G716" t="str">
        <v>ITEM8265</v>
      </c>
      <c r="H716" t="str">
        <v>Apple</v>
      </c>
      <c r="I716" t="str">
        <v>Robin</v>
      </c>
      <c r="J716">
        <v>25815</v>
      </c>
      <c r="K716">
        <v>15</v>
      </c>
    </row>
    <row r="717" spans="1:11">
      <c r="A717" s="44" t="str">
        <f t="array" ref="A717">Data!B49:D149</f>
        <v>ITEM5747</v>
      </c>
      <c r="B717" s="44" t="str">
        <f t="array" ref="B717">Data!C49:E149</f>
        <v>Lemon</v>
      </c>
      <c r="C717" s="44" t="str">
        <f t="array" ref="C717">Data!D49:F149</f>
        <v>Lisbon</v>
      </c>
      <c r="D717">
        <f t="array" ref="D717">INDEX(Data!A49:BM149,,MATCH(_xlfn.CONCAT("Dec ",Dashboard!$A$43),Data!$A$1:$BN$1,0))</f>
        <v>877</v>
      </c>
      <c r="E717">
        <f t="array" ref="E717">INDEX(Data!B49:BN149,,MATCH(_xlfn.CONCAT("Dec ",Dashboard!$A$43),Data!$A$1:$BN$1,0))</f>
        <v>3</v>
      </c>
      <c r="G717" t="str">
        <v>ITEM8265</v>
      </c>
      <c r="H717" t="str">
        <v>Apple</v>
      </c>
      <c r="I717" t="str">
        <v>Robin</v>
      </c>
      <c r="J717">
        <v>25815</v>
      </c>
      <c r="K717">
        <v>15</v>
      </c>
    </row>
    <row r="718" spans="1:11">
      <c r="A718" s="44" t="str">
        <f t="array" ref="A718">Data!B50:D150</f>
        <v>ITEM5806</v>
      </c>
      <c r="B718" s="44" t="str">
        <f t="array" ref="B718">Data!C50:E150</f>
        <v>Orange</v>
      </c>
      <c r="C718" s="44" t="str">
        <f t="array" ref="C718">Data!D50:F150</f>
        <v>Indie</v>
      </c>
      <c r="D718">
        <f t="array" ref="D718">INDEX(Data!A50:BM150,,MATCH(_xlfn.CONCAT("Dec ",Dashboard!$A$43),Data!$A$1:$BN$1,0))</f>
        <v>7689</v>
      </c>
      <c r="E718">
        <f t="array" ref="E718">INDEX(Data!B50:BN150,,MATCH(_xlfn.CONCAT("Dec ",Dashboard!$A$43),Data!$A$1:$BN$1,0))</f>
        <v>11</v>
      </c>
      <c r="G718" t="str">
        <v>ITEM8265</v>
      </c>
      <c r="H718" t="str">
        <v>Apple</v>
      </c>
      <c r="I718" t="str">
        <v>Robin</v>
      </c>
      <c r="J718">
        <v>25815</v>
      </c>
      <c r="K718">
        <v>15</v>
      </c>
    </row>
    <row r="719" spans="1:11">
      <c r="A719" s="44" t="str">
        <f t="array" ref="A719">Data!B51:D151</f>
        <v>ITEM5846</v>
      </c>
      <c r="B719" s="44" t="str">
        <f t="array" ref="B719">Data!C51:E151</f>
        <v>Mango</v>
      </c>
      <c r="C719" s="44" t="str">
        <f t="array" ref="C719">Data!D51:F151</f>
        <v>Green</v>
      </c>
      <c r="D719">
        <f t="array" ref="D719">INDEX(Data!A51:BM151,,MATCH(_xlfn.CONCAT("Dec ",Dashboard!$A$43),Data!$A$1:$BN$1,0))</f>
        <v>2037</v>
      </c>
      <c r="E719">
        <f t="array" ref="E719">INDEX(Data!B51:BN151,,MATCH(_xlfn.CONCAT("Dec ",Dashboard!$A$43),Data!$A$1:$BN$1,0))</f>
        <v>3</v>
      </c>
      <c r="G719" t="str">
        <v>ITEM8265</v>
      </c>
      <c r="H719" t="str">
        <v>Apple</v>
      </c>
      <c r="I719" t="str">
        <v>Robin</v>
      </c>
      <c r="J719">
        <v>25815</v>
      </c>
      <c r="K719">
        <v>15</v>
      </c>
    </row>
    <row r="720" spans="1:11">
      <c r="A720" s="44" t="str">
        <f t="array" ref="A720">Data!B52:D152</f>
        <v>ITEM5899</v>
      </c>
      <c r="B720" s="44" t="str">
        <f t="array" ref="B720">Data!C52:E152</f>
        <v>Orange</v>
      </c>
      <c r="C720" s="44" t="str">
        <f t="array" ref="C720">Data!D52:F152</f>
        <v>Mandarin</v>
      </c>
      <c r="D720">
        <f t="array" ref="D720">INDEX(Data!A52:BM152,,MATCH(_xlfn.CONCAT("Dec ",Dashboard!$A$43),Data!$A$1:$BN$1,0))</f>
        <v>716</v>
      </c>
      <c r="E720">
        <f t="array" ref="E720">INDEX(Data!B52:BN152,,MATCH(_xlfn.CONCAT("Dec ",Dashboard!$A$43),Data!$A$1:$BN$1,0))</f>
        <v>4</v>
      </c>
      <c r="G720" t="str">
        <v>ITEM8265</v>
      </c>
      <c r="H720" t="str">
        <v>Apple</v>
      </c>
      <c r="I720" t="str">
        <v>Robin</v>
      </c>
      <c r="J720">
        <v>25815</v>
      </c>
      <c r="K720">
        <v>15</v>
      </c>
    </row>
    <row r="721" spans="1:11">
      <c r="A721" s="44" t="str">
        <f t="array" ref="A721">Data!B53:D153</f>
        <v>ITEM6199</v>
      </c>
      <c r="B721" s="44" t="str">
        <f t="array" ref="B721">Data!C53:E153</f>
        <v>Mango</v>
      </c>
      <c r="C721" s="44" t="str">
        <f t="array" ref="C721">Data!D53:F153</f>
        <v>Alphonso</v>
      </c>
      <c r="D721">
        <f t="array" ref="D721">INDEX(Data!A53:BM153,,MATCH(_xlfn.CONCAT("Dec ",Dashboard!$A$43),Data!$A$1:$BN$1,0))</f>
        <v>8394</v>
      </c>
      <c r="E721">
        <f t="array" ref="E721">INDEX(Data!B53:BN153,,MATCH(_xlfn.CONCAT("Dec ",Dashboard!$A$43),Data!$A$1:$BN$1,0))</f>
        <v>16</v>
      </c>
      <c r="G721" t="str">
        <v>ITEM8265</v>
      </c>
      <c r="H721" t="str">
        <v>Apple</v>
      </c>
      <c r="I721" t="str">
        <v>Robin</v>
      </c>
      <c r="J721">
        <v>25815</v>
      </c>
      <c r="K721">
        <v>15</v>
      </c>
    </row>
    <row r="722" spans="1:11">
      <c r="A722" s="44" t="str">
        <f t="array" ref="A722">Data!B54:D154</f>
        <v>ITEM6204</v>
      </c>
      <c r="B722" s="44" t="str">
        <f t="array" ref="B722">Data!C54:E154</f>
        <v>Mango</v>
      </c>
      <c r="C722" s="44" t="str">
        <f t="array" ref="C722">Data!D54:F154</f>
        <v>Amrapalli</v>
      </c>
      <c r="D722">
        <f t="array" ref="D722">INDEX(Data!A54:BM154,,MATCH(_xlfn.CONCAT("Dec ",Dashboard!$A$43),Data!$A$1:$BN$1,0))</f>
        <v>877</v>
      </c>
      <c r="E722">
        <f t="array" ref="E722">INDEX(Data!B54:BN154,,MATCH(_xlfn.CONCAT("Dec ",Dashboard!$A$43),Data!$A$1:$BN$1,0))</f>
        <v>3</v>
      </c>
      <c r="G722" t="str">
        <v>ITEM8265</v>
      </c>
      <c r="H722" t="str">
        <v>Apple</v>
      </c>
      <c r="I722" t="str">
        <v>Robin</v>
      </c>
      <c r="J722">
        <v>25815</v>
      </c>
      <c r="K722">
        <v>15</v>
      </c>
    </row>
    <row r="723" spans="1:11">
      <c r="A723" s="44" t="str">
        <f t="array" ref="A723">Data!B55:D155</f>
        <v>ITEM6251</v>
      </c>
      <c r="B723" s="44" t="str">
        <f t="array" ref="B723">Data!C55:E155</f>
        <v>Mango</v>
      </c>
      <c r="C723" s="44" t="str">
        <f t="array" ref="C723">Data!D55:F155</f>
        <v>Green</v>
      </c>
      <c r="D723">
        <f t="array" ref="D723">INDEX(Data!A55:BM155,,MATCH(_xlfn.CONCAT("Dec ",Dashboard!$A$43),Data!$A$1:$BN$1,0))</f>
        <v>15930</v>
      </c>
      <c r="E723">
        <f t="array" ref="E723">INDEX(Data!B55:BN155,,MATCH(_xlfn.CONCAT("Dec ",Dashboard!$A$43),Data!$A$1:$BN$1,0))</f>
        <v>118</v>
      </c>
      <c r="G723" t="str">
        <v>ITEM8265</v>
      </c>
      <c r="H723" t="str">
        <v>Apple</v>
      </c>
      <c r="I723" t="str">
        <v>Robin</v>
      </c>
      <c r="J723">
        <v>25815</v>
      </c>
      <c r="K723">
        <v>15</v>
      </c>
    </row>
    <row r="724" spans="1:11">
      <c r="A724" s="44" t="str">
        <f t="array" ref="A724">Data!B56:D156</f>
        <v>ITEM6307</v>
      </c>
      <c r="B724" s="44" t="str">
        <f t="array" ref="B724">Data!C56:E156</f>
        <v>Lemon</v>
      </c>
      <c r="C724" s="44" t="str">
        <f t="array" ref="C724">Data!D56:F156</f>
        <v>Lisbon</v>
      </c>
      <c r="D724">
        <f t="array" ref="D724">INDEX(Data!A56:BM156,,MATCH(_xlfn.CONCAT("Dec ",Dashboard!$A$43),Data!$A$1:$BN$1,0))</f>
        <v>0</v>
      </c>
      <c r="E724">
        <f t="array" ref="E724">INDEX(Data!B56:BN156,,MATCH(_xlfn.CONCAT("Dec ",Dashboard!$A$43),Data!$A$1:$BN$1,0))</f>
        <v>0</v>
      </c>
      <c r="G724" t="str">
        <v>ITEM8265</v>
      </c>
      <c r="H724" t="str">
        <v>Apple</v>
      </c>
      <c r="I724" t="str">
        <v>Robin</v>
      </c>
      <c r="J724">
        <v>25815</v>
      </c>
      <c r="K724">
        <v>15</v>
      </c>
    </row>
    <row r="725" spans="1:11">
      <c r="A725" s="44" t="str">
        <f t="array" ref="A725">Data!B57:D157</f>
        <v>ITEM6354</v>
      </c>
      <c r="B725" s="44" t="str">
        <f t="array" ref="B725">Data!C57:E157</f>
        <v>Apple</v>
      </c>
      <c r="C725" s="44" t="str">
        <f t="array" ref="C725">Data!D57:F157</f>
        <v>Golden</v>
      </c>
      <c r="D725">
        <f t="array" ref="D725">INDEX(Data!A57:BM157,,MATCH(_xlfn.CONCAT("Dec ",Dashboard!$A$43),Data!$A$1:$BN$1,0))</f>
        <v>1798</v>
      </c>
      <c r="E725">
        <f t="array" ref="E725">INDEX(Data!B57:BN157,,MATCH(_xlfn.CONCAT("Dec ",Dashboard!$A$43),Data!$A$1:$BN$1,0))</f>
        <v>2</v>
      </c>
      <c r="G725" t="str">
        <v>ITEM8265</v>
      </c>
      <c r="H725" t="str">
        <v>Apple</v>
      </c>
      <c r="I725" t="str">
        <v>Robin</v>
      </c>
      <c r="J725">
        <v>25815</v>
      </c>
      <c r="K725">
        <v>15</v>
      </c>
    </row>
    <row r="726" spans="1:11">
      <c r="A726" s="44" t="str">
        <f t="array" ref="A726">Data!B58:D158</f>
        <v>ITEM6460</v>
      </c>
      <c r="B726" s="44" t="str">
        <f t="array" ref="B726">Data!C58:E158</f>
        <v>Lemon</v>
      </c>
      <c r="C726" s="44" t="str">
        <f t="array" ref="C726">Data!D58:F158</f>
        <v>Nimbu</v>
      </c>
      <c r="D726">
        <f t="array" ref="D726">INDEX(Data!A58:BM158,,MATCH(_xlfn.CONCAT("Dec ",Dashboard!$A$43),Data!$A$1:$BN$1,0))</f>
        <v>0</v>
      </c>
      <c r="E726">
        <f t="array" ref="E726">INDEX(Data!B58:BN158,,MATCH(_xlfn.CONCAT("Dec ",Dashboard!$A$43),Data!$A$1:$BN$1,0))</f>
        <v>0</v>
      </c>
      <c r="G726" t="str">
        <v>ITEM8265</v>
      </c>
      <c r="H726" t="str">
        <v>Apple</v>
      </c>
      <c r="I726" t="str">
        <v>Robin</v>
      </c>
      <c r="J726">
        <v>25815</v>
      </c>
      <c r="K726">
        <v>15</v>
      </c>
    </row>
    <row r="727" spans="1:11">
      <c r="A727" s="44" t="str">
        <f t="array" ref="A727">Data!B59:D159</f>
        <v>ITEM6480</v>
      </c>
      <c r="B727" s="44" t="str">
        <f t="array" ref="B727">Data!C59:E159</f>
        <v>Apple</v>
      </c>
      <c r="C727" s="44" t="str">
        <f t="array" ref="C727">Data!D59:F159</f>
        <v>Red</v>
      </c>
      <c r="D727">
        <f t="array" ref="D727">INDEX(Data!A59:BM159,,MATCH(_xlfn.CONCAT("Dec ",Dashboard!$A$43),Data!$A$1:$BN$1,0))</f>
        <v>0</v>
      </c>
      <c r="E727">
        <f t="array" ref="E727">INDEX(Data!B59:BN159,,MATCH(_xlfn.CONCAT("Dec ",Dashboard!$A$43),Data!$A$1:$BN$1,0))</f>
        <v>0</v>
      </c>
      <c r="G727" t="str">
        <v>ITEM8265</v>
      </c>
      <c r="H727" t="str">
        <v>Apple</v>
      </c>
      <c r="I727" t="str">
        <v>Robin</v>
      </c>
      <c r="J727">
        <v>25815</v>
      </c>
      <c r="K727">
        <v>15</v>
      </c>
    </row>
    <row r="728" spans="1:11">
      <c r="A728" s="44" t="str">
        <f t="array" ref="A728">Data!B60:D160</f>
        <v>ITEM6544</v>
      </c>
      <c r="B728" s="44" t="str">
        <f t="array" ref="B728">Data!C60:E160</f>
        <v>Orange</v>
      </c>
      <c r="C728" s="44" t="str">
        <f t="array" ref="C728">Data!D60:F160</f>
        <v>Mandarin</v>
      </c>
      <c r="D728">
        <f t="array" ref="D728">INDEX(Data!A60:BM160,,MATCH(_xlfn.CONCAT("Dec ",Dashboard!$A$43),Data!$A$1:$BN$1,0))</f>
        <v>316</v>
      </c>
      <c r="E728">
        <f t="array" ref="E728">INDEX(Data!B60:BN160,,MATCH(_xlfn.CONCAT("Dec ",Dashboard!$A$43),Data!$A$1:$BN$1,0))</f>
        <v>1</v>
      </c>
      <c r="G728" t="str">
        <v>ITEM8265</v>
      </c>
      <c r="H728" t="str">
        <v>Apple</v>
      </c>
      <c r="I728" t="str">
        <v>Robin</v>
      </c>
      <c r="J728">
        <v>25815</v>
      </c>
      <c r="K728">
        <v>15</v>
      </c>
    </row>
    <row r="729" spans="1:11">
      <c r="A729" s="44" t="str">
        <f t="array" ref="A729">Data!B61:D161</f>
        <v>ITEM6857</v>
      </c>
      <c r="B729" s="44" t="str">
        <f t="array" ref="B729">Data!C61:E161</f>
        <v>Lemon</v>
      </c>
      <c r="C729" s="44" t="str">
        <f t="array" ref="C729">Data!D61:F161</f>
        <v>Lisbon</v>
      </c>
      <c r="D729">
        <f t="array" ref="D729">INDEX(Data!A61:BM161,,MATCH(_xlfn.CONCAT("Dec ",Dashboard!$A$43),Data!$A$1:$BN$1,0))</f>
        <v>2037</v>
      </c>
      <c r="E729">
        <f t="array" ref="E729">INDEX(Data!B61:BN161,,MATCH(_xlfn.CONCAT("Dec ",Dashboard!$A$43),Data!$A$1:$BN$1,0))</f>
        <v>3</v>
      </c>
      <c r="G729" t="str">
        <v>ITEM8265</v>
      </c>
      <c r="H729" t="str">
        <v>Apple</v>
      </c>
      <c r="I729" t="str">
        <v>Robin</v>
      </c>
      <c r="J729">
        <v>25815</v>
      </c>
      <c r="K729">
        <v>15</v>
      </c>
    </row>
    <row r="730" spans="1:11">
      <c r="A730" s="44" t="str">
        <f t="array" ref="A730">Data!B62:D162</f>
        <v>ITEM7423</v>
      </c>
      <c r="B730" s="44" t="str">
        <f t="array" ref="B730">Data!C62:E162</f>
        <v>Mango</v>
      </c>
      <c r="C730" s="44" t="str">
        <f t="array" ref="C730">Data!D62:F162</f>
        <v>Alphonso</v>
      </c>
      <c r="D730">
        <f t="array" ref="D730">INDEX(Data!A62:BM162,,MATCH(_xlfn.CONCAT("Dec ",Dashboard!$A$43),Data!$A$1:$BN$1,0))</f>
        <v>1592</v>
      </c>
      <c r="E730">
        <f t="array" ref="E730">INDEX(Data!B62:BN162,,MATCH(_xlfn.CONCAT("Dec ",Dashboard!$A$43),Data!$A$1:$BN$1,0))</f>
        <v>8</v>
      </c>
      <c r="G730" t="str">
        <v>ITEM8265</v>
      </c>
      <c r="H730" t="str">
        <v>Apple</v>
      </c>
      <c r="I730" t="str">
        <v>Robin</v>
      </c>
      <c r="J730">
        <v>25815</v>
      </c>
      <c r="K730">
        <v>15</v>
      </c>
    </row>
    <row r="731" spans="1:11">
      <c r="A731" s="44" t="str">
        <f t="array" ref="A731">Data!B63:D163</f>
        <v>ITEM7423</v>
      </c>
      <c r="B731" s="44" t="str">
        <f t="array" ref="B731">Data!C63:E163</f>
        <v>Mango</v>
      </c>
      <c r="C731" s="44" t="str">
        <f t="array" ref="C731">Data!D63:F163</f>
        <v>Green</v>
      </c>
      <c r="D731">
        <f t="array" ref="D731">INDEX(Data!A63:BM163,,MATCH(_xlfn.CONCAT("Dec ",Dashboard!$A$43),Data!$A$1:$BN$1,0))</f>
        <v>21245</v>
      </c>
      <c r="E731">
        <f t="array" ref="E731">INDEX(Data!B63:BN163,,MATCH(_xlfn.CONCAT("Dec ",Dashboard!$A$43),Data!$A$1:$BN$1,0))</f>
        <v>43</v>
      </c>
      <c r="G731" t="str">
        <v>ITEM8265</v>
      </c>
      <c r="H731" t="str">
        <v>Apple</v>
      </c>
      <c r="I731" t="str">
        <v>Robin</v>
      </c>
      <c r="J731">
        <v>25815</v>
      </c>
      <c r="K731">
        <v>15</v>
      </c>
    </row>
    <row r="732" spans="1:11">
      <c r="A732" s="44" t="str">
        <f t="array" ref="A732">Data!B64:D164</f>
        <v>ITEM7516</v>
      </c>
      <c r="B732" s="44" t="str">
        <f t="array" ref="B732">Data!C64:E164</f>
        <v>Apple</v>
      </c>
      <c r="C732" s="44" t="str">
        <f t="array" ref="C732">Data!D64:F164</f>
        <v>Robin</v>
      </c>
      <c r="D732">
        <f t="array" ref="D732">INDEX(Data!A64:BM164,,MATCH(_xlfn.CONCAT("Dec ",Dashboard!$A$43),Data!$A$1:$BN$1,0))</f>
        <v>877</v>
      </c>
      <c r="E732">
        <f t="array" ref="E732">INDEX(Data!B64:BN164,,MATCH(_xlfn.CONCAT("Dec ",Dashboard!$A$43),Data!$A$1:$BN$1,0))</f>
        <v>3</v>
      </c>
      <c r="G732" t="str">
        <v>ITEM8265</v>
      </c>
      <c r="H732" t="str">
        <v>Apple</v>
      </c>
      <c r="I732" t="str">
        <v>Robin</v>
      </c>
      <c r="J732">
        <v>25815</v>
      </c>
      <c r="K732">
        <v>15</v>
      </c>
    </row>
    <row r="733" spans="1:11">
      <c r="A733" s="44" t="str">
        <f t="array" ref="A733">Data!B65:D165</f>
        <v>ITEM7519</v>
      </c>
      <c r="B733" s="44" t="str">
        <f t="array" ref="B733">Data!C65:E165</f>
        <v>Apple</v>
      </c>
      <c r="C733" s="44" t="str">
        <f t="array" ref="C733">Data!D65:F165</f>
        <v>Golden</v>
      </c>
      <c r="D733">
        <f t="array" ref="D733">INDEX(Data!A65:BM165,,MATCH(_xlfn.CONCAT("Dec ",Dashboard!$A$43),Data!$A$1:$BN$1,0))</f>
        <v>0</v>
      </c>
      <c r="E733">
        <f t="array" ref="E733">INDEX(Data!B65:BN165,,MATCH(_xlfn.CONCAT("Dec ",Dashboard!$A$43),Data!$A$1:$BN$1,0))</f>
        <v>0</v>
      </c>
      <c r="G733" t="str">
        <v>ITEM8265</v>
      </c>
      <c r="H733" t="str">
        <v>Apple</v>
      </c>
      <c r="I733" t="str">
        <v>Robin</v>
      </c>
      <c r="J733">
        <v>25815</v>
      </c>
      <c r="K733">
        <v>15</v>
      </c>
    </row>
    <row r="734" spans="1:11">
      <c r="A734" s="44" t="str">
        <f t="array" ref="A734">Data!B66:D166</f>
        <v>ITEM7622</v>
      </c>
      <c r="B734" s="44" t="str">
        <f t="array" ref="B734">Data!C66:E166</f>
        <v>Lemon</v>
      </c>
      <c r="C734" s="44" t="str">
        <f t="array" ref="C734">Data!D66:F166</f>
        <v>Oblong</v>
      </c>
      <c r="D734">
        <f t="array" ref="D734">INDEX(Data!A66:BM166,,MATCH(_xlfn.CONCAT("Dec ",Dashboard!$A$43),Data!$A$1:$BN$1,0))</f>
        <v>15358</v>
      </c>
      <c r="E734">
        <f t="array" ref="E734">INDEX(Data!B66:BN166,,MATCH(_xlfn.CONCAT("Dec ",Dashboard!$A$43),Data!$A$1:$BN$1,0))</f>
        <v>18</v>
      </c>
      <c r="G734" t="str">
        <v>ITEM8265</v>
      </c>
      <c r="H734" t="str">
        <v>Apple</v>
      </c>
      <c r="I734" t="str">
        <v>Robin</v>
      </c>
      <c r="J734">
        <v>25815</v>
      </c>
      <c r="K734">
        <v>15</v>
      </c>
    </row>
    <row r="735" spans="1:11">
      <c r="A735" s="44" t="str">
        <f t="array" ref="A735">Data!B67:D167</f>
        <v>ITEM7636</v>
      </c>
      <c r="B735" s="44" t="str">
        <f t="array" ref="B735">Data!C67:E167</f>
        <v>Orange</v>
      </c>
      <c r="C735" s="44" t="str">
        <f t="array" ref="C735">Data!D67:F167</f>
        <v>Tangerine</v>
      </c>
      <c r="D735">
        <f t="array" ref="D735">INDEX(Data!A67:BM167,,MATCH(_xlfn.CONCAT("Dec ",Dashboard!$A$43),Data!$A$1:$BN$1,0))</f>
        <v>0</v>
      </c>
      <c r="E735">
        <f t="array" ref="E735">INDEX(Data!B67:BN167,,MATCH(_xlfn.CONCAT("Dec ",Dashboard!$A$43),Data!$A$1:$BN$1,0))</f>
        <v>0</v>
      </c>
      <c r="G735" t="str">
        <v>ITEM8265</v>
      </c>
      <c r="H735" t="str">
        <v>Apple</v>
      </c>
      <c r="I735" t="str">
        <v>Robin</v>
      </c>
      <c r="J735">
        <v>25815</v>
      </c>
      <c r="K735">
        <v>15</v>
      </c>
    </row>
    <row r="736" spans="1:11">
      <c r="A736" s="44" t="str">
        <f t="array" ref="A736">Data!B68:D168</f>
        <v>ITEM7663</v>
      </c>
      <c r="B736" s="44" t="str">
        <f t="array" ref="B736">Data!C68:E168</f>
        <v>Mango</v>
      </c>
      <c r="C736" s="44" t="str">
        <f t="array" ref="C736">Data!D68:F168</f>
        <v>Alphonso</v>
      </c>
      <c r="D736">
        <f t="array" ref="D736">INDEX(Data!A68:BM168,,MATCH(_xlfn.CONCAT("Dec ",Dashboard!$A$43),Data!$A$1:$BN$1,0))</f>
        <v>1015</v>
      </c>
      <c r="E736">
        <f t="array" ref="E736">INDEX(Data!B68:BN168,,MATCH(_xlfn.CONCAT("Dec ",Dashboard!$A$43),Data!$A$1:$BN$1,0))</f>
        <v>7</v>
      </c>
      <c r="G736" t="str">
        <v>ITEM8265</v>
      </c>
      <c r="H736" t="str">
        <v>Apple</v>
      </c>
      <c r="I736" t="str">
        <v>Robin</v>
      </c>
      <c r="J736">
        <v>25815</v>
      </c>
      <c r="K736">
        <v>15</v>
      </c>
    </row>
    <row r="737" spans="1:11">
      <c r="A737" s="44" t="str">
        <f t="array" ref="A737">Data!B69:D169</f>
        <v>ITEM7691</v>
      </c>
      <c r="B737" s="44" t="str">
        <f t="array" ref="B737">Data!C69:E169</f>
        <v>Orange</v>
      </c>
      <c r="C737" s="44" t="str">
        <f t="array" ref="C737">Data!D69:F169</f>
        <v>Indie</v>
      </c>
      <c r="D737">
        <f t="array" ref="D737">INDEX(Data!A69:BM169,,MATCH(_xlfn.CONCAT("Dec ",Dashboard!$A$43),Data!$A$1:$BN$1,0))</f>
        <v>0</v>
      </c>
      <c r="E737">
        <f t="array" ref="E737">INDEX(Data!B69:BN169,,MATCH(_xlfn.CONCAT("Dec ",Dashboard!$A$43),Data!$A$1:$BN$1,0))</f>
        <v>0</v>
      </c>
      <c r="G737" t="str">
        <v>ITEM8265</v>
      </c>
      <c r="H737" t="str">
        <v>Apple</v>
      </c>
      <c r="I737" t="str">
        <v>Robin</v>
      </c>
      <c r="J737">
        <v>25815</v>
      </c>
      <c r="K737">
        <v>15</v>
      </c>
    </row>
    <row r="738" spans="1:11">
      <c r="A738" s="44" t="str">
        <f t="array" ref="A738">Data!B70:D170</f>
        <v>ITEM7861</v>
      </c>
      <c r="B738" s="44" t="str">
        <f t="array" ref="B738">Data!C70:E170</f>
        <v>Orange</v>
      </c>
      <c r="C738" s="44" t="str">
        <f t="array" ref="C738">Data!D70:F170</f>
        <v>Mandarin</v>
      </c>
      <c r="D738">
        <f t="array" ref="D738">INDEX(Data!A70:BM170,,MATCH(_xlfn.CONCAT("Dec ",Dashboard!$A$43),Data!$A$1:$BN$1,0))</f>
        <v>7531</v>
      </c>
      <c r="E738">
        <f t="array" ref="E738">INDEX(Data!B70:BN170,,MATCH(_xlfn.CONCAT("Dec ",Dashboard!$A$43),Data!$A$1:$BN$1,0))</f>
        <v>39</v>
      </c>
      <c r="G738" t="str">
        <v>ITEM8265</v>
      </c>
      <c r="H738" t="str">
        <v>Apple</v>
      </c>
      <c r="I738" t="str">
        <v>Robin</v>
      </c>
      <c r="J738">
        <v>25815</v>
      </c>
      <c r="K738">
        <v>15</v>
      </c>
    </row>
    <row r="739" spans="1:11">
      <c r="A739" s="44" t="str">
        <f t="array" ref="A739">Data!B71:D171</f>
        <v>ITEM7902</v>
      </c>
      <c r="B739" s="44" t="str">
        <f t="array" ref="B739">Data!C71:E171</f>
        <v>Apple</v>
      </c>
      <c r="C739" s="44" t="str">
        <f t="array" ref="C739">Data!D71:F171</f>
        <v>Robin</v>
      </c>
      <c r="D739">
        <f t="array" ref="D739">INDEX(Data!A71:BM171,,MATCH(_xlfn.CONCAT("Dec ",Dashboard!$A$43),Data!$A$1:$BN$1,0))</f>
        <v>7689</v>
      </c>
      <c r="E739">
        <f t="array" ref="E739">INDEX(Data!B71:BN171,,MATCH(_xlfn.CONCAT("Dec ",Dashboard!$A$43),Data!$A$1:$BN$1,0))</f>
        <v>11</v>
      </c>
      <c r="G739" t="str">
        <v>ITEM8265</v>
      </c>
      <c r="H739" t="str">
        <v>Apple</v>
      </c>
      <c r="I739" t="str">
        <v>Robin</v>
      </c>
      <c r="J739">
        <v>25815</v>
      </c>
      <c r="K739">
        <v>15</v>
      </c>
    </row>
    <row r="740" spans="1:11">
      <c r="A740" s="44" t="str">
        <f t="array" ref="A740">Data!B72:D172</f>
        <v>ITEM8061</v>
      </c>
      <c r="B740" s="44" t="str">
        <f t="array" ref="B740">Data!C72:E172</f>
        <v>Lemon</v>
      </c>
      <c r="C740" s="44" t="str">
        <f t="array" ref="C740">Data!D72:F172</f>
        <v>Oblong</v>
      </c>
      <c r="D740">
        <f t="array" ref="D740">INDEX(Data!A72:BM172,,MATCH(_xlfn.CONCAT("Dec ",Dashboard!$A$43),Data!$A$1:$BN$1,0))</f>
        <v>0</v>
      </c>
      <c r="E740">
        <f t="array" ref="E740">INDEX(Data!B72:BN172,,MATCH(_xlfn.CONCAT("Dec ",Dashboard!$A$43),Data!$A$1:$BN$1,0))</f>
        <v>0</v>
      </c>
      <c r="G740" t="str">
        <v>ITEM8265</v>
      </c>
      <c r="H740" t="str">
        <v>Apple</v>
      </c>
      <c r="I740" t="str">
        <v>Robin</v>
      </c>
      <c r="J740">
        <v>25815</v>
      </c>
      <c r="K740">
        <v>15</v>
      </c>
    </row>
    <row r="741" spans="1:11">
      <c r="A741" s="44" t="str">
        <f t="array" ref="A741">Data!B73:D173</f>
        <v>ITEM8090</v>
      </c>
      <c r="B741" s="44" t="str">
        <f t="array" ref="B741">Data!C73:E173</f>
        <v>Mango</v>
      </c>
      <c r="C741" s="44" t="str">
        <f t="array" ref="C741">Data!D73:F173</f>
        <v>Green</v>
      </c>
      <c r="D741">
        <f t="array" ref="D741">INDEX(Data!A73:BM173,,MATCH(_xlfn.CONCAT("Dec ",Dashboard!$A$43),Data!$A$1:$BN$1,0))</f>
        <v>15358</v>
      </c>
      <c r="E741">
        <f t="array" ref="E741">INDEX(Data!B73:BN173,,MATCH(_xlfn.CONCAT("Dec ",Dashboard!$A$43),Data!$A$1:$BN$1,0))</f>
        <v>18</v>
      </c>
      <c r="G741" t="str">
        <v>ITEM8265</v>
      </c>
      <c r="H741" t="str">
        <v>Apple</v>
      </c>
      <c r="I741" t="str">
        <v>Robin</v>
      </c>
      <c r="J741">
        <v>25815</v>
      </c>
      <c r="K741">
        <v>15</v>
      </c>
    </row>
    <row r="742" spans="1:11">
      <c r="A742" s="44" t="str">
        <f t="array" ref="A742">Data!B74:D174</f>
        <v>ITEM8095</v>
      </c>
      <c r="B742" s="44" t="str">
        <f t="array" ref="B742">Data!C74:E174</f>
        <v>Mango</v>
      </c>
      <c r="C742" s="44" t="str">
        <f t="array" ref="C742">Data!D74:F174</f>
        <v>Green</v>
      </c>
      <c r="D742">
        <f t="array" ref="D742">INDEX(Data!A74:BM174,,MATCH(_xlfn.CONCAT("Dec ",Dashboard!$A$43),Data!$A$1:$BN$1,0))</f>
        <v>516</v>
      </c>
      <c r="E742">
        <f t="array" ref="E742">INDEX(Data!B74:BN174,,MATCH(_xlfn.CONCAT("Dec ",Dashboard!$A$43),Data!$A$1:$BN$1,0))</f>
        <v>4</v>
      </c>
      <c r="G742" t="str">
        <v>ITEM8265</v>
      </c>
      <c r="H742" t="str">
        <v>Apple</v>
      </c>
      <c r="I742" t="str">
        <v>Robin</v>
      </c>
      <c r="J742">
        <v>25815</v>
      </c>
      <c r="K742">
        <v>15</v>
      </c>
    </row>
    <row r="743" spans="1:11">
      <c r="A743" s="44" t="str">
        <f t="array" ref="A743">Data!B75:D175</f>
        <v>ITEM8108</v>
      </c>
      <c r="B743" s="44" t="str">
        <f t="array" ref="B743">Data!C75:E175</f>
        <v>Mango</v>
      </c>
      <c r="C743" s="44" t="str">
        <f t="array" ref="C743">Data!D75:F175</f>
        <v>Amrapalli</v>
      </c>
      <c r="D743">
        <f t="array" ref="D743">INDEX(Data!A75:BM175,,MATCH(_xlfn.CONCAT("Dec ",Dashboard!$A$43),Data!$A$1:$BN$1,0))</f>
        <v>7689</v>
      </c>
      <c r="E743">
        <f t="array" ref="E743">INDEX(Data!B75:BN175,,MATCH(_xlfn.CONCAT("Dec ",Dashboard!$A$43),Data!$A$1:$BN$1,0))</f>
        <v>11</v>
      </c>
      <c r="G743" t="str">
        <v>ITEM8265</v>
      </c>
      <c r="H743" t="str">
        <v>Apple</v>
      </c>
      <c r="I743" t="str">
        <v>Robin</v>
      </c>
      <c r="J743">
        <v>25815</v>
      </c>
      <c r="K743">
        <v>15</v>
      </c>
    </row>
    <row r="744" spans="1:11">
      <c r="A744" s="44" t="str">
        <f t="array" ref="A744">Data!B76:D176</f>
        <v>ITEM8186</v>
      </c>
      <c r="B744" s="44" t="str">
        <f t="array" ref="B744">Data!C76:E176</f>
        <v>Mango</v>
      </c>
      <c r="C744" s="44" t="str">
        <f t="array" ref="C744">Data!D76:F176</f>
        <v>Alphonso</v>
      </c>
      <c r="D744">
        <f t="array" ref="D744">INDEX(Data!A76:BM176,,MATCH(_xlfn.CONCAT("Dec ",Dashboard!$A$43),Data!$A$1:$BN$1,0))</f>
        <v>8394</v>
      </c>
      <c r="E744">
        <f t="array" ref="E744">INDEX(Data!B76:BN176,,MATCH(_xlfn.CONCAT("Dec ",Dashboard!$A$43),Data!$A$1:$BN$1,0))</f>
        <v>16</v>
      </c>
      <c r="G744" t="str">
        <v>ITEM8265</v>
      </c>
      <c r="H744" t="str">
        <v>Apple</v>
      </c>
      <c r="I744" t="str">
        <v>Robin</v>
      </c>
      <c r="J744">
        <v>25815</v>
      </c>
      <c r="K744">
        <v>15</v>
      </c>
    </row>
    <row r="745" spans="1:11">
      <c r="A745" s="44" t="str">
        <f t="array" ref="A745">Data!B77:D177</f>
        <v>ITEM8226</v>
      </c>
      <c r="B745" s="44" t="str">
        <f t="array" ref="B745">Data!C77:E177</f>
        <v>Guava</v>
      </c>
      <c r="C745" s="44" t="str">
        <f t="array" ref="C745">Data!D77:F177</f>
        <v>Sour</v>
      </c>
      <c r="D745">
        <f t="array" ref="D745">INDEX(Data!A77:BM177,,MATCH(_xlfn.CONCAT("Dec ",Dashboard!$A$43),Data!$A$1:$BN$1,0))</f>
        <v>0</v>
      </c>
      <c r="E745">
        <f t="array" ref="E745">INDEX(Data!B77:BN177,,MATCH(_xlfn.CONCAT("Dec ",Dashboard!$A$43),Data!$A$1:$BN$1,0))</f>
        <v>0</v>
      </c>
      <c r="G745" t="str">
        <v>ITEM8265</v>
      </c>
      <c r="H745" t="str">
        <v>Apple</v>
      </c>
      <c r="I745" t="str">
        <v>Robin</v>
      </c>
      <c r="J745">
        <v>25815</v>
      </c>
      <c r="K745">
        <v>15</v>
      </c>
    </row>
    <row r="746" spans="1:11">
      <c r="A746" s="44" t="str">
        <f t="array" ref="A746">Data!B78:D178</f>
        <v>ITEM8265</v>
      </c>
      <c r="B746" s="44" t="str">
        <f t="array" ref="B746">Data!C78:E178</f>
        <v>Apple</v>
      </c>
      <c r="C746" s="44" t="str">
        <f t="array" ref="C746">Data!D78:F178</f>
        <v>Robin</v>
      </c>
      <c r="D746">
        <f t="array" ref="D746">INDEX(Data!A78:BM178,,MATCH(_xlfn.CONCAT("Dec ",Dashboard!$A$43),Data!$A$1:$BN$1,0))</f>
        <v>25815</v>
      </c>
      <c r="E746">
        <f t="array" ref="E746">INDEX(Data!B78:BN178,,MATCH(_xlfn.CONCAT("Dec ",Dashboard!$A$43),Data!$A$1:$BN$1,0))</f>
        <v>15</v>
      </c>
      <c r="G746" t="str">
        <v>ITEM8265</v>
      </c>
      <c r="H746" t="str">
        <v>Apple</v>
      </c>
      <c r="I746" t="str">
        <v>Robin</v>
      </c>
      <c r="J746">
        <v>25815</v>
      </c>
      <c r="K746">
        <v>15</v>
      </c>
    </row>
    <row r="747" spans="1:11">
      <c r="A747" s="44" t="str">
        <f t="array" ref="A747">Data!B79:D179</f>
        <v>ITEM8277</v>
      </c>
      <c r="B747" s="44" t="str">
        <f t="array" ref="B747">Data!C79:E179</f>
        <v>Lemon</v>
      </c>
      <c r="C747" s="44" t="str">
        <f t="array" ref="C747">Data!D79:F179</f>
        <v>Lisbon</v>
      </c>
      <c r="D747">
        <f t="array" ref="D747">INDEX(Data!A79:BM179,,MATCH(_xlfn.CONCAT("Dec ",Dashboard!$A$43),Data!$A$1:$BN$1,0))</f>
        <v>4221</v>
      </c>
      <c r="E747">
        <f t="array" ref="E747">INDEX(Data!B79:BN179,,MATCH(_xlfn.CONCAT("Dec ",Dashboard!$A$43),Data!$A$1:$BN$1,0))</f>
        <v>5</v>
      </c>
      <c r="G747" t="str">
        <v>ITEM8265</v>
      </c>
      <c r="H747" t="str">
        <v>Apple</v>
      </c>
      <c r="I747" t="str">
        <v>Robin</v>
      </c>
      <c r="J747">
        <v>25815</v>
      </c>
      <c r="K747">
        <v>15</v>
      </c>
    </row>
    <row r="748" spans="1:11">
      <c r="A748" s="44" t="str">
        <f t="array" ref="A748">Data!B80:D180</f>
        <v>ITEM8353</v>
      </c>
      <c r="B748" s="44" t="str">
        <f t="array" ref="B748">Data!C80:E180</f>
        <v>Orange</v>
      </c>
      <c r="C748" s="44" t="str">
        <f t="array" ref="C748">Data!D80:F180</f>
        <v>Tangerine</v>
      </c>
      <c r="D748">
        <f t="array" ref="D748">INDEX(Data!A80:BM180,,MATCH(_xlfn.CONCAT("Dec ",Dashboard!$A$43),Data!$A$1:$BN$1,0))</f>
        <v>4221</v>
      </c>
      <c r="E748">
        <f t="array" ref="E748">INDEX(Data!B80:BN180,,MATCH(_xlfn.CONCAT("Dec ",Dashboard!$A$43),Data!$A$1:$BN$1,0))</f>
        <v>5</v>
      </c>
      <c r="G748" t="str">
        <v>ITEM8265</v>
      </c>
      <c r="H748" t="str">
        <v>Apple</v>
      </c>
      <c r="I748" t="str">
        <v>Robin</v>
      </c>
      <c r="J748">
        <v>25815</v>
      </c>
      <c r="K748">
        <v>15</v>
      </c>
    </row>
    <row r="749" spans="1:11">
      <c r="A749" s="44" t="str">
        <f t="array" ref="A749">Data!B81:D181</f>
        <v>ITEM8401</v>
      </c>
      <c r="B749" s="44" t="str">
        <f t="array" ref="B749">Data!C81:E181</f>
        <v>Lemon</v>
      </c>
      <c r="C749" s="44" t="str">
        <f t="array" ref="C749">Data!D81:F181</f>
        <v>Oblong</v>
      </c>
      <c r="D749">
        <f t="array" ref="D749">INDEX(Data!A81:BM181,,MATCH(_xlfn.CONCAT("Dec ",Dashboard!$A$43),Data!$A$1:$BN$1,0))</f>
        <v>0</v>
      </c>
      <c r="E749">
        <f t="array" ref="E749">INDEX(Data!B81:BN181,,MATCH(_xlfn.CONCAT("Dec ",Dashboard!$A$43),Data!$A$1:$BN$1,0))</f>
        <v>0</v>
      </c>
      <c r="G749" t="str">
        <v>ITEM8265</v>
      </c>
      <c r="H749" t="str">
        <v>Apple</v>
      </c>
      <c r="I749" t="str">
        <v>Robin</v>
      </c>
      <c r="J749">
        <v>25815</v>
      </c>
      <c r="K749">
        <v>15</v>
      </c>
    </row>
    <row r="750" spans="1:11">
      <c r="A750" s="44" t="str">
        <f t="array" ref="A750">Data!B82:D182</f>
        <v>ITEM8733</v>
      </c>
      <c r="B750" s="44" t="str">
        <f t="array" ref="B750">Data!C82:E182</f>
        <v>Lemon</v>
      </c>
      <c r="C750" s="44" t="str">
        <f t="array" ref="C750">Data!D82:F182</f>
        <v>Lisbon</v>
      </c>
      <c r="D750">
        <f t="array" ref="D750">INDEX(Data!A82:BM182,,MATCH(_xlfn.CONCAT("Dec ",Dashboard!$A$43),Data!$A$1:$BN$1,0))</f>
        <v>0</v>
      </c>
      <c r="E750">
        <f t="array" ref="E750">INDEX(Data!B82:BN182,,MATCH(_xlfn.CONCAT("Dec ",Dashboard!$A$43),Data!$A$1:$BN$1,0))</f>
        <v>0</v>
      </c>
      <c r="G750" t="str">
        <v>ITEM8265</v>
      </c>
      <c r="H750" t="str">
        <v>Apple</v>
      </c>
      <c r="I750" t="str">
        <v>Robin</v>
      </c>
      <c r="J750">
        <v>25815</v>
      </c>
      <c r="K750">
        <v>15</v>
      </c>
    </row>
    <row r="751" spans="1:11">
      <c r="A751" s="44" t="str">
        <f t="array" ref="A751">Data!B83:D183</f>
        <v>ITEM8789</v>
      </c>
      <c r="B751" s="44" t="str">
        <f t="array" ref="B751">Data!C83:E183</f>
        <v>Mango</v>
      </c>
      <c r="C751" s="44" t="str">
        <f t="array" ref="C751">Data!D83:F183</f>
        <v>Alphonso</v>
      </c>
      <c r="D751">
        <f t="array" ref="D751">INDEX(Data!A83:BM183,,MATCH(_xlfn.CONCAT("Dec ",Dashboard!$A$43),Data!$A$1:$BN$1,0))</f>
        <v>0</v>
      </c>
      <c r="E751">
        <f t="array" ref="E751">INDEX(Data!B83:BN183,,MATCH(_xlfn.CONCAT("Dec ",Dashboard!$A$43),Data!$A$1:$BN$1,0))</f>
        <v>0</v>
      </c>
      <c r="G751" t="str">
        <v>ITEM8265</v>
      </c>
      <c r="H751" t="str">
        <v>Apple</v>
      </c>
      <c r="I751" t="str">
        <v>Robin</v>
      </c>
      <c r="J751">
        <v>25815</v>
      </c>
      <c r="K751">
        <v>15</v>
      </c>
    </row>
    <row r="752" spans="1:11">
      <c r="A752" s="44" t="str">
        <f t="array" ref="A752">Data!B84:D184</f>
        <v>ITEM8886</v>
      </c>
      <c r="B752" s="44" t="str">
        <f t="array" ref="B752">Data!C84:E184</f>
        <v>Orange</v>
      </c>
      <c r="C752" s="44" t="str">
        <f t="array" ref="C752">Data!D84:F184</f>
        <v>Tangerine</v>
      </c>
      <c r="D752">
        <f t="array" ref="D752">INDEX(Data!A84:BM184,,MATCH(_xlfn.CONCAT("Dec ",Dashboard!$A$43),Data!$A$1:$BN$1,0))</f>
        <v>1416</v>
      </c>
      <c r="E752">
        <f t="array" ref="E752">INDEX(Data!B84:BN184,,MATCH(_xlfn.CONCAT("Dec ",Dashboard!$A$43),Data!$A$1:$BN$1,0))</f>
        <v>8</v>
      </c>
      <c r="G752" t="str">
        <v>ITEM8265</v>
      </c>
      <c r="H752" t="str">
        <v>Apple</v>
      </c>
      <c r="I752" t="str">
        <v>Robin</v>
      </c>
      <c r="J752">
        <v>25815</v>
      </c>
      <c r="K752">
        <v>15</v>
      </c>
    </row>
    <row r="753" spans="1:11">
      <c r="A753" s="44" t="str">
        <f t="array" ref="A753">Data!B85:D185</f>
        <v>ITEM8897</v>
      </c>
      <c r="B753" s="44" t="str">
        <f t="array" ref="B753">Data!C85:E185</f>
        <v>Apple</v>
      </c>
      <c r="C753" s="44" t="str">
        <f t="array" ref="C753">Data!D85:F185</f>
        <v>Red</v>
      </c>
      <c r="D753">
        <f t="array" ref="D753">INDEX(Data!A85:BM185,,MATCH(_xlfn.CONCAT("Dec ",Dashboard!$A$43),Data!$A$1:$BN$1,0))</f>
        <v>2533</v>
      </c>
      <c r="E753">
        <f t="array" ref="E753">INDEX(Data!B85:BN185,,MATCH(_xlfn.CONCAT("Dec ",Dashboard!$A$43),Data!$A$1:$BN$1,0))</f>
        <v>3</v>
      </c>
      <c r="G753" t="str">
        <v>ITEM8265</v>
      </c>
      <c r="H753" t="str">
        <v>Apple</v>
      </c>
      <c r="I753" t="str">
        <v>Robin</v>
      </c>
      <c r="J753">
        <v>25815</v>
      </c>
      <c r="K753">
        <v>15</v>
      </c>
    </row>
    <row r="754" spans="1:11">
      <c r="A754" s="44" t="str">
        <f t="array" ref="A754">Data!B86:D186</f>
        <v>ITEM8920</v>
      </c>
      <c r="B754" s="44" t="str">
        <f t="array" ref="B754">Data!C86:E186</f>
        <v>Mango</v>
      </c>
      <c r="C754" s="44" t="str">
        <f t="array" ref="C754">Data!D86:F186</f>
        <v>Amrapalli</v>
      </c>
      <c r="D754">
        <f t="array" ref="D754">INDEX(Data!A86:BM186,,MATCH(_xlfn.CONCAT("Dec ",Dashboard!$A$43),Data!$A$1:$BN$1,0))</f>
        <v>0</v>
      </c>
      <c r="E754">
        <f t="array" ref="E754">INDEX(Data!B86:BN186,,MATCH(_xlfn.CONCAT("Dec ",Dashboard!$A$43),Data!$A$1:$BN$1,0))</f>
        <v>0</v>
      </c>
      <c r="G754" t="str">
        <v>ITEM8265</v>
      </c>
      <c r="H754" t="str">
        <v>Apple</v>
      </c>
      <c r="I754" t="str">
        <v>Robin</v>
      </c>
      <c r="J754">
        <v>25815</v>
      </c>
      <c r="K754">
        <v>15</v>
      </c>
    </row>
    <row r="755" spans="1:11">
      <c r="A755" s="44" t="str">
        <f t="array" ref="A755">Data!B87:D187</f>
        <v>ITEM8923</v>
      </c>
      <c r="B755" s="44" t="str">
        <f t="array" ref="B755">Data!C87:E187</f>
        <v>Lemon</v>
      </c>
      <c r="C755" s="44" t="str">
        <f t="array" ref="C755">Data!D87:F187</f>
        <v>Oblong</v>
      </c>
      <c r="D755">
        <f t="array" ref="D755">INDEX(Data!A87:BM187,,MATCH(_xlfn.CONCAT("Dec ",Dashboard!$A$43),Data!$A$1:$BN$1,0))</f>
        <v>0</v>
      </c>
      <c r="E755">
        <f t="array" ref="E755">INDEX(Data!B87:BN187,,MATCH(_xlfn.CONCAT("Dec ",Dashboard!$A$43),Data!$A$1:$BN$1,0))</f>
        <v>0</v>
      </c>
      <c r="G755" t="str">
        <v>ITEM8265</v>
      </c>
      <c r="H755" t="str">
        <v>Apple</v>
      </c>
      <c r="I755" t="str">
        <v>Robin</v>
      </c>
      <c r="J755">
        <v>25815</v>
      </c>
      <c r="K755">
        <v>15</v>
      </c>
    </row>
    <row r="756" spans="1:11">
      <c r="A756" s="44" t="str">
        <f t="array" ref="A756">Data!B88:D188</f>
        <v>ITEM8933</v>
      </c>
      <c r="B756" s="44" t="str">
        <f t="array" ref="B756">Data!C88:E188</f>
        <v>Apple</v>
      </c>
      <c r="C756" s="44" t="str">
        <f t="array" ref="C756">Data!D88:F188</f>
        <v>Red</v>
      </c>
      <c r="D756">
        <f t="array" ref="D756">INDEX(Data!A88:BM188,,MATCH(_xlfn.CONCAT("Dec ",Dashboard!$A$43),Data!$A$1:$BN$1,0))</f>
        <v>2674</v>
      </c>
      <c r="E756">
        <f t="array" ref="E756">INDEX(Data!B88:BN188,,MATCH(_xlfn.CONCAT("Dec ",Dashboard!$A$43),Data!$A$1:$BN$1,0))</f>
        <v>3</v>
      </c>
      <c r="G756" t="str">
        <v>ITEM8265</v>
      </c>
      <c r="H756" t="str">
        <v>Apple</v>
      </c>
      <c r="I756" t="str">
        <v>Robin</v>
      </c>
      <c r="J756">
        <v>25815</v>
      </c>
      <c r="K756">
        <v>15</v>
      </c>
    </row>
    <row r="757" spans="1:11">
      <c r="A757" s="44" t="str">
        <f t="array" ref="A757">Data!B89:D189</f>
        <v>ITEM8963</v>
      </c>
      <c r="B757" s="44" t="str">
        <f t="array" ref="B757">Data!C89:E189</f>
        <v>Lemon</v>
      </c>
      <c r="C757" s="44" t="str">
        <f t="array" ref="C757">Data!D89:F189</f>
        <v>Nimbu</v>
      </c>
      <c r="D757">
        <f t="array" ref="D757">INDEX(Data!A89:BM189,,MATCH(_xlfn.CONCAT("Dec ",Dashboard!$A$43),Data!$A$1:$BN$1,0))</f>
        <v>15358</v>
      </c>
      <c r="E757">
        <f t="array" ref="E757">INDEX(Data!B89:BN189,,MATCH(_xlfn.CONCAT("Dec ",Dashboard!$A$43),Data!$A$1:$BN$1,0))</f>
        <v>18</v>
      </c>
      <c r="G757" t="str">
        <v>ITEM8265</v>
      </c>
      <c r="H757" t="str">
        <v>Apple</v>
      </c>
      <c r="I757" t="str">
        <v>Robin</v>
      </c>
      <c r="J757">
        <v>25815</v>
      </c>
      <c r="K757">
        <v>15</v>
      </c>
    </row>
    <row r="758" spans="1:11">
      <c r="A758" s="44" t="str">
        <f t="array" ref="A758">Data!B90:D190</f>
        <v>ITEM9090</v>
      </c>
      <c r="B758" s="44" t="str">
        <f t="array" ref="B758">Data!C90:E190</f>
        <v>Orange</v>
      </c>
      <c r="C758" s="44" t="str">
        <f t="array" ref="C758">Data!D90:F190</f>
        <v>Mandarin</v>
      </c>
      <c r="D758">
        <f t="array" ref="D758">INDEX(Data!A90:BM190,,MATCH(_xlfn.CONCAT("Dec ",Dashboard!$A$43),Data!$A$1:$BN$1,0))</f>
        <v>4221</v>
      </c>
      <c r="E758">
        <f t="array" ref="E758">INDEX(Data!B90:BN190,,MATCH(_xlfn.CONCAT("Dec ",Dashboard!$A$43),Data!$A$1:$BN$1,0))</f>
        <v>5</v>
      </c>
      <c r="G758" t="str">
        <v>ITEM8265</v>
      </c>
      <c r="H758" t="str">
        <v>Apple</v>
      </c>
      <c r="I758" t="str">
        <v>Robin</v>
      </c>
      <c r="J758">
        <v>25815</v>
      </c>
      <c r="K758">
        <v>15</v>
      </c>
    </row>
    <row r="759" spans="1:11">
      <c r="A759" s="44" t="str">
        <f t="array" ref="A759">Data!B91:D191</f>
        <v>ITEM9161</v>
      </c>
      <c r="B759" s="44" t="str">
        <f t="array" ref="B759">Data!C91:E191</f>
        <v>Orange</v>
      </c>
      <c r="C759" s="44" t="str">
        <f t="array" ref="C759">Data!D91:F191</f>
        <v>Tangerine</v>
      </c>
      <c r="D759">
        <f t="array" ref="D759">INDEX(Data!A91:BM191,,MATCH(_xlfn.CONCAT("Dec ",Dashboard!$A$43),Data!$A$1:$BN$1,0))</f>
        <v>8394</v>
      </c>
      <c r="E759">
        <f t="array" ref="E759">INDEX(Data!B91:BN191,,MATCH(_xlfn.CONCAT("Dec ",Dashboard!$A$43),Data!$A$1:$BN$1,0))</f>
        <v>16</v>
      </c>
      <c r="G759" t="str">
        <v>ITEM8265</v>
      </c>
      <c r="H759" t="str">
        <v>Apple</v>
      </c>
      <c r="I759" t="str">
        <v>Robin</v>
      </c>
      <c r="J759">
        <v>25815</v>
      </c>
      <c r="K759">
        <v>15</v>
      </c>
    </row>
    <row r="760" spans="1:11">
      <c r="A760" s="44" t="str">
        <f t="array" ref="A760">Data!B92:D192</f>
        <v>ITEM9480</v>
      </c>
      <c r="B760" s="44" t="str">
        <f t="array" ref="B760">Data!C92:E192</f>
        <v>Mango</v>
      </c>
      <c r="C760" s="44" t="str">
        <f t="array" ref="C760">Data!D92:F192</f>
        <v>Green</v>
      </c>
      <c r="D760">
        <f t="array" ref="D760">INDEX(Data!A92:BM192,,MATCH(_xlfn.CONCAT("Dec ",Dashboard!$A$43),Data!$A$1:$BN$1,0))</f>
        <v>0</v>
      </c>
      <c r="E760">
        <f t="array" ref="E760">INDEX(Data!B92:BN192,,MATCH(_xlfn.CONCAT("Dec ",Dashboard!$A$43),Data!$A$1:$BN$1,0))</f>
        <v>0</v>
      </c>
      <c r="G760" t="str">
        <v>ITEM8265</v>
      </c>
      <c r="H760" t="str">
        <v>Apple</v>
      </c>
      <c r="I760" t="str">
        <v>Robin</v>
      </c>
      <c r="J760">
        <v>25815</v>
      </c>
      <c r="K760">
        <v>15</v>
      </c>
    </row>
    <row r="761" spans="1:11">
      <c r="A761" s="44" t="str">
        <f t="array" ref="A761">Data!B93:D193</f>
        <v>ITEM9485</v>
      </c>
      <c r="B761" s="44" t="str">
        <f t="array" ref="B761">Data!C93:E193</f>
        <v>Mango</v>
      </c>
      <c r="C761" s="44" t="str">
        <f t="array" ref="C761">Data!D93:F193</f>
        <v>Green</v>
      </c>
      <c r="D761">
        <f t="array" ref="D761">INDEX(Data!A93:BM193,,MATCH(_xlfn.CONCAT("Dec ",Dashboard!$A$43),Data!$A$1:$BN$1,0))</f>
        <v>15930</v>
      </c>
      <c r="E761">
        <f t="array" ref="E761">INDEX(Data!B93:BN193,,MATCH(_xlfn.CONCAT("Dec ",Dashboard!$A$43),Data!$A$1:$BN$1,0))</f>
        <v>118</v>
      </c>
      <c r="G761" t="str">
        <v>ITEM8265</v>
      </c>
      <c r="H761" t="str">
        <v>Apple</v>
      </c>
      <c r="I761" t="str">
        <v>Robin</v>
      </c>
      <c r="J761">
        <v>25815</v>
      </c>
      <c r="K761">
        <v>15</v>
      </c>
    </row>
    <row r="762" spans="1:11">
      <c r="A762" s="44" t="str">
        <f t="array" ref="A762">Data!B94:D194</f>
        <v>ITEM9564</v>
      </c>
      <c r="B762" s="44" t="str">
        <f t="array" ref="B762">Data!C94:E194</f>
        <v>Orange</v>
      </c>
      <c r="C762" s="44" t="str">
        <f t="array" ref="C762">Data!D94:F194</f>
        <v>Indie</v>
      </c>
      <c r="D762">
        <f t="array" ref="D762">INDEX(Data!A94:BM194,,MATCH(_xlfn.CONCAT("Dec ",Dashboard!$A$43),Data!$A$1:$BN$1,0))</f>
        <v>18804</v>
      </c>
      <c r="E762">
        <f t="array" ref="E762">INDEX(Data!B94:BN194,,MATCH(_xlfn.CONCAT("Dec ",Dashboard!$A$43),Data!$A$1:$BN$1,0))</f>
        <v>45</v>
      </c>
      <c r="G762" t="str">
        <v>ITEM8265</v>
      </c>
      <c r="H762" t="str">
        <v>Apple</v>
      </c>
      <c r="I762" t="str">
        <v>Robin</v>
      </c>
      <c r="J762">
        <v>25815</v>
      </c>
      <c r="K762">
        <v>15</v>
      </c>
    </row>
    <row r="763" spans="1:11">
      <c r="A763" s="44" t="str">
        <f t="array" ref="A763">Data!B95:D195</f>
        <v>ITEM9640</v>
      </c>
      <c r="B763" s="44" t="str">
        <f t="array" ref="B763">Data!C95:E195</f>
        <v>Apple</v>
      </c>
      <c r="C763" s="44" t="str">
        <f t="array" ref="C763">Data!D95:F195</f>
        <v>Golden</v>
      </c>
      <c r="D763">
        <f t="array" ref="D763">INDEX(Data!A95:BM195,,MATCH(_xlfn.CONCAT("Dec ",Dashboard!$A$43),Data!$A$1:$BN$1,0))</f>
        <v>4221</v>
      </c>
      <c r="E763">
        <f t="array" ref="E763">INDEX(Data!B95:BN195,,MATCH(_xlfn.CONCAT("Dec ",Dashboard!$A$43),Data!$A$1:$BN$1,0))</f>
        <v>5</v>
      </c>
      <c r="G763" t="str">
        <v>ITEM8265</v>
      </c>
      <c r="H763" t="str">
        <v>Apple</v>
      </c>
      <c r="I763" t="str">
        <v>Robin</v>
      </c>
      <c r="J763">
        <v>25815</v>
      </c>
      <c r="K763">
        <v>15</v>
      </c>
    </row>
    <row r="764" spans="1:11">
      <c r="A764" s="44" t="str">
        <f t="array" ref="A764">Data!B96:D196</f>
        <v>ITEM9671</v>
      </c>
      <c r="B764" s="44" t="str">
        <f t="array" ref="B764">Data!C96:E196</f>
        <v>Apple</v>
      </c>
      <c r="C764" s="44" t="str">
        <f t="array" ref="C764">Data!D96:F196</f>
        <v>Red</v>
      </c>
      <c r="D764">
        <f t="array" ref="D764">INDEX(Data!A96:BM196,,MATCH(_xlfn.CONCAT("Dec ",Dashboard!$A$43),Data!$A$1:$BN$1,0))</f>
        <v>716</v>
      </c>
      <c r="E764">
        <f t="array" ref="E764">INDEX(Data!B96:BN196,,MATCH(_xlfn.CONCAT("Dec ",Dashboard!$A$43),Data!$A$1:$BN$1,0))</f>
        <v>4</v>
      </c>
      <c r="G764" t="str">
        <v>ITEM8265</v>
      </c>
      <c r="H764" t="str">
        <v>Apple</v>
      </c>
      <c r="I764" t="str">
        <v>Robin</v>
      </c>
      <c r="J764">
        <v>25815</v>
      </c>
      <c r="K764">
        <v>15</v>
      </c>
    </row>
    <row r="765" spans="1:11">
      <c r="A765" s="44" t="str">
        <f t="array" ref="A765">Data!B97:D197</f>
        <v>ITEM9717</v>
      </c>
      <c r="B765" s="44" t="str">
        <f t="array" ref="B765">Data!C97:E197</f>
        <v>Apple</v>
      </c>
      <c r="C765" s="44" t="str">
        <f t="array" ref="C765">Data!D97:F197</f>
        <v>Red</v>
      </c>
      <c r="D765">
        <f t="array" ref="D765">INDEX(Data!A97:BM197,,MATCH(_xlfn.CONCAT("Dec ",Dashboard!$A$43),Data!$A$1:$BN$1,0))</f>
        <v>2037</v>
      </c>
      <c r="E765">
        <f t="array" ref="E765">INDEX(Data!B97:BN197,,MATCH(_xlfn.CONCAT("Dec ",Dashboard!$A$43),Data!$A$1:$BN$1,0))</f>
        <v>3</v>
      </c>
      <c r="G765" t="str">
        <v>ITEM8265</v>
      </c>
      <c r="H765" t="str">
        <v>Apple</v>
      </c>
      <c r="I765" t="str">
        <v>Robin</v>
      </c>
      <c r="J765">
        <v>25815</v>
      </c>
      <c r="K765">
        <v>15</v>
      </c>
    </row>
    <row r="766" spans="1:11">
      <c r="A766" s="44" t="str">
        <f t="array" ref="A766">Data!B98:D198</f>
        <v>ITEM9882</v>
      </c>
      <c r="B766" s="44" t="str">
        <f t="array" ref="B766">Data!C98:E198</f>
        <v>Lemon</v>
      </c>
      <c r="C766" s="44" t="str">
        <f t="array" ref="C766">Data!D98:F198</f>
        <v>Lisbon</v>
      </c>
      <c r="D766">
        <f t="array" ref="D766">INDEX(Data!A98:BM198,,MATCH(_xlfn.CONCAT("Dec ",Dashboard!$A$43),Data!$A$1:$BN$1,0))</f>
        <v>15930</v>
      </c>
      <c r="E766">
        <f t="array" ref="E766">INDEX(Data!B98:BN198,,MATCH(_xlfn.CONCAT("Dec ",Dashboard!$A$43),Data!$A$1:$BN$1,0))</f>
        <v>118</v>
      </c>
      <c r="G766" t="str">
        <v>ITEM8265</v>
      </c>
      <c r="H766" t="str">
        <v>Apple</v>
      </c>
      <c r="I766" t="str">
        <v>Robin</v>
      </c>
      <c r="J766">
        <v>25815</v>
      </c>
      <c r="K766">
        <v>15</v>
      </c>
    </row>
    <row r="767" spans="1:11">
      <c r="A767" s="44" t="str">
        <f t="array" ref="A767">Data!B99:D199</f>
        <v>ITEM9891</v>
      </c>
      <c r="B767" s="44" t="str">
        <f t="array" ref="B767">Data!C99:E199</f>
        <v>Mango</v>
      </c>
      <c r="C767" s="44" t="str">
        <f t="array" ref="C767">Data!D99:F199</f>
        <v>Green</v>
      </c>
      <c r="D767">
        <f t="array" ref="D767">INDEX(Data!A99:BM199,,MATCH(_xlfn.CONCAT("Dec ",Dashboard!$A$43),Data!$A$1:$BN$1,0))</f>
        <v>2037</v>
      </c>
      <c r="E767">
        <f t="array" ref="E767">INDEX(Data!B99:BN199,,MATCH(_xlfn.CONCAT("Dec ",Dashboard!$A$43),Data!$A$1:$BN$1,0))</f>
        <v>3</v>
      </c>
      <c r="G767" t="str">
        <v>ITEM8265</v>
      </c>
      <c r="H767" t="str">
        <v>Apple</v>
      </c>
      <c r="I767" t="str">
        <v>Robin</v>
      </c>
      <c r="J767">
        <v>25815</v>
      </c>
      <c r="K767">
        <v>15</v>
      </c>
    </row>
    <row r="768" spans="1:11">
      <c r="A768" s="44" t="str">
        <f t="array" ref="A768">Data!B100:D200</f>
        <v>ITEM9894</v>
      </c>
      <c r="B768" s="44" t="str">
        <f t="array" ref="B768">Data!C100:E200</f>
        <v>Mango</v>
      </c>
      <c r="C768" s="44" t="str">
        <f t="array" ref="C768">Data!D100:F200</f>
        <v>Alphonso</v>
      </c>
      <c r="D768">
        <f t="array" ref="D768">INDEX(Data!A100:BM200,,MATCH(_xlfn.CONCAT("Dec ",Dashboard!$A$43),Data!$A$1:$BN$1,0))</f>
        <v>0</v>
      </c>
      <c r="E768">
        <f t="array" ref="E768">INDEX(Data!B100:BN200,,MATCH(_xlfn.CONCAT("Dec ",Dashboard!$A$43),Data!$A$1:$BN$1,0))</f>
        <v>0</v>
      </c>
      <c r="G768" t="str">
        <v>ITEM8265</v>
      </c>
      <c r="H768" t="str">
        <v>Apple</v>
      </c>
      <c r="I768" t="str">
        <v>Robin</v>
      </c>
      <c r="J768">
        <v>25815</v>
      </c>
      <c r="K768">
        <v>15</v>
      </c>
    </row>
    <row r="769" spans="1:11">
      <c r="A769" s="44" t="str">
        <f t="array" ref="A769">Data!B101:D201</f>
        <v>ITEM9903</v>
      </c>
      <c r="B769" s="44" t="str">
        <f t="array" ref="B769">Data!C101:E201</f>
        <v>Lemon</v>
      </c>
      <c r="C769" s="44" t="str">
        <f t="array" ref="C769">Data!D101:F201</f>
        <v>Oblong</v>
      </c>
      <c r="D769">
        <f t="array" ref="D769">INDEX(Data!A101:BM201,,MATCH(_xlfn.CONCAT("Dec ",Dashboard!$A$43),Data!$A$1:$BN$1,0))</f>
        <v>316</v>
      </c>
      <c r="E769">
        <f t="array" ref="E769">INDEX(Data!B101:BN201,,MATCH(_xlfn.CONCAT("Dec ",Dashboard!$A$43),Data!$A$1:$BN$1,0))</f>
        <v>1</v>
      </c>
      <c r="G769" t="str">
        <v>ITEM8265</v>
      </c>
      <c r="H769" t="str">
        <v>Apple</v>
      </c>
      <c r="I769" t="str">
        <v>Robin</v>
      </c>
      <c r="J769">
        <v>25815</v>
      </c>
      <c r="K769">
        <v>15</v>
      </c>
    </row>
    <row r="770" spans="1:11">
      <c r="A770" s="44" t="str">
        <f t="array" ref="A770">Data!B102:D202</f>
        <v>ITEM9924</v>
      </c>
      <c r="B770" s="44" t="str">
        <f t="array" ref="B770">Data!C102:E202</f>
        <v>Lemon</v>
      </c>
      <c r="C770" s="44" t="str">
        <f t="array" ref="C770">Data!D102:F202</f>
        <v>Oblong</v>
      </c>
      <c r="D770">
        <f t="array" ref="D770">INDEX(Data!A102:BM202,,MATCH(_xlfn.CONCAT("Dec ",Dashboard!$A$43),Data!$A$1:$BN$1,0))</f>
        <v>21245</v>
      </c>
      <c r="E770">
        <f t="array" ref="E770">INDEX(Data!B102:BN202,,MATCH(_xlfn.CONCAT("Dec ",Dashboard!$A$43),Data!$A$1:$BN$1,0))</f>
        <v>43</v>
      </c>
      <c r="G770" t="str">
        <v>ITEM8265</v>
      </c>
      <c r="H770" t="str">
        <v>Apple</v>
      </c>
      <c r="I770" t="str">
        <v>Robin</v>
      </c>
      <c r="J770">
        <v>25815</v>
      </c>
      <c r="K770">
        <v>15</v>
      </c>
    </row>
    <row r="771" spans="1:11">
      <c r="A771" s="44"/>
      <c r="G771" t="str">
        <v>ITEM8265</v>
      </c>
      <c r="H771" t="str">
        <v>Apple</v>
      </c>
      <c r="I771" t="str">
        <v>Robin</v>
      </c>
      <c r="J771">
        <v>25815</v>
      </c>
      <c r="K771">
        <v>15</v>
      </c>
    </row>
    <row r="772" spans="1:11">
      <c r="A772" s="44"/>
      <c r="G772" t="str">
        <v>ITEM8265</v>
      </c>
      <c r="H772" t="str">
        <v>Apple</v>
      </c>
      <c r="I772" t="str">
        <v>Robin</v>
      </c>
      <c r="J772">
        <v>25815</v>
      </c>
      <c r="K772">
        <v>15</v>
      </c>
    </row>
    <row r="773" spans="1:11">
      <c r="A773" s="44"/>
      <c r="G773" t="str">
        <v>ITEM8265</v>
      </c>
      <c r="H773" t="str">
        <v>Apple</v>
      </c>
      <c r="I773" t="str">
        <v>Robin</v>
      </c>
      <c r="J773">
        <v>25815</v>
      </c>
      <c r="K773">
        <v>15</v>
      </c>
    </row>
    <row r="774" spans="1:11">
      <c r="A774" s="44"/>
    </row>
    <row r="775" spans="1:11">
      <c r="A775" s="44"/>
    </row>
    <row r="776" spans="1:11">
      <c r="A776" s="44"/>
    </row>
    <row r="777" spans="1:11">
      <c r="A777" s="44"/>
    </row>
    <row r="778" spans="1:11">
      <c r="A778" s="44"/>
    </row>
    <row r="779" spans="1:11">
      <c r="A779" s="44"/>
    </row>
    <row r="780" spans="1:11">
      <c r="A780" s="44"/>
    </row>
    <row r="781" spans="1:11">
      <c r="A781" s="44"/>
    </row>
    <row r="782" spans="1:11">
      <c r="A782" s="44"/>
    </row>
    <row r="783" spans="1:11">
      <c r="A783" s="44"/>
    </row>
    <row r="784" spans="1:11">
      <c r="A784" s="44"/>
    </row>
    <row r="785" spans="1:1">
      <c r="A785" s="44"/>
    </row>
    <row r="786" spans="1:1">
      <c r="A786" s="44"/>
    </row>
    <row r="787" spans="1:1">
      <c r="A787" s="44"/>
    </row>
    <row r="788" spans="1:1">
      <c r="A788" s="44"/>
    </row>
    <row r="789" spans="1:1">
      <c r="A789" s="44"/>
    </row>
    <row r="790" spans="1:1">
      <c r="A790" s="44"/>
    </row>
    <row r="791" spans="1:1">
      <c r="A791" s="44"/>
    </row>
    <row r="792" spans="1:1">
      <c r="A792" s="44"/>
    </row>
    <row r="793" spans="1:1">
      <c r="A793" s="44"/>
    </row>
    <row r="794" spans="1:1">
      <c r="A794" s="44"/>
    </row>
    <row r="795" spans="1:1">
      <c r="A795" s="44"/>
    </row>
    <row r="796" spans="1:1">
      <c r="A796" s="44"/>
    </row>
    <row r="797" spans="1:1">
      <c r="A797" s="44"/>
    </row>
    <row r="798" spans="1:1">
      <c r="A798" s="44"/>
    </row>
    <row r="799" spans="1:1">
      <c r="A799" s="44"/>
    </row>
    <row r="800" spans="1:1">
      <c r="A800" s="44"/>
    </row>
    <row r="801" spans="1:1">
      <c r="A801" s="44"/>
    </row>
    <row r="802" spans="1:1">
      <c r="A802" s="44"/>
    </row>
    <row r="803" spans="1:1">
      <c r="A803" s="44"/>
    </row>
    <row r="804" spans="1:1">
      <c r="A804" s="44"/>
    </row>
    <row r="805" spans="1:1">
      <c r="A805" s="44"/>
    </row>
    <row r="806" spans="1:1">
      <c r="A806" s="44"/>
    </row>
    <row r="807" spans="1:1">
      <c r="A807" s="44"/>
    </row>
    <row r="808" spans="1:1">
      <c r="A808" s="44"/>
    </row>
    <row r="809" spans="1:1">
      <c r="A809" s="44"/>
    </row>
    <row r="810" spans="1:1">
      <c r="A810" s="44"/>
    </row>
    <row r="811" spans="1:1">
      <c r="A811" s="44"/>
    </row>
    <row r="812" spans="1:1">
      <c r="A812" s="44"/>
    </row>
    <row r="813" spans="1:1">
      <c r="A813" s="44"/>
    </row>
    <row r="814" spans="1:1">
      <c r="A814" s="44"/>
    </row>
    <row r="815" spans="1:1">
      <c r="A815" s="44"/>
    </row>
    <row r="816" spans="1:1">
      <c r="A816" s="44"/>
    </row>
    <row r="817" spans="1:1">
      <c r="A817" s="44"/>
    </row>
    <row r="818" spans="1:1">
      <c r="A818" s="44"/>
    </row>
    <row r="819" spans="1:1">
      <c r="A819" s="44"/>
    </row>
    <row r="820" spans="1:1">
      <c r="A820" s="44"/>
    </row>
    <row r="821" spans="1:1">
      <c r="A821" s="44"/>
    </row>
    <row r="822" spans="1:1">
      <c r="A822" s="44"/>
    </row>
    <row r="823" spans="1:1">
      <c r="A823" s="44"/>
    </row>
    <row r="824" spans="1:1">
      <c r="A824" s="44"/>
    </row>
    <row r="825" spans="1:1">
      <c r="A825" s="44"/>
    </row>
    <row r="826" spans="1:1">
      <c r="A826" s="44"/>
    </row>
  </sheetData>
  <dataConsolidate/>
  <phoneticPr fontId="11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077B-0F0C-FC45-B261-88D7821A8DEA}">
  <dimension ref="A2:BS263"/>
  <sheetViews>
    <sheetView showGridLines="0" tabSelected="1" topLeftCell="A33" zoomScale="85" zoomScaleNormal="85" workbookViewId="0">
      <selection activeCell="Q58" sqref="Q58"/>
    </sheetView>
  </sheetViews>
  <sheetFormatPr defaultColWidth="10.88671875" defaultRowHeight="13.2"/>
  <cols>
    <col min="1" max="1" width="12.44140625" customWidth="1"/>
    <col min="2" max="2" width="13.33203125" bestFit="1" customWidth="1"/>
    <col min="3" max="3" width="15.33203125" customWidth="1"/>
    <col min="10" max="10" width="15" style="15" bestFit="1" customWidth="1"/>
    <col min="11" max="11" width="11.44140625" bestFit="1" customWidth="1"/>
    <col min="13" max="13" width="15.5546875" bestFit="1" customWidth="1"/>
    <col min="14" max="14" width="9.109375" bestFit="1" customWidth="1"/>
    <col min="15" max="15" width="15" bestFit="1" customWidth="1"/>
  </cols>
  <sheetData>
    <row r="2" spans="1:71">
      <c r="A2" s="23" t="s">
        <v>140</v>
      </c>
      <c r="B2" s="23" t="s">
        <v>141</v>
      </c>
      <c r="G2" s="23" t="s">
        <v>106</v>
      </c>
    </row>
    <row r="3" spans="1:71">
      <c r="A3" s="28" t="s">
        <v>101</v>
      </c>
      <c r="B3" s="28"/>
      <c r="F3" t="s">
        <v>330</v>
      </c>
      <c r="G3" s="28" t="s">
        <v>28</v>
      </c>
    </row>
    <row r="4" spans="1:71" ht="14.4">
      <c r="E4" s="10"/>
      <c r="F4" s="10"/>
      <c r="G4" s="10"/>
      <c r="H4" s="10"/>
      <c r="I4" s="10"/>
    </row>
    <row r="5" spans="1:71" ht="14.4">
      <c r="A5" s="25" t="s">
        <v>248</v>
      </c>
      <c r="B5" s="26" t="s">
        <v>246</v>
      </c>
      <c r="C5" s="26" t="s">
        <v>247</v>
      </c>
      <c r="E5" s="10"/>
      <c r="F5" s="10"/>
      <c r="G5" s="29" t="str" cm="1">
        <f t="array" ref="G5:BS5">Table1[#Headers]</f>
        <v>Product ID</v>
      </c>
      <c r="H5" s="29" t="str">
        <v>Category</v>
      </c>
      <c r="I5" s="29" t="str">
        <v>Sub-Category</v>
      </c>
      <c r="J5" s="29" t="str">
        <v>GMV 1</v>
      </c>
      <c r="K5" s="29" t="str">
        <v>Units 1</v>
      </c>
      <c r="L5" s="29" t="str">
        <v>GMV 2</v>
      </c>
      <c r="M5" s="29" t="str">
        <v>Units 2</v>
      </c>
      <c r="N5" s="29" t="str">
        <v>GMV 3</v>
      </c>
      <c r="O5" s="29" t="str">
        <v>Units 3</v>
      </c>
      <c r="P5" s="29" t="str">
        <v>GMV 4</v>
      </c>
      <c r="Q5" s="29" t="str">
        <v>Units 4</v>
      </c>
      <c r="R5" s="29" t="str">
        <v>GMV 5</v>
      </c>
      <c r="S5" s="29" t="str">
        <v>Units 5</v>
      </c>
      <c r="T5" s="29" t="str">
        <v>GMV 6</v>
      </c>
      <c r="U5" s="29" t="str">
        <v>Units 6</v>
      </c>
      <c r="V5" s="29" t="str">
        <v>GMV 7</v>
      </c>
      <c r="W5" s="29" t="str">
        <v>Units 7</v>
      </c>
      <c r="X5" s="29" t="str">
        <v>GMV 8</v>
      </c>
      <c r="Y5" s="29" t="str">
        <v>Units 8</v>
      </c>
      <c r="Z5" s="29" t="str">
        <v>GMV 9</v>
      </c>
      <c r="AA5" s="29" t="str">
        <v>Units 9</v>
      </c>
      <c r="AB5" s="29" t="str">
        <v>GMV 10</v>
      </c>
      <c r="AC5" s="29" t="str">
        <v>Units 10</v>
      </c>
      <c r="AD5" s="29" t="str">
        <v>GMV 11</v>
      </c>
      <c r="AE5" s="29" t="str">
        <v>Units 11</v>
      </c>
      <c r="AF5" s="29" t="str">
        <v>GMV 12</v>
      </c>
      <c r="AG5" s="29" t="str">
        <v>Units 12</v>
      </c>
      <c r="AH5" s="29" t="str">
        <v>GMV 13</v>
      </c>
      <c r="AI5" s="29" t="str">
        <v>Units 13</v>
      </c>
      <c r="AJ5" s="29" t="str">
        <v>GMV 14</v>
      </c>
      <c r="AK5" s="29" t="str">
        <v>Units 14</v>
      </c>
      <c r="AL5" s="29" t="str">
        <v>GMV 15</v>
      </c>
      <c r="AM5" s="29" t="str">
        <v>Units 15</v>
      </c>
      <c r="AN5" s="29" t="str">
        <v>GMV 16</v>
      </c>
      <c r="AO5" s="29" t="str">
        <v>Units 16</v>
      </c>
      <c r="AP5" s="29" t="str">
        <v>GMV 17</v>
      </c>
      <c r="AQ5" s="29" t="str">
        <v>Units 17</v>
      </c>
      <c r="AR5" s="29" t="str">
        <v>GMV 18</v>
      </c>
      <c r="AS5" s="29" t="str">
        <v>Units 18</v>
      </c>
      <c r="AT5" s="29" t="str">
        <v>GMV 19</v>
      </c>
      <c r="AU5" s="29" t="str">
        <v>Units 19</v>
      </c>
      <c r="AV5" s="29" t="str">
        <v>GMV 20</v>
      </c>
      <c r="AW5" s="29" t="str">
        <v>Units 20</v>
      </c>
      <c r="AX5" s="29" t="str">
        <v>GMV 21</v>
      </c>
      <c r="AY5" s="29" t="str">
        <v>Units 21</v>
      </c>
      <c r="AZ5" s="29" t="str">
        <v>GMV 22</v>
      </c>
      <c r="BA5" s="29" t="str">
        <v>Units 22</v>
      </c>
      <c r="BB5" s="29" t="str">
        <v>GMV 23</v>
      </c>
      <c r="BC5" s="29" t="str">
        <v>Units 23</v>
      </c>
      <c r="BD5" s="29" t="str">
        <v>GMV 24</v>
      </c>
      <c r="BE5" s="29" t="str">
        <v>Units 24</v>
      </c>
      <c r="BF5" s="29" t="str">
        <v>GMV 25</v>
      </c>
      <c r="BG5" s="29" t="str">
        <v>Units 25</v>
      </c>
      <c r="BH5" s="29" t="str">
        <v>GMV 26</v>
      </c>
      <c r="BI5" s="29" t="str">
        <v>Units 26</v>
      </c>
      <c r="BJ5" s="29" t="str">
        <v>GMV 27</v>
      </c>
      <c r="BK5" s="29" t="str">
        <v>Units 27</v>
      </c>
      <c r="BL5" s="29" t="str">
        <v>GMV 28</v>
      </c>
      <c r="BM5" s="29" t="str">
        <v>Units 28</v>
      </c>
      <c r="BN5" s="29" t="str">
        <v>GMV 29</v>
      </c>
      <c r="BO5" s="29" t="str">
        <v>Units 29</v>
      </c>
      <c r="BP5" s="29" t="str">
        <v>GMV 30</v>
      </c>
      <c r="BQ5" s="29" t="str">
        <v>Units 30</v>
      </c>
      <c r="BR5" s="29" t="str">
        <v>GMV 31</v>
      </c>
      <c r="BS5" s="29" t="str">
        <v>Units 31</v>
      </c>
    </row>
    <row r="6" spans="1:71" ht="14.4">
      <c r="A6" s="27">
        <v>37226</v>
      </c>
      <c r="B6" s="24" cm="1">
        <f t="array" ref="B6:B36">TRANSPOSE(TsumG)</f>
        <v>137384</v>
      </c>
      <c r="C6" s="24" cm="1">
        <f t="array" ref="C6:C36">TRANSPOSE(TsumU)</f>
        <v>364</v>
      </c>
      <c r="E6" s="10"/>
      <c r="F6" s="10"/>
      <c r="G6" s="30" t="str" cm="1">
        <f t="array" ref="G6:BS6">IF($G$3="","Choose Product ID",_xlfn._xlws.FILTER(Table1[],Table1[Product ID]=$G$3))</f>
        <v>ITEM3252</v>
      </c>
      <c r="H6" s="30" t="str">
        <v>Orange</v>
      </c>
      <c r="I6" s="30" t="str">
        <v>Tangerine</v>
      </c>
      <c r="J6" s="31">
        <v>16450</v>
      </c>
      <c r="K6" s="24">
        <v>33</v>
      </c>
      <c r="L6" s="24">
        <v>15769</v>
      </c>
      <c r="M6" s="24">
        <v>32</v>
      </c>
      <c r="N6" s="24">
        <v>19212</v>
      </c>
      <c r="O6" s="24">
        <v>39</v>
      </c>
      <c r="P6" s="24">
        <v>24138</v>
      </c>
      <c r="Q6" s="24">
        <v>49</v>
      </c>
      <c r="R6" s="24">
        <v>21245</v>
      </c>
      <c r="S6" s="24">
        <v>43</v>
      </c>
      <c r="T6" s="24">
        <v>22283</v>
      </c>
      <c r="U6" s="24">
        <v>45</v>
      </c>
      <c r="V6" s="24">
        <v>20197</v>
      </c>
      <c r="W6" s="24">
        <v>41</v>
      </c>
      <c r="X6" s="24">
        <v>17734</v>
      </c>
      <c r="Y6" s="24">
        <v>36</v>
      </c>
      <c r="Z6" s="24">
        <v>20197</v>
      </c>
      <c r="AA6" s="24">
        <v>41</v>
      </c>
      <c r="AB6" s="24">
        <v>24138</v>
      </c>
      <c r="AC6" s="24">
        <v>49</v>
      </c>
      <c r="AD6" s="24">
        <v>24631</v>
      </c>
      <c r="AE6" s="24">
        <v>50</v>
      </c>
      <c r="AF6" s="24">
        <v>13793</v>
      </c>
      <c r="AG6" s="24">
        <v>28</v>
      </c>
      <c r="AH6" s="24">
        <v>17242</v>
      </c>
      <c r="AI6" s="24">
        <v>35</v>
      </c>
      <c r="AJ6" s="24">
        <v>14778</v>
      </c>
      <c r="AK6" s="24">
        <v>30</v>
      </c>
      <c r="AL6" s="24">
        <v>17734</v>
      </c>
      <c r="AM6" s="24">
        <v>36</v>
      </c>
      <c r="AN6" s="24">
        <v>15271</v>
      </c>
      <c r="AO6" s="24">
        <v>31</v>
      </c>
      <c r="AP6" s="24">
        <v>24631</v>
      </c>
      <c r="AQ6" s="24">
        <v>50</v>
      </c>
      <c r="AR6" s="24">
        <v>22660</v>
      </c>
      <c r="AS6" s="24">
        <v>46</v>
      </c>
      <c r="AT6" s="24">
        <v>23645</v>
      </c>
      <c r="AU6" s="24">
        <v>48</v>
      </c>
      <c r="AV6" s="24">
        <v>23153</v>
      </c>
      <c r="AW6" s="24">
        <v>47</v>
      </c>
      <c r="AX6" s="24">
        <v>27094</v>
      </c>
      <c r="AY6" s="24">
        <v>55</v>
      </c>
      <c r="AZ6" s="24">
        <v>38441</v>
      </c>
      <c r="BA6" s="24">
        <v>78</v>
      </c>
      <c r="BB6" s="24">
        <v>43964</v>
      </c>
      <c r="BC6" s="24">
        <v>91</v>
      </c>
      <c r="BD6" s="24">
        <v>50245</v>
      </c>
      <c r="BE6" s="24">
        <v>104</v>
      </c>
      <c r="BF6" s="24">
        <v>31403</v>
      </c>
      <c r="BG6" s="24">
        <v>65</v>
      </c>
      <c r="BH6" s="24">
        <v>30437</v>
      </c>
      <c r="BI6" s="24">
        <v>63</v>
      </c>
      <c r="BJ6" s="24">
        <v>34785</v>
      </c>
      <c r="BK6" s="24">
        <v>72</v>
      </c>
      <c r="BL6" s="24">
        <v>29631</v>
      </c>
      <c r="BM6" s="24">
        <v>60</v>
      </c>
      <c r="BN6" s="24">
        <v>27586</v>
      </c>
      <c r="BO6" s="24">
        <v>56</v>
      </c>
      <c r="BP6" s="24">
        <v>21182</v>
      </c>
      <c r="BQ6" s="24">
        <v>43</v>
      </c>
      <c r="BR6" s="24">
        <v>43964</v>
      </c>
      <c r="BS6" s="24">
        <v>91</v>
      </c>
    </row>
    <row r="7" spans="1:71" ht="14.4">
      <c r="A7" s="27">
        <v>37227</v>
      </c>
      <c r="B7" s="24">
        <v>156324</v>
      </c>
      <c r="C7" s="24">
        <v>384</v>
      </c>
      <c r="E7" s="10"/>
      <c r="F7" s="10"/>
      <c r="G7" s="10"/>
      <c r="H7" s="10"/>
      <c r="I7" s="10"/>
    </row>
    <row r="8" spans="1:71" ht="14.4">
      <c r="A8" s="27">
        <v>37228</v>
      </c>
      <c r="B8" s="24">
        <v>190197</v>
      </c>
      <c r="C8" s="24">
        <v>428</v>
      </c>
      <c r="E8" s="10"/>
      <c r="G8" t="str" cm="1">
        <f t="array" ref="G8:H8">H5:I5</f>
        <v>Category</v>
      </c>
      <c r="H8" t="str">
        <v>Sub-Category</v>
      </c>
    </row>
    <row r="9" spans="1:71" ht="14.4">
      <c r="A9" s="27">
        <v>37229</v>
      </c>
      <c r="B9" s="24">
        <v>157052</v>
      </c>
      <c r="C9" s="24">
        <v>375</v>
      </c>
      <c r="E9" s="10"/>
      <c r="G9" t="str" cm="1">
        <f t="array" ref="G9:H9">H6:I6</f>
        <v>Orange</v>
      </c>
      <c r="H9" t="str">
        <v>Tangerine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71" ht="14.4">
      <c r="A10" s="27">
        <v>37230</v>
      </c>
      <c r="B10" s="24">
        <v>155450</v>
      </c>
      <c r="C10" s="24">
        <v>353</v>
      </c>
      <c r="E10" s="10"/>
      <c r="F10" s="10"/>
      <c r="G10" s="24"/>
      <c r="H10" s="42" t="s">
        <v>292</v>
      </c>
      <c r="I10" s="42" t="s">
        <v>293</v>
      </c>
      <c r="J10" s="42" t="s">
        <v>294</v>
      </c>
      <c r="K10" s="42" t="s">
        <v>295</v>
      </c>
      <c r="L10" s="42" t="s">
        <v>296</v>
      </c>
      <c r="M10" s="42" t="s">
        <v>297</v>
      </c>
      <c r="N10" s="42" t="s">
        <v>298</v>
      </c>
      <c r="O10" s="42" t="s">
        <v>299</v>
      </c>
      <c r="P10" s="42" t="s">
        <v>300</v>
      </c>
      <c r="Q10" s="42" t="s">
        <v>301</v>
      </c>
      <c r="R10" s="42" t="s">
        <v>302</v>
      </c>
      <c r="S10" s="42" t="s">
        <v>303</v>
      </c>
      <c r="T10" s="42" t="s">
        <v>304</v>
      </c>
      <c r="U10" s="42" t="s">
        <v>305</v>
      </c>
      <c r="V10" s="42" t="s">
        <v>306</v>
      </c>
      <c r="W10" s="42" t="s">
        <v>307</v>
      </c>
      <c r="X10" s="42" t="s">
        <v>308</v>
      </c>
      <c r="Y10" s="42" t="s">
        <v>309</v>
      </c>
      <c r="Z10" s="42" t="s">
        <v>310</v>
      </c>
      <c r="AA10" s="42" t="s">
        <v>311</v>
      </c>
      <c r="AB10" s="42" t="s">
        <v>312</v>
      </c>
      <c r="AC10" s="42" t="s">
        <v>313</v>
      </c>
      <c r="AD10" s="42" t="s">
        <v>314</v>
      </c>
      <c r="AE10" s="42" t="s">
        <v>315</v>
      </c>
      <c r="AF10" s="42" t="s">
        <v>316</v>
      </c>
      <c r="AG10" s="42" t="s">
        <v>317</v>
      </c>
      <c r="AH10" s="42" t="s">
        <v>318</v>
      </c>
      <c r="AI10" s="42" t="s">
        <v>319</v>
      </c>
      <c r="AJ10" s="42" t="s">
        <v>320</v>
      </c>
      <c r="AK10" s="42" t="s">
        <v>321</v>
      </c>
      <c r="AL10" s="42" t="s">
        <v>322</v>
      </c>
      <c r="AM10" s="15"/>
      <c r="AN10" s="15"/>
      <c r="AO10" s="15"/>
    </row>
    <row r="11" spans="1:71" ht="14.4">
      <c r="A11" s="27">
        <v>37231</v>
      </c>
      <c r="B11" s="24">
        <v>169037</v>
      </c>
      <c r="C11" s="24">
        <v>370</v>
      </c>
      <c r="E11" s="10"/>
      <c r="F11" s="10"/>
      <c r="G11" s="41" t="s">
        <v>291</v>
      </c>
      <c r="H11" s="31" cm="1">
        <f t="array" ref="H11:AL11">rough!D473:'rough'!AH473</f>
        <v>16450</v>
      </c>
      <c r="I11" s="31">
        <v>15769</v>
      </c>
      <c r="J11" s="31">
        <v>19212</v>
      </c>
      <c r="K11" s="24">
        <v>24138</v>
      </c>
      <c r="L11" s="24">
        <v>21245</v>
      </c>
      <c r="M11" s="24">
        <v>22283</v>
      </c>
      <c r="N11" s="24">
        <v>20197</v>
      </c>
      <c r="O11" s="24">
        <v>17734</v>
      </c>
      <c r="P11" s="24">
        <v>20197</v>
      </c>
      <c r="Q11" s="24">
        <v>24138</v>
      </c>
      <c r="R11" s="24">
        <v>24631</v>
      </c>
      <c r="S11" s="24">
        <v>13793</v>
      </c>
      <c r="T11" s="24">
        <v>17242</v>
      </c>
      <c r="U11" s="24">
        <v>14778</v>
      </c>
      <c r="V11" s="24">
        <v>17734</v>
      </c>
      <c r="W11" s="24">
        <v>15271</v>
      </c>
      <c r="X11" s="24">
        <v>24631</v>
      </c>
      <c r="Y11" s="24">
        <v>22660</v>
      </c>
      <c r="Z11" s="24">
        <v>23645</v>
      </c>
      <c r="AA11" s="24">
        <v>23153</v>
      </c>
      <c r="AB11" s="24">
        <v>27094</v>
      </c>
      <c r="AC11" s="24">
        <v>38441</v>
      </c>
      <c r="AD11" s="24">
        <v>43964</v>
      </c>
      <c r="AE11" s="24">
        <v>50245</v>
      </c>
      <c r="AF11" s="24">
        <v>31403</v>
      </c>
      <c r="AG11" s="24">
        <v>30437</v>
      </c>
      <c r="AH11" s="24">
        <v>34785</v>
      </c>
      <c r="AI11" s="24">
        <v>29631</v>
      </c>
      <c r="AJ11" s="24">
        <v>27586</v>
      </c>
      <c r="AK11" s="24">
        <v>21182</v>
      </c>
      <c r="AL11" s="24">
        <v>43964</v>
      </c>
      <c r="AP11" s="15"/>
    </row>
    <row r="12" spans="1:71" ht="14.4">
      <c r="A12" s="27">
        <v>37232</v>
      </c>
      <c r="B12" s="24">
        <v>159156</v>
      </c>
      <c r="C12" s="24">
        <v>377</v>
      </c>
      <c r="E12" s="10"/>
      <c r="F12" s="10"/>
      <c r="G12" s="41" t="s">
        <v>1</v>
      </c>
      <c r="H12" s="24">
        <f t="array" ref="H12">rough!E474:'rough'!AI474</f>
        <v>33</v>
      </c>
      <c r="I12" s="24">
        <f t="array" ref="I12">rough!F474:'rough'!AJ474</f>
        <v>32</v>
      </c>
      <c r="J12" s="24">
        <f t="array" ref="J12">rough!G474:'rough'!AK474</f>
        <v>39</v>
      </c>
      <c r="K12" s="24">
        <f t="array" ref="K12">rough!H474:'rough'!AL474</f>
        <v>49</v>
      </c>
      <c r="L12" s="24">
        <f t="array" ref="L12">rough!I474:'rough'!AM474</f>
        <v>43</v>
      </c>
      <c r="M12" s="24">
        <f t="array" ref="M12">rough!J474:'rough'!AN474</f>
        <v>45</v>
      </c>
      <c r="N12" s="24">
        <f t="array" ref="N12">rough!K474:'rough'!AO474</f>
        <v>41</v>
      </c>
      <c r="O12" s="24">
        <f t="array" ref="O12">rough!L474:'rough'!AP474</f>
        <v>36</v>
      </c>
      <c r="P12" s="24">
        <f t="array" ref="P12">rough!M474:'rough'!AQ474</f>
        <v>41</v>
      </c>
      <c r="Q12" s="24">
        <f t="array" ref="Q12">rough!N474:'rough'!AR474</f>
        <v>49</v>
      </c>
      <c r="R12" s="24">
        <f t="array" ref="R12">rough!O474:'rough'!AS474</f>
        <v>50</v>
      </c>
      <c r="S12" s="24">
        <f t="array" ref="S12">rough!P474:'rough'!AT474</f>
        <v>28</v>
      </c>
      <c r="T12" s="24">
        <f t="array" ref="T12">rough!Q474:'rough'!AU474</f>
        <v>35</v>
      </c>
      <c r="U12" s="24">
        <f t="array" ref="U12">rough!R474:'rough'!AV474</f>
        <v>30</v>
      </c>
      <c r="V12" s="24">
        <f t="array" ref="V12">rough!S474:'rough'!AW474</f>
        <v>36</v>
      </c>
      <c r="W12" s="24">
        <f t="array" ref="W12">rough!T474:'rough'!AX474</f>
        <v>31</v>
      </c>
      <c r="X12" s="24">
        <f t="array" ref="X12">rough!U474:'rough'!AY474</f>
        <v>50</v>
      </c>
      <c r="Y12" s="24">
        <f t="array" ref="Y12">rough!V474:'rough'!AZ474</f>
        <v>46</v>
      </c>
      <c r="Z12" s="24">
        <f t="array" ref="Z12">rough!W474:'rough'!BA474</f>
        <v>48</v>
      </c>
      <c r="AA12" s="24">
        <f t="array" ref="AA12">rough!X474:'rough'!BB474</f>
        <v>47</v>
      </c>
      <c r="AB12" s="24">
        <f t="array" ref="AB12">rough!Y474:'rough'!BC474</f>
        <v>55</v>
      </c>
      <c r="AC12" s="24">
        <f t="array" ref="AC12">rough!Z474:'rough'!BD474</f>
        <v>78</v>
      </c>
      <c r="AD12" s="24">
        <f t="array" ref="AD12">rough!AA474:'rough'!BE474</f>
        <v>91</v>
      </c>
      <c r="AE12" s="24">
        <f t="array" ref="AE12">rough!AB474:'rough'!BF474</f>
        <v>104</v>
      </c>
      <c r="AF12" s="24">
        <f t="array" ref="AF12">rough!AC474:'rough'!BG474</f>
        <v>65</v>
      </c>
      <c r="AG12" s="24">
        <f t="array" ref="AG12">rough!AD474:'rough'!BH474</f>
        <v>63</v>
      </c>
      <c r="AH12" s="24">
        <f t="array" ref="AH12">rough!AE474:'rough'!BI474</f>
        <v>72</v>
      </c>
      <c r="AI12" s="24">
        <f t="array" ref="AI12">rough!AF474:'rough'!BJ474</f>
        <v>60</v>
      </c>
      <c r="AJ12" s="24">
        <f t="array" ref="AJ12">rough!AG474:'rough'!BK474</f>
        <v>56</v>
      </c>
      <c r="AK12" s="24">
        <f t="array" ref="AK12">rough!AH474:'rough'!BL474</f>
        <v>43</v>
      </c>
      <c r="AL12" s="24">
        <f t="array" ref="AL12">rough!AI474:'rough'!BM474</f>
        <v>91</v>
      </c>
    </row>
    <row r="13" spans="1:71" ht="14.4">
      <c r="A13" s="27">
        <v>37233</v>
      </c>
      <c r="B13" s="24">
        <v>175498</v>
      </c>
      <c r="C13" s="24">
        <v>409</v>
      </c>
      <c r="E13" s="10"/>
      <c r="F13" s="10"/>
      <c r="G13" s="10"/>
      <c r="H13" s="10"/>
      <c r="I13" s="22" t="s">
        <v>0</v>
      </c>
      <c r="J13" s="1"/>
      <c r="K13" s="1" t="s">
        <v>1</v>
      </c>
    </row>
    <row r="14" spans="1:71" ht="14.4">
      <c r="A14" s="27">
        <v>37234</v>
      </c>
      <c r="B14" s="24">
        <v>161556</v>
      </c>
      <c r="C14" s="24">
        <v>399</v>
      </c>
      <c r="E14" s="10"/>
      <c r="F14" s="10"/>
      <c r="G14" s="32" t="s">
        <v>251</v>
      </c>
      <c r="H14" s="32" t="s">
        <v>252</v>
      </c>
      <c r="I14" s="33" t="s">
        <v>253</v>
      </c>
      <c r="J14" s="34" t="s">
        <v>254</v>
      </c>
      <c r="K14" s="32" t="s">
        <v>253</v>
      </c>
      <c r="L14" s="32" t="s">
        <v>254</v>
      </c>
      <c r="M14" s="32" t="s">
        <v>255</v>
      </c>
      <c r="O14" s="32" t="s">
        <v>290</v>
      </c>
    </row>
    <row r="15" spans="1:71" ht="14.4">
      <c r="A15" s="27">
        <v>37235</v>
      </c>
      <c r="B15" s="24">
        <v>186709</v>
      </c>
      <c r="C15" s="24">
        <v>435</v>
      </c>
      <c r="E15" s="10"/>
      <c r="F15" s="10"/>
      <c r="G15" s="36" cm="1">
        <f t="array" ref="G15">SUMPRODUCT((MOD(COLUMN(J6:BS6),2)=0)*J6:BS6)</f>
        <v>777633</v>
      </c>
      <c r="H15" s="36" cm="1">
        <f t="array" ref="H15">SUMPRODUCT((MOD(COLUMN(J6:BS6),2)=1)*J6:BS6)</f>
        <v>1587</v>
      </c>
      <c r="I15" s="37" cm="1">
        <f t="array" ref="I15">MAX(IF(MOD(COLUMN(J6:BS6)-1,2)=1,J6:BS6))</f>
        <v>50245</v>
      </c>
      <c r="J15" s="36" cm="1">
        <f t="array" ref="J15">INDEX(J6:BS6,MATCH(I15,J6:BS6,0)+1)</f>
        <v>104</v>
      </c>
      <c r="K15" s="36">
        <f t="array" ref="K15">IFERROR(INDEX(J6:BS6,MATCH(L15,J6:BS6,0)-1),0)</f>
        <v>50245</v>
      </c>
      <c r="L15" s="36" cm="1">
        <f t="array" ref="L15">MAX(IF(MOD(COLUMN(J6:BS6)-1,2)=0,J6:BS6))</f>
        <v>104</v>
      </c>
      <c r="M15" s="36" t="str" cm="1">
        <f t="array" ref="M15">_xlfn.CONCAT("DEC ",RIGHT(INDEX(J5:BS5,MATCH(I15,J6:BS6,0)-1),2))</f>
        <v>DEC 23</v>
      </c>
      <c r="O15" s="38">
        <f>COUNTIF(J6:BS6,"&lt;&gt;0")/2</f>
        <v>31</v>
      </c>
    </row>
    <row r="16" spans="1:71" ht="14.4">
      <c r="A16" s="27">
        <v>37236</v>
      </c>
      <c r="B16" s="24">
        <v>176301</v>
      </c>
      <c r="C16" s="24">
        <v>351</v>
      </c>
      <c r="E16" s="10"/>
      <c r="F16" s="10"/>
      <c r="G16" s="32" t="s">
        <v>328</v>
      </c>
      <c r="H16" s="32" t="s">
        <v>329</v>
      </c>
      <c r="I16" s="35" t="s">
        <v>256</v>
      </c>
      <c r="J16" s="35" t="s">
        <v>258</v>
      </c>
      <c r="K16" s="32" t="s">
        <v>256</v>
      </c>
      <c r="L16" s="32" t="s">
        <v>258</v>
      </c>
      <c r="M16" s="32" t="s">
        <v>257</v>
      </c>
      <c r="P16" s="10"/>
      <c r="R16" s="10"/>
    </row>
    <row r="17" spans="1:43" ht="14.4">
      <c r="A17" s="27">
        <v>37237</v>
      </c>
      <c r="B17" s="24">
        <v>160040</v>
      </c>
      <c r="C17" s="24">
        <v>270</v>
      </c>
      <c r="E17" s="10"/>
      <c r="F17" s="10"/>
      <c r="G17" s="36">
        <f>G15/O15</f>
        <v>25084.935483870966</v>
      </c>
      <c r="H17" s="36">
        <f>H15/O15</f>
        <v>51.193548387096776</v>
      </c>
      <c r="I17" s="37" cm="1">
        <f t="array" ref="I17">MIN(IF(MOD(COLUMN(J6:BS6)-1,2)=1,J6:BS6))</f>
        <v>13793</v>
      </c>
      <c r="J17" s="36" cm="1">
        <f t="array" ref="J17">INDEX(J6:BS6,MATCH(I17,J6:BS6,0)+1)</f>
        <v>28</v>
      </c>
      <c r="K17" s="36">
        <f t="array" ref="K17">IFERROR(INDEX(J6:BS6,MATCH(L17,J6:BS6,0)-1),0)</f>
        <v>13793</v>
      </c>
      <c r="L17" s="36" cm="1">
        <f t="array" ref="L17">MIN(IF(MOD(COLUMN(J6:BS6)-1,2)=0,J6:BS6))</f>
        <v>28</v>
      </c>
      <c r="M17" s="36" t="str" cm="1">
        <f t="array" ref="M17">_xlfn.CONCAT("DEC ",RIGHT(INDEX(J5:BS5,MATCH(L17,J6:BS6,0)-1),2))</f>
        <v>DEC 12</v>
      </c>
      <c r="O17" s="10"/>
      <c r="P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4.4">
      <c r="A18" s="27">
        <v>37238</v>
      </c>
      <c r="B18" s="24">
        <v>142679</v>
      </c>
      <c r="C18" s="24">
        <v>240</v>
      </c>
      <c r="E18" s="10"/>
      <c r="F18" s="10"/>
      <c r="G18" s="10"/>
      <c r="H18" s="10"/>
    </row>
    <row r="19" spans="1:43" ht="14.4">
      <c r="A19" s="27">
        <v>37239</v>
      </c>
      <c r="B19" s="24">
        <v>168584</v>
      </c>
      <c r="C19" s="24">
        <v>253</v>
      </c>
      <c r="E19" s="10"/>
      <c r="F19" s="10"/>
      <c r="G19" s="10"/>
      <c r="H19" s="10"/>
      <c r="K19" s="1"/>
    </row>
    <row r="20" spans="1:43" ht="14.4">
      <c r="A20" s="27">
        <v>37240</v>
      </c>
      <c r="B20" s="24">
        <v>179259</v>
      </c>
      <c r="C20" s="24">
        <v>440</v>
      </c>
      <c r="E20" s="10"/>
      <c r="F20" s="10"/>
      <c r="G20" s="10"/>
      <c r="H20" s="10"/>
      <c r="K20" s="1"/>
    </row>
    <row r="21" spans="1:43" ht="14.4">
      <c r="A21" s="27">
        <v>37241</v>
      </c>
      <c r="B21" s="24">
        <v>162184</v>
      </c>
      <c r="C21" s="24">
        <v>444</v>
      </c>
      <c r="E21" s="10"/>
      <c r="F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43" ht="14.4">
      <c r="A22" s="27">
        <v>37242</v>
      </c>
      <c r="B22" s="24">
        <v>179622</v>
      </c>
      <c r="C22" s="24">
        <v>498</v>
      </c>
      <c r="E22" s="10"/>
      <c r="F22" s="10"/>
      <c r="G22" s="10"/>
      <c r="H22" s="10"/>
      <c r="K22" s="1"/>
    </row>
    <row r="23" spans="1:43" ht="14.4">
      <c r="A23" s="27">
        <v>37243</v>
      </c>
      <c r="B23" s="24">
        <v>156126</v>
      </c>
      <c r="C23" s="24">
        <v>427</v>
      </c>
      <c r="E23" s="10"/>
      <c r="F23" s="10"/>
      <c r="G23" s="10"/>
      <c r="H23" s="10"/>
    </row>
    <row r="24" spans="1:43" ht="14.4">
      <c r="A24" s="27">
        <v>37244</v>
      </c>
      <c r="B24" s="24">
        <v>158946</v>
      </c>
      <c r="C24" s="24">
        <v>439</v>
      </c>
      <c r="E24" s="10"/>
      <c r="F24" s="10"/>
      <c r="G24" s="10"/>
      <c r="H24" s="10"/>
      <c r="K24" s="1"/>
    </row>
    <row r="25" spans="1:43" ht="14.4">
      <c r="A25" s="27">
        <v>37245</v>
      </c>
      <c r="B25" s="24">
        <v>158609</v>
      </c>
      <c r="C25" s="24">
        <v>431</v>
      </c>
      <c r="E25" s="10"/>
      <c r="F25" s="10"/>
      <c r="G25" s="10"/>
      <c r="H25" s="10"/>
      <c r="K25" s="1"/>
    </row>
    <row r="26" spans="1:43" ht="14.4">
      <c r="A26" s="27">
        <v>37246</v>
      </c>
      <c r="B26" s="24">
        <v>166673</v>
      </c>
      <c r="C26" s="24">
        <v>442</v>
      </c>
      <c r="E26" s="10"/>
      <c r="F26" s="10"/>
      <c r="G26" s="10"/>
      <c r="H26" s="10"/>
      <c r="K26" s="1"/>
    </row>
    <row r="27" spans="1:43" ht="14.4">
      <c r="A27" s="27">
        <v>37247</v>
      </c>
      <c r="B27" s="24">
        <v>182696</v>
      </c>
      <c r="C27" s="24">
        <v>536</v>
      </c>
      <c r="E27" s="10"/>
      <c r="F27" s="10"/>
      <c r="G27" s="10"/>
      <c r="H27" s="10"/>
      <c r="I27" s="10"/>
    </row>
    <row r="28" spans="1:43" ht="14.4">
      <c r="A28" s="27">
        <v>37248</v>
      </c>
      <c r="B28" s="24">
        <v>204247</v>
      </c>
      <c r="C28" s="24">
        <v>569</v>
      </c>
      <c r="E28" s="10"/>
      <c r="F28" s="10"/>
      <c r="G28" s="10"/>
      <c r="H28" s="10"/>
      <c r="I28" s="10"/>
    </row>
    <row r="29" spans="1:43" ht="14.4">
      <c r="A29" s="27">
        <v>37249</v>
      </c>
      <c r="B29" s="24">
        <v>213287</v>
      </c>
      <c r="C29" s="24">
        <v>538</v>
      </c>
      <c r="E29" s="10"/>
      <c r="F29" s="10"/>
      <c r="G29" s="10"/>
      <c r="H29" s="10"/>
      <c r="I29" s="10"/>
    </row>
    <row r="30" spans="1:43" ht="14.4">
      <c r="A30" s="27">
        <v>37250</v>
      </c>
      <c r="B30" s="24">
        <v>168421</v>
      </c>
      <c r="C30" s="24">
        <v>442</v>
      </c>
      <c r="E30" s="10"/>
      <c r="F30" s="10"/>
      <c r="G30" s="10"/>
      <c r="H30" s="10"/>
      <c r="I30" s="10"/>
    </row>
    <row r="31" spans="1:43" ht="14.4">
      <c r="A31" s="27">
        <v>37251</v>
      </c>
      <c r="B31" s="24">
        <v>183424</v>
      </c>
      <c r="C31" s="24">
        <v>400</v>
      </c>
      <c r="E31" s="10"/>
      <c r="F31" s="10"/>
      <c r="G31" s="10"/>
      <c r="H31" s="10"/>
      <c r="I31" s="10"/>
    </row>
    <row r="32" spans="1:43" ht="14.4">
      <c r="A32" s="27">
        <v>37252</v>
      </c>
      <c r="B32" s="24">
        <v>149413</v>
      </c>
      <c r="C32" s="24">
        <v>345</v>
      </c>
      <c r="E32" s="10"/>
      <c r="F32" s="10"/>
      <c r="G32" s="10"/>
      <c r="H32" s="10"/>
      <c r="I32" s="10"/>
    </row>
    <row r="33" spans="1:19" ht="14.4">
      <c r="A33" s="27">
        <v>37253</v>
      </c>
      <c r="B33" s="24">
        <v>217836</v>
      </c>
      <c r="C33" s="24">
        <v>524</v>
      </c>
      <c r="E33" s="10"/>
      <c r="F33" s="10"/>
      <c r="G33" s="10"/>
      <c r="H33" s="10"/>
      <c r="I33" s="10"/>
    </row>
    <row r="34" spans="1:19" ht="14.4">
      <c r="A34" s="27">
        <v>37254</v>
      </c>
      <c r="B34" s="24">
        <v>194153</v>
      </c>
      <c r="C34" s="24">
        <v>524</v>
      </c>
      <c r="E34" s="10"/>
      <c r="F34" s="10"/>
      <c r="G34" s="10"/>
      <c r="H34" s="10"/>
      <c r="I34" s="10"/>
    </row>
    <row r="35" spans="1:19" ht="14.4">
      <c r="A35" s="27">
        <v>37255</v>
      </c>
      <c r="B35" s="24">
        <v>162749</v>
      </c>
      <c r="C35" s="24">
        <v>463</v>
      </c>
      <c r="E35" s="10"/>
      <c r="F35" s="10"/>
      <c r="G35" s="10"/>
      <c r="H35" s="10"/>
      <c r="I35" s="10"/>
    </row>
    <row r="36" spans="1:19" ht="14.4">
      <c r="A36" s="27">
        <v>37256</v>
      </c>
      <c r="B36" s="24">
        <v>204247</v>
      </c>
      <c r="C36" s="24">
        <v>569</v>
      </c>
      <c r="E36" s="10"/>
      <c r="F36" s="10"/>
      <c r="G36" s="10"/>
      <c r="H36" s="10"/>
      <c r="I36" s="10"/>
    </row>
    <row r="37" spans="1:19" ht="14.4">
      <c r="A37" s="40"/>
      <c r="B37" s="40"/>
      <c r="C37" s="40"/>
      <c r="E37" s="10"/>
      <c r="F37" s="10"/>
      <c r="G37" s="10"/>
      <c r="H37" s="10"/>
      <c r="I37" s="10"/>
    </row>
    <row r="38" spans="1:19" ht="14.4">
      <c r="A38" s="40"/>
      <c r="B38" s="40"/>
      <c r="C38" s="40"/>
      <c r="E38" s="10"/>
      <c r="F38" s="10"/>
      <c r="G38" s="10"/>
      <c r="H38" s="10"/>
      <c r="I38" s="10"/>
    </row>
    <row r="39" spans="1:19" ht="33.6">
      <c r="A39" s="40"/>
      <c r="B39" s="40"/>
      <c r="C39" s="40"/>
      <c r="E39" s="10"/>
      <c r="F39" s="10"/>
      <c r="G39" s="10"/>
      <c r="H39" s="73" t="s">
        <v>333</v>
      </c>
      <c r="I39" s="10"/>
    </row>
    <row r="40" spans="1:19" ht="14.4">
      <c r="E40" s="10"/>
      <c r="F40" s="10"/>
      <c r="G40" s="10"/>
      <c r="H40" s="10"/>
      <c r="I40" s="10"/>
    </row>
    <row r="41" spans="1:19" ht="14.4">
      <c r="E41" s="10"/>
      <c r="F41" s="10"/>
      <c r="G41" s="10"/>
      <c r="H41" s="10"/>
      <c r="I41" s="10"/>
    </row>
    <row r="42" spans="1:19" ht="14.4">
      <c r="A42" s="23" t="s">
        <v>248</v>
      </c>
      <c r="E42" s="10"/>
      <c r="F42" s="10"/>
      <c r="G42" s="23" t="s">
        <v>140</v>
      </c>
      <c r="H42" s="23" t="s">
        <v>141</v>
      </c>
      <c r="N42" s="10"/>
      <c r="O42" s="15"/>
    </row>
    <row r="43" spans="1:19" ht="15.6">
      <c r="A43" s="28">
        <v>5</v>
      </c>
      <c r="E43" s="10"/>
      <c r="F43" s="10"/>
      <c r="G43" s="28" t="s">
        <v>104</v>
      </c>
      <c r="H43" s="28"/>
      <c r="N43" s="65"/>
      <c r="P43" s="66"/>
    </row>
    <row r="44" spans="1:19" ht="14.4">
      <c r="E44" s="10"/>
      <c r="F44" s="10"/>
    </row>
    <row r="45" spans="1:19" ht="15.6">
      <c r="E45" s="10"/>
      <c r="F45" s="10"/>
      <c r="O45" s="74" t="str">
        <f>_xlfn.CONCAT("Max sold Products on DEC ",A43)</f>
        <v>Max sold Products on DEC 5</v>
      </c>
    </row>
    <row r="46" spans="1:19" ht="14.4">
      <c r="A46" s="67" t="s">
        <v>106</v>
      </c>
      <c r="B46" s="68" t="s">
        <v>140</v>
      </c>
      <c r="C46" s="68" t="s">
        <v>141</v>
      </c>
      <c r="D46" s="68" t="s">
        <v>0</v>
      </c>
      <c r="E46" s="69" t="s">
        <v>1</v>
      </c>
      <c r="F46" s="10"/>
      <c r="G46" s="10"/>
      <c r="H46" s="10"/>
      <c r="N46" s="10"/>
      <c r="O46" s="15"/>
    </row>
    <row r="47" spans="1:19" ht="14.4">
      <c r="A47" t="str">
        <f t="array" ref="A47">Data!B3:D103</f>
        <v>ITEM1064</v>
      </c>
      <c r="B47" t="str">
        <f t="array" ref="B47">Data!C3:E103</f>
        <v>Orange</v>
      </c>
      <c r="C47" t="str">
        <f t="array" ref="C47">Data!D3:F103</f>
        <v>Mandarin</v>
      </c>
      <c r="D47">
        <f t="array" ref="D47">INDEX(Data!A3:BM103,,MATCH(_xlfn.CONCAT("Dec ",Dashboard!$A$43),Data!$A$1:$BN$1,0))</f>
        <v>316</v>
      </c>
      <c r="E47">
        <f t="array" ref="E47">INDEX(Data!B3:BN103,,MATCH(_xlfn.CONCAT("Dec ",Dashboard!$A$43),Data!$A$1:$BN$1,0))</f>
        <v>1</v>
      </c>
      <c r="G47" s="10"/>
      <c r="H47" s="70" t="s">
        <v>106</v>
      </c>
      <c r="I47" s="71" t="s">
        <v>140</v>
      </c>
      <c r="J47" s="71" t="s">
        <v>141</v>
      </c>
      <c r="K47" s="71" t="s">
        <v>0</v>
      </c>
      <c r="L47" s="72" t="s">
        <v>1</v>
      </c>
      <c r="N47" s="10"/>
      <c r="O47" s="32" t="s">
        <v>106</v>
      </c>
      <c r="P47" s="32" t="s">
        <v>140</v>
      </c>
      <c r="Q47" s="32" t="s">
        <v>141</v>
      </c>
      <c r="R47" s="32" t="s">
        <v>0</v>
      </c>
      <c r="S47" s="32" t="s">
        <v>1</v>
      </c>
    </row>
    <row r="48" spans="1:19" ht="14.4">
      <c r="A48" t="str">
        <f t="array" ref="A48">Data!B4:D104</f>
        <v>ITEM1283</v>
      </c>
      <c r="B48" t="str">
        <f t="array" ref="B48">Data!C4:E104</f>
        <v>Mango</v>
      </c>
      <c r="C48" t="str">
        <f t="array" ref="C48">Data!D4:F104</f>
        <v>Green</v>
      </c>
      <c r="D48">
        <f t="array" ref="D48">INDEX(Data!A4:BM104,,MATCH(_xlfn.CONCAT("Dec ",Dashboard!$A$43),Data!$A$1:$BN$1,0))</f>
        <v>7689</v>
      </c>
      <c r="E48">
        <f t="array" ref="E48">INDEX(Data!B4:BN104,,MATCH(_xlfn.CONCAT("Dec ",Dashboard!$A$43),Data!$A$1:$BN$1,0))</f>
        <v>11</v>
      </c>
      <c r="G48" s="10"/>
      <c r="H48" s="10" t="str" cm="1">
        <f t="array" ref="H48:L76">IF($H$43="",_xlfn._xlws.FILTER(Table12[],(Table12[Category]=$G$43),"Choose correctly"),_xlfn._xlws.FILTER(Table12[],(Table12[Category]=$G$43)*(Table12[Sub-Category]=$H$43),"Choose correctly"))</f>
        <v>ITEM1945</v>
      </c>
      <c r="I48" s="10" t="str">
        <v>Lemon</v>
      </c>
      <c r="J48" s="10" t="str">
        <v>Lisbon</v>
      </c>
      <c r="K48">
        <v>0</v>
      </c>
      <c r="L48">
        <v>0</v>
      </c>
      <c r="N48" s="10"/>
      <c r="O48" s="36" t="str" cm="1">
        <f t="array" ref="O48:S48">_xlfn._xlws.FILTER(date_Table10[],date_Table10[GMV]=MAX(date_Table10[GMV]))</f>
        <v>ITEM8265</v>
      </c>
      <c r="P48" s="36" t="str">
        <v>Apple</v>
      </c>
      <c r="Q48" s="36" t="str">
        <v>Robin</v>
      </c>
      <c r="R48" s="36">
        <v>25815</v>
      </c>
      <c r="S48" s="36">
        <v>15</v>
      </c>
    </row>
    <row r="49" spans="1:19" ht="14.4">
      <c r="A49" t="str">
        <f t="array" ref="A49">Data!B5:D105</f>
        <v>ITEM1375</v>
      </c>
      <c r="B49" t="str">
        <f t="array" ref="B49">Data!C5:E105</f>
        <v>Mango</v>
      </c>
      <c r="C49" t="str">
        <f t="array" ref="C49">Data!D5:F105</f>
        <v>Green</v>
      </c>
      <c r="D49">
        <f t="array" ref="D49">INDEX(Data!A5:BM105,,MATCH(_xlfn.CONCAT("Dec ",Dashboard!$A$43),Data!$A$1:$BN$1,0))</f>
        <v>21245</v>
      </c>
      <c r="E49">
        <f t="array" ref="E49">INDEX(Data!B5:BN105,,MATCH(_xlfn.CONCAT("Dec ",Dashboard!$A$43),Data!$A$1:$BN$1,0))</f>
        <v>43</v>
      </c>
      <c r="H49" s="10" t="str">
        <v>ITEM2083</v>
      </c>
      <c r="I49" s="15" t="str">
        <v>Lemon</v>
      </c>
      <c r="J49" t="str">
        <v>Nimbu</v>
      </c>
      <c r="K49">
        <v>8394</v>
      </c>
      <c r="L49">
        <v>16</v>
      </c>
      <c r="N49" s="10"/>
      <c r="S49" s="10"/>
    </row>
    <row r="50" spans="1:19" ht="15.6">
      <c r="A50" t="str">
        <f t="array" ref="A50">Data!B6:D106</f>
        <v>ITEM1406</v>
      </c>
      <c r="B50" t="str">
        <f t="array" ref="B50">Data!C6:E106</f>
        <v>Orange</v>
      </c>
      <c r="C50" t="str">
        <f t="array" ref="C50">Data!D6:F106</f>
        <v>Mandarin</v>
      </c>
      <c r="D50">
        <f t="array" ref="D50">INDEX(Data!A6:BM106,,MATCH(_xlfn.CONCAT("Dec ",Dashboard!$A$43),Data!$A$1:$BN$1,0))</f>
        <v>0</v>
      </c>
      <c r="E50">
        <f t="array" ref="E50">INDEX(Data!B6:BN106,,MATCH(_xlfn.CONCAT("Dec ",Dashboard!$A$43),Data!$A$1:$BN$1,0))</f>
        <v>0</v>
      </c>
      <c r="H50" s="10" t="str">
        <v>ITEM2260</v>
      </c>
      <c r="I50" s="15" t="str">
        <v>Lemon</v>
      </c>
      <c r="J50" t="str">
        <v>Nimbu</v>
      </c>
      <c r="K50">
        <v>0</v>
      </c>
      <c r="L50">
        <v>0</v>
      </c>
      <c r="N50" s="10"/>
      <c r="O50" s="66" t="str">
        <f t="array" ref="O50">_xlfn.CONCAT("Min sold Products on DEC ",A43)</f>
        <v>Min sold Products on DEC 5</v>
      </c>
      <c r="S50" s="10"/>
    </row>
    <row r="51" spans="1:19" ht="14.4">
      <c r="A51" t="str">
        <f t="array" ref="A51">Data!B7:D107</f>
        <v>ITEM1731</v>
      </c>
      <c r="B51" t="str">
        <f t="array" ref="B51">Data!C7:E107</f>
        <v>Orange</v>
      </c>
      <c r="C51" t="str">
        <f t="array" ref="C51">Data!D7:F107</f>
        <v>Indie</v>
      </c>
      <c r="D51">
        <f t="array" ref="D51">INDEX(Data!A7:BM107,,MATCH(_xlfn.CONCAT("Dec ",Dashboard!$A$43),Data!$A$1:$BN$1,0))</f>
        <v>0</v>
      </c>
      <c r="E51">
        <f t="array" ref="E51">INDEX(Data!B7:BN107,,MATCH(_xlfn.CONCAT("Dec ",Dashboard!$A$43),Data!$A$1:$BN$1,0))</f>
        <v>0</v>
      </c>
      <c r="H51" s="10" t="str">
        <v>ITEM2624</v>
      </c>
      <c r="I51" s="15" t="str">
        <v>Lemon</v>
      </c>
      <c r="J51" t="str">
        <v>Nimbu</v>
      </c>
      <c r="K51">
        <v>0</v>
      </c>
      <c r="L51">
        <v>0</v>
      </c>
      <c r="N51" s="10"/>
      <c r="S51" s="10"/>
    </row>
    <row r="52" spans="1:19" ht="14.4">
      <c r="A52" t="str">
        <f t="array" ref="A52">Data!B8:D108</f>
        <v>ITEM1785</v>
      </c>
      <c r="B52" t="str">
        <f t="array" ref="B52">Data!C8:E108</f>
        <v>Apple</v>
      </c>
      <c r="C52" t="str">
        <f t="array" ref="C52">Data!D8:F108</f>
        <v>Golden</v>
      </c>
      <c r="D52">
        <f t="array" ref="D52">INDEX(Data!A8:BM108,,MATCH(_xlfn.CONCAT("Dec ",Dashboard!$A$43),Data!$A$1:$BN$1,0))</f>
        <v>3406</v>
      </c>
      <c r="E52">
        <f t="array" ref="E52">INDEX(Data!B8:BN108,,MATCH(_xlfn.CONCAT("Dec ",Dashboard!$A$43),Data!$A$1:$BN$1,0))</f>
        <v>12</v>
      </c>
      <c r="H52" s="10" t="str">
        <v>ITEM2852</v>
      </c>
      <c r="I52" s="15" t="str">
        <v>Lemon</v>
      </c>
      <c r="J52" t="str">
        <v>Oblong</v>
      </c>
      <c r="K52">
        <v>3620</v>
      </c>
      <c r="L52">
        <v>12</v>
      </c>
      <c r="N52" s="10"/>
      <c r="O52" s="32" t="s">
        <v>106</v>
      </c>
      <c r="P52" s="32" t="s">
        <v>140</v>
      </c>
      <c r="Q52" s="32" t="s">
        <v>141</v>
      </c>
      <c r="R52" s="32" t="s">
        <v>0</v>
      </c>
      <c r="S52" s="32" t="s">
        <v>1</v>
      </c>
    </row>
    <row r="53" spans="1:19" ht="14.4">
      <c r="A53" t="str">
        <f t="array" ref="A53">Data!B9:D109</f>
        <v>ITEM1791</v>
      </c>
      <c r="B53" t="str">
        <f t="array" ref="B53">Data!C9:E109</f>
        <v>Apple</v>
      </c>
      <c r="C53" t="str">
        <f t="array" ref="C53">Data!D9:F109</f>
        <v>Red</v>
      </c>
      <c r="D53">
        <f t="array" ref="D53">INDEX(Data!A9:BM109,,MATCH(_xlfn.CONCAT("Dec ",Dashboard!$A$43),Data!$A$1:$BN$1,0))</f>
        <v>18804</v>
      </c>
      <c r="E53">
        <f t="array" ref="E53">INDEX(Data!B9:BN109,,MATCH(_xlfn.CONCAT("Dec ",Dashboard!$A$43),Data!$A$1:$BN$1,0))</f>
        <v>45</v>
      </c>
      <c r="H53" s="10" t="str">
        <v>ITEM3306</v>
      </c>
      <c r="I53" s="15" t="str">
        <v>Lemon</v>
      </c>
      <c r="J53" t="str">
        <v>Oblong</v>
      </c>
      <c r="K53">
        <v>316</v>
      </c>
      <c r="L53">
        <v>1</v>
      </c>
      <c r="N53" s="10"/>
      <c r="O53" s="36" t="str">
        <f t="array" ref="O53:S53">_xlfn._xlws.FILTER(date_Table10[],date_Table10[GMV]=MIN(date_Table10[GMV]))</f>
        <v>ITEM1406</v>
      </c>
      <c r="P53" s="36" t="str">
        <v>Orange</v>
      </c>
      <c r="Q53" s="36" t="str">
        <v>Mandarin</v>
      </c>
      <c r="R53" s="36">
        <v>0</v>
      </c>
      <c r="S53" s="36">
        <v>0</v>
      </c>
    </row>
    <row r="54" spans="1:19" ht="14.4">
      <c r="A54" t="str">
        <f t="array" ref="A54">Data!B10:D110</f>
        <v>ITEM1813</v>
      </c>
      <c r="B54" t="str">
        <f t="array" ref="B54">Data!C10:E110</f>
        <v>Orange</v>
      </c>
      <c r="C54" t="str">
        <f t="array" ref="C54">Data!D10:F110</f>
        <v>Indie</v>
      </c>
      <c r="D54">
        <f t="array" ref="D54">INDEX(Data!A10:BM110,,MATCH(_xlfn.CONCAT("Dec ",Dashboard!$A$43),Data!$A$1:$BN$1,0))</f>
        <v>0</v>
      </c>
      <c r="E54">
        <f t="array" ref="E54">INDEX(Data!B10:BN110,,MATCH(_xlfn.CONCAT("Dec ",Dashboard!$A$43),Data!$A$1:$BN$1,0))</f>
        <v>0</v>
      </c>
      <c r="H54" s="10" t="str">
        <v>ITEM3405</v>
      </c>
      <c r="I54" s="15" t="str">
        <v>Lemon</v>
      </c>
      <c r="J54" t="str">
        <v>Nimbu</v>
      </c>
      <c r="K54">
        <v>7689</v>
      </c>
      <c r="L54">
        <v>11</v>
      </c>
    </row>
    <row r="55" spans="1:19" ht="14.4">
      <c r="A55" t="str">
        <f t="array" ref="A55">Data!B11:D111</f>
        <v>ITEM1945</v>
      </c>
      <c r="B55" t="str">
        <f t="array" ref="B55">Data!C11:E111</f>
        <v>Lemon</v>
      </c>
      <c r="C55" t="str">
        <f t="array" ref="C55">Data!D11:F111</f>
        <v>Lisbon</v>
      </c>
      <c r="D55">
        <f t="array" ref="D55">INDEX(Data!A11:BM111,,MATCH(_xlfn.CONCAT("Dec ",Dashboard!$A$43),Data!$A$1:$BN$1,0))</f>
        <v>0</v>
      </c>
      <c r="E55">
        <f t="array" ref="E55">INDEX(Data!B11:BN111,,MATCH(_xlfn.CONCAT("Dec ",Dashboard!$A$43),Data!$A$1:$BN$1,0))</f>
        <v>0</v>
      </c>
      <c r="H55" s="10" t="str">
        <v>ITEM3632</v>
      </c>
      <c r="I55" s="15" t="str">
        <v>Lemon</v>
      </c>
      <c r="J55" t="str">
        <v>Lisbon</v>
      </c>
      <c r="K55">
        <v>316</v>
      </c>
      <c r="L55">
        <v>1</v>
      </c>
    </row>
    <row r="56" spans="1:19" ht="14.4">
      <c r="A56" t="str">
        <f t="array" ref="A56">Data!B12:D112</f>
        <v>ITEM1965</v>
      </c>
      <c r="B56" t="str">
        <f t="array" ref="B56">Data!C12:E112</f>
        <v>Mango</v>
      </c>
      <c r="C56" t="str">
        <f t="array" ref="C56">Data!D12:F112</f>
        <v>Green</v>
      </c>
      <c r="D56">
        <f t="array" ref="D56">INDEX(Data!A12:BM112,,MATCH(_xlfn.CONCAT("Dec ",Dashboard!$A$43),Data!$A$1:$BN$1,0))</f>
        <v>15358</v>
      </c>
      <c r="E56">
        <f t="array" ref="E56">INDEX(Data!B12:BN112,,MATCH(_xlfn.CONCAT("Dec ",Dashboard!$A$43),Data!$A$1:$BN$1,0))</f>
        <v>18</v>
      </c>
      <c r="H56" s="10" t="str">
        <v>ITEM4685</v>
      </c>
      <c r="I56" s="15" t="str">
        <v>Lemon</v>
      </c>
      <c r="J56" t="str">
        <v>Oblong</v>
      </c>
      <c r="K56">
        <v>0</v>
      </c>
      <c r="L56">
        <v>0</v>
      </c>
    </row>
    <row r="57" spans="1:19" ht="14.4">
      <c r="A57" t="str">
        <f t="array" ref="A57">Data!B13:D113</f>
        <v>ITEM2083</v>
      </c>
      <c r="B57" t="str">
        <f t="array" ref="B57">Data!C13:E113</f>
        <v>Lemon</v>
      </c>
      <c r="C57" t="str">
        <f t="array" ref="C57">Data!D13:F113</f>
        <v>Nimbu</v>
      </c>
      <c r="D57">
        <f t="array" ref="D57">INDEX(Data!A13:BM113,,MATCH(_xlfn.CONCAT("Dec ",Dashboard!$A$43),Data!$A$1:$BN$1,0))</f>
        <v>8394</v>
      </c>
      <c r="E57">
        <f t="array" ref="E57">INDEX(Data!B13:BN113,,MATCH(_xlfn.CONCAT("Dec ",Dashboard!$A$43),Data!$A$1:$BN$1,0))</f>
        <v>16</v>
      </c>
      <c r="H57" s="10" t="str">
        <v>ITEM4894</v>
      </c>
      <c r="I57" s="15" t="str">
        <v>Lemon</v>
      </c>
      <c r="J57" t="str">
        <v>Oblong</v>
      </c>
      <c r="K57">
        <v>716</v>
      </c>
      <c r="L57">
        <v>4</v>
      </c>
    </row>
    <row r="58" spans="1:19" ht="14.4">
      <c r="A58" t="str">
        <f t="array" ref="A58">Data!B14:D114</f>
        <v>ITEM2248</v>
      </c>
      <c r="B58" t="str">
        <f t="array" ref="B58">Data!C14:E114</f>
        <v>Apple</v>
      </c>
      <c r="C58" t="str">
        <f t="array" ref="C58">Data!D14:F114</f>
        <v>Red</v>
      </c>
      <c r="D58">
        <f t="array" ref="D58">INDEX(Data!A14:BM114,,MATCH(_xlfn.CONCAT("Dec ",Dashboard!$A$43),Data!$A$1:$BN$1,0))</f>
        <v>18804</v>
      </c>
      <c r="E58">
        <f t="array" ref="E58">INDEX(Data!B14:BN114,,MATCH(_xlfn.CONCAT("Dec ",Dashboard!$A$43),Data!$A$1:$BN$1,0))</f>
        <v>45</v>
      </c>
      <c r="H58" s="10" t="str">
        <v>ITEM4931</v>
      </c>
      <c r="I58" s="15" t="str">
        <v>Lemon</v>
      </c>
      <c r="J58" t="str">
        <v>Lisbon</v>
      </c>
      <c r="K58">
        <v>0</v>
      </c>
      <c r="L58">
        <v>0</v>
      </c>
      <c r="O58" s="32" t="str">
        <f t="array" ref="O58">IF(H43="",_xlfn.CONCAT("Count of ",$G$43),_xlfn.CONCAT("Count of ",$G$43," , ",$H$43))</f>
        <v>Count of Lemon</v>
      </c>
    </row>
    <row r="59" spans="1:19" ht="14.4">
      <c r="A59" t="str">
        <f t="array" ref="A59">Data!B15:D115</f>
        <v>ITEM2260</v>
      </c>
      <c r="B59" t="str">
        <f t="array" ref="B59">Data!C15:E115</f>
        <v>Lemon</v>
      </c>
      <c r="C59" t="str">
        <f t="array" ref="C59">Data!D15:F115</f>
        <v>Nimbu</v>
      </c>
      <c r="D59">
        <f t="array" ref="D59">INDEX(Data!A15:BM115,,MATCH(_xlfn.CONCAT("Dec ",Dashboard!$A$43),Data!$A$1:$BN$1,0))</f>
        <v>0</v>
      </c>
      <c r="E59">
        <f t="array" ref="E59">INDEX(Data!B15:BN115,,MATCH(_xlfn.CONCAT("Dec ",Dashboard!$A$43),Data!$A$1:$BN$1,0))</f>
        <v>0</v>
      </c>
      <c r="H59" s="10" t="str">
        <v>ITEM5047</v>
      </c>
      <c r="I59" s="15" t="str">
        <v>Lemon</v>
      </c>
      <c r="J59" t="str">
        <v>Nimbu</v>
      </c>
      <c r="K59">
        <v>568</v>
      </c>
      <c r="L59">
        <v>2</v>
      </c>
      <c r="O59" s="36">
        <f t="array" ref="O59">IF($H$43="",COUNTIF(Table12[Category],$G$43),COUNTIFS(Table12[Category],$G$43,Table12[Sub-Category],$H$43))</f>
        <v>29</v>
      </c>
    </row>
    <row r="60" spans="1:19" ht="14.4">
      <c r="A60" t="str">
        <f t="array" ref="A60">Data!B16:D116</f>
        <v>ITEM2329</v>
      </c>
      <c r="B60" t="str">
        <f t="array" ref="B60">Data!C16:E116</f>
        <v>Mango</v>
      </c>
      <c r="C60" t="str">
        <f t="array" ref="C60">Data!D16:F116</f>
        <v>Amrapalli</v>
      </c>
      <c r="D60">
        <f t="array" ref="D60">INDEX(Data!A16:BM116,,MATCH(_xlfn.CONCAT("Dec ",Dashboard!$A$43),Data!$A$1:$BN$1,0))</f>
        <v>2394</v>
      </c>
      <c r="E60">
        <f t="array" ref="E60">INDEX(Data!B16:BN116,,MATCH(_xlfn.CONCAT("Dec ",Dashboard!$A$43),Data!$A$1:$BN$1,0))</f>
        <v>6</v>
      </c>
      <c r="H60" s="10" t="str">
        <v>ITEM5049</v>
      </c>
      <c r="I60" s="15" t="str">
        <v>Lemon</v>
      </c>
      <c r="J60" t="str">
        <v>Lisbon</v>
      </c>
      <c r="K60">
        <v>3526</v>
      </c>
      <c r="L60">
        <v>14</v>
      </c>
    </row>
    <row r="61" spans="1:19" ht="14.4">
      <c r="A61" t="str">
        <f t="array" ref="A61">Data!B17:D117</f>
        <v>ITEM2360</v>
      </c>
      <c r="B61" t="str">
        <f t="array" ref="B61">Data!C17:E117</f>
        <v>Apple</v>
      </c>
      <c r="C61" t="str">
        <f t="array" ref="C61">Data!D17:F117</f>
        <v>Golden</v>
      </c>
      <c r="D61">
        <f t="array" ref="D61">INDEX(Data!A17:BM117,,MATCH(_xlfn.CONCAT("Dec ",Dashboard!$A$43),Data!$A$1:$BN$1,0))</f>
        <v>0</v>
      </c>
      <c r="E61">
        <f t="array" ref="E61">INDEX(Data!B17:BN117,,MATCH(_xlfn.CONCAT("Dec ",Dashboard!$A$43),Data!$A$1:$BN$1,0))</f>
        <v>0</v>
      </c>
      <c r="H61" s="10" t="str">
        <v>ITEM5204</v>
      </c>
      <c r="I61" s="15" t="str">
        <v>Lemon</v>
      </c>
      <c r="J61" t="str">
        <v>Lisbon</v>
      </c>
      <c r="K61">
        <v>877</v>
      </c>
      <c r="L61">
        <v>3</v>
      </c>
    </row>
    <row r="62" spans="1:19" ht="14.4">
      <c r="A62" t="str">
        <f t="array" ref="A62">Data!B18:D118</f>
        <v>ITEM2513</v>
      </c>
      <c r="B62" t="str">
        <f t="array" ref="B62">Data!C18:E118</f>
        <v>Apple</v>
      </c>
      <c r="C62" t="str">
        <f t="array" ref="C62">Data!D18:F118</f>
        <v>Robin</v>
      </c>
      <c r="D62">
        <f t="array" ref="D62">INDEX(Data!A18:BM118,,MATCH(_xlfn.CONCAT("Dec ",Dashboard!$A$43),Data!$A$1:$BN$1,0))</f>
        <v>15358</v>
      </c>
      <c r="E62">
        <f t="array" ref="E62">INDEX(Data!B18:BN118,,MATCH(_xlfn.CONCAT("Dec ",Dashboard!$A$43),Data!$A$1:$BN$1,0))</f>
        <v>18</v>
      </c>
      <c r="H62" s="10" t="str">
        <v>ITEM5498</v>
      </c>
      <c r="I62" s="15" t="str">
        <v>Lemon</v>
      </c>
      <c r="J62" t="str">
        <v>Lisbon</v>
      </c>
      <c r="K62">
        <v>0</v>
      </c>
      <c r="L62">
        <v>0</v>
      </c>
    </row>
    <row r="63" spans="1:19" ht="14.4">
      <c r="A63" t="str">
        <f t="array" ref="A63">Data!B19:D119</f>
        <v>ITEM2624</v>
      </c>
      <c r="B63" t="str">
        <f t="array" ref="B63">Data!C19:E119</f>
        <v>Lemon</v>
      </c>
      <c r="C63" t="str">
        <f t="array" ref="C63">Data!D19:F119</f>
        <v>Nimbu</v>
      </c>
      <c r="D63">
        <f t="array" ref="D63">INDEX(Data!A19:BM119,,MATCH(_xlfn.CONCAT("Dec ",Dashboard!$A$43),Data!$A$1:$BN$1,0))</f>
        <v>0</v>
      </c>
      <c r="E63">
        <f t="array" ref="E63">INDEX(Data!B19:BN119,,MATCH(_xlfn.CONCAT("Dec ",Dashboard!$A$43),Data!$A$1:$BN$1,0))</f>
        <v>0</v>
      </c>
      <c r="H63" s="10" t="str">
        <v>ITEM5747</v>
      </c>
      <c r="I63" s="15" t="str">
        <v>Lemon</v>
      </c>
      <c r="J63" t="str">
        <v>Lisbon</v>
      </c>
      <c r="K63">
        <v>877</v>
      </c>
      <c r="L63">
        <v>3</v>
      </c>
    </row>
    <row r="64" spans="1:19" ht="14.4">
      <c r="A64" t="str">
        <f t="array" ref="A64">Data!B20:D120</f>
        <v>ITEM2852</v>
      </c>
      <c r="B64" t="str">
        <f t="array" ref="B64">Data!C20:E120</f>
        <v>Lemon</v>
      </c>
      <c r="C64" t="str">
        <f t="array" ref="C64">Data!D20:F120</f>
        <v>Oblong</v>
      </c>
      <c r="D64">
        <f t="array" ref="D64">INDEX(Data!A20:BM120,,MATCH(_xlfn.CONCAT("Dec ",Dashboard!$A$43),Data!$A$1:$BN$1,0))</f>
        <v>3620</v>
      </c>
      <c r="E64">
        <f t="array" ref="E64">INDEX(Data!B20:BN120,,MATCH(_xlfn.CONCAT("Dec ",Dashboard!$A$43),Data!$A$1:$BN$1,0))</f>
        <v>12</v>
      </c>
      <c r="H64" s="10" t="str">
        <v>ITEM6307</v>
      </c>
      <c r="I64" s="15" t="str">
        <v>Lemon</v>
      </c>
      <c r="J64" t="str">
        <v>Lisbon</v>
      </c>
      <c r="K64">
        <v>0</v>
      </c>
      <c r="L64">
        <v>0</v>
      </c>
    </row>
    <row r="65" spans="1:12" ht="14.4">
      <c r="A65" t="str">
        <f t="array" ref="A65">Data!B21:D121</f>
        <v>ITEM2978</v>
      </c>
      <c r="B65" t="str">
        <f t="array" ref="B65">Data!C21:E121</f>
        <v>Apple</v>
      </c>
      <c r="C65" t="str">
        <f t="array" ref="C65">Data!D21:F121</f>
        <v>Robin</v>
      </c>
      <c r="D65">
        <f t="array" ref="D65">INDEX(Data!A21:BM121,,MATCH(_xlfn.CONCAT("Dec ",Dashboard!$A$43),Data!$A$1:$BN$1,0))</f>
        <v>0</v>
      </c>
      <c r="E65">
        <f t="array" ref="E65">INDEX(Data!B21:BN121,,MATCH(_xlfn.CONCAT("Dec ",Dashboard!$A$43),Data!$A$1:$BN$1,0))</f>
        <v>0</v>
      </c>
      <c r="H65" s="10" t="str">
        <v>ITEM6460</v>
      </c>
      <c r="I65" s="15" t="str">
        <v>Lemon</v>
      </c>
      <c r="J65" t="str">
        <v>Nimbu</v>
      </c>
      <c r="K65">
        <v>0</v>
      </c>
      <c r="L65">
        <v>0</v>
      </c>
    </row>
    <row r="66" spans="1:12" ht="14.4">
      <c r="A66" t="str">
        <f t="array" ref="A66">Data!B22:D122</f>
        <v>ITEM3032</v>
      </c>
      <c r="B66" t="str">
        <f t="array" ref="B66">Data!C22:E122</f>
        <v>Apple</v>
      </c>
      <c r="C66" t="str">
        <f t="array" ref="C66">Data!D22:F122</f>
        <v>Red</v>
      </c>
      <c r="D66">
        <f t="array" ref="D66">INDEX(Data!A22:BM122,,MATCH(_xlfn.CONCAT("Dec ",Dashboard!$A$43),Data!$A$1:$BN$1,0))</f>
        <v>21245</v>
      </c>
      <c r="E66">
        <f t="array" ref="E66">INDEX(Data!B22:BN122,,MATCH(_xlfn.CONCAT("Dec ",Dashboard!$A$43),Data!$A$1:$BN$1,0))</f>
        <v>43</v>
      </c>
      <c r="H66" s="10" t="str">
        <v>ITEM6857</v>
      </c>
      <c r="I66" s="15" t="str">
        <v>Lemon</v>
      </c>
      <c r="J66" t="str">
        <v>Lisbon</v>
      </c>
      <c r="K66">
        <v>2037</v>
      </c>
      <c r="L66">
        <v>3</v>
      </c>
    </row>
    <row r="67" spans="1:12" ht="14.4">
      <c r="A67" t="str">
        <f t="array" ref="A67">Data!B23:D123</f>
        <v>ITEM3062</v>
      </c>
      <c r="B67" t="str">
        <f t="array" ref="B67">Data!C23:E123</f>
        <v>Mango</v>
      </c>
      <c r="C67" t="str">
        <f t="array" ref="C67">Data!D23:F123</f>
        <v>Green</v>
      </c>
      <c r="D67">
        <f t="array" ref="D67">INDEX(Data!A23:BM123,,MATCH(_xlfn.CONCAT("Dec ",Dashboard!$A$43),Data!$A$1:$BN$1,0))</f>
        <v>10840</v>
      </c>
      <c r="E67">
        <f t="array" ref="E67">INDEX(Data!B23:BN123,,MATCH(_xlfn.CONCAT("Dec ",Dashboard!$A$43),Data!$A$1:$BN$1,0))</f>
        <v>19</v>
      </c>
      <c r="H67" s="10" t="str">
        <v>ITEM7622</v>
      </c>
      <c r="I67" s="15" t="str">
        <v>Lemon</v>
      </c>
      <c r="J67" t="str">
        <v>Oblong</v>
      </c>
      <c r="K67">
        <v>15358</v>
      </c>
      <c r="L67">
        <v>18</v>
      </c>
    </row>
    <row r="68" spans="1:12" ht="14.4">
      <c r="A68" t="str">
        <f t="array" ref="A68">Data!B24:D124</f>
        <v>ITEM3252</v>
      </c>
      <c r="B68" t="str">
        <f t="array" ref="B68">Data!C24:E124</f>
        <v>Orange</v>
      </c>
      <c r="C68" t="str">
        <f t="array" ref="C68">Data!D24:F124</f>
        <v>Tangerine</v>
      </c>
      <c r="D68">
        <f t="array" ref="D68">INDEX(Data!A24:BM124,,MATCH(_xlfn.CONCAT("Dec ",Dashboard!$A$43),Data!$A$1:$BN$1,0))</f>
        <v>21245</v>
      </c>
      <c r="E68">
        <f t="array" ref="E68">INDEX(Data!B24:BN124,,MATCH(_xlfn.CONCAT("Dec ",Dashboard!$A$43),Data!$A$1:$BN$1,0))</f>
        <v>43</v>
      </c>
      <c r="H68" s="10" t="str">
        <v>ITEM8061</v>
      </c>
      <c r="I68" s="15" t="str">
        <v>Lemon</v>
      </c>
      <c r="J68" t="str">
        <v>Oblong</v>
      </c>
      <c r="K68">
        <v>0</v>
      </c>
      <c r="L68">
        <v>0</v>
      </c>
    </row>
    <row r="69" spans="1:12" ht="14.4">
      <c r="A69" t="str">
        <f t="array" ref="A69">Data!B25:D125</f>
        <v>ITEM3301</v>
      </c>
      <c r="B69" t="str">
        <f t="array" ref="B69">Data!C25:E125</f>
        <v>Orange</v>
      </c>
      <c r="C69" t="str">
        <f t="array" ref="C69">Data!D25:F125</f>
        <v>Tangerine</v>
      </c>
      <c r="D69">
        <f t="array" ref="D69">INDEX(Data!A25:BM125,,MATCH(_xlfn.CONCAT("Dec ",Dashboard!$A$43),Data!$A$1:$BN$1,0))</f>
        <v>2037</v>
      </c>
      <c r="E69">
        <f t="array" ref="E69">INDEX(Data!B25:BN125,,MATCH(_xlfn.CONCAT("Dec ",Dashboard!$A$43),Data!$A$1:$BN$1,0))</f>
        <v>3</v>
      </c>
      <c r="H69" s="10" t="str">
        <v>ITEM8277</v>
      </c>
      <c r="I69" s="15" t="str">
        <v>Lemon</v>
      </c>
      <c r="J69" t="str">
        <v>Lisbon</v>
      </c>
      <c r="K69">
        <v>4221</v>
      </c>
      <c r="L69">
        <v>5</v>
      </c>
    </row>
    <row r="70" spans="1:12">
      <c r="A70" t="str">
        <f t="array" ref="A70">Data!B26:D126</f>
        <v>ITEM3306</v>
      </c>
      <c r="B70" t="str">
        <f t="array" ref="B70">Data!C26:E126</f>
        <v>Lemon</v>
      </c>
      <c r="C70" t="str">
        <f t="array" ref="C70">Data!D26:F126</f>
        <v>Oblong</v>
      </c>
      <c r="D70">
        <f t="array" ref="D70">INDEX(Data!A26:BM126,,MATCH(_xlfn.CONCAT("Dec ",Dashboard!$A$43),Data!$A$1:$BN$1,0))</f>
        <v>316</v>
      </c>
      <c r="E70">
        <f t="array" ref="E70">INDEX(Data!B26:BN126,,MATCH(_xlfn.CONCAT("Dec ",Dashboard!$A$43),Data!$A$1:$BN$1,0))</f>
        <v>1</v>
      </c>
      <c r="H70" t="str">
        <v>ITEM8401</v>
      </c>
      <c r="I70" t="str">
        <v>Lemon</v>
      </c>
      <c r="J70" s="15" t="str">
        <v>Oblong</v>
      </c>
      <c r="K70">
        <v>0</v>
      </c>
      <c r="L70">
        <v>0</v>
      </c>
    </row>
    <row r="71" spans="1:12" ht="14.4">
      <c r="A71" t="str">
        <f t="array" ref="A71">Data!B27:D127</f>
        <v>ITEM3313</v>
      </c>
      <c r="B71" t="str">
        <f t="array" ref="B71">Data!C27:E127</f>
        <v>Apple</v>
      </c>
      <c r="C71" t="str">
        <f t="array" ref="C71">Data!D27:F127</f>
        <v>Golden</v>
      </c>
      <c r="D71">
        <f t="array" ref="D71">INDEX(Data!A27:BM127,,MATCH(_xlfn.CONCAT("Dec ",Dashboard!$A$43),Data!$A$1:$BN$1,0))</f>
        <v>4221</v>
      </c>
      <c r="E71">
        <f t="array" ref="E71">INDEX(Data!B27:BN127,,MATCH(_xlfn.CONCAT("Dec ",Dashboard!$A$43),Data!$A$1:$BN$1,0))</f>
        <v>5</v>
      </c>
      <c r="H71" s="10" t="str">
        <v>ITEM8733</v>
      </c>
      <c r="I71" t="str">
        <v>Lemon</v>
      </c>
      <c r="J71" s="15" t="str">
        <v>Lisbon</v>
      </c>
      <c r="K71">
        <v>0</v>
      </c>
      <c r="L71">
        <v>0</v>
      </c>
    </row>
    <row r="72" spans="1:12" ht="14.4">
      <c r="A72" t="str">
        <f t="array" ref="A72">Data!B28:D128</f>
        <v>ITEM3405</v>
      </c>
      <c r="B72" t="str">
        <f t="array" ref="B72">Data!C28:E128</f>
        <v>Lemon</v>
      </c>
      <c r="C72" t="str">
        <f t="array" ref="C72">Data!D28:F128</f>
        <v>Nimbu</v>
      </c>
      <c r="D72">
        <f t="array" ref="D72">INDEX(Data!A28:BM128,,MATCH(_xlfn.CONCAT("Dec ",Dashboard!$A$43),Data!$A$1:$BN$1,0))</f>
        <v>7689</v>
      </c>
      <c r="E72">
        <f t="array" ref="E72">INDEX(Data!B28:BN128,,MATCH(_xlfn.CONCAT("Dec ",Dashboard!$A$43),Data!$A$1:$BN$1,0))</f>
        <v>11</v>
      </c>
      <c r="H72" s="10" t="str">
        <v>ITEM8923</v>
      </c>
      <c r="I72" t="str">
        <v>Lemon</v>
      </c>
      <c r="J72" s="15" t="str">
        <v>Oblong</v>
      </c>
      <c r="K72">
        <v>0</v>
      </c>
      <c r="L72">
        <v>0</v>
      </c>
    </row>
    <row r="73" spans="1:12" ht="14.4">
      <c r="A73" t="str">
        <f t="array" ref="A73">Data!B29:D129</f>
        <v>ITEM3567</v>
      </c>
      <c r="B73" t="str">
        <f t="array" ref="B73">Data!C29:E129</f>
        <v>Orange</v>
      </c>
      <c r="C73" t="str">
        <f t="array" ref="C73">Data!D29:F129</f>
        <v>Tangerine</v>
      </c>
      <c r="D73">
        <f t="array" ref="D73">INDEX(Data!A29:BM129,,MATCH(_xlfn.CONCAT("Dec ",Dashboard!$A$43),Data!$A$1:$BN$1,0))</f>
        <v>0</v>
      </c>
      <c r="E73">
        <f t="array" ref="E73">INDEX(Data!B29:BN129,,MATCH(_xlfn.CONCAT("Dec ",Dashboard!$A$43),Data!$A$1:$BN$1,0))</f>
        <v>0</v>
      </c>
      <c r="H73" s="10" t="str">
        <v>ITEM8963</v>
      </c>
      <c r="I73" t="str">
        <v>Lemon</v>
      </c>
      <c r="J73" s="15" t="str">
        <v>Nimbu</v>
      </c>
      <c r="K73">
        <v>15358</v>
      </c>
      <c r="L73">
        <v>18</v>
      </c>
    </row>
    <row r="74" spans="1:12" ht="14.4">
      <c r="A74" t="str">
        <f t="array" ref="A74">Data!B30:D130</f>
        <v>ITEM3632</v>
      </c>
      <c r="B74" t="str">
        <f t="array" ref="B74">Data!C30:E130</f>
        <v>Lemon</v>
      </c>
      <c r="C74" t="str">
        <f t="array" ref="C74">Data!D30:F130</f>
        <v>Lisbon</v>
      </c>
      <c r="D74">
        <f t="array" ref="D74">INDEX(Data!A30:BM130,,MATCH(_xlfn.CONCAT("Dec ",Dashboard!$A$43),Data!$A$1:$BN$1,0))</f>
        <v>316</v>
      </c>
      <c r="E74">
        <f t="array" ref="E74">INDEX(Data!B30:BN130,,MATCH(_xlfn.CONCAT("Dec ",Dashboard!$A$43),Data!$A$1:$BN$1,0))</f>
        <v>1</v>
      </c>
      <c r="H74" s="10" t="str">
        <v>ITEM9882</v>
      </c>
      <c r="I74" t="str">
        <v>Lemon</v>
      </c>
      <c r="J74" s="15" t="str">
        <v>Lisbon</v>
      </c>
      <c r="K74">
        <v>15930</v>
      </c>
      <c r="L74">
        <v>118</v>
      </c>
    </row>
    <row r="75" spans="1:12" ht="14.4">
      <c r="A75" t="str">
        <f t="array" ref="A75">Data!B31:D131</f>
        <v>ITEM3659</v>
      </c>
      <c r="B75" t="str">
        <f t="array" ref="B75">Data!C31:E131</f>
        <v>Mango</v>
      </c>
      <c r="C75" t="str">
        <f t="array" ref="C75">Data!D31:F131</f>
        <v>Amrapalli</v>
      </c>
      <c r="D75">
        <f t="array" ref="D75">INDEX(Data!A31:BM131,,MATCH(_xlfn.CONCAT("Dec ",Dashboard!$A$43),Data!$A$1:$BN$1,0))</f>
        <v>18804</v>
      </c>
      <c r="E75">
        <f t="array" ref="E75">INDEX(Data!B31:BN131,,MATCH(_xlfn.CONCAT("Dec ",Dashboard!$A$43),Data!$A$1:$BN$1,0))</f>
        <v>45</v>
      </c>
      <c r="H75" s="10" t="str">
        <v>ITEM9903</v>
      </c>
      <c r="I75" t="str">
        <v>Lemon</v>
      </c>
      <c r="J75" s="15" t="str">
        <v>Oblong</v>
      </c>
      <c r="K75">
        <v>316</v>
      </c>
      <c r="L75">
        <v>1</v>
      </c>
    </row>
    <row r="76" spans="1:12" ht="14.4">
      <c r="A76" t="str">
        <f t="array" ref="A76">Data!B32:D132</f>
        <v>ITEM3731</v>
      </c>
      <c r="B76" t="str">
        <f t="array" ref="B76">Data!C32:E132</f>
        <v>Apple</v>
      </c>
      <c r="C76" t="str">
        <f t="array" ref="C76">Data!D32:F132</f>
        <v>Golden</v>
      </c>
      <c r="D76">
        <f t="array" ref="D76">INDEX(Data!A32:BM132,,MATCH(_xlfn.CONCAT("Dec ",Dashboard!$A$43),Data!$A$1:$BN$1,0))</f>
        <v>8394</v>
      </c>
      <c r="E76">
        <f t="array" ref="E76">INDEX(Data!B32:BN132,,MATCH(_xlfn.CONCAT("Dec ",Dashboard!$A$43),Data!$A$1:$BN$1,0))</f>
        <v>16</v>
      </c>
      <c r="H76" s="10" t="str">
        <v>ITEM9924</v>
      </c>
      <c r="I76" t="str">
        <v>Lemon</v>
      </c>
      <c r="J76" s="15" t="str">
        <v>Oblong</v>
      </c>
      <c r="K76">
        <v>21245</v>
      </c>
      <c r="L76">
        <v>43</v>
      </c>
    </row>
    <row r="77" spans="1:12" ht="14.4">
      <c r="A77" t="str">
        <f t="array" ref="A77">Data!B33:D133</f>
        <v>ITEM4188</v>
      </c>
      <c r="B77" t="str">
        <f t="array" ref="B77">Data!C33:E133</f>
        <v>Apple</v>
      </c>
      <c r="C77" t="str">
        <f t="array" ref="C77">Data!D33:F133</f>
        <v>Robin</v>
      </c>
      <c r="D77">
        <f t="array" ref="D77">INDEX(Data!A33:BM133,,MATCH(_xlfn.CONCAT("Dec ",Dashboard!$A$43),Data!$A$1:$BN$1,0))</f>
        <v>15930</v>
      </c>
      <c r="E77">
        <f t="array" ref="E77">INDEX(Data!B33:BN133,,MATCH(_xlfn.CONCAT("Dec ",Dashboard!$A$43),Data!$A$1:$BN$1,0))</f>
        <v>118</v>
      </c>
      <c r="H77" s="10"/>
    </row>
    <row r="78" spans="1:12" ht="14.4">
      <c r="A78" t="str">
        <f t="array" ref="A78">Data!B34:D134</f>
        <v>ITEM4459</v>
      </c>
      <c r="B78" t="str">
        <f t="array" ref="B78">Data!C34:E134</f>
        <v>Mango</v>
      </c>
      <c r="C78" t="str">
        <f t="array" ref="C78">Data!D34:F134</f>
        <v>Green</v>
      </c>
      <c r="D78">
        <f t="array" ref="D78">INDEX(Data!A34:BM134,,MATCH(_xlfn.CONCAT("Dec ",Dashboard!$A$43),Data!$A$1:$BN$1,0))</f>
        <v>18804</v>
      </c>
      <c r="E78">
        <f t="array" ref="E78">INDEX(Data!B34:BN134,,MATCH(_xlfn.CONCAT("Dec ",Dashboard!$A$43),Data!$A$1:$BN$1,0))</f>
        <v>45</v>
      </c>
      <c r="H78" s="10"/>
      <c r="I78" s="10"/>
    </row>
    <row r="79" spans="1:12" ht="14.4">
      <c r="A79" t="str">
        <f t="array" ref="A79">Data!B35:D135</f>
        <v>ITEM4609</v>
      </c>
      <c r="B79" t="str">
        <f t="array" ref="B79">Data!C35:E135</f>
        <v>Mango</v>
      </c>
      <c r="C79" t="str">
        <f t="array" ref="C79">Data!D35:F135</f>
        <v>Amrapalli</v>
      </c>
      <c r="D79">
        <f t="array" ref="D79">INDEX(Data!A35:BM135,,MATCH(_xlfn.CONCAT("Dec ",Dashboard!$A$43),Data!$A$1:$BN$1,0))</f>
        <v>0</v>
      </c>
      <c r="E79">
        <f t="array" ref="E79">INDEX(Data!B35:BN135,,MATCH(_xlfn.CONCAT("Dec ",Dashboard!$A$43),Data!$A$1:$BN$1,0))</f>
        <v>0</v>
      </c>
      <c r="H79" s="10"/>
      <c r="I79" s="10"/>
    </row>
    <row r="80" spans="1:12" ht="14.4">
      <c r="A80" t="str">
        <f t="array" ref="A80">Data!B36:D136</f>
        <v>ITEM4672</v>
      </c>
      <c r="B80" t="str">
        <f t="array" ref="B80">Data!C36:E136</f>
        <v>Apple</v>
      </c>
      <c r="C80" t="str">
        <f t="array" ref="C80">Data!D36:F136</f>
        <v>Golden</v>
      </c>
      <c r="D80">
        <f t="array" ref="D80">INDEX(Data!A36:BM136,,MATCH(_xlfn.CONCAT("Dec ",Dashboard!$A$43),Data!$A$1:$BN$1,0))</f>
        <v>928</v>
      </c>
      <c r="E80">
        <f t="array" ref="E80">INDEX(Data!B36:BN136,,MATCH(_xlfn.CONCAT("Dec ",Dashboard!$A$43),Data!$A$1:$BN$1,0))</f>
        <v>2</v>
      </c>
      <c r="H80" s="10"/>
      <c r="I80" s="10"/>
    </row>
    <row r="81" spans="1:14" ht="14.4">
      <c r="A81" t="str">
        <f t="array" ref="A81">Data!B37:D137</f>
        <v>ITEM4685</v>
      </c>
      <c r="B81" t="str">
        <f t="array" ref="B81">Data!C37:E137</f>
        <v>Lemon</v>
      </c>
      <c r="C81" t="str">
        <f t="array" ref="C81">Data!D37:F137</f>
        <v>Oblong</v>
      </c>
      <c r="D81">
        <f t="array" ref="D81">INDEX(Data!A37:BM137,,MATCH(_xlfn.CONCAT("Dec ",Dashboard!$A$43),Data!$A$1:$BN$1,0))</f>
        <v>0</v>
      </c>
      <c r="E81">
        <f t="array" ref="E81">INDEX(Data!B37:BN137,,MATCH(_xlfn.CONCAT("Dec ",Dashboard!$A$43),Data!$A$1:$BN$1,0))</f>
        <v>0</v>
      </c>
      <c r="H81" s="10"/>
      <c r="I81" s="10"/>
    </row>
    <row r="82" spans="1:14" ht="14.4">
      <c r="A82" t="str">
        <f t="array" ref="A82">Data!B38:D138</f>
        <v>ITEM4838</v>
      </c>
      <c r="B82" t="str">
        <f t="array" ref="B82">Data!C38:E138</f>
        <v>Mango</v>
      </c>
      <c r="C82" t="str">
        <f t="array" ref="C82">Data!D38:F138</f>
        <v>Alphonso</v>
      </c>
      <c r="D82">
        <f t="array" ref="D82">INDEX(Data!A38:BM138,,MATCH(_xlfn.CONCAT("Dec ",Dashboard!$A$43),Data!$A$1:$BN$1,0))</f>
        <v>716</v>
      </c>
      <c r="E82">
        <f t="array" ref="E82">INDEX(Data!B38:BN138,,MATCH(_xlfn.CONCAT("Dec ",Dashboard!$A$43),Data!$A$1:$BN$1,0))</f>
        <v>4</v>
      </c>
      <c r="H82" s="10"/>
      <c r="I82" s="10"/>
      <c r="J82" s="10"/>
      <c r="K82" s="10"/>
      <c r="L82" s="10"/>
      <c r="M82" s="10"/>
      <c r="N82" s="10"/>
    </row>
    <row r="83" spans="1:14" ht="14.4">
      <c r="A83" t="str">
        <f t="array" ref="A83">Data!B39:D139</f>
        <v>ITEM4894</v>
      </c>
      <c r="B83" t="str">
        <f t="array" ref="B83">Data!C39:E139</f>
        <v>Lemon</v>
      </c>
      <c r="C83" t="str">
        <f t="array" ref="C83">Data!D39:F139</f>
        <v>Oblong</v>
      </c>
      <c r="D83">
        <f t="array" ref="D83">INDEX(Data!A39:BM139,,MATCH(_xlfn.CONCAT("Dec ",Dashboard!$A$43),Data!$A$1:$BN$1,0))</f>
        <v>716</v>
      </c>
      <c r="E83">
        <f t="array" ref="E83">INDEX(Data!B39:BN139,,MATCH(_xlfn.CONCAT("Dec ",Dashboard!$A$43),Data!$A$1:$BN$1,0))</f>
        <v>4</v>
      </c>
      <c r="H83" s="10"/>
      <c r="I83" s="10"/>
      <c r="J83" s="10"/>
      <c r="K83" s="10"/>
      <c r="L83" s="10"/>
      <c r="M83" s="10"/>
      <c r="N83" s="10"/>
    </row>
    <row r="84" spans="1:14" ht="14.4">
      <c r="A84" t="str">
        <f t="array" ref="A84">Data!B40:D140</f>
        <v>ITEM4931</v>
      </c>
      <c r="B84" t="str">
        <f t="array" ref="B84">Data!C40:E140</f>
        <v>Lemon</v>
      </c>
      <c r="C84" t="str">
        <f t="array" ref="C84">Data!D40:F140</f>
        <v>Lisbon</v>
      </c>
      <c r="D84">
        <f t="array" ref="D84">INDEX(Data!A40:BM140,,MATCH(_xlfn.CONCAT("Dec ",Dashboard!$A$43),Data!$A$1:$BN$1,0))</f>
        <v>0</v>
      </c>
      <c r="E84">
        <f t="array" ref="E84">INDEX(Data!B40:BN140,,MATCH(_xlfn.CONCAT("Dec ",Dashboard!$A$43),Data!$A$1:$BN$1,0))</f>
        <v>0</v>
      </c>
      <c r="H84" s="10"/>
      <c r="I84" s="10"/>
      <c r="J84" s="10"/>
      <c r="K84" s="10"/>
      <c r="L84" s="10"/>
      <c r="M84" s="10"/>
      <c r="N84" s="10"/>
    </row>
    <row r="85" spans="1:14" ht="14.4">
      <c r="A85" t="str">
        <f t="array" ref="A85">Data!B41:D141</f>
        <v>ITEM5047</v>
      </c>
      <c r="B85" t="str">
        <f t="array" ref="B85">Data!C41:E141</f>
        <v>Lemon</v>
      </c>
      <c r="C85" t="str">
        <f t="array" ref="C85">Data!D41:F141</f>
        <v>Nimbu</v>
      </c>
      <c r="D85">
        <f t="array" ref="D85">INDEX(Data!A41:BM141,,MATCH(_xlfn.CONCAT("Dec ",Dashboard!$A$43),Data!$A$1:$BN$1,0))</f>
        <v>568</v>
      </c>
      <c r="E85">
        <f t="array" ref="E85">INDEX(Data!B41:BN141,,MATCH(_xlfn.CONCAT("Dec ",Dashboard!$A$43),Data!$A$1:$BN$1,0))</f>
        <v>2</v>
      </c>
      <c r="H85" s="10"/>
      <c r="I85" s="10"/>
      <c r="J85" s="10"/>
      <c r="K85" s="10"/>
      <c r="L85" s="10"/>
      <c r="M85" s="10"/>
      <c r="N85" s="10"/>
    </row>
    <row r="86" spans="1:14" ht="14.4">
      <c r="A86" t="str">
        <f t="array" ref="A86">Data!B42:D142</f>
        <v>ITEM5049</v>
      </c>
      <c r="B86" t="str">
        <f t="array" ref="B86">Data!C42:E142</f>
        <v>Lemon</v>
      </c>
      <c r="C86" t="str">
        <f t="array" ref="C86">Data!D42:F142</f>
        <v>Lisbon</v>
      </c>
      <c r="D86">
        <f t="array" ref="D86">INDEX(Data!A42:BM142,,MATCH(_xlfn.CONCAT("Dec ",Dashboard!$A$43),Data!$A$1:$BN$1,0))</f>
        <v>3526</v>
      </c>
      <c r="E86">
        <f t="array" ref="E86">INDEX(Data!B42:BN142,,MATCH(_xlfn.CONCAT("Dec ",Dashboard!$A$43),Data!$A$1:$BN$1,0))</f>
        <v>14</v>
      </c>
      <c r="H86" s="10"/>
      <c r="I86" s="10"/>
      <c r="J86" s="10"/>
      <c r="K86" s="10"/>
      <c r="L86" s="10"/>
      <c r="M86" s="10"/>
      <c r="N86" s="10"/>
    </row>
    <row r="87" spans="1:14" ht="14.4">
      <c r="A87" t="str">
        <f t="array" ref="A87">Data!B43:D143</f>
        <v>ITEM5159</v>
      </c>
      <c r="B87" t="str">
        <f t="array" ref="B87">Data!C43:E143</f>
        <v>Mango</v>
      </c>
      <c r="C87" t="str">
        <f t="array" ref="C87">Data!D43:F143</f>
        <v>Amrapalli</v>
      </c>
      <c r="D87">
        <f t="array" ref="D87">INDEX(Data!A43:BM143,,MATCH(_xlfn.CONCAT("Dec ",Dashboard!$A$43),Data!$A$1:$BN$1,0))</f>
        <v>15930</v>
      </c>
      <c r="E87">
        <f t="array" ref="E87">INDEX(Data!B43:BN143,,MATCH(_xlfn.CONCAT("Dec ",Dashboard!$A$43),Data!$A$1:$BN$1,0))</f>
        <v>118</v>
      </c>
      <c r="H87" s="10"/>
      <c r="I87" s="10"/>
      <c r="J87" s="10"/>
      <c r="K87" s="10"/>
      <c r="L87" s="10"/>
      <c r="M87" s="10"/>
      <c r="N87" s="10"/>
    </row>
    <row r="88" spans="1:14" ht="14.4">
      <c r="A88" t="str">
        <f t="array" ref="A88">Data!B44:D144</f>
        <v>ITEM5204</v>
      </c>
      <c r="B88" t="str">
        <f t="array" ref="B88">Data!C44:E144</f>
        <v>Lemon</v>
      </c>
      <c r="C88" t="str">
        <f t="array" ref="C88">Data!D44:F144</f>
        <v>Lisbon</v>
      </c>
      <c r="D88">
        <f t="array" ref="D88">INDEX(Data!A44:BM144,,MATCH(_xlfn.CONCAT("Dec ",Dashboard!$A$43),Data!$A$1:$BN$1,0))</f>
        <v>877</v>
      </c>
      <c r="E88">
        <f t="array" ref="E88">INDEX(Data!B44:BN144,,MATCH(_xlfn.CONCAT("Dec ",Dashboard!$A$43),Data!$A$1:$BN$1,0))</f>
        <v>3</v>
      </c>
      <c r="H88" s="10"/>
      <c r="I88" s="10"/>
      <c r="J88" s="10"/>
      <c r="K88" s="10"/>
      <c r="L88" s="10"/>
      <c r="M88" s="10"/>
      <c r="N88" s="10"/>
    </row>
    <row r="89" spans="1:14" ht="14.4">
      <c r="A89" t="str">
        <f t="array" ref="A89">Data!B45:D145</f>
        <v>ITEM5211</v>
      </c>
      <c r="B89" t="str">
        <f t="array" ref="B89">Data!C45:E145</f>
        <v>Mango</v>
      </c>
      <c r="C89" t="str">
        <f t="array" ref="C89">Data!D45:F145</f>
        <v>Amrapalli</v>
      </c>
      <c r="D89">
        <f t="array" ref="D89">INDEX(Data!A45:BM145,,MATCH(_xlfn.CONCAT("Dec ",Dashboard!$A$43),Data!$A$1:$BN$1,0))</f>
        <v>877</v>
      </c>
      <c r="E89">
        <f t="array" ref="E89">INDEX(Data!B45:BN145,,MATCH(_xlfn.CONCAT("Dec ",Dashboard!$A$43),Data!$A$1:$BN$1,0))</f>
        <v>3</v>
      </c>
      <c r="H89" s="10"/>
      <c r="I89" s="10"/>
      <c r="J89" s="10"/>
      <c r="K89" s="10"/>
      <c r="L89" s="10"/>
      <c r="M89" s="10"/>
      <c r="N89" s="10"/>
    </row>
    <row r="90" spans="1:14" ht="14.4">
      <c r="A90" t="str">
        <f t="array" ref="A90">Data!B46:D146</f>
        <v>ITEM5418</v>
      </c>
      <c r="B90" t="str">
        <f t="array" ref="B90">Data!C46:E146</f>
        <v>Mango</v>
      </c>
      <c r="C90" t="str">
        <f t="array" ref="C90">Data!D46:F146</f>
        <v>Alphonso</v>
      </c>
      <c r="D90">
        <f t="array" ref="D90">INDEX(Data!A46:BM146,,MATCH(_xlfn.CONCAT("Dec ",Dashboard!$A$43),Data!$A$1:$BN$1,0))</f>
        <v>16125</v>
      </c>
      <c r="E90">
        <f t="array" ref="E90">INDEX(Data!B46:BN146,,MATCH(_xlfn.CONCAT("Dec ",Dashboard!$A$43),Data!$A$1:$BN$1,0))</f>
        <v>125</v>
      </c>
      <c r="H90" s="10"/>
      <c r="I90" s="10"/>
      <c r="J90" s="10"/>
      <c r="K90" s="10"/>
      <c r="L90" s="10"/>
      <c r="M90" s="10"/>
      <c r="N90" s="10"/>
    </row>
    <row r="91" spans="1:14" ht="14.4">
      <c r="A91" t="str">
        <f t="array" ref="A91">Data!B47:D147</f>
        <v>ITEM5498</v>
      </c>
      <c r="B91" t="str">
        <f t="array" ref="B91">Data!C47:E147</f>
        <v>Lemon</v>
      </c>
      <c r="C91" t="str">
        <f t="array" ref="C91">Data!D47:F147</f>
        <v>Lisbon</v>
      </c>
      <c r="D91">
        <f t="array" ref="D91">INDEX(Data!A47:BM147,,MATCH(_xlfn.CONCAT("Dec ",Dashboard!$A$43),Data!$A$1:$BN$1,0))</f>
        <v>0</v>
      </c>
      <c r="E91">
        <f t="array" ref="E91">INDEX(Data!B47:BN147,,MATCH(_xlfn.CONCAT("Dec ",Dashboard!$A$43),Data!$A$1:$BN$1,0))</f>
        <v>0</v>
      </c>
      <c r="H91" s="10"/>
      <c r="I91" s="10"/>
      <c r="J91" s="10"/>
      <c r="K91" s="10"/>
      <c r="L91" s="10"/>
      <c r="M91" s="10"/>
      <c r="N91" s="10"/>
    </row>
    <row r="92" spans="1:14" ht="14.4">
      <c r="A92" t="str">
        <f t="array" ref="A92">Data!B48:D148</f>
        <v>ITEM5665</v>
      </c>
      <c r="B92" t="str">
        <f t="array" ref="B92">Data!C48:E148</f>
        <v>Mango</v>
      </c>
      <c r="C92" t="str">
        <f t="array" ref="C92">Data!D48:F148</f>
        <v>Green</v>
      </c>
      <c r="D92">
        <f t="array" ref="D92">INDEX(Data!A48:BM148,,MATCH(_xlfn.CONCAT("Dec ",Dashboard!$A$43),Data!$A$1:$BN$1,0))</f>
        <v>0</v>
      </c>
      <c r="E92">
        <f t="array" ref="E92">INDEX(Data!B48:BN148,,MATCH(_xlfn.CONCAT("Dec ",Dashboard!$A$43),Data!$A$1:$BN$1,0))</f>
        <v>0</v>
      </c>
      <c r="H92" s="10"/>
      <c r="I92" s="10"/>
      <c r="J92" s="10"/>
      <c r="K92" s="10"/>
      <c r="L92" s="10"/>
      <c r="M92" s="10"/>
      <c r="N92" s="10"/>
    </row>
    <row r="93" spans="1:14" ht="14.4">
      <c r="A93" t="str">
        <f t="array" ref="A93">Data!B49:D149</f>
        <v>ITEM5747</v>
      </c>
      <c r="B93" t="str">
        <f t="array" ref="B93">Data!C49:E149</f>
        <v>Lemon</v>
      </c>
      <c r="C93" t="str">
        <f t="array" ref="C93">Data!D49:F149</f>
        <v>Lisbon</v>
      </c>
      <c r="D93">
        <f t="array" ref="D93">INDEX(Data!A49:BM149,,MATCH(_xlfn.CONCAT("Dec ",Dashboard!$A$43),Data!$A$1:$BN$1,0))</f>
        <v>877</v>
      </c>
      <c r="E93">
        <f t="array" ref="E93">INDEX(Data!B49:BN149,,MATCH(_xlfn.CONCAT("Dec ",Dashboard!$A$43),Data!$A$1:$BN$1,0))</f>
        <v>3</v>
      </c>
      <c r="H93" s="10"/>
      <c r="I93" s="10"/>
    </row>
    <row r="94" spans="1:14" ht="14.4">
      <c r="A94" t="str">
        <f t="array" ref="A94">Data!B50:D150</f>
        <v>ITEM5806</v>
      </c>
      <c r="B94" t="str">
        <f t="array" ref="B94">Data!C50:E150</f>
        <v>Orange</v>
      </c>
      <c r="C94" t="str">
        <f t="array" ref="C94">Data!D50:F150</f>
        <v>Indie</v>
      </c>
      <c r="D94">
        <f t="array" ref="D94">INDEX(Data!A50:BM150,,MATCH(_xlfn.CONCAT("Dec ",Dashboard!$A$43),Data!$A$1:$BN$1,0))</f>
        <v>7689</v>
      </c>
      <c r="E94">
        <f t="array" ref="E94">INDEX(Data!B50:BN150,,MATCH(_xlfn.CONCAT("Dec ",Dashboard!$A$43),Data!$A$1:$BN$1,0))</f>
        <v>11</v>
      </c>
      <c r="H94" s="10"/>
      <c r="I94" s="10"/>
    </row>
    <row r="95" spans="1:14" ht="14.4">
      <c r="A95" t="str">
        <f t="array" ref="A95">Data!B51:D151</f>
        <v>ITEM5846</v>
      </c>
      <c r="B95" t="str">
        <f t="array" ref="B95">Data!C51:E151</f>
        <v>Mango</v>
      </c>
      <c r="C95" t="str">
        <f t="array" ref="C95">Data!D51:F151</f>
        <v>Green</v>
      </c>
      <c r="D95">
        <f t="array" ref="D95">INDEX(Data!A51:BM151,,MATCH(_xlfn.CONCAT("Dec ",Dashboard!$A$43),Data!$A$1:$BN$1,0))</f>
        <v>2037</v>
      </c>
      <c r="E95">
        <f t="array" ref="E95">INDEX(Data!B51:BN151,,MATCH(_xlfn.CONCAT("Dec ",Dashboard!$A$43),Data!$A$1:$BN$1,0))</f>
        <v>3</v>
      </c>
      <c r="H95" s="10"/>
      <c r="I95" s="10"/>
    </row>
    <row r="96" spans="1:14" ht="14.4">
      <c r="A96" t="str">
        <f t="array" ref="A96">Data!B52:D152</f>
        <v>ITEM5899</v>
      </c>
      <c r="B96" t="str">
        <f t="array" ref="B96">Data!C52:E152</f>
        <v>Orange</v>
      </c>
      <c r="C96" t="str">
        <f t="array" ref="C96">Data!D52:F152</f>
        <v>Mandarin</v>
      </c>
      <c r="D96">
        <f t="array" ref="D96">INDEX(Data!A52:BM152,,MATCH(_xlfn.CONCAT("Dec ",Dashboard!$A$43),Data!$A$1:$BN$1,0))</f>
        <v>716</v>
      </c>
      <c r="E96">
        <f t="array" ref="E96">INDEX(Data!B52:BN152,,MATCH(_xlfn.CONCAT("Dec ",Dashboard!$A$43),Data!$A$1:$BN$1,0))</f>
        <v>4</v>
      </c>
      <c r="H96" s="10"/>
      <c r="I96" s="10"/>
    </row>
    <row r="97" spans="1:9" ht="14.4">
      <c r="A97" t="str">
        <f t="array" ref="A97">Data!B53:D153</f>
        <v>ITEM6199</v>
      </c>
      <c r="B97" t="str">
        <f t="array" ref="B97">Data!C53:E153</f>
        <v>Mango</v>
      </c>
      <c r="C97" t="str">
        <f t="array" ref="C97">Data!D53:F153</f>
        <v>Alphonso</v>
      </c>
      <c r="D97">
        <f t="array" ref="D97">INDEX(Data!A53:BM153,,MATCH(_xlfn.CONCAT("Dec ",Dashboard!$A$43),Data!$A$1:$BN$1,0))</f>
        <v>8394</v>
      </c>
      <c r="E97">
        <f t="array" ref="E97">INDEX(Data!B53:BN153,,MATCH(_xlfn.CONCAT("Dec ",Dashboard!$A$43),Data!$A$1:$BN$1,0))</f>
        <v>16</v>
      </c>
      <c r="H97" s="10"/>
      <c r="I97" s="10"/>
    </row>
    <row r="98" spans="1:9" ht="14.4">
      <c r="A98" t="str">
        <f t="array" ref="A98">Data!B54:D154</f>
        <v>ITEM6204</v>
      </c>
      <c r="B98" t="str">
        <f t="array" ref="B98">Data!C54:E154</f>
        <v>Mango</v>
      </c>
      <c r="C98" t="str">
        <f t="array" ref="C98">Data!D54:F154</f>
        <v>Amrapalli</v>
      </c>
      <c r="D98">
        <f t="array" ref="D98">INDEX(Data!A54:BM154,,MATCH(_xlfn.CONCAT("Dec ",Dashboard!$A$43),Data!$A$1:$BN$1,0))</f>
        <v>877</v>
      </c>
      <c r="E98">
        <f t="array" ref="E98">INDEX(Data!B54:BN154,,MATCH(_xlfn.CONCAT("Dec ",Dashboard!$A$43),Data!$A$1:$BN$1,0))</f>
        <v>3</v>
      </c>
      <c r="H98" s="10"/>
      <c r="I98" s="10"/>
    </row>
    <row r="99" spans="1:9" ht="14.4">
      <c r="A99" t="str">
        <f t="array" ref="A99">Data!B55:D155</f>
        <v>ITEM6251</v>
      </c>
      <c r="B99" t="str">
        <f t="array" ref="B99">Data!C55:E155</f>
        <v>Mango</v>
      </c>
      <c r="C99" t="str">
        <f t="array" ref="C99">Data!D55:F155</f>
        <v>Green</v>
      </c>
      <c r="D99">
        <f t="array" ref="D99">INDEX(Data!A55:BM155,,MATCH(_xlfn.CONCAT("Dec ",Dashboard!$A$43),Data!$A$1:$BN$1,0))</f>
        <v>15930</v>
      </c>
      <c r="E99">
        <f t="array" ref="E99">INDEX(Data!B55:BN155,,MATCH(_xlfn.CONCAT("Dec ",Dashboard!$A$43),Data!$A$1:$BN$1,0))</f>
        <v>118</v>
      </c>
      <c r="H99" s="10"/>
      <c r="I99" s="10"/>
    </row>
    <row r="100" spans="1:9" ht="14.4">
      <c r="A100" t="str">
        <f t="array" ref="A100">Data!B56:D156</f>
        <v>ITEM6307</v>
      </c>
      <c r="B100" t="str">
        <f t="array" ref="B100">Data!C56:E156</f>
        <v>Lemon</v>
      </c>
      <c r="C100" t="str">
        <f t="array" ref="C100">Data!D56:F156</f>
        <v>Lisbon</v>
      </c>
      <c r="D100">
        <f t="array" ref="D100">INDEX(Data!A56:BM156,,MATCH(_xlfn.CONCAT("Dec ",Dashboard!$A$43),Data!$A$1:$BN$1,0))</f>
        <v>0</v>
      </c>
      <c r="E100">
        <f t="array" ref="E100">INDEX(Data!B56:BN156,,MATCH(_xlfn.CONCAT("Dec ",Dashboard!$A$43),Data!$A$1:$BN$1,0))</f>
        <v>0</v>
      </c>
      <c r="H100" s="10"/>
      <c r="I100" s="10"/>
    </row>
    <row r="101" spans="1:9" ht="14.4">
      <c r="A101" t="str">
        <f t="array" ref="A101">Data!B57:D157</f>
        <v>ITEM6354</v>
      </c>
      <c r="B101" t="str">
        <f t="array" ref="B101">Data!C57:E157</f>
        <v>Apple</v>
      </c>
      <c r="C101" t="str">
        <f t="array" ref="C101">Data!D57:F157</f>
        <v>Golden</v>
      </c>
      <c r="D101">
        <f t="array" ref="D101">INDEX(Data!A57:BM157,,MATCH(_xlfn.CONCAT("Dec ",Dashboard!$A$43),Data!$A$1:$BN$1,0))</f>
        <v>1798</v>
      </c>
      <c r="E101">
        <f t="array" ref="E101">INDEX(Data!B57:BN157,,MATCH(_xlfn.CONCAT("Dec ",Dashboard!$A$43),Data!$A$1:$BN$1,0))</f>
        <v>2</v>
      </c>
      <c r="H101" s="10"/>
      <c r="I101" s="10"/>
    </row>
    <row r="102" spans="1:9" ht="14.4">
      <c r="A102" t="str">
        <f t="array" ref="A102">Data!B58:D158</f>
        <v>ITEM6460</v>
      </c>
      <c r="B102" t="str">
        <f t="array" ref="B102">Data!C58:E158</f>
        <v>Lemon</v>
      </c>
      <c r="C102" t="str">
        <f t="array" ref="C102">Data!D58:F158</f>
        <v>Nimbu</v>
      </c>
      <c r="D102">
        <f t="array" ref="D102">INDEX(Data!A58:BM158,,MATCH(_xlfn.CONCAT("Dec ",Dashboard!$A$43),Data!$A$1:$BN$1,0))</f>
        <v>0</v>
      </c>
      <c r="E102">
        <f t="array" ref="E102">INDEX(Data!B58:BN158,,MATCH(_xlfn.CONCAT("Dec ",Dashboard!$A$43),Data!$A$1:$BN$1,0))</f>
        <v>0</v>
      </c>
      <c r="H102" s="10"/>
      <c r="I102" s="10"/>
    </row>
    <row r="103" spans="1:9" ht="14.4">
      <c r="A103" t="str">
        <f t="array" ref="A103">Data!B59:D159</f>
        <v>ITEM6480</v>
      </c>
      <c r="B103" t="str">
        <f t="array" ref="B103">Data!C59:E159</f>
        <v>Apple</v>
      </c>
      <c r="C103" t="str">
        <f t="array" ref="C103">Data!D59:F159</f>
        <v>Red</v>
      </c>
      <c r="D103">
        <f t="array" ref="D103">INDEX(Data!A59:BM159,,MATCH(_xlfn.CONCAT("Dec ",Dashboard!$A$43),Data!$A$1:$BN$1,0))</f>
        <v>0</v>
      </c>
      <c r="E103">
        <f t="array" ref="E103">INDEX(Data!B59:BN159,,MATCH(_xlfn.CONCAT("Dec ",Dashboard!$A$43),Data!$A$1:$BN$1,0))</f>
        <v>0</v>
      </c>
      <c r="H103" s="10"/>
      <c r="I103" s="10"/>
    </row>
    <row r="104" spans="1:9" ht="14.4">
      <c r="A104" t="str">
        <f t="array" ref="A104">Data!B60:D160</f>
        <v>ITEM6544</v>
      </c>
      <c r="B104" t="str">
        <f t="array" ref="B104">Data!C60:E160</f>
        <v>Orange</v>
      </c>
      <c r="C104" t="str">
        <f t="array" ref="C104">Data!D60:F160</f>
        <v>Mandarin</v>
      </c>
      <c r="D104">
        <f t="array" ref="D104">INDEX(Data!A60:BM160,,MATCH(_xlfn.CONCAT("Dec ",Dashboard!$A$43),Data!$A$1:$BN$1,0))</f>
        <v>316</v>
      </c>
      <c r="E104">
        <f t="array" ref="E104">INDEX(Data!B60:BN160,,MATCH(_xlfn.CONCAT("Dec ",Dashboard!$A$43),Data!$A$1:$BN$1,0))</f>
        <v>1</v>
      </c>
      <c r="H104" s="10"/>
      <c r="I104" s="10"/>
    </row>
    <row r="105" spans="1:9" ht="14.4">
      <c r="A105" t="str">
        <f t="array" ref="A105">Data!B61:D161</f>
        <v>ITEM6857</v>
      </c>
      <c r="B105" t="str">
        <f t="array" ref="B105">Data!C61:E161</f>
        <v>Lemon</v>
      </c>
      <c r="C105" t="str">
        <f t="array" ref="C105">Data!D61:F161</f>
        <v>Lisbon</v>
      </c>
      <c r="D105">
        <f t="array" ref="D105">INDEX(Data!A61:BM161,,MATCH(_xlfn.CONCAT("Dec ",Dashboard!$A$43),Data!$A$1:$BN$1,0))</f>
        <v>2037</v>
      </c>
      <c r="E105">
        <f t="array" ref="E105">INDEX(Data!B61:BN161,,MATCH(_xlfn.CONCAT("Dec ",Dashboard!$A$43),Data!$A$1:$BN$1,0))</f>
        <v>3</v>
      </c>
      <c r="H105" s="10"/>
      <c r="I105" s="10"/>
    </row>
    <row r="106" spans="1:9" ht="14.4">
      <c r="A106" t="str">
        <f t="array" ref="A106">Data!B62:D162</f>
        <v>ITEM7423</v>
      </c>
      <c r="B106" t="str">
        <f t="array" ref="B106">Data!C62:E162</f>
        <v>Mango</v>
      </c>
      <c r="C106" t="str">
        <f t="array" ref="C106">Data!D62:F162</f>
        <v>Alphonso</v>
      </c>
      <c r="D106">
        <f t="array" ref="D106">INDEX(Data!A62:BM162,,MATCH(_xlfn.CONCAT("Dec ",Dashboard!$A$43),Data!$A$1:$BN$1,0))</f>
        <v>1592</v>
      </c>
      <c r="E106">
        <f t="array" ref="E106">INDEX(Data!B62:BN162,,MATCH(_xlfn.CONCAT("Dec ",Dashboard!$A$43),Data!$A$1:$BN$1,0))</f>
        <v>8</v>
      </c>
      <c r="H106" s="10"/>
      <c r="I106" s="10"/>
    </row>
    <row r="107" spans="1:9">
      <c r="A107" t="str">
        <f t="array" ref="A107">Data!B63:D163</f>
        <v>ITEM7423</v>
      </c>
      <c r="B107" t="str">
        <f t="array" ref="B107">Data!C63:E163</f>
        <v>Mango</v>
      </c>
      <c r="C107" t="str">
        <f t="array" ref="C107">Data!D63:F163</f>
        <v>Green</v>
      </c>
      <c r="D107">
        <f t="array" ref="D107">INDEX(Data!A63:BM163,,MATCH(_xlfn.CONCAT("Dec ",Dashboard!$A$43),Data!$A$1:$BN$1,0))</f>
        <v>21245</v>
      </c>
      <c r="E107">
        <f t="array" ref="E107">INDEX(Data!B63:BN163,,MATCH(_xlfn.CONCAT("Dec ",Dashboard!$A$43),Data!$A$1:$BN$1,0))</f>
        <v>43</v>
      </c>
    </row>
    <row r="108" spans="1:9">
      <c r="A108" t="str">
        <f t="array" ref="A108">Data!B64:D164</f>
        <v>ITEM7516</v>
      </c>
      <c r="B108" t="str">
        <f t="array" ref="B108">Data!C64:E164</f>
        <v>Apple</v>
      </c>
      <c r="C108" t="str">
        <f t="array" ref="C108">Data!D64:F164</f>
        <v>Robin</v>
      </c>
      <c r="D108">
        <f t="array" ref="D108">INDEX(Data!A64:BM164,,MATCH(_xlfn.CONCAT("Dec ",Dashboard!$A$43),Data!$A$1:$BN$1,0))</f>
        <v>877</v>
      </c>
      <c r="E108">
        <f t="array" ref="E108">INDEX(Data!B64:BN164,,MATCH(_xlfn.CONCAT("Dec ",Dashboard!$A$43),Data!$A$1:$BN$1,0))</f>
        <v>3</v>
      </c>
    </row>
    <row r="109" spans="1:9">
      <c r="A109" t="str">
        <f t="array" ref="A109">Data!B65:D165</f>
        <v>ITEM7519</v>
      </c>
      <c r="B109" t="str">
        <f t="array" ref="B109">Data!C65:E165</f>
        <v>Apple</v>
      </c>
      <c r="C109" t="str">
        <f t="array" ref="C109">Data!D65:F165</f>
        <v>Golden</v>
      </c>
      <c r="D109">
        <f t="array" ref="D109">INDEX(Data!A65:BM165,,MATCH(_xlfn.CONCAT("Dec ",Dashboard!$A$43),Data!$A$1:$BN$1,0))</f>
        <v>0</v>
      </c>
      <c r="E109">
        <f t="array" ref="E109">INDEX(Data!B65:BN165,,MATCH(_xlfn.CONCAT("Dec ",Dashboard!$A$43),Data!$A$1:$BN$1,0))</f>
        <v>0</v>
      </c>
    </row>
    <row r="110" spans="1:9">
      <c r="A110" t="str">
        <f t="array" ref="A110">Data!B66:D166</f>
        <v>ITEM7622</v>
      </c>
      <c r="B110" t="str">
        <f t="array" ref="B110">Data!C66:E166</f>
        <v>Lemon</v>
      </c>
      <c r="C110" t="str">
        <f t="array" ref="C110">Data!D66:F166</f>
        <v>Oblong</v>
      </c>
      <c r="D110">
        <f t="array" ref="D110">INDEX(Data!A66:BM166,,MATCH(_xlfn.CONCAT("Dec ",Dashboard!$A$43),Data!$A$1:$BN$1,0))</f>
        <v>15358</v>
      </c>
      <c r="E110">
        <f t="array" ref="E110">INDEX(Data!B66:BN166,,MATCH(_xlfn.CONCAT("Dec ",Dashboard!$A$43),Data!$A$1:$BN$1,0))</f>
        <v>18</v>
      </c>
    </row>
    <row r="111" spans="1:9">
      <c r="A111" t="str">
        <f t="array" ref="A111">Data!B67:D167</f>
        <v>ITEM7636</v>
      </c>
      <c r="B111" t="str">
        <f t="array" ref="B111">Data!C67:E167</f>
        <v>Orange</v>
      </c>
      <c r="C111" t="str">
        <f t="array" ref="C111">Data!D67:F167</f>
        <v>Tangerine</v>
      </c>
      <c r="D111">
        <f t="array" ref="D111">INDEX(Data!A67:BM167,,MATCH(_xlfn.CONCAT("Dec ",Dashboard!$A$43),Data!$A$1:$BN$1,0))</f>
        <v>0</v>
      </c>
      <c r="E111">
        <f t="array" ref="E111">INDEX(Data!B67:BN167,,MATCH(_xlfn.CONCAT("Dec ",Dashboard!$A$43),Data!$A$1:$BN$1,0))</f>
        <v>0</v>
      </c>
    </row>
    <row r="112" spans="1:9">
      <c r="A112" t="str">
        <f t="array" ref="A112">Data!B68:D168</f>
        <v>ITEM7663</v>
      </c>
      <c r="B112" t="str">
        <f t="array" ref="B112">Data!C68:E168</f>
        <v>Mango</v>
      </c>
      <c r="C112" t="str">
        <f t="array" ref="C112">Data!D68:F168</f>
        <v>Alphonso</v>
      </c>
      <c r="D112">
        <f t="array" ref="D112">INDEX(Data!A68:BM168,,MATCH(_xlfn.CONCAT("Dec ",Dashboard!$A$43),Data!$A$1:$BN$1,0))</f>
        <v>1015</v>
      </c>
      <c r="E112">
        <f t="array" ref="E112">INDEX(Data!B68:BN168,,MATCH(_xlfn.CONCAT("Dec ",Dashboard!$A$43),Data!$A$1:$BN$1,0))</f>
        <v>7</v>
      </c>
    </row>
    <row r="113" spans="1:5">
      <c r="A113" t="str">
        <f t="array" ref="A113">Data!B69:D169</f>
        <v>ITEM7691</v>
      </c>
      <c r="B113" t="str">
        <f t="array" ref="B113">Data!C69:E169</f>
        <v>Orange</v>
      </c>
      <c r="C113" t="str">
        <f t="array" ref="C113">Data!D69:F169</f>
        <v>Indie</v>
      </c>
      <c r="D113">
        <f t="array" ref="D113">INDEX(Data!A69:BM169,,MATCH(_xlfn.CONCAT("Dec ",Dashboard!$A$43),Data!$A$1:$BN$1,0))</f>
        <v>0</v>
      </c>
      <c r="E113">
        <f t="array" ref="E113">INDEX(Data!B69:BN169,,MATCH(_xlfn.CONCAT("Dec ",Dashboard!$A$43),Data!$A$1:$BN$1,0))</f>
        <v>0</v>
      </c>
    </row>
    <row r="114" spans="1:5">
      <c r="A114" t="str">
        <f t="array" ref="A114">Data!B70:D170</f>
        <v>ITEM7861</v>
      </c>
      <c r="B114" t="str">
        <f t="array" ref="B114">Data!C70:E170</f>
        <v>Orange</v>
      </c>
      <c r="C114" t="str">
        <f t="array" ref="C114">Data!D70:F170</f>
        <v>Mandarin</v>
      </c>
      <c r="D114">
        <f t="array" ref="D114">INDEX(Data!A70:BM170,,MATCH(_xlfn.CONCAT("Dec ",Dashboard!$A$43),Data!$A$1:$BN$1,0))</f>
        <v>7531</v>
      </c>
      <c r="E114">
        <f t="array" ref="E114">INDEX(Data!B70:BN170,,MATCH(_xlfn.CONCAT("Dec ",Dashboard!$A$43),Data!$A$1:$BN$1,0))</f>
        <v>39</v>
      </c>
    </row>
    <row r="115" spans="1:5">
      <c r="A115" t="str">
        <f t="array" ref="A115">Data!B71:D171</f>
        <v>ITEM7902</v>
      </c>
      <c r="B115" t="str">
        <f t="array" ref="B115">Data!C71:E171</f>
        <v>Apple</v>
      </c>
      <c r="C115" t="str">
        <f t="array" ref="C115">Data!D71:F171</f>
        <v>Robin</v>
      </c>
      <c r="D115">
        <f t="array" ref="D115">INDEX(Data!A71:BM171,,MATCH(_xlfn.CONCAT("Dec ",Dashboard!$A$43),Data!$A$1:$BN$1,0))</f>
        <v>7689</v>
      </c>
      <c r="E115">
        <f t="array" ref="E115">INDEX(Data!B71:BN171,,MATCH(_xlfn.CONCAT("Dec ",Dashboard!$A$43),Data!$A$1:$BN$1,0))</f>
        <v>11</v>
      </c>
    </row>
    <row r="116" spans="1:5">
      <c r="A116" t="str">
        <f t="array" ref="A116">Data!B72:D172</f>
        <v>ITEM8061</v>
      </c>
      <c r="B116" t="str">
        <f t="array" ref="B116">Data!C72:E172</f>
        <v>Lemon</v>
      </c>
      <c r="C116" t="str">
        <f t="array" ref="C116">Data!D72:F172</f>
        <v>Oblong</v>
      </c>
      <c r="D116">
        <f t="array" ref="D116">INDEX(Data!A72:BM172,,MATCH(_xlfn.CONCAT("Dec ",Dashboard!$A$43),Data!$A$1:$BN$1,0))</f>
        <v>0</v>
      </c>
      <c r="E116">
        <f t="array" ref="E116">INDEX(Data!B72:BN172,,MATCH(_xlfn.CONCAT("Dec ",Dashboard!$A$43),Data!$A$1:$BN$1,0))</f>
        <v>0</v>
      </c>
    </row>
    <row r="117" spans="1:5">
      <c r="A117" t="str">
        <f t="array" ref="A117">Data!B73:D173</f>
        <v>ITEM8090</v>
      </c>
      <c r="B117" t="str">
        <f t="array" ref="B117">Data!C73:E173</f>
        <v>Mango</v>
      </c>
      <c r="C117" t="str">
        <f t="array" ref="C117">Data!D73:F173</f>
        <v>Green</v>
      </c>
      <c r="D117">
        <f t="array" ref="D117">INDEX(Data!A73:BM173,,MATCH(_xlfn.CONCAT("Dec ",Dashboard!$A$43),Data!$A$1:$BN$1,0))</f>
        <v>15358</v>
      </c>
      <c r="E117">
        <f t="array" ref="E117">INDEX(Data!B73:BN173,,MATCH(_xlfn.CONCAT("Dec ",Dashboard!$A$43),Data!$A$1:$BN$1,0))</f>
        <v>18</v>
      </c>
    </row>
    <row r="118" spans="1:5">
      <c r="A118" t="str">
        <f t="array" ref="A118">Data!B74:D174</f>
        <v>ITEM8095</v>
      </c>
      <c r="B118" t="str">
        <f t="array" ref="B118">Data!C74:E174</f>
        <v>Mango</v>
      </c>
      <c r="C118" t="str">
        <f t="array" ref="C118">Data!D74:F174</f>
        <v>Green</v>
      </c>
      <c r="D118">
        <f t="array" ref="D118">INDEX(Data!A74:BM174,,MATCH(_xlfn.CONCAT("Dec ",Dashboard!$A$43),Data!$A$1:$BN$1,0))</f>
        <v>516</v>
      </c>
      <c r="E118">
        <f t="array" ref="E118">INDEX(Data!B74:BN174,,MATCH(_xlfn.CONCAT("Dec ",Dashboard!$A$43),Data!$A$1:$BN$1,0))</f>
        <v>4</v>
      </c>
    </row>
    <row r="119" spans="1:5">
      <c r="A119" t="str">
        <f t="array" ref="A119">Data!B75:D175</f>
        <v>ITEM8108</v>
      </c>
      <c r="B119" t="str">
        <f t="array" ref="B119">Data!C75:E175</f>
        <v>Mango</v>
      </c>
      <c r="C119" t="str">
        <f t="array" ref="C119">Data!D75:F175</f>
        <v>Amrapalli</v>
      </c>
      <c r="D119">
        <f t="array" ref="D119">INDEX(Data!A75:BM175,,MATCH(_xlfn.CONCAT("Dec ",Dashboard!$A$43),Data!$A$1:$BN$1,0))</f>
        <v>7689</v>
      </c>
      <c r="E119">
        <f t="array" ref="E119">INDEX(Data!B75:BN175,,MATCH(_xlfn.CONCAT("Dec ",Dashboard!$A$43),Data!$A$1:$BN$1,0))</f>
        <v>11</v>
      </c>
    </row>
    <row r="120" spans="1:5">
      <c r="A120" t="str">
        <f t="array" ref="A120">Data!B76:D176</f>
        <v>ITEM8186</v>
      </c>
      <c r="B120" t="str">
        <f t="array" ref="B120">Data!C76:E176</f>
        <v>Mango</v>
      </c>
      <c r="C120" t="str">
        <f t="array" ref="C120">Data!D76:F176</f>
        <v>Alphonso</v>
      </c>
      <c r="D120">
        <f t="array" ref="D120">INDEX(Data!A76:BM176,,MATCH(_xlfn.CONCAT("Dec ",Dashboard!$A$43),Data!$A$1:$BN$1,0))</f>
        <v>8394</v>
      </c>
      <c r="E120">
        <f t="array" ref="E120">INDEX(Data!B76:BN176,,MATCH(_xlfn.CONCAT("Dec ",Dashboard!$A$43),Data!$A$1:$BN$1,0))</f>
        <v>16</v>
      </c>
    </row>
    <row r="121" spans="1:5">
      <c r="A121" t="str">
        <f t="array" ref="A121">Data!B77:D177</f>
        <v>ITEM8226</v>
      </c>
      <c r="B121" t="str">
        <f t="array" ref="B121">Data!C77:E177</f>
        <v>Guava</v>
      </c>
      <c r="C121" t="str">
        <f t="array" ref="C121">Data!D77:F177</f>
        <v>Sour</v>
      </c>
      <c r="D121">
        <f t="array" ref="D121">INDEX(Data!A77:BM177,,MATCH(_xlfn.CONCAT("Dec ",Dashboard!$A$43),Data!$A$1:$BN$1,0))</f>
        <v>0</v>
      </c>
      <c r="E121">
        <f t="array" ref="E121">INDEX(Data!B77:BN177,,MATCH(_xlfn.CONCAT("Dec ",Dashboard!$A$43),Data!$A$1:$BN$1,0))</f>
        <v>0</v>
      </c>
    </row>
    <row r="122" spans="1:5">
      <c r="A122" t="str">
        <f t="array" ref="A122">Data!B78:D178</f>
        <v>ITEM8265</v>
      </c>
      <c r="B122" t="str">
        <f t="array" ref="B122">Data!C78:E178</f>
        <v>Apple</v>
      </c>
      <c r="C122" t="str">
        <f t="array" ref="C122">Data!D78:F178</f>
        <v>Robin</v>
      </c>
      <c r="D122">
        <f t="array" ref="D122">INDEX(Data!A78:BM178,,MATCH(_xlfn.CONCAT("Dec ",Dashboard!$A$43),Data!$A$1:$BN$1,0))</f>
        <v>25815</v>
      </c>
      <c r="E122">
        <f t="array" ref="E122">INDEX(Data!B78:BN178,,MATCH(_xlfn.CONCAT("Dec ",Dashboard!$A$43),Data!$A$1:$BN$1,0))</f>
        <v>15</v>
      </c>
    </row>
    <row r="123" spans="1:5">
      <c r="A123" t="str">
        <f t="array" ref="A123">Data!B79:D179</f>
        <v>ITEM8277</v>
      </c>
      <c r="B123" t="str">
        <f t="array" ref="B123">Data!C79:E179</f>
        <v>Lemon</v>
      </c>
      <c r="C123" t="str">
        <f t="array" ref="C123">Data!D79:F179</f>
        <v>Lisbon</v>
      </c>
      <c r="D123">
        <f t="array" ref="D123">INDEX(Data!A79:BM179,,MATCH(_xlfn.CONCAT("Dec ",Dashboard!$A$43),Data!$A$1:$BN$1,0))</f>
        <v>4221</v>
      </c>
      <c r="E123">
        <f t="array" ref="E123">INDEX(Data!B79:BN179,,MATCH(_xlfn.CONCAT("Dec ",Dashboard!$A$43),Data!$A$1:$BN$1,0))</f>
        <v>5</v>
      </c>
    </row>
    <row r="124" spans="1:5">
      <c r="A124" t="str">
        <f t="array" ref="A124">Data!B80:D180</f>
        <v>ITEM8353</v>
      </c>
      <c r="B124" t="str">
        <f t="array" ref="B124">Data!C80:E180</f>
        <v>Orange</v>
      </c>
      <c r="C124" t="str">
        <f t="array" ref="C124">Data!D80:F180</f>
        <v>Tangerine</v>
      </c>
      <c r="D124">
        <f t="array" ref="D124">INDEX(Data!A80:BM180,,MATCH(_xlfn.CONCAT("Dec ",Dashboard!$A$43),Data!$A$1:$BN$1,0))</f>
        <v>4221</v>
      </c>
      <c r="E124">
        <f t="array" ref="E124">INDEX(Data!B80:BN180,,MATCH(_xlfn.CONCAT("Dec ",Dashboard!$A$43),Data!$A$1:$BN$1,0))</f>
        <v>5</v>
      </c>
    </row>
    <row r="125" spans="1:5">
      <c r="A125" t="str">
        <f t="array" ref="A125">Data!B81:D181</f>
        <v>ITEM8401</v>
      </c>
      <c r="B125" t="str">
        <f t="array" ref="B125">Data!C81:E181</f>
        <v>Lemon</v>
      </c>
      <c r="C125" t="str">
        <f t="array" ref="C125">Data!D81:F181</f>
        <v>Oblong</v>
      </c>
      <c r="D125">
        <f t="array" ref="D125">INDEX(Data!A81:BM181,,MATCH(_xlfn.CONCAT("Dec ",Dashboard!$A$43),Data!$A$1:$BN$1,0))</f>
        <v>0</v>
      </c>
      <c r="E125">
        <f t="array" ref="E125">INDEX(Data!B81:BN181,,MATCH(_xlfn.CONCAT("Dec ",Dashboard!$A$43),Data!$A$1:$BN$1,0))</f>
        <v>0</v>
      </c>
    </row>
    <row r="126" spans="1:5">
      <c r="A126" t="str">
        <f t="array" ref="A126">Data!B82:D182</f>
        <v>ITEM8733</v>
      </c>
      <c r="B126" t="str">
        <f t="array" ref="B126">Data!C82:E182</f>
        <v>Lemon</v>
      </c>
      <c r="C126" t="str">
        <f t="array" ref="C126">Data!D82:F182</f>
        <v>Lisbon</v>
      </c>
      <c r="D126">
        <f t="array" ref="D126">INDEX(Data!A82:BM182,,MATCH(_xlfn.CONCAT("Dec ",Dashboard!$A$43),Data!$A$1:$BN$1,0))</f>
        <v>0</v>
      </c>
      <c r="E126">
        <f t="array" ref="E126">INDEX(Data!B82:BN182,,MATCH(_xlfn.CONCAT("Dec ",Dashboard!$A$43),Data!$A$1:$BN$1,0))</f>
        <v>0</v>
      </c>
    </row>
    <row r="127" spans="1:5">
      <c r="A127" t="str">
        <f t="array" ref="A127">Data!B83:D183</f>
        <v>ITEM8789</v>
      </c>
      <c r="B127" t="str">
        <f t="array" ref="B127">Data!C83:E183</f>
        <v>Mango</v>
      </c>
      <c r="C127" t="str">
        <f t="array" ref="C127">Data!D83:F183</f>
        <v>Alphonso</v>
      </c>
      <c r="D127">
        <f t="array" ref="D127">INDEX(Data!A83:BM183,,MATCH(_xlfn.CONCAT("Dec ",Dashboard!$A$43),Data!$A$1:$BN$1,0))</f>
        <v>0</v>
      </c>
      <c r="E127">
        <f t="array" ref="E127">INDEX(Data!B83:BN183,,MATCH(_xlfn.CONCAT("Dec ",Dashboard!$A$43),Data!$A$1:$BN$1,0))</f>
        <v>0</v>
      </c>
    </row>
    <row r="128" spans="1:5">
      <c r="A128" t="str">
        <f t="array" ref="A128">Data!B84:D184</f>
        <v>ITEM8886</v>
      </c>
      <c r="B128" t="str">
        <f t="array" ref="B128">Data!C84:E184</f>
        <v>Orange</v>
      </c>
      <c r="C128" t="str">
        <f t="array" ref="C128">Data!D84:F184</f>
        <v>Tangerine</v>
      </c>
      <c r="D128">
        <f t="array" ref="D128">INDEX(Data!A84:BM184,,MATCH(_xlfn.CONCAT("Dec ",Dashboard!$A$43),Data!$A$1:$BN$1,0))</f>
        <v>1416</v>
      </c>
      <c r="E128">
        <f t="array" ref="E128">INDEX(Data!B84:BN184,,MATCH(_xlfn.CONCAT("Dec ",Dashboard!$A$43),Data!$A$1:$BN$1,0))</f>
        <v>8</v>
      </c>
    </row>
    <row r="129" spans="1:15">
      <c r="A129" t="str">
        <f t="array" ref="A129">Data!B85:D185</f>
        <v>ITEM8897</v>
      </c>
      <c r="B129" t="str">
        <f t="array" ref="B129">Data!C85:E185</f>
        <v>Apple</v>
      </c>
      <c r="C129" t="str">
        <f t="array" ref="C129">Data!D85:F185</f>
        <v>Red</v>
      </c>
      <c r="D129">
        <f t="array" ref="D129">INDEX(Data!A85:BM185,,MATCH(_xlfn.CONCAT("Dec ",Dashboard!$A$43),Data!$A$1:$BN$1,0))</f>
        <v>2533</v>
      </c>
      <c r="E129">
        <f t="array" ref="E129">INDEX(Data!B85:BN185,,MATCH(_xlfn.CONCAT("Dec ",Dashboard!$A$43),Data!$A$1:$BN$1,0))</f>
        <v>3</v>
      </c>
    </row>
    <row r="130" spans="1:15">
      <c r="A130" t="str">
        <f t="array" ref="A130">Data!B86:D186</f>
        <v>ITEM8920</v>
      </c>
      <c r="B130" t="str">
        <f t="array" ref="B130">Data!C86:E186</f>
        <v>Mango</v>
      </c>
      <c r="C130" t="str">
        <f t="array" ref="C130">Data!D86:F186</f>
        <v>Amrapalli</v>
      </c>
      <c r="D130">
        <f t="array" ref="D130">INDEX(Data!A86:BM186,,MATCH(_xlfn.CONCAT("Dec ",Dashboard!$A$43),Data!$A$1:$BN$1,0))</f>
        <v>0</v>
      </c>
      <c r="E130">
        <f t="array" ref="E130">INDEX(Data!B86:BN186,,MATCH(_xlfn.CONCAT("Dec ",Dashboard!$A$43),Data!$A$1:$BN$1,0))</f>
        <v>0</v>
      </c>
    </row>
    <row r="131" spans="1:15">
      <c r="A131" t="str">
        <f t="array" ref="A131">Data!B87:D187</f>
        <v>ITEM8923</v>
      </c>
      <c r="B131" t="str">
        <f t="array" ref="B131">Data!C87:E187</f>
        <v>Lemon</v>
      </c>
      <c r="C131" t="str">
        <f t="array" ref="C131">Data!D87:F187</f>
        <v>Oblong</v>
      </c>
      <c r="D131">
        <f t="array" ref="D131">INDEX(Data!A87:BM187,,MATCH(_xlfn.CONCAT("Dec ",Dashboard!$A$43),Data!$A$1:$BN$1,0))</f>
        <v>0</v>
      </c>
      <c r="E131">
        <f t="array" ref="E131">INDEX(Data!B87:BN187,,MATCH(_xlfn.CONCAT("Dec ",Dashboard!$A$43),Data!$A$1:$BN$1,0))</f>
        <v>0</v>
      </c>
    </row>
    <row r="132" spans="1:15">
      <c r="A132" t="str">
        <f t="array" ref="A132">Data!B88:D188</f>
        <v>ITEM8933</v>
      </c>
      <c r="B132" t="str">
        <f t="array" ref="B132">Data!C88:E188</f>
        <v>Apple</v>
      </c>
      <c r="C132" t="str">
        <f t="array" ref="C132">Data!D88:F188</f>
        <v>Red</v>
      </c>
      <c r="D132">
        <f t="array" ref="D132">INDEX(Data!A88:BM188,,MATCH(_xlfn.CONCAT("Dec ",Dashboard!$A$43),Data!$A$1:$BN$1,0))</f>
        <v>2674</v>
      </c>
      <c r="E132">
        <f t="array" ref="E132">INDEX(Data!B88:BN188,,MATCH(_xlfn.CONCAT("Dec ",Dashboard!$A$43),Data!$A$1:$BN$1,0))</f>
        <v>3</v>
      </c>
    </row>
    <row r="133" spans="1:15">
      <c r="A133" t="str">
        <f t="array" ref="A133">Data!B89:D189</f>
        <v>ITEM8963</v>
      </c>
      <c r="B133" t="str">
        <f t="array" ref="B133">Data!C89:E189</f>
        <v>Lemon</v>
      </c>
      <c r="C133" t="str">
        <f t="array" ref="C133">Data!D89:F189</f>
        <v>Nimbu</v>
      </c>
      <c r="D133">
        <f t="array" ref="D133">INDEX(Data!A89:BM189,,MATCH(_xlfn.CONCAT("Dec ",Dashboard!$A$43),Data!$A$1:$BN$1,0))</f>
        <v>15358</v>
      </c>
      <c r="E133">
        <f t="array" ref="E133">INDEX(Data!B89:BN189,,MATCH(_xlfn.CONCAT("Dec ",Dashboard!$A$43),Data!$A$1:$BN$1,0))</f>
        <v>18</v>
      </c>
    </row>
    <row r="134" spans="1:15">
      <c r="A134" t="str">
        <f t="array" ref="A134">Data!B90:D190</f>
        <v>ITEM9090</v>
      </c>
      <c r="B134" t="str">
        <f t="array" ref="B134">Data!C90:E190</f>
        <v>Orange</v>
      </c>
      <c r="C134" t="str">
        <f t="array" ref="C134">Data!D90:F190</f>
        <v>Mandarin</v>
      </c>
      <c r="D134">
        <f t="array" ref="D134">INDEX(Data!A90:BM190,,MATCH(_xlfn.CONCAT("Dec ",Dashboard!$A$43),Data!$A$1:$BN$1,0))</f>
        <v>4221</v>
      </c>
      <c r="E134">
        <f t="array" ref="E134">INDEX(Data!B90:BN190,,MATCH(_xlfn.CONCAT("Dec ",Dashboard!$A$43),Data!$A$1:$BN$1,0))</f>
        <v>5</v>
      </c>
    </row>
    <row r="135" spans="1:15">
      <c r="A135" t="str">
        <f t="array" ref="A135">Data!B91:D191</f>
        <v>ITEM9161</v>
      </c>
      <c r="B135" t="str">
        <f t="array" ref="B135">Data!C91:E191</f>
        <v>Orange</v>
      </c>
      <c r="C135" t="str">
        <f t="array" ref="C135">Data!D91:F191</f>
        <v>Tangerine</v>
      </c>
      <c r="D135">
        <f t="array" ref="D135">INDEX(Data!A91:BM191,,MATCH(_xlfn.CONCAT("Dec ",Dashboard!$A$43),Data!$A$1:$BN$1,0))</f>
        <v>8394</v>
      </c>
      <c r="E135">
        <f t="array" ref="E135">INDEX(Data!B91:BN191,,MATCH(_xlfn.CONCAT("Dec ",Dashboard!$A$43),Data!$A$1:$BN$1,0))</f>
        <v>16</v>
      </c>
    </row>
    <row r="136" spans="1:15">
      <c r="A136" t="str">
        <f t="array" ref="A136">Data!B92:D192</f>
        <v>ITEM9480</v>
      </c>
      <c r="B136" t="str">
        <f t="array" ref="B136">Data!C92:E192</f>
        <v>Mango</v>
      </c>
      <c r="C136" t="str">
        <f t="array" ref="C136">Data!D92:F192</f>
        <v>Green</v>
      </c>
      <c r="D136">
        <f t="array" ref="D136">INDEX(Data!A92:BM192,,MATCH(_xlfn.CONCAT("Dec ",Dashboard!$A$43),Data!$A$1:$BN$1,0))</f>
        <v>0</v>
      </c>
      <c r="E136">
        <f t="array" ref="E136">INDEX(Data!B92:BN192,,MATCH(_xlfn.CONCAT("Dec ",Dashboard!$A$43),Data!$A$1:$BN$1,0))</f>
        <v>0</v>
      </c>
    </row>
    <row r="137" spans="1:15">
      <c r="A137" t="str">
        <f t="array" ref="A137">Data!B93:D193</f>
        <v>ITEM9485</v>
      </c>
      <c r="B137" t="str">
        <f t="array" ref="B137">Data!C93:E193</f>
        <v>Mango</v>
      </c>
      <c r="C137" t="str">
        <f t="array" ref="C137">Data!D93:F193</f>
        <v>Green</v>
      </c>
      <c r="D137">
        <f t="array" ref="D137">INDEX(Data!A93:BM193,,MATCH(_xlfn.CONCAT("Dec ",Dashboard!$A$43),Data!$A$1:$BN$1,0))</f>
        <v>15930</v>
      </c>
      <c r="E137">
        <f t="array" ref="E137">INDEX(Data!B93:BN193,,MATCH(_xlfn.CONCAT("Dec ",Dashboard!$A$43),Data!$A$1:$BN$1,0))</f>
        <v>118</v>
      </c>
    </row>
    <row r="138" spans="1:15">
      <c r="A138" t="str">
        <f t="array" ref="A138">Data!B94:D194</f>
        <v>ITEM9564</v>
      </c>
      <c r="B138" t="str">
        <f t="array" ref="B138">Data!C94:E194</f>
        <v>Orange</v>
      </c>
      <c r="C138" t="str">
        <f t="array" ref="C138">Data!D94:F194</f>
        <v>Indie</v>
      </c>
      <c r="D138">
        <f t="array" ref="D138">INDEX(Data!A94:BM194,,MATCH(_xlfn.CONCAT("Dec ",Dashboard!$A$43),Data!$A$1:$BN$1,0))</f>
        <v>18804</v>
      </c>
      <c r="E138">
        <f t="array" ref="E138">INDEX(Data!B94:BN194,,MATCH(_xlfn.CONCAT("Dec ",Dashboard!$A$43),Data!$A$1:$BN$1,0))</f>
        <v>45</v>
      </c>
    </row>
    <row r="139" spans="1:15">
      <c r="A139" t="str">
        <f t="array" ref="A139">Data!B95:D195</f>
        <v>ITEM9640</v>
      </c>
      <c r="B139" t="str">
        <f t="array" ref="B139">Data!C95:E195</f>
        <v>Apple</v>
      </c>
      <c r="C139" t="str">
        <f t="array" ref="C139">Data!D95:F195</f>
        <v>Golden</v>
      </c>
      <c r="D139">
        <f t="array" ref="D139">INDEX(Data!A95:BM195,,MATCH(_xlfn.CONCAT("Dec ",Dashboard!$A$43),Data!$A$1:$BN$1,0))</f>
        <v>4221</v>
      </c>
      <c r="E139">
        <f t="array" ref="E139">INDEX(Data!B95:BN195,,MATCH(_xlfn.CONCAT("Dec ",Dashboard!$A$43),Data!$A$1:$BN$1,0))</f>
        <v>5</v>
      </c>
    </row>
    <row r="140" spans="1:15">
      <c r="A140" t="str">
        <f t="array" ref="A140">Data!B96:D196</f>
        <v>ITEM9671</v>
      </c>
      <c r="B140" t="str">
        <f t="array" ref="B140">Data!C96:E196</f>
        <v>Apple</v>
      </c>
      <c r="C140" t="str">
        <f t="array" ref="C140">Data!D96:F196</f>
        <v>Red</v>
      </c>
      <c r="D140">
        <f t="array" ref="D140">INDEX(Data!A96:BM196,,MATCH(_xlfn.CONCAT("Dec ",Dashboard!$A$43),Data!$A$1:$BN$1,0))</f>
        <v>716</v>
      </c>
      <c r="E140">
        <f t="array" ref="E140">INDEX(Data!B96:BN196,,MATCH(_xlfn.CONCAT("Dec ",Dashboard!$A$43),Data!$A$1:$BN$1,0))</f>
        <v>4</v>
      </c>
    </row>
    <row r="141" spans="1:15">
      <c r="A141" t="str">
        <f t="array" ref="A141">Data!B97:D197</f>
        <v>ITEM9717</v>
      </c>
      <c r="B141" t="str">
        <f t="array" ref="B141">Data!C97:E197</f>
        <v>Apple</v>
      </c>
      <c r="C141" t="str">
        <f t="array" ref="C141">Data!D97:F197</f>
        <v>Red</v>
      </c>
      <c r="D141">
        <f t="array" ref="D141">INDEX(Data!A97:BM197,,MATCH(_xlfn.CONCAT("Dec ",Dashboard!$A$43),Data!$A$1:$BN$1,0))</f>
        <v>2037</v>
      </c>
      <c r="E141">
        <f t="array" ref="E141">INDEX(Data!B97:BN197,,MATCH(_xlfn.CONCAT("Dec ",Dashboard!$A$43),Data!$A$1:$BN$1,0))</f>
        <v>3</v>
      </c>
    </row>
    <row r="142" spans="1:15">
      <c r="A142" t="str">
        <f t="array" ref="A142">Data!B98:D198</f>
        <v>ITEM9882</v>
      </c>
      <c r="B142" t="str">
        <f t="array" ref="B142">Data!C98:E198</f>
        <v>Lemon</v>
      </c>
      <c r="C142" t="str">
        <f t="array" ref="C142">Data!D98:F198</f>
        <v>Lisbon</v>
      </c>
      <c r="D142">
        <f t="array" ref="D142">INDEX(Data!A98:BM198,,MATCH(_xlfn.CONCAT("Dec ",Dashboard!$A$43),Data!$A$1:$BN$1,0))</f>
        <v>15930</v>
      </c>
      <c r="E142">
        <f t="array" ref="E142">INDEX(Data!B98:BN198,,MATCH(_xlfn.CONCAT("Dec ",Dashboard!$A$43),Data!$A$1:$BN$1,0))</f>
        <v>118</v>
      </c>
    </row>
    <row r="143" spans="1:15">
      <c r="A143" t="str">
        <f t="array" ref="A143">Data!B99:D199</f>
        <v>ITEM9891</v>
      </c>
      <c r="B143" t="str">
        <f t="array" ref="B143">Data!C99:E199</f>
        <v>Mango</v>
      </c>
      <c r="C143" t="str">
        <f t="array" ref="C143">Data!D99:F199</f>
        <v>Green</v>
      </c>
      <c r="D143">
        <f t="array" ref="D143">INDEX(Data!A99:BM199,,MATCH(_xlfn.CONCAT("Dec ",Dashboard!$A$43),Data!$A$1:$BN$1,0))</f>
        <v>2037</v>
      </c>
      <c r="E143">
        <f t="array" ref="E143">INDEX(Data!B99:BN199,,MATCH(_xlfn.CONCAT("Dec ",Dashboard!$A$43),Data!$A$1:$BN$1,0))</f>
        <v>3</v>
      </c>
      <c r="L143" s="45"/>
      <c r="M143" s="45"/>
      <c r="N143" s="45"/>
      <c r="O143" s="45"/>
    </row>
    <row r="144" spans="1:15">
      <c r="A144" t="str">
        <f t="array" ref="A144">Data!B100:D200</f>
        <v>ITEM9894</v>
      </c>
      <c r="B144" t="str">
        <f t="array" ref="B144">Data!C100:E200</f>
        <v>Mango</v>
      </c>
      <c r="C144" t="str">
        <f t="array" ref="C144">Data!D100:F200</f>
        <v>Alphonso</v>
      </c>
      <c r="D144">
        <f t="array" ref="D144">INDEX(Data!A100:BM200,,MATCH(_xlfn.CONCAT("Dec ",Dashboard!$A$43),Data!$A$1:$BN$1,0))</f>
        <v>0</v>
      </c>
      <c r="E144">
        <f t="array" ref="E144">INDEX(Data!B100:BN200,,MATCH(_xlfn.CONCAT("Dec ",Dashboard!$A$43),Data!$A$1:$BN$1,0))</f>
        <v>0</v>
      </c>
      <c r="K144" s="45"/>
      <c r="L144" s="45"/>
      <c r="M144" s="45"/>
      <c r="N144" s="45"/>
      <c r="O144" s="45"/>
    </row>
    <row r="145" spans="1:15">
      <c r="A145" t="str">
        <f t="array" ref="A145">Data!B101:D201</f>
        <v>ITEM9903</v>
      </c>
      <c r="B145" t="str">
        <f t="array" ref="B145">Data!C101:E201</f>
        <v>Lemon</v>
      </c>
      <c r="C145" t="str">
        <f t="array" ref="C145">Data!D101:F201</f>
        <v>Oblong</v>
      </c>
      <c r="D145">
        <f t="array" ref="D145">INDEX(Data!A101:BM201,,MATCH(_xlfn.CONCAT("Dec ",Dashboard!$A$43),Data!$A$1:$BN$1,0))</f>
        <v>316</v>
      </c>
      <c r="E145">
        <f t="array" ref="E145">INDEX(Data!B101:BN201,,MATCH(_xlfn.CONCAT("Dec ",Dashboard!$A$43),Data!$A$1:$BN$1,0))</f>
        <v>1</v>
      </c>
      <c r="K145" s="45"/>
    </row>
    <row r="146" spans="1:15">
      <c r="A146" t="str">
        <f t="array" ref="A146">Data!B102:D202</f>
        <v>ITEM9924</v>
      </c>
      <c r="B146" t="str">
        <f t="array" ref="B146">Data!C102:E202</f>
        <v>Lemon</v>
      </c>
      <c r="C146" t="str">
        <f t="array" ref="C146">Data!D102:F202</f>
        <v>Oblong</v>
      </c>
      <c r="D146">
        <f t="array" ref="D146">INDEX(Data!A102:BM202,,MATCH(_xlfn.CONCAT("Dec ",Dashboard!$A$43),Data!$A$1:$BN$1,0))</f>
        <v>21245</v>
      </c>
      <c r="E146">
        <f t="array" ref="E146">INDEX(Data!B102:BN202,,MATCH(_xlfn.CONCAT("Dec ",Dashboard!$A$43),Data!$A$1:$BN$1,0))</f>
        <v>43</v>
      </c>
      <c r="K146" s="45"/>
    </row>
    <row r="147" spans="1:15">
      <c r="K147" s="45"/>
    </row>
    <row r="148" spans="1:15">
      <c r="G148" s="47"/>
      <c r="K148" s="45"/>
    </row>
    <row r="149" spans="1:15">
      <c r="K149" s="45"/>
    </row>
    <row r="150" spans="1:15">
      <c r="J150"/>
      <c r="K150" s="45"/>
      <c r="O150" s="1"/>
    </row>
    <row r="151" spans="1:15">
      <c r="J151"/>
      <c r="K151" s="45"/>
    </row>
    <row r="152" spans="1:15">
      <c r="J152"/>
      <c r="K152" s="45"/>
    </row>
    <row r="153" spans="1:15">
      <c r="C153" s="1"/>
      <c r="D153" s="1"/>
      <c r="E153" s="1"/>
      <c r="J153"/>
      <c r="K153" s="45"/>
    </row>
    <row r="154" spans="1:15">
      <c r="J154"/>
    </row>
    <row r="155" spans="1:15">
      <c r="J155"/>
    </row>
    <row r="163" spans="4:5">
      <c r="D163" s="15"/>
      <c r="E163" s="15"/>
    </row>
    <row r="164" spans="4:5">
      <c r="D164" s="15"/>
    </row>
    <row r="165" spans="4:5">
      <c r="D165" s="15"/>
    </row>
    <row r="166" spans="4:5">
      <c r="D166" s="15"/>
    </row>
    <row r="167" spans="4:5">
      <c r="D167" s="15"/>
    </row>
    <row r="168" spans="4:5">
      <c r="D168" s="15"/>
    </row>
    <row r="169" spans="4:5">
      <c r="D169" s="15"/>
    </row>
    <row r="170" spans="4:5">
      <c r="D170" s="15"/>
    </row>
    <row r="171" spans="4:5">
      <c r="D171" s="15"/>
    </row>
    <row r="172" spans="4:5">
      <c r="D172" s="15"/>
    </row>
    <row r="173" spans="4:5">
      <c r="D173" s="15"/>
    </row>
    <row r="174" spans="4:5">
      <c r="D174" s="15"/>
    </row>
    <row r="175" spans="4:5">
      <c r="D175" s="15"/>
    </row>
    <row r="176" spans="4:5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1:5">
      <c r="D209" s="15"/>
    </row>
    <row r="210" spans="1:5">
      <c r="D210" s="15"/>
    </row>
    <row r="211" spans="1:5">
      <c r="D211" s="15"/>
    </row>
    <row r="212" spans="1:5">
      <c r="D212" s="15"/>
    </row>
    <row r="213" spans="1:5">
      <c r="D213" s="15"/>
    </row>
    <row r="214" spans="1:5">
      <c r="D214" s="15"/>
    </row>
    <row r="215" spans="1:5">
      <c r="D215" s="15"/>
    </row>
    <row r="216" spans="1:5">
      <c r="D216" s="15"/>
    </row>
    <row r="217" spans="1:5">
      <c r="D217" s="15"/>
    </row>
    <row r="218" spans="1:5">
      <c r="A218" t="str">
        <f t="array" ref="A218">INDEX(Data!B57:BN157,,1):INDEX(Data!B57:BN157,,2)</f>
        <v>ITEM6354</v>
      </c>
      <c r="B218" t="str">
        <f t="array" ref="B218">INDEX(Data!C57:BO157,,1):INDEX(Data!C57:BO157,,2)</f>
        <v>Apple</v>
      </c>
      <c r="C218" t="str">
        <f t="array" ref="C218">INDEX(Data!D57:BP157,,1):INDEX(Data!D57:BP157,,2)</f>
        <v>Golden</v>
      </c>
      <c r="D218" s="15" t="e">
        <f t="array" ref="D218">INDEX(Data!A57:BM157,,MATCH($A$151,Data!$A$1:$BN$1,0))</f>
        <v>#N/A</v>
      </c>
      <c r="E218" t="e">
        <f t="array" ref="E218">INDEX(Data!B57:BN157,,MATCH($A$151,Data!$A$1:$BN$1,0))</f>
        <v>#N/A</v>
      </c>
    </row>
    <row r="219" spans="1:5">
      <c r="A219" t="str">
        <f t="array" ref="A219">INDEX(Data!B58:BN158,,1):INDEX(Data!B58:BN158,,2)</f>
        <v>ITEM6460</v>
      </c>
      <c r="B219" t="str">
        <f t="array" ref="B219">INDEX(Data!C58:BO158,,1):INDEX(Data!C58:BO158,,2)</f>
        <v>Lemon</v>
      </c>
      <c r="C219" t="str">
        <f t="array" ref="C219">INDEX(Data!D58:BP158,,1):INDEX(Data!D58:BP158,,2)</f>
        <v>Nimbu</v>
      </c>
      <c r="D219" s="15" t="e">
        <f t="array" ref="D219">INDEX(Data!A58:BM158,,MATCH($A$151,Data!$A$1:$BN$1,0))</f>
        <v>#N/A</v>
      </c>
      <c r="E219" t="e">
        <f t="array" ref="E219">INDEX(Data!B58:BN158,,MATCH($A$151,Data!$A$1:$BN$1,0))</f>
        <v>#N/A</v>
      </c>
    </row>
    <row r="220" spans="1:5">
      <c r="A220" t="str">
        <f t="array" ref="A220">INDEX(Data!B59:BN159,,1):INDEX(Data!B59:BN159,,2)</f>
        <v>ITEM6480</v>
      </c>
      <c r="B220" t="str">
        <f t="array" ref="B220">INDEX(Data!C59:BO159,,1):INDEX(Data!C59:BO159,,2)</f>
        <v>Apple</v>
      </c>
      <c r="C220" t="str">
        <f t="array" ref="C220">INDEX(Data!D59:BP159,,1):INDEX(Data!D59:BP159,,2)</f>
        <v>Red</v>
      </c>
      <c r="D220" s="15" t="e">
        <f t="array" ref="D220">INDEX(Data!A59:BM159,,MATCH($A$151,Data!$A$1:$BN$1,0))</f>
        <v>#N/A</v>
      </c>
      <c r="E220" t="e">
        <f t="array" ref="E220">INDEX(Data!B59:BN159,,MATCH($A$151,Data!$A$1:$BN$1,0))</f>
        <v>#N/A</v>
      </c>
    </row>
    <row r="221" spans="1:5">
      <c r="A221" t="str">
        <f t="array" ref="A221">INDEX(Data!B60:BN160,,1):INDEX(Data!B60:BN160,,2)</f>
        <v>ITEM6544</v>
      </c>
      <c r="B221" t="str">
        <f t="array" ref="B221">INDEX(Data!C60:BO160,,1):INDEX(Data!C60:BO160,,2)</f>
        <v>Orange</v>
      </c>
      <c r="C221" t="str">
        <f t="array" ref="C221">INDEX(Data!D60:BP160,,1):INDEX(Data!D60:BP160,,2)</f>
        <v>Mandarin</v>
      </c>
      <c r="D221" s="15" t="e">
        <f t="array" ref="D221">INDEX(Data!A60:BM160,,MATCH($A$151,Data!$A$1:$BN$1,0))</f>
        <v>#N/A</v>
      </c>
      <c r="E221" t="e">
        <f t="array" ref="E221">INDEX(Data!B60:BN160,,MATCH($A$151,Data!$A$1:$BN$1,0))</f>
        <v>#N/A</v>
      </c>
    </row>
    <row r="222" spans="1:5">
      <c r="A222" t="str">
        <f t="array" ref="A222">INDEX(Data!B61:BN161,,1):INDEX(Data!B61:BN161,,2)</f>
        <v>ITEM6857</v>
      </c>
      <c r="B222" t="str">
        <f t="array" ref="B222">INDEX(Data!C61:BO161,,1):INDEX(Data!C61:BO161,,2)</f>
        <v>Lemon</v>
      </c>
      <c r="C222" t="str">
        <f t="array" ref="C222">INDEX(Data!D61:BP161,,1):INDEX(Data!D61:BP161,,2)</f>
        <v>Lisbon</v>
      </c>
      <c r="D222" s="15" t="e">
        <f t="array" ref="D222">INDEX(Data!A61:BM161,,MATCH($A$151,Data!$A$1:$BN$1,0))</f>
        <v>#N/A</v>
      </c>
      <c r="E222" t="e">
        <f t="array" ref="E222">INDEX(Data!B61:BN161,,MATCH($A$151,Data!$A$1:$BN$1,0))</f>
        <v>#N/A</v>
      </c>
    </row>
    <row r="223" spans="1:5">
      <c r="A223" t="str">
        <f t="array" ref="A223">INDEX(Data!B62:BN162,,1):INDEX(Data!B62:BN162,,2)</f>
        <v>ITEM7423</v>
      </c>
      <c r="B223" t="str">
        <f t="array" ref="B223">INDEX(Data!C62:BO162,,1):INDEX(Data!C62:BO162,,2)</f>
        <v>Mango</v>
      </c>
      <c r="C223" t="str">
        <f t="array" ref="C223">INDEX(Data!D62:BP162,,1):INDEX(Data!D62:BP162,,2)</f>
        <v>Alphonso</v>
      </c>
      <c r="D223" s="15" t="e">
        <f t="array" ref="D223">INDEX(Data!A62:BM162,,MATCH($A$151,Data!$A$1:$BN$1,0))</f>
        <v>#N/A</v>
      </c>
      <c r="E223" t="e">
        <f t="array" ref="E223">INDEX(Data!B62:BN162,,MATCH($A$151,Data!$A$1:$BN$1,0))</f>
        <v>#N/A</v>
      </c>
    </row>
    <row r="224" spans="1:5">
      <c r="A224" t="str">
        <f t="array" ref="A224">INDEX(Data!B63:BN163,,1):INDEX(Data!B63:BN163,,2)</f>
        <v>ITEM7423</v>
      </c>
      <c r="B224" t="str">
        <f t="array" ref="B224">INDEX(Data!C63:BO163,,1):INDEX(Data!C63:BO163,,2)</f>
        <v>Mango</v>
      </c>
      <c r="C224" t="str">
        <f t="array" ref="C224">INDEX(Data!D63:BP163,,1):INDEX(Data!D63:BP163,,2)</f>
        <v>Green</v>
      </c>
      <c r="D224" s="15" t="e">
        <f t="array" ref="D224">INDEX(Data!A63:BM163,,MATCH($A$151,Data!$A$1:$BN$1,0))</f>
        <v>#N/A</v>
      </c>
      <c r="E224" t="e">
        <f t="array" ref="E224">INDEX(Data!B63:BN163,,MATCH($A$151,Data!$A$1:$BN$1,0))</f>
        <v>#N/A</v>
      </c>
    </row>
    <row r="225" spans="1:5">
      <c r="A225" t="str">
        <f t="array" ref="A225">INDEX(Data!B64:BN164,,1):INDEX(Data!B64:BN164,,2)</f>
        <v>ITEM7516</v>
      </c>
      <c r="B225" t="str">
        <f t="array" ref="B225">INDEX(Data!C64:BO164,,1):INDEX(Data!C64:BO164,,2)</f>
        <v>Apple</v>
      </c>
      <c r="C225" t="str">
        <f t="array" ref="C225">INDEX(Data!D64:BP164,,1):INDEX(Data!D64:BP164,,2)</f>
        <v>Robin</v>
      </c>
      <c r="D225" s="15" t="e">
        <f t="array" ref="D225">INDEX(Data!A64:BM164,,MATCH($A$151,Data!$A$1:$BN$1,0))</f>
        <v>#N/A</v>
      </c>
      <c r="E225" t="e">
        <f t="array" ref="E225">INDEX(Data!B64:BN164,,MATCH($A$151,Data!$A$1:$BN$1,0))</f>
        <v>#N/A</v>
      </c>
    </row>
    <row r="226" spans="1:5">
      <c r="A226" t="str">
        <f t="array" ref="A226">INDEX(Data!B65:BN165,,1):INDEX(Data!B65:BN165,,2)</f>
        <v>ITEM7519</v>
      </c>
      <c r="B226" t="str">
        <f t="array" ref="B226">INDEX(Data!C65:BO165,,1):INDEX(Data!C65:BO165,,2)</f>
        <v>Apple</v>
      </c>
      <c r="C226" t="str">
        <f t="array" ref="C226">INDEX(Data!D65:BP165,,1):INDEX(Data!D65:BP165,,2)</f>
        <v>Golden</v>
      </c>
      <c r="D226" s="15" t="e">
        <f t="array" ref="D226">INDEX(Data!A65:BM165,,MATCH($A$151,Data!$A$1:$BN$1,0))</f>
        <v>#N/A</v>
      </c>
      <c r="E226" t="e">
        <f t="array" ref="E226">INDEX(Data!B65:BN165,,MATCH($A$151,Data!$A$1:$BN$1,0))</f>
        <v>#N/A</v>
      </c>
    </row>
    <row r="227" spans="1:5">
      <c r="A227" t="str">
        <f t="array" ref="A227">INDEX(Data!B66:BN166,,1):INDEX(Data!B66:BN166,,2)</f>
        <v>ITEM7622</v>
      </c>
      <c r="B227" t="str">
        <f t="array" ref="B227">INDEX(Data!C66:BO166,,1):INDEX(Data!C66:BO166,,2)</f>
        <v>Lemon</v>
      </c>
      <c r="C227" t="str">
        <f t="array" ref="C227">INDEX(Data!D66:BP166,,1):INDEX(Data!D66:BP166,,2)</f>
        <v>Oblong</v>
      </c>
      <c r="D227" s="15" t="e">
        <f t="array" ref="D227">INDEX(Data!A66:BM166,,MATCH($A$151,Data!$A$1:$BN$1,0))</f>
        <v>#N/A</v>
      </c>
      <c r="E227" t="e">
        <f t="array" ref="E227">INDEX(Data!B66:BN166,,MATCH($A$151,Data!$A$1:$BN$1,0))</f>
        <v>#N/A</v>
      </c>
    </row>
    <row r="228" spans="1:5">
      <c r="A228" t="str">
        <f t="array" ref="A228">INDEX(Data!B67:BN167,,1):INDEX(Data!B67:BN167,,2)</f>
        <v>ITEM7636</v>
      </c>
      <c r="B228" t="str">
        <f t="array" ref="B228">INDEX(Data!C67:BO167,,1):INDEX(Data!C67:BO167,,2)</f>
        <v>Orange</v>
      </c>
      <c r="C228" t="str">
        <f t="array" ref="C228">INDEX(Data!D67:BP167,,1):INDEX(Data!D67:BP167,,2)</f>
        <v>Tangerine</v>
      </c>
      <c r="D228" s="15" t="e">
        <f t="array" ref="D228">INDEX(Data!A67:BM167,,MATCH($A$151,Data!$A$1:$BN$1,0))</f>
        <v>#N/A</v>
      </c>
      <c r="E228" t="e">
        <f t="array" ref="E228">INDEX(Data!B67:BN167,,MATCH($A$151,Data!$A$1:$BN$1,0))</f>
        <v>#N/A</v>
      </c>
    </row>
    <row r="229" spans="1:5">
      <c r="A229" t="str">
        <f t="array" ref="A229">INDEX(Data!B68:BN168,,1):INDEX(Data!B68:BN168,,2)</f>
        <v>ITEM7663</v>
      </c>
      <c r="B229" t="str">
        <f t="array" ref="B229">INDEX(Data!C68:BO168,,1):INDEX(Data!C68:BO168,,2)</f>
        <v>Mango</v>
      </c>
      <c r="C229" t="str">
        <f t="array" ref="C229">INDEX(Data!D68:BP168,,1):INDEX(Data!D68:BP168,,2)</f>
        <v>Alphonso</v>
      </c>
      <c r="D229" s="15" t="e">
        <f t="array" ref="D229">INDEX(Data!A68:BM168,,MATCH($A$151,Data!$A$1:$BN$1,0))</f>
        <v>#N/A</v>
      </c>
      <c r="E229" t="e">
        <f t="array" ref="E229">INDEX(Data!B68:BN168,,MATCH($A$151,Data!$A$1:$BN$1,0))</f>
        <v>#N/A</v>
      </c>
    </row>
    <row r="230" spans="1:5">
      <c r="A230" t="str">
        <f t="array" ref="A230">INDEX(Data!B69:BN169,,1):INDEX(Data!B69:BN169,,2)</f>
        <v>ITEM7691</v>
      </c>
      <c r="B230" t="str">
        <f t="array" ref="B230">INDEX(Data!C69:BO169,,1):INDEX(Data!C69:BO169,,2)</f>
        <v>Orange</v>
      </c>
      <c r="C230" t="str">
        <f t="array" ref="C230">INDEX(Data!D69:BP169,,1):INDEX(Data!D69:BP169,,2)</f>
        <v>Indie</v>
      </c>
      <c r="D230" s="15" t="e">
        <f t="array" ref="D230">INDEX(Data!A69:BM169,,MATCH($A$151,Data!$A$1:$BN$1,0))</f>
        <v>#N/A</v>
      </c>
      <c r="E230" t="e">
        <f t="array" ref="E230">INDEX(Data!B69:BN169,,MATCH($A$151,Data!$A$1:$BN$1,0))</f>
        <v>#N/A</v>
      </c>
    </row>
    <row r="231" spans="1:5">
      <c r="A231" t="str">
        <f t="array" ref="A231">INDEX(Data!B70:BN170,,1):INDEX(Data!B70:BN170,,2)</f>
        <v>ITEM7861</v>
      </c>
      <c r="B231" t="str">
        <f t="array" ref="B231">INDEX(Data!C70:BO170,,1):INDEX(Data!C70:BO170,,2)</f>
        <v>Orange</v>
      </c>
      <c r="C231" t="str">
        <f t="array" ref="C231">INDEX(Data!D70:BP170,,1):INDEX(Data!D70:BP170,,2)</f>
        <v>Mandarin</v>
      </c>
      <c r="D231" s="15" t="e">
        <f t="array" ref="D231">INDEX(Data!A70:BM170,,MATCH($A$151,Data!$A$1:$BN$1,0))</f>
        <v>#N/A</v>
      </c>
      <c r="E231" t="e">
        <f t="array" ref="E231">INDEX(Data!B70:BN170,,MATCH($A$151,Data!$A$1:$BN$1,0))</f>
        <v>#N/A</v>
      </c>
    </row>
    <row r="232" spans="1:5">
      <c r="A232" t="str">
        <f t="array" ref="A232">INDEX(Data!B71:BN171,,1):INDEX(Data!B71:BN171,,2)</f>
        <v>ITEM7902</v>
      </c>
      <c r="B232" t="str">
        <f t="array" ref="B232">INDEX(Data!C71:BO171,,1):INDEX(Data!C71:BO171,,2)</f>
        <v>Apple</v>
      </c>
      <c r="C232" t="str">
        <f t="array" ref="C232">INDEX(Data!D71:BP171,,1):INDEX(Data!D71:BP171,,2)</f>
        <v>Robin</v>
      </c>
      <c r="D232" s="15" t="e">
        <f t="array" ref="D232">INDEX(Data!A71:BM171,,MATCH($A$151,Data!$A$1:$BN$1,0))</f>
        <v>#N/A</v>
      </c>
      <c r="E232" t="e">
        <f t="array" ref="E232">INDEX(Data!B71:BN171,,MATCH($A$151,Data!$A$1:$BN$1,0))</f>
        <v>#N/A</v>
      </c>
    </row>
    <row r="233" spans="1:5">
      <c r="A233" t="str">
        <f t="array" ref="A233">INDEX(Data!B72:BN172,,1):INDEX(Data!B72:BN172,,2)</f>
        <v>ITEM8061</v>
      </c>
      <c r="B233" t="str">
        <f t="array" ref="B233">INDEX(Data!C72:BO172,,1):INDEX(Data!C72:BO172,,2)</f>
        <v>Lemon</v>
      </c>
      <c r="C233" t="str">
        <f t="array" ref="C233">INDEX(Data!D72:BP172,,1):INDEX(Data!D72:BP172,,2)</f>
        <v>Oblong</v>
      </c>
      <c r="D233" s="15" t="e">
        <f t="array" ref="D233">INDEX(Data!A72:BM172,,MATCH($A$151,Data!$A$1:$BN$1,0))</f>
        <v>#N/A</v>
      </c>
      <c r="E233" t="e">
        <f t="array" ref="E233">INDEX(Data!B72:BN172,,MATCH($A$151,Data!$A$1:$BN$1,0))</f>
        <v>#N/A</v>
      </c>
    </row>
    <row r="234" spans="1:5">
      <c r="A234" t="str">
        <f t="array" ref="A234">INDEX(Data!B73:BN173,,1):INDEX(Data!B73:BN173,,2)</f>
        <v>ITEM8090</v>
      </c>
      <c r="B234" t="str">
        <f t="array" ref="B234">INDEX(Data!C73:BO173,,1):INDEX(Data!C73:BO173,,2)</f>
        <v>Mango</v>
      </c>
      <c r="C234" t="str">
        <f t="array" ref="C234">INDEX(Data!D73:BP173,,1):INDEX(Data!D73:BP173,,2)</f>
        <v>Green</v>
      </c>
      <c r="D234" s="15" t="e">
        <f t="array" ref="D234">INDEX(Data!A73:BM173,,MATCH($A$151,Data!$A$1:$BN$1,0))</f>
        <v>#N/A</v>
      </c>
      <c r="E234" t="e">
        <f t="array" ref="E234">INDEX(Data!B73:BN173,,MATCH($A$151,Data!$A$1:$BN$1,0))</f>
        <v>#N/A</v>
      </c>
    </row>
    <row r="235" spans="1:5">
      <c r="A235" t="str">
        <f t="array" ref="A235">INDEX(Data!B74:BN174,,1):INDEX(Data!B74:BN174,,2)</f>
        <v>ITEM8095</v>
      </c>
      <c r="B235" t="str">
        <f t="array" ref="B235">INDEX(Data!C74:BO174,,1):INDEX(Data!C74:BO174,,2)</f>
        <v>Mango</v>
      </c>
      <c r="C235" t="str">
        <f t="array" ref="C235">INDEX(Data!D74:BP174,,1):INDEX(Data!D74:BP174,,2)</f>
        <v>Green</v>
      </c>
      <c r="D235" s="15" t="e">
        <f t="array" ref="D235">INDEX(Data!A74:BM174,,MATCH($A$151,Data!$A$1:$BN$1,0))</f>
        <v>#N/A</v>
      </c>
      <c r="E235" t="e">
        <f t="array" ref="E235">INDEX(Data!B74:BN174,,MATCH($A$151,Data!$A$1:$BN$1,0))</f>
        <v>#N/A</v>
      </c>
    </row>
    <row r="236" spans="1:5">
      <c r="A236" t="str">
        <f t="array" ref="A236">INDEX(Data!B75:BN175,,1):INDEX(Data!B75:BN175,,2)</f>
        <v>ITEM8108</v>
      </c>
      <c r="B236" t="str">
        <f t="array" ref="B236">INDEX(Data!C75:BO175,,1):INDEX(Data!C75:BO175,,2)</f>
        <v>Mango</v>
      </c>
      <c r="C236" t="str">
        <f t="array" ref="C236">INDEX(Data!D75:BP175,,1):INDEX(Data!D75:BP175,,2)</f>
        <v>Amrapalli</v>
      </c>
      <c r="D236" s="15" t="e">
        <f t="array" ref="D236">INDEX(Data!A75:BM175,,MATCH($A$151,Data!$A$1:$BN$1,0))</f>
        <v>#N/A</v>
      </c>
      <c r="E236" t="e">
        <f t="array" ref="E236">INDEX(Data!B75:BN175,,MATCH($A$151,Data!$A$1:$BN$1,0))</f>
        <v>#N/A</v>
      </c>
    </row>
    <row r="237" spans="1:5">
      <c r="A237" t="str">
        <f t="array" ref="A237">INDEX(Data!B76:BN176,,1):INDEX(Data!B76:BN176,,2)</f>
        <v>ITEM8186</v>
      </c>
      <c r="B237" t="str">
        <f t="array" ref="B237">INDEX(Data!C76:BO176,,1):INDEX(Data!C76:BO176,,2)</f>
        <v>Mango</v>
      </c>
      <c r="C237" t="str">
        <f t="array" ref="C237">INDEX(Data!D76:BP176,,1):INDEX(Data!D76:BP176,,2)</f>
        <v>Alphonso</v>
      </c>
      <c r="D237" s="15" t="e">
        <f t="array" ref="D237">INDEX(Data!A76:BM176,,MATCH($A$151,Data!$A$1:$BN$1,0))</f>
        <v>#N/A</v>
      </c>
      <c r="E237" t="e">
        <f t="array" ref="E237">INDEX(Data!B76:BN176,,MATCH($A$151,Data!$A$1:$BN$1,0))</f>
        <v>#N/A</v>
      </c>
    </row>
    <row r="238" spans="1:5">
      <c r="A238" t="str">
        <f t="array" ref="A238">INDEX(Data!B77:BN177,,1):INDEX(Data!B77:BN177,,2)</f>
        <v>ITEM8226</v>
      </c>
      <c r="B238" t="str">
        <f t="array" ref="B238">INDEX(Data!C77:BO177,,1):INDEX(Data!C77:BO177,,2)</f>
        <v>Guava</v>
      </c>
      <c r="C238" t="str">
        <f t="array" ref="C238">INDEX(Data!D77:BP177,,1):INDEX(Data!D77:BP177,,2)</f>
        <v>Sour</v>
      </c>
      <c r="D238" s="15" t="e">
        <f t="array" ref="D238">INDEX(Data!A77:BM177,,MATCH($A$151,Data!$A$1:$BN$1,0))</f>
        <v>#N/A</v>
      </c>
      <c r="E238" t="e">
        <f t="array" ref="E238">INDEX(Data!B77:BN177,,MATCH($A$151,Data!$A$1:$BN$1,0))</f>
        <v>#N/A</v>
      </c>
    </row>
    <row r="239" spans="1:5">
      <c r="A239" t="str">
        <f t="array" ref="A239">INDEX(Data!B78:BN178,,1):INDEX(Data!B78:BN178,,2)</f>
        <v>ITEM8265</v>
      </c>
      <c r="B239" t="str">
        <f t="array" ref="B239">INDEX(Data!C78:BO178,,1):INDEX(Data!C78:BO178,,2)</f>
        <v>Apple</v>
      </c>
      <c r="C239" t="str">
        <f t="array" ref="C239">INDEX(Data!D78:BP178,,1):INDEX(Data!D78:BP178,,2)</f>
        <v>Robin</v>
      </c>
      <c r="D239" s="15" t="e">
        <f t="array" ref="D239">INDEX(Data!A78:BM178,,MATCH($A$151,Data!$A$1:$BN$1,0))</f>
        <v>#N/A</v>
      </c>
      <c r="E239" t="e">
        <f t="array" ref="E239">INDEX(Data!B78:BN178,,MATCH($A$151,Data!$A$1:$BN$1,0))</f>
        <v>#N/A</v>
      </c>
    </row>
    <row r="240" spans="1:5">
      <c r="A240" t="str">
        <f t="array" ref="A240">INDEX(Data!B79:BN179,,1):INDEX(Data!B79:BN179,,2)</f>
        <v>ITEM8277</v>
      </c>
      <c r="B240" t="str">
        <f t="array" ref="B240">INDEX(Data!C79:BO179,,1):INDEX(Data!C79:BO179,,2)</f>
        <v>Lemon</v>
      </c>
      <c r="C240" t="str">
        <f t="array" ref="C240">INDEX(Data!D79:BP179,,1):INDEX(Data!D79:BP179,,2)</f>
        <v>Lisbon</v>
      </c>
      <c r="D240" s="15" t="e">
        <f t="array" ref="D240">INDEX(Data!A79:BM179,,MATCH($A$151,Data!$A$1:$BN$1,0))</f>
        <v>#N/A</v>
      </c>
      <c r="E240" t="e">
        <f t="array" ref="E240">INDEX(Data!B79:BN179,,MATCH($A$151,Data!$A$1:$BN$1,0))</f>
        <v>#N/A</v>
      </c>
    </row>
    <row r="241" spans="1:5">
      <c r="A241" t="str">
        <f t="array" ref="A241">INDEX(Data!B80:BN180,,1):INDEX(Data!B80:BN180,,2)</f>
        <v>ITEM8353</v>
      </c>
      <c r="B241" t="str">
        <f t="array" ref="B241">INDEX(Data!C80:BO180,,1):INDEX(Data!C80:BO180,,2)</f>
        <v>Orange</v>
      </c>
      <c r="C241" t="str">
        <f t="array" ref="C241">INDEX(Data!D80:BP180,,1):INDEX(Data!D80:BP180,,2)</f>
        <v>Tangerine</v>
      </c>
      <c r="D241" s="15" t="e">
        <f t="array" ref="D241">INDEX(Data!A80:BM180,,MATCH($A$151,Data!$A$1:$BN$1,0))</f>
        <v>#N/A</v>
      </c>
      <c r="E241" t="e">
        <f t="array" ref="E241">INDEX(Data!B80:BN180,,MATCH($A$151,Data!$A$1:$BN$1,0))</f>
        <v>#N/A</v>
      </c>
    </row>
    <row r="242" spans="1:5">
      <c r="A242" t="str">
        <f t="array" ref="A242">INDEX(Data!B81:BN181,,1):INDEX(Data!B81:BN181,,2)</f>
        <v>ITEM8401</v>
      </c>
      <c r="B242" t="str">
        <f t="array" ref="B242">INDEX(Data!C81:BO181,,1):INDEX(Data!C81:BO181,,2)</f>
        <v>Lemon</v>
      </c>
      <c r="C242" t="str">
        <f t="array" ref="C242">INDEX(Data!D81:BP181,,1):INDEX(Data!D81:BP181,,2)</f>
        <v>Oblong</v>
      </c>
      <c r="D242" s="15" t="e">
        <f t="array" ref="D242">INDEX(Data!A81:BM181,,MATCH($A$151,Data!$A$1:$BN$1,0))</f>
        <v>#N/A</v>
      </c>
      <c r="E242" t="e">
        <f t="array" ref="E242">INDEX(Data!B81:BN181,,MATCH($A$151,Data!$A$1:$BN$1,0))</f>
        <v>#N/A</v>
      </c>
    </row>
    <row r="243" spans="1:5">
      <c r="A243" t="str">
        <f t="array" ref="A243">INDEX(Data!B82:BN182,,1):INDEX(Data!B82:BN182,,2)</f>
        <v>ITEM8733</v>
      </c>
      <c r="B243" t="str">
        <f t="array" ref="B243">INDEX(Data!C82:BO182,,1):INDEX(Data!C82:BO182,,2)</f>
        <v>Lemon</v>
      </c>
      <c r="C243" t="str">
        <f t="array" ref="C243">INDEX(Data!D82:BP182,,1):INDEX(Data!D82:BP182,,2)</f>
        <v>Lisbon</v>
      </c>
      <c r="D243" s="15" t="e">
        <f t="array" ref="D243">INDEX(Data!A82:BM182,,MATCH($A$151,Data!$A$1:$BN$1,0))</f>
        <v>#N/A</v>
      </c>
      <c r="E243" t="e">
        <f t="array" ref="E243">INDEX(Data!B82:BN182,,MATCH($A$151,Data!$A$1:$BN$1,0))</f>
        <v>#N/A</v>
      </c>
    </row>
    <row r="244" spans="1:5">
      <c r="A244" t="str">
        <f t="array" ref="A244">INDEX(Data!B83:BN183,,1):INDEX(Data!B83:BN183,,2)</f>
        <v>ITEM8789</v>
      </c>
      <c r="B244" t="str">
        <f t="array" ref="B244">INDEX(Data!C83:BO183,,1):INDEX(Data!C83:BO183,,2)</f>
        <v>Mango</v>
      </c>
      <c r="C244" t="str">
        <f t="array" ref="C244">INDEX(Data!D83:BP183,,1):INDEX(Data!D83:BP183,,2)</f>
        <v>Alphonso</v>
      </c>
      <c r="D244" s="15" t="e">
        <f t="array" ref="D244">INDEX(Data!A83:BM183,,MATCH($A$151,Data!$A$1:$BN$1,0))</f>
        <v>#N/A</v>
      </c>
      <c r="E244" t="e">
        <f t="array" ref="E244">INDEX(Data!B83:BN183,,MATCH($A$151,Data!$A$1:$BN$1,0))</f>
        <v>#N/A</v>
      </c>
    </row>
    <row r="245" spans="1:5">
      <c r="A245" t="str">
        <f t="array" ref="A245">INDEX(Data!B84:BN184,,1):INDEX(Data!B84:BN184,,2)</f>
        <v>ITEM8886</v>
      </c>
      <c r="B245" t="str">
        <f t="array" ref="B245">INDEX(Data!C84:BO184,,1):INDEX(Data!C84:BO184,,2)</f>
        <v>Orange</v>
      </c>
      <c r="C245" t="str">
        <f t="array" ref="C245">INDEX(Data!D84:BP184,,1):INDEX(Data!D84:BP184,,2)</f>
        <v>Tangerine</v>
      </c>
      <c r="D245" s="15" t="e">
        <f t="array" ref="D245">INDEX(Data!A84:BM184,,MATCH($A$151,Data!$A$1:$BN$1,0))</f>
        <v>#N/A</v>
      </c>
      <c r="E245" t="e">
        <f t="array" ref="E245">INDEX(Data!B84:BN184,,MATCH($A$151,Data!$A$1:$BN$1,0))</f>
        <v>#N/A</v>
      </c>
    </row>
    <row r="246" spans="1:5">
      <c r="A246" t="str">
        <f t="array" ref="A246">INDEX(Data!B85:BN185,,1):INDEX(Data!B85:BN185,,2)</f>
        <v>ITEM8897</v>
      </c>
      <c r="B246" t="str">
        <f t="array" ref="B246">INDEX(Data!C85:BO185,,1):INDEX(Data!C85:BO185,,2)</f>
        <v>Apple</v>
      </c>
      <c r="C246" t="str">
        <f t="array" ref="C246">INDEX(Data!D85:BP185,,1):INDEX(Data!D85:BP185,,2)</f>
        <v>Red</v>
      </c>
      <c r="D246" s="15" t="e">
        <f t="array" ref="D246">INDEX(Data!A85:BM185,,MATCH($A$151,Data!$A$1:$BN$1,0))</f>
        <v>#N/A</v>
      </c>
      <c r="E246" t="e">
        <f t="array" ref="E246">INDEX(Data!B85:BN185,,MATCH($A$151,Data!$A$1:$BN$1,0))</f>
        <v>#N/A</v>
      </c>
    </row>
    <row r="247" spans="1:5">
      <c r="A247" t="str">
        <f t="array" ref="A247">INDEX(Data!B86:BN186,,1):INDEX(Data!B86:BN186,,2)</f>
        <v>ITEM8920</v>
      </c>
      <c r="B247" t="str">
        <f t="array" ref="B247">INDEX(Data!C86:BO186,,1):INDEX(Data!C86:BO186,,2)</f>
        <v>Mango</v>
      </c>
      <c r="C247" t="str">
        <f t="array" ref="C247">INDEX(Data!D86:BP186,,1):INDEX(Data!D86:BP186,,2)</f>
        <v>Amrapalli</v>
      </c>
      <c r="D247" s="15" t="e">
        <f t="array" ref="D247">INDEX(Data!A86:BM186,,MATCH($A$151,Data!$A$1:$BN$1,0))</f>
        <v>#N/A</v>
      </c>
      <c r="E247" t="e">
        <f t="array" ref="E247">INDEX(Data!B86:BN186,,MATCH($A$151,Data!$A$1:$BN$1,0))</f>
        <v>#N/A</v>
      </c>
    </row>
    <row r="248" spans="1:5">
      <c r="A248" t="str">
        <f t="array" ref="A248">INDEX(Data!B87:BN187,,1):INDEX(Data!B87:BN187,,2)</f>
        <v>ITEM8923</v>
      </c>
      <c r="B248" t="str">
        <f t="array" ref="B248">INDEX(Data!C87:BO187,,1):INDEX(Data!C87:BO187,,2)</f>
        <v>Lemon</v>
      </c>
      <c r="C248" t="str">
        <f t="array" ref="C248">INDEX(Data!D87:BP187,,1):INDEX(Data!D87:BP187,,2)</f>
        <v>Oblong</v>
      </c>
      <c r="D248" s="15" t="e">
        <f t="array" ref="D248">INDEX(Data!A87:BM187,,MATCH($A$151,Data!$A$1:$BN$1,0))</f>
        <v>#N/A</v>
      </c>
      <c r="E248" t="e">
        <f t="array" ref="E248">INDEX(Data!B87:BN187,,MATCH($A$151,Data!$A$1:$BN$1,0))</f>
        <v>#N/A</v>
      </c>
    </row>
    <row r="249" spans="1:5">
      <c r="A249" t="str">
        <f t="array" ref="A249">INDEX(Data!B88:BN188,,1):INDEX(Data!B88:BN188,,2)</f>
        <v>ITEM8933</v>
      </c>
      <c r="B249" t="str">
        <f t="array" ref="B249">INDEX(Data!C88:BO188,,1):INDEX(Data!C88:BO188,,2)</f>
        <v>Apple</v>
      </c>
      <c r="C249" t="str">
        <f t="array" ref="C249">INDEX(Data!D88:BP188,,1):INDEX(Data!D88:BP188,,2)</f>
        <v>Red</v>
      </c>
      <c r="D249" s="15" t="e">
        <f t="array" ref="D249">INDEX(Data!A88:BM188,,MATCH($A$151,Data!$A$1:$BN$1,0))</f>
        <v>#N/A</v>
      </c>
      <c r="E249" t="e">
        <f t="array" ref="E249">INDEX(Data!B88:BN188,,MATCH($A$151,Data!$A$1:$BN$1,0))</f>
        <v>#N/A</v>
      </c>
    </row>
    <row r="250" spans="1:5">
      <c r="A250" t="str">
        <f t="array" ref="A250">INDEX(Data!B89:BN189,,1):INDEX(Data!B89:BN189,,2)</f>
        <v>ITEM8963</v>
      </c>
      <c r="B250" t="str">
        <f t="array" ref="B250">INDEX(Data!C89:BO189,,1):INDEX(Data!C89:BO189,,2)</f>
        <v>Lemon</v>
      </c>
      <c r="C250" t="str">
        <f t="array" ref="C250">INDEX(Data!D89:BP189,,1):INDEX(Data!D89:BP189,,2)</f>
        <v>Nimbu</v>
      </c>
      <c r="D250" s="15" t="e">
        <f t="array" ref="D250">INDEX(Data!A89:BM189,,MATCH($A$151,Data!$A$1:$BN$1,0))</f>
        <v>#N/A</v>
      </c>
      <c r="E250" t="e">
        <f t="array" ref="E250">INDEX(Data!B89:BN189,,MATCH($A$151,Data!$A$1:$BN$1,0))</f>
        <v>#N/A</v>
      </c>
    </row>
    <row r="251" spans="1:5">
      <c r="A251" t="str">
        <f t="array" ref="A251">INDEX(Data!B90:BN190,,1):INDEX(Data!B90:BN190,,2)</f>
        <v>ITEM9090</v>
      </c>
      <c r="B251" t="str">
        <f t="array" ref="B251">INDEX(Data!C90:BO190,,1):INDEX(Data!C90:BO190,,2)</f>
        <v>Orange</v>
      </c>
      <c r="C251" t="str">
        <f t="array" ref="C251">INDEX(Data!D90:BP190,,1):INDEX(Data!D90:BP190,,2)</f>
        <v>Mandarin</v>
      </c>
      <c r="D251" s="15" t="e">
        <f t="array" ref="D251">INDEX(Data!A90:BM190,,MATCH($A$151,Data!$A$1:$BN$1,0))</f>
        <v>#N/A</v>
      </c>
      <c r="E251" t="e">
        <f t="array" ref="E251">INDEX(Data!B90:BN190,,MATCH($A$151,Data!$A$1:$BN$1,0))</f>
        <v>#N/A</v>
      </c>
    </row>
    <row r="252" spans="1:5">
      <c r="A252" t="str">
        <f t="array" ref="A252">INDEX(Data!B91:BN191,,1):INDEX(Data!B91:BN191,,2)</f>
        <v>ITEM9161</v>
      </c>
      <c r="B252" t="str">
        <f t="array" ref="B252">INDEX(Data!C91:BO191,,1):INDEX(Data!C91:BO191,,2)</f>
        <v>Orange</v>
      </c>
      <c r="C252" t="str">
        <f t="array" ref="C252">INDEX(Data!D91:BP191,,1):INDEX(Data!D91:BP191,,2)</f>
        <v>Tangerine</v>
      </c>
      <c r="D252" s="15" t="e">
        <f t="array" ref="D252">INDEX(Data!A91:BM191,,MATCH($A$151,Data!$A$1:$BN$1,0))</f>
        <v>#N/A</v>
      </c>
      <c r="E252" t="e">
        <f t="array" ref="E252">INDEX(Data!B91:BN191,,MATCH($A$151,Data!$A$1:$BN$1,0))</f>
        <v>#N/A</v>
      </c>
    </row>
    <row r="253" spans="1:5">
      <c r="A253" t="str">
        <f t="array" ref="A253">INDEX(Data!B92:BN192,,1):INDEX(Data!B92:BN192,,2)</f>
        <v>ITEM9480</v>
      </c>
      <c r="B253" t="str">
        <f t="array" ref="B253">INDEX(Data!C92:BO192,,1):INDEX(Data!C92:BO192,,2)</f>
        <v>Mango</v>
      </c>
      <c r="C253" t="str">
        <f t="array" ref="C253">INDEX(Data!D92:BP192,,1):INDEX(Data!D92:BP192,,2)</f>
        <v>Green</v>
      </c>
      <c r="D253" s="15" t="e">
        <f t="array" ref="D253">INDEX(Data!A92:BM192,,MATCH($A$151,Data!$A$1:$BN$1,0))</f>
        <v>#N/A</v>
      </c>
      <c r="E253" t="e">
        <f t="array" ref="E253">INDEX(Data!B92:BN192,,MATCH($A$151,Data!$A$1:$BN$1,0))</f>
        <v>#N/A</v>
      </c>
    </row>
    <row r="254" spans="1:5">
      <c r="A254" t="str">
        <f t="array" ref="A254">INDEX(Data!B93:BN193,,1):INDEX(Data!B93:BN193,,2)</f>
        <v>ITEM9485</v>
      </c>
      <c r="B254" t="str">
        <f t="array" ref="B254">INDEX(Data!C93:BO193,,1):INDEX(Data!C93:BO193,,2)</f>
        <v>Mango</v>
      </c>
      <c r="C254" t="str">
        <f t="array" ref="C254">INDEX(Data!D93:BP193,,1):INDEX(Data!D93:BP193,,2)</f>
        <v>Green</v>
      </c>
      <c r="D254" s="15" t="e">
        <f t="array" ref="D254">INDEX(Data!A93:BM193,,MATCH($A$151,Data!$A$1:$BN$1,0))</f>
        <v>#N/A</v>
      </c>
      <c r="E254" t="e">
        <f t="array" ref="E254">INDEX(Data!B93:BN193,,MATCH($A$151,Data!$A$1:$BN$1,0))</f>
        <v>#N/A</v>
      </c>
    </row>
    <row r="255" spans="1:5">
      <c r="A255" t="str">
        <f t="array" ref="A255">INDEX(Data!B94:BN194,,1):INDEX(Data!B94:BN194,,2)</f>
        <v>ITEM9564</v>
      </c>
      <c r="B255" t="str">
        <f t="array" ref="B255">INDEX(Data!C94:BO194,,1):INDEX(Data!C94:BO194,,2)</f>
        <v>Orange</v>
      </c>
      <c r="C255" t="str">
        <f t="array" ref="C255">INDEX(Data!D94:BP194,,1):INDEX(Data!D94:BP194,,2)</f>
        <v>Indie</v>
      </c>
      <c r="D255" s="15" t="e">
        <f t="array" ref="D255">INDEX(Data!A94:BM194,,MATCH($A$151,Data!$A$1:$BN$1,0))</f>
        <v>#N/A</v>
      </c>
      <c r="E255" t="e">
        <f t="array" ref="E255">INDEX(Data!B94:BN194,,MATCH($A$151,Data!$A$1:$BN$1,0))</f>
        <v>#N/A</v>
      </c>
    </row>
    <row r="256" spans="1:5">
      <c r="A256" t="str">
        <f t="array" ref="A256">INDEX(Data!B95:BN195,,1):INDEX(Data!B95:BN195,,2)</f>
        <v>ITEM9640</v>
      </c>
      <c r="B256" t="str">
        <f t="array" ref="B256">INDEX(Data!C95:BO195,,1):INDEX(Data!C95:BO195,,2)</f>
        <v>Apple</v>
      </c>
      <c r="C256" t="str">
        <f t="array" ref="C256">INDEX(Data!D95:BP195,,1):INDEX(Data!D95:BP195,,2)</f>
        <v>Golden</v>
      </c>
      <c r="D256" s="15" t="e">
        <f t="array" ref="D256">INDEX(Data!A95:BM195,,MATCH($A$151,Data!$A$1:$BN$1,0))</f>
        <v>#N/A</v>
      </c>
      <c r="E256" t="e">
        <f t="array" ref="E256">INDEX(Data!B95:BN195,,MATCH($A$151,Data!$A$1:$BN$1,0))</f>
        <v>#N/A</v>
      </c>
    </row>
    <row r="257" spans="1:5">
      <c r="A257" t="str">
        <f t="array" ref="A257">INDEX(Data!B96:BN196,,1):INDEX(Data!B96:BN196,,2)</f>
        <v>ITEM9671</v>
      </c>
      <c r="B257" t="str">
        <f t="array" ref="B257">INDEX(Data!C96:BO196,,1):INDEX(Data!C96:BO196,,2)</f>
        <v>Apple</v>
      </c>
      <c r="C257" t="str">
        <f t="array" ref="C257">INDEX(Data!D96:BP196,,1):INDEX(Data!D96:BP196,,2)</f>
        <v>Red</v>
      </c>
      <c r="D257" s="15" t="e">
        <f t="array" ref="D257">INDEX(Data!A96:BM196,,MATCH($A$151,Data!$A$1:$BN$1,0))</f>
        <v>#N/A</v>
      </c>
      <c r="E257" t="e">
        <f t="array" ref="E257">INDEX(Data!B96:BN196,,MATCH($A$151,Data!$A$1:$BN$1,0))</f>
        <v>#N/A</v>
      </c>
    </row>
    <row r="258" spans="1:5">
      <c r="A258" t="str">
        <f t="array" ref="A258">INDEX(Data!B97:BN197,,1):INDEX(Data!B97:BN197,,2)</f>
        <v>ITEM9717</v>
      </c>
      <c r="B258" t="str">
        <f t="array" ref="B258">INDEX(Data!C97:BO197,,1):INDEX(Data!C97:BO197,,2)</f>
        <v>Apple</v>
      </c>
      <c r="C258" t="str">
        <f t="array" ref="C258">INDEX(Data!D97:BP197,,1):INDEX(Data!D97:BP197,,2)</f>
        <v>Red</v>
      </c>
      <c r="D258" s="15" t="e">
        <f t="array" ref="D258">INDEX(Data!A97:BM197,,MATCH($A$151,Data!$A$1:$BN$1,0))</f>
        <v>#N/A</v>
      </c>
      <c r="E258" t="e">
        <f t="array" ref="E258">INDEX(Data!B97:BN197,,MATCH($A$151,Data!$A$1:$BN$1,0))</f>
        <v>#N/A</v>
      </c>
    </row>
    <row r="259" spans="1:5">
      <c r="A259" t="str">
        <f t="array" ref="A259">INDEX(Data!B98:BN198,,1):INDEX(Data!B98:BN198,,2)</f>
        <v>ITEM9882</v>
      </c>
      <c r="B259" t="str">
        <f t="array" ref="B259">INDEX(Data!C98:BO198,,1):INDEX(Data!C98:BO198,,2)</f>
        <v>Lemon</v>
      </c>
      <c r="C259" t="str">
        <f t="array" ref="C259">INDEX(Data!D98:BP198,,1):INDEX(Data!D98:BP198,,2)</f>
        <v>Lisbon</v>
      </c>
      <c r="D259" s="15" t="e">
        <f t="array" ref="D259">INDEX(Data!A98:BM198,,MATCH($A$151,Data!$A$1:$BN$1,0))</f>
        <v>#N/A</v>
      </c>
      <c r="E259" t="e">
        <f t="array" ref="E259">INDEX(Data!B98:BN198,,MATCH($A$151,Data!$A$1:$BN$1,0))</f>
        <v>#N/A</v>
      </c>
    </row>
    <row r="260" spans="1:5">
      <c r="A260" t="str">
        <f t="array" ref="A260">INDEX(Data!B99:BN199,,1):INDEX(Data!B99:BN199,,2)</f>
        <v>ITEM9891</v>
      </c>
      <c r="B260" t="str">
        <f t="array" ref="B260">INDEX(Data!C99:BO199,,1):INDEX(Data!C99:BO199,,2)</f>
        <v>Mango</v>
      </c>
      <c r="C260" t="str">
        <f t="array" ref="C260">INDEX(Data!D99:BP199,,1):INDEX(Data!D99:BP199,,2)</f>
        <v>Green</v>
      </c>
      <c r="D260" s="15" t="e">
        <f t="array" ref="D260">INDEX(Data!A99:BM199,,MATCH($A$151,Data!$A$1:$BN$1,0))</f>
        <v>#N/A</v>
      </c>
      <c r="E260" t="e">
        <f t="array" ref="E260">INDEX(Data!B99:BN199,,MATCH($A$151,Data!$A$1:$BN$1,0))</f>
        <v>#N/A</v>
      </c>
    </row>
    <row r="261" spans="1:5">
      <c r="A261" t="str">
        <f t="array" ref="A261">INDEX(Data!B100:BN200,,1):INDEX(Data!B100:BN200,,2)</f>
        <v>ITEM9894</v>
      </c>
      <c r="B261" t="str">
        <f t="array" ref="B261">INDEX(Data!C100:BO200,,1):INDEX(Data!C100:BO200,,2)</f>
        <v>Mango</v>
      </c>
      <c r="C261" t="str">
        <f t="array" ref="C261">INDEX(Data!D100:BP200,,1):INDEX(Data!D100:BP200,,2)</f>
        <v>Alphonso</v>
      </c>
      <c r="D261" s="15" t="e">
        <f t="array" ref="D261">INDEX(Data!A100:BM200,,MATCH($A$151,Data!$A$1:$BN$1,0))</f>
        <v>#N/A</v>
      </c>
      <c r="E261" t="e">
        <f t="array" ref="E261">INDEX(Data!B100:BN200,,MATCH($A$151,Data!$A$1:$BN$1,0))</f>
        <v>#N/A</v>
      </c>
    </row>
    <row r="262" spans="1:5">
      <c r="A262" t="str">
        <f t="array" ref="A262">INDEX(Data!B101:BN201,,1):INDEX(Data!B101:BN201,,2)</f>
        <v>ITEM9903</v>
      </c>
      <c r="B262" t="str">
        <f t="array" ref="B262">INDEX(Data!C101:BO201,,1):INDEX(Data!C101:BO201,,2)</f>
        <v>Lemon</v>
      </c>
      <c r="C262" t="str">
        <f t="array" ref="C262">INDEX(Data!D101:BP201,,1):INDEX(Data!D101:BP201,,2)</f>
        <v>Oblong</v>
      </c>
      <c r="D262" s="15" t="e">
        <f t="array" ref="D262">INDEX(Data!A101:BM201,,MATCH($A$151,Data!$A$1:$BN$1,0))</f>
        <v>#N/A</v>
      </c>
      <c r="E262" t="e">
        <f t="array" ref="E262">INDEX(Data!B101:BN201,,MATCH($A$151,Data!$A$1:$BN$1,0))</f>
        <v>#N/A</v>
      </c>
    </row>
    <row r="263" spans="1:5">
      <c r="A263" t="str">
        <f t="array" ref="A263">INDEX(Data!B102:BN202,,1):INDEX(Data!B102:BN202,,2)</f>
        <v>ITEM9924</v>
      </c>
      <c r="B263" t="str">
        <f t="array" ref="B263">INDEX(Data!C102:BO202,,1):INDEX(Data!C102:BO202,,2)</f>
        <v>Lemon</v>
      </c>
      <c r="C263" t="str">
        <f t="array" ref="C263">INDEX(Data!D102:BP202,,1):INDEX(Data!D102:BP202,,2)</f>
        <v>Oblong</v>
      </c>
      <c r="D263" s="15" t="e">
        <f t="array" ref="D263">INDEX(Data!A102:BM202,,MATCH($A$151,Data!$A$1:$BN$1,0))</f>
        <v>#N/A</v>
      </c>
      <c r="E263" t="e">
        <f t="array" ref="E263">INDEX(Data!B102:BN202,,MATCH($A$151,Data!$A$1:$BN$1,0))</f>
        <v>#N/A</v>
      </c>
    </row>
  </sheetData>
  <phoneticPr fontId="15" type="noConversion"/>
  <dataValidations count="3">
    <dataValidation type="list" allowBlank="1" showInputMessage="1" showErrorMessage="1" sqref="B3" xr:uid="{B9D32672-6693-4108-9F2B-F8ED17052898}">
      <formula1>INDIRECT($A$3)</formula1>
    </dataValidation>
    <dataValidation type="whole" allowBlank="1" showInputMessage="1" showErrorMessage="1" error="Date range 1-31" sqref="A43" xr:uid="{96CA7941-FBEA-4377-B78A-4574A9CDF5BA}">
      <formula1>1</formula1>
      <formula2>31</formula2>
    </dataValidation>
    <dataValidation type="list" allowBlank="1" showInputMessage="1" showErrorMessage="1" sqref="H43" xr:uid="{39F51805-657D-447E-BD99-C1D9DDF2539B}">
      <formula1>INDIRECT($G$43)</formula1>
    </dataValidation>
  </dataValidations>
  <pageMargins left="0.7" right="0.7" top="0.75" bottom="0.75" header="0.3" footer="0.3"/>
  <pageSetup paperSize="9" orientation="portrait" r:id="rId1"/>
  <ignoredErrors>
    <ignoredError sqref="D47:E49" calculatedColumn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F6CF52-846B-447F-A5F8-076DC1DC66B3}">
          <x14:formula1>
            <xm:f>rough!$B$106:$B$110</xm:f>
          </x14:formula1>
          <xm:sqref>A3 G43</xm:sqref>
        </x14:dataValidation>
        <x14:dataValidation type="list" allowBlank="1" showInputMessage="1" showErrorMessage="1" xr:uid="{671BFFC3-72CD-4033-A917-18319D63F40A}">
          <x14:formula1>
            <xm:f>rough!$A$2:$A$101</xm:f>
          </x14:formula1>
          <xm:sqref>G3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Assignment</vt:lpstr>
      <vt:lpstr>Data</vt:lpstr>
      <vt:lpstr>rough</vt:lpstr>
      <vt:lpstr>Dashboard</vt:lpstr>
      <vt:lpstr>Apple</vt:lpstr>
      <vt:lpstr>ASP</vt:lpstr>
      <vt:lpstr>filter</vt:lpstr>
      <vt:lpstr>Guava</vt:lpstr>
      <vt:lpstr>Lemon</vt:lpstr>
      <vt:lpstr>Mango</vt:lpstr>
      <vt:lpstr>Orange</vt:lpstr>
      <vt:lpstr>rough!Print_Titles</vt:lpstr>
      <vt:lpstr>TsumG</vt:lpstr>
      <vt:lpstr>TsumU</vt:lpstr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Achuthan G</cp:lastModifiedBy>
  <dcterms:created xsi:type="dcterms:W3CDTF">2023-11-23T04:27:48Z</dcterms:created>
  <dcterms:modified xsi:type="dcterms:W3CDTF">2023-11-28T07:13:26Z</dcterms:modified>
</cp:coreProperties>
</file>