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t\Desktop\proj\ECONOMETRICS\"/>
    </mc:Choice>
  </mc:AlternateContent>
  <xr:revisionPtr revIDLastSave="0" documentId="13_ncr:1_{B63FBD7B-72B4-4A06-BF28-8EA58ADD7442}" xr6:coauthVersionLast="47" xr6:coauthVersionMax="47" xr10:uidLastSave="{00000000-0000-0000-0000-000000000000}"/>
  <bookViews>
    <workbookView xWindow="-110" yWindow="-110" windowWidth="25820" windowHeight="13900" xr2:uid="{069E470C-EA39-4EF8-AA28-44C4D15069E2}"/>
  </bookViews>
  <sheets>
    <sheet name="Лист1" sheetId="1" r:id="rId1"/>
    <sheet name="Лист3" sheetId="3" r:id="rId2"/>
  </sheets>
  <definedNames>
    <definedName name="_xlnm._FilterDatabase" localSheetId="0" hidden="1">Лист1!$S$9:$T$9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9" i="1" l="1"/>
  <c r="P3" i="1" a="1"/>
  <c r="P5" i="1" s="1"/>
  <c r="F44" i="1"/>
  <c r="F43" i="1"/>
  <c r="F41" i="1"/>
  <c r="L37" i="1"/>
  <c r="I37" i="1"/>
  <c r="F28" i="1"/>
  <c r="F39" i="1"/>
  <c r="F37" i="1"/>
  <c r="I25" i="1"/>
  <c r="I24" i="1"/>
  <c r="E20" i="1"/>
  <c r="I15" i="1"/>
  <c r="J15" i="1"/>
  <c r="F25" i="1"/>
  <c r="F24" i="1"/>
  <c r="L21" i="1"/>
  <c r="I33" i="1" s="1"/>
  <c r="P7" i="1" l="1"/>
  <c r="Q4" i="1"/>
  <c r="P4" i="1"/>
  <c r="Q3" i="1"/>
  <c r="P3" i="1"/>
  <c r="Q7" i="1"/>
  <c r="Q6" i="1"/>
  <c r="P6" i="1"/>
  <c r="Q5" i="1"/>
  <c r="I32" i="1"/>
  <c r="H4" i="1"/>
  <c r="J4" i="1" s="1"/>
  <c r="H5" i="1"/>
  <c r="J5" i="1" s="1"/>
  <c r="H6" i="1"/>
  <c r="J6" i="1" s="1"/>
  <c r="H7" i="1"/>
  <c r="J7" i="1" s="1"/>
  <c r="H8" i="1"/>
  <c r="J8" i="1" s="1"/>
  <c r="H9" i="1"/>
  <c r="J9" i="1" s="1"/>
  <c r="H10" i="1"/>
  <c r="J10" i="1" s="1"/>
  <c r="C18" i="1"/>
  <c r="C15" i="1"/>
  <c r="H12" i="1" s="1"/>
  <c r="J12" i="1" s="1"/>
  <c r="B15" i="1"/>
  <c r="G10" i="1" s="1"/>
  <c r="I10" i="1" s="1"/>
  <c r="F2" i="1"/>
  <c r="F3" i="1"/>
  <c r="F4" i="1"/>
  <c r="F5" i="1"/>
  <c r="F6" i="1"/>
  <c r="F7" i="1"/>
  <c r="F8" i="1"/>
  <c r="F9" i="1"/>
  <c r="F10" i="1"/>
  <c r="F11" i="1"/>
  <c r="F12" i="1"/>
  <c r="F13" i="1"/>
  <c r="E3" i="1"/>
  <c r="E4" i="1"/>
  <c r="E5" i="1"/>
  <c r="E6" i="1"/>
  <c r="E7" i="1"/>
  <c r="E8" i="1"/>
  <c r="E9" i="1"/>
  <c r="E10" i="1"/>
  <c r="E11" i="1"/>
  <c r="E12" i="1"/>
  <c r="E13" i="1"/>
  <c r="E2" i="1"/>
  <c r="E15" i="1" s="1"/>
  <c r="E16" i="1" s="1"/>
  <c r="D3" i="1"/>
  <c r="D4" i="1"/>
  <c r="D5" i="1"/>
  <c r="D6" i="1"/>
  <c r="D7" i="1"/>
  <c r="D8" i="1"/>
  <c r="D9" i="1"/>
  <c r="D10" i="1"/>
  <c r="D11" i="1"/>
  <c r="D12" i="1"/>
  <c r="D13" i="1"/>
  <c r="D2" i="1"/>
  <c r="C14" i="1"/>
  <c r="B14" i="1"/>
  <c r="G11" i="1" l="1"/>
  <c r="I11" i="1" s="1"/>
  <c r="G12" i="1"/>
  <c r="I12" i="1" s="1"/>
  <c r="G13" i="1"/>
  <c r="I13" i="1" s="1"/>
  <c r="H11" i="1"/>
  <c r="J11" i="1" s="1"/>
  <c r="H2" i="1"/>
  <c r="G7" i="1"/>
  <c r="I7" i="1" s="1"/>
  <c r="G8" i="1"/>
  <c r="I8" i="1" s="1"/>
  <c r="G2" i="1"/>
  <c r="G3" i="1"/>
  <c r="I3" i="1" s="1"/>
  <c r="G4" i="1"/>
  <c r="I4" i="1" s="1"/>
  <c r="G5" i="1"/>
  <c r="I5" i="1" s="1"/>
  <c r="G9" i="1"/>
  <c r="I9" i="1" s="1"/>
  <c r="H13" i="1"/>
  <c r="J13" i="1" s="1"/>
  <c r="F15" i="1"/>
  <c r="F16" i="1" s="1"/>
  <c r="H3" i="1"/>
  <c r="J3" i="1" s="1"/>
  <c r="D15" i="1"/>
  <c r="G6" i="1"/>
  <c r="I6" i="1" s="1"/>
  <c r="F14" i="1"/>
  <c r="E14" i="1"/>
  <c r="D14" i="1"/>
  <c r="B18" i="1" l="1"/>
  <c r="E18" i="1" s="1"/>
  <c r="G18" i="1" s="1"/>
  <c r="I2" i="1"/>
  <c r="I14" i="1" s="1"/>
  <c r="G14" i="1"/>
  <c r="J2" i="1"/>
  <c r="J14" i="1" s="1"/>
  <c r="H14" i="1"/>
  <c r="K8" i="1" l="1"/>
  <c r="L8" i="1" s="1"/>
  <c r="M8" i="1" s="1"/>
  <c r="K12" i="1"/>
  <c r="L12" i="1" s="1"/>
  <c r="M12" i="1" s="1"/>
  <c r="K13" i="1"/>
  <c r="L13" i="1" s="1"/>
  <c r="M13" i="1" s="1"/>
  <c r="K3" i="1"/>
  <c r="L3" i="1" s="1"/>
  <c r="M3" i="1" s="1"/>
  <c r="K4" i="1"/>
  <c r="L4" i="1" s="1"/>
  <c r="M4" i="1" s="1"/>
  <c r="K6" i="1"/>
  <c r="L6" i="1" s="1"/>
  <c r="M6" i="1" s="1"/>
  <c r="K9" i="1"/>
  <c r="L9" i="1" s="1"/>
  <c r="M9" i="1" s="1"/>
  <c r="K2" i="1"/>
  <c r="L2" i="1" s="1"/>
  <c r="K5" i="1"/>
  <c r="L5" i="1" s="1"/>
  <c r="M5" i="1" s="1"/>
  <c r="K10" i="1"/>
  <c r="L10" i="1" s="1"/>
  <c r="M10" i="1" s="1"/>
  <c r="K7" i="1"/>
  <c r="L7" i="1" s="1"/>
  <c r="M7" i="1" s="1"/>
  <c r="K11" i="1" l="1"/>
  <c r="L11" i="1" s="1"/>
  <c r="M11" i="1" s="1"/>
  <c r="M2" i="1"/>
  <c r="L14" i="1"/>
  <c r="K15" i="1"/>
  <c r="K14" i="1"/>
  <c r="M15" i="1" l="1"/>
  <c r="M14" i="1"/>
  <c r="F30" i="1" s="1"/>
  <c r="F33" i="1" l="1"/>
  <c r="F27" i="1"/>
  <c r="F32" i="1" s="1"/>
</calcChain>
</file>

<file path=xl/sharedStrings.xml><?xml version="1.0" encoding="utf-8"?>
<sst xmlns="http://schemas.openxmlformats.org/spreadsheetml/2006/main" count="85" uniqueCount="80">
  <si>
    <t>x</t>
  </si>
  <si>
    <t>y</t>
  </si>
  <si>
    <t>xy</t>
  </si>
  <si>
    <t>x^2</t>
  </si>
  <si>
    <t>y^2</t>
  </si>
  <si>
    <t>с доверительной вероятностью 0.95 можно утверждать, что между производительность труда связь прямая сильная</t>
  </si>
  <si>
    <t>решив систему, получим:</t>
  </si>
  <si>
    <t xml:space="preserve">b_0 = </t>
  </si>
  <si>
    <t xml:space="preserve">b_1 = </t>
  </si>
  <si>
    <t xml:space="preserve">t_расч_b_0 = </t>
  </si>
  <si>
    <t xml:space="preserve">t_расч_b_1 = </t>
  </si>
  <si>
    <t xml:space="preserve">s_b_0 = </t>
  </si>
  <si>
    <t>x-~x</t>
  </si>
  <si>
    <t>(x-~x)^2</t>
  </si>
  <si>
    <t>y-~y</t>
  </si>
  <si>
    <t>(y-~y)^2</t>
  </si>
  <si>
    <t>s =</t>
  </si>
  <si>
    <t>^y</t>
  </si>
  <si>
    <t>161808 = b_0 1027 + b_1 89907</t>
  </si>
  <si>
    <t>Сумма</t>
  </si>
  <si>
    <t>Среднее</t>
  </si>
  <si>
    <t>Корень</t>
  </si>
  <si>
    <t>y-^y</t>
  </si>
  <si>
    <t>(y-^y)^2</t>
  </si>
  <si>
    <t xml:space="preserve">s_b_1 = </t>
  </si>
  <si>
    <t>степень свободы</t>
  </si>
  <si>
    <t>Вероятность</t>
  </si>
  <si>
    <t>t_табл_b_0 =</t>
  </si>
  <si>
    <t>t_табл_b_1 =</t>
  </si>
  <si>
    <t>&gt;</t>
  </si>
  <si>
    <t>с доверительной вероятностью 0.95 можно утверждать, что коэффицикенты b_0 и b_1 статистически значимы</t>
  </si>
  <si>
    <t>используя формулы вывода получим</t>
  </si>
  <si>
    <t>Корреляция x и y</t>
  </si>
  <si>
    <t>1869 = 12 b_0 + 1027 b_1</t>
  </si>
  <si>
    <t>x_p=1.1~x=</t>
  </si>
  <si>
    <t>^y_p=b_0+b_1*x_p</t>
  </si>
  <si>
    <t>Delta_^y_p=</t>
  </si>
  <si>
    <t>F_pac=</t>
  </si>
  <si>
    <t>F_tab=</t>
  </si>
  <si>
    <t>верх_гран</t>
  </si>
  <si>
    <t>ниж_гран</t>
  </si>
  <si>
    <t>с доверительной вероятностью 0.95 можно утверждать, что если производительность труда составит 94 шт./чел. , то прибыль составит от 134 до 193 тыс.руб.</t>
  </si>
  <si>
    <t>b_1</t>
  </si>
  <si>
    <t>b_0</t>
  </si>
  <si>
    <t>S_b_1</t>
  </si>
  <si>
    <t>R^2</t>
  </si>
  <si>
    <t>F_pac</t>
  </si>
  <si>
    <t>S_b_0</t>
  </si>
  <si>
    <t>S</t>
  </si>
  <si>
    <t>sigma_1</t>
  </si>
  <si>
    <t>SUM((^y-~y)^2)</t>
  </si>
  <si>
    <t>SUM((y-^y)^2)</t>
  </si>
  <si>
    <t>=</t>
  </si>
  <si>
    <t xml:space="preserve">Прибыль предприятий концерна на </t>
  </si>
  <si>
    <t>процента зависит от производительности труда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</si>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</sst>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818A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7" borderId="0" xfId="0" applyFont="1" applyFill="1"/>
    <xf numFmtId="0" fontId="0" fillId="0" borderId="1" xfId="0" applyBorder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B818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0B42A-5135-42EC-BF19-B031C1DA6E72}">
  <dimension ref="A1:T46"/>
  <sheetViews>
    <sheetView tabSelected="1" zoomScale="85" zoomScaleNormal="85" workbookViewId="0">
      <pane ySplit="1" topLeftCell="A2" activePane="bottomLeft" state="frozen"/>
      <selection pane="bottomLeft" activeCell="S3" sqref="S3:T7"/>
    </sheetView>
  </sheetViews>
  <sheetFormatPr defaultRowHeight="14.5" x14ac:dyDescent="0.35"/>
  <cols>
    <col min="5" max="5" width="12.453125" customWidth="1"/>
    <col min="6" max="6" width="12.7265625" bestFit="1" customWidth="1"/>
    <col min="8" max="8" width="11.90625" customWidth="1"/>
    <col min="9" max="9" width="12.6328125" customWidth="1"/>
    <col min="10" max="11" width="12.7265625" bestFit="1" customWidth="1"/>
    <col min="12" max="12" width="15.7265625" bestFit="1" customWidth="1"/>
    <col min="13" max="13" width="12.7265625" bestFit="1" customWidth="1"/>
    <col min="15" max="15" width="10.26953125" bestFit="1" customWidth="1"/>
    <col min="16" max="16" width="13" bestFit="1" customWidth="1"/>
    <col min="18" max="18" width="10.453125" customWidth="1"/>
  </cols>
  <sheetData>
    <row r="1" spans="1:2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12</v>
      </c>
      <c r="H1" t="s">
        <v>14</v>
      </c>
      <c r="I1" t="s">
        <v>13</v>
      </c>
      <c r="J1" t="s">
        <v>15</v>
      </c>
      <c r="K1" t="s">
        <v>17</v>
      </c>
      <c r="L1" t="s">
        <v>22</v>
      </c>
      <c r="M1" t="s">
        <v>23</v>
      </c>
    </row>
    <row r="2" spans="1:20" x14ac:dyDescent="0.35">
      <c r="B2">
        <v>78</v>
      </c>
      <c r="C2">
        <v>133</v>
      </c>
      <c r="D2">
        <f>B2*C2</f>
        <v>10374</v>
      </c>
      <c r="E2">
        <f>B2*B2</f>
        <v>6084</v>
      </c>
      <c r="F2">
        <f>C2*C2</f>
        <v>17689</v>
      </c>
      <c r="G2">
        <f>B2-B15</f>
        <v>-7.5833333333333286</v>
      </c>
      <c r="H2">
        <f>C2-C15</f>
        <v>-22.75</v>
      </c>
      <c r="I2">
        <f t="shared" ref="I2:I13" si="0">G2*G2</f>
        <v>57.506944444444372</v>
      </c>
      <c r="J2">
        <f t="shared" ref="J2:J13" si="1">H2*H2</f>
        <v>517.5625</v>
      </c>
      <c r="K2">
        <f t="shared" ref="K2:K13" si="2">$I$24+$I$25*B2</f>
        <v>148.77006830883877</v>
      </c>
      <c r="L2">
        <f>C2-K2</f>
        <v>-15.770068308838773</v>
      </c>
      <c r="M2">
        <f>L2*L2</f>
        <v>248.69505446544102</v>
      </c>
    </row>
    <row r="3" spans="1:20" x14ac:dyDescent="0.35">
      <c r="B3">
        <v>82</v>
      </c>
      <c r="C3">
        <v>148</v>
      </c>
      <c r="D3">
        <f t="shared" ref="D3:D13" si="3">B3*C3</f>
        <v>12136</v>
      </c>
      <c r="E3">
        <f t="shared" ref="E3:F13" si="4">B3*B3</f>
        <v>6724</v>
      </c>
      <c r="F3">
        <f t="shared" si="4"/>
        <v>21904</v>
      </c>
      <c r="G3">
        <f>B3-B15</f>
        <v>-3.5833333333333286</v>
      </c>
      <c r="H3">
        <f>C3-C15</f>
        <v>-7.75</v>
      </c>
      <c r="I3">
        <f t="shared" si="0"/>
        <v>12.840277777777743</v>
      </c>
      <c r="J3">
        <f t="shared" si="1"/>
        <v>60.0625</v>
      </c>
      <c r="K3">
        <f t="shared" si="2"/>
        <v>152.4517905195612</v>
      </c>
      <c r="L3">
        <f t="shared" ref="L3:L13" si="5">C3-K3</f>
        <v>-4.4517905195612002</v>
      </c>
      <c r="M3">
        <f t="shared" ref="M3:M13" si="6">L3*L3</f>
        <v>19.81843883005498</v>
      </c>
      <c r="P3">
        <f t="array" ref="P3:Q7">LINEST(C2:C13,B2:B13,1,1)</f>
        <v>0.92043055268060436</v>
      </c>
      <c r="Q3">
        <v>76.976485199751608</v>
      </c>
      <c r="S3" t="s">
        <v>42</v>
      </c>
      <c r="T3" t="s">
        <v>43</v>
      </c>
    </row>
    <row r="4" spans="1:20" x14ac:dyDescent="0.35">
      <c r="B4">
        <v>87</v>
      </c>
      <c r="C4">
        <v>134</v>
      </c>
      <c r="D4">
        <f t="shared" si="3"/>
        <v>11658</v>
      </c>
      <c r="E4">
        <f t="shared" si="4"/>
        <v>7569</v>
      </c>
      <c r="F4">
        <f t="shared" si="4"/>
        <v>17956</v>
      </c>
      <c r="G4">
        <f>B4-B15</f>
        <v>1.4166666666666714</v>
      </c>
      <c r="H4">
        <f>C4-C15</f>
        <v>-21.75</v>
      </c>
      <c r="I4">
        <f t="shared" si="0"/>
        <v>2.006944444444458</v>
      </c>
      <c r="J4">
        <f t="shared" si="1"/>
        <v>473.0625</v>
      </c>
      <c r="K4">
        <f t="shared" si="2"/>
        <v>157.05394328296421</v>
      </c>
      <c r="L4">
        <f t="shared" si="5"/>
        <v>-23.053943282964212</v>
      </c>
      <c r="M4">
        <f t="shared" si="6"/>
        <v>531.48430089413068</v>
      </c>
      <c r="P4">
        <v>0.27971558670972047</v>
      </c>
      <c r="Q4">
        <v>24.21156138272579</v>
      </c>
      <c r="S4" t="s">
        <v>44</v>
      </c>
      <c r="T4" t="s">
        <v>47</v>
      </c>
    </row>
    <row r="5" spans="1:20" x14ac:dyDescent="0.35">
      <c r="B5">
        <v>79</v>
      </c>
      <c r="C5">
        <v>154</v>
      </c>
      <c r="D5">
        <f t="shared" si="3"/>
        <v>12166</v>
      </c>
      <c r="E5">
        <f t="shared" si="4"/>
        <v>6241</v>
      </c>
      <c r="F5">
        <f t="shared" si="4"/>
        <v>23716</v>
      </c>
      <c r="G5">
        <f>B5-B15</f>
        <v>-6.5833333333333286</v>
      </c>
      <c r="H5">
        <f>C5-C15</f>
        <v>-1.75</v>
      </c>
      <c r="I5">
        <f t="shared" si="0"/>
        <v>43.340277777777715</v>
      </c>
      <c r="J5">
        <f t="shared" si="1"/>
        <v>3.0625</v>
      </c>
      <c r="K5">
        <f t="shared" si="2"/>
        <v>149.69049886151936</v>
      </c>
      <c r="L5">
        <f t="shared" si="5"/>
        <v>4.3095011384806412</v>
      </c>
      <c r="M5">
        <f t="shared" si="6"/>
        <v>18.571800062565941</v>
      </c>
      <c r="P5">
        <v>0.5198773588839235</v>
      </c>
      <c r="Q5">
        <v>12.549590804169712</v>
      </c>
      <c r="R5" t="s">
        <v>52</v>
      </c>
      <c r="S5" t="s">
        <v>45</v>
      </c>
      <c r="T5" t="s">
        <v>48</v>
      </c>
    </row>
    <row r="6" spans="1:20" x14ac:dyDescent="0.35">
      <c r="B6">
        <v>89</v>
      </c>
      <c r="C6">
        <v>162</v>
      </c>
      <c r="D6">
        <f t="shared" si="3"/>
        <v>14418</v>
      </c>
      <c r="E6">
        <f t="shared" si="4"/>
        <v>7921</v>
      </c>
      <c r="F6">
        <f t="shared" si="4"/>
        <v>26244</v>
      </c>
      <c r="G6">
        <f>B6-B15</f>
        <v>3.4166666666666714</v>
      </c>
      <c r="H6">
        <f>C6-C15</f>
        <v>6.25</v>
      </c>
      <c r="I6">
        <f t="shared" si="0"/>
        <v>11.673611111111143</v>
      </c>
      <c r="J6">
        <f t="shared" si="1"/>
        <v>39.0625</v>
      </c>
      <c r="K6">
        <f t="shared" si="2"/>
        <v>158.89480438832538</v>
      </c>
      <c r="L6">
        <f t="shared" si="5"/>
        <v>3.1051956116746169</v>
      </c>
      <c r="M6">
        <f t="shared" si="6"/>
        <v>9.6422397867632981</v>
      </c>
      <c r="P6">
        <v>10.828011727908407</v>
      </c>
      <c r="Q6">
        <v>10</v>
      </c>
      <c r="S6" t="s">
        <v>46</v>
      </c>
      <c r="T6" t="s">
        <v>49</v>
      </c>
    </row>
    <row r="7" spans="1:20" x14ac:dyDescent="0.35">
      <c r="B7">
        <v>106</v>
      </c>
      <c r="C7">
        <v>195</v>
      </c>
      <c r="D7">
        <f t="shared" si="3"/>
        <v>20670</v>
      </c>
      <c r="E7">
        <f t="shared" si="4"/>
        <v>11236</v>
      </c>
      <c r="F7">
        <f t="shared" si="4"/>
        <v>38025</v>
      </c>
      <c r="G7">
        <f>B7-B15</f>
        <v>20.416666666666671</v>
      </c>
      <c r="H7">
        <f>C7-C15</f>
        <v>39.25</v>
      </c>
      <c r="I7">
        <f t="shared" si="0"/>
        <v>416.840277777778</v>
      </c>
      <c r="J7">
        <f t="shared" si="1"/>
        <v>1540.5625</v>
      </c>
      <c r="K7">
        <f t="shared" si="2"/>
        <v>174.54212378389565</v>
      </c>
      <c r="L7">
        <f t="shared" si="5"/>
        <v>20.457876216104353</v>
      </c>
      <c r="M7">
        <f t="shared" si="6"/>
        <v>418.52469927344816</v>
      </c>
      <c r="P7">
        <v>1705.3277064789902</v>
      </c>
      <c r="Q7">
        <v>1574.9222935210098</v>
      </c>
      <c r="S7" t="s">
        <v>50</v>
      </c>
      <c r="T7" t="s">
        <v>51</v>
      </c>
    </row>
    <row r="8" spans="1:20" x14ac:dyDescent="0.35">
      <c r="B8">
        <v>67</v>
      </c>
      <c r="C8">
        <v>139</v>
      </c>
      <c r="D8">
        <f t="shared" si="3"/>
        <v>9313</v>
      </c>
      <c r="E8">
        <f t="shared" si="4"/>
        <v>4489</v>
      </c>
      <c r="F8">
        <f t="shared" si="4"/>
        <v>19321</v>
      </c>
      <c r="G8">
        <f>B8-B15</f>
        <v>-18.583333333333329</v>
      </c>
      <c r="H8">
        <f>C8-C15</f>
        <v>-16.75</v>
      </c>
      <c r="I8">
        <f t="shared" si="0"/>
        <v>345.3402777777776</v>
      </c>
      <c r="J8">
        <f t="shared" si="1"/>
        <v>280.5625</v>
      </c>
      <c r="K8">
        <f t="shared" si="2"/>
        <v>138.64533222935214</v>
      </c>
      <c r="L8">
        <f t="shared" si="5"/>
        <v>0.3546677706478647</v>
      </c>
      <c r="M8">
        <f t="shared" si="6"/>
        <v>0.12578922753632635</v>
      </c>
    </row>
    <row r="9" spans="1:20" x14ac:dyDescent="0.35">
      <c r="B9">
        <v>88</v>
      </c>
      <c r="C9">
        <v>158</v>
      </c>
      <c r="D9">
        <f t="shared" si="3"/>
        <v>13904</v>
      </c>
      <c r="E9">
        <f t="shared" si="4"/>
        <v>7744</v>
      </c>
      <c r="F9">
        <f t="shared" si="4"/>
        <v>24964</v>
      </c>
      <c r="G9">
        <f>B9-B15</f>
        <v>2.4166666666666714</v>
      </c>
      <c r="H9">
        <f>C9-C15</f>
        <v>2.25</v>
      </c>
      <c r="I9">
        <f t="shared" si="0"/>
        <v>5.8402777777778008</v>
      </c>
      <c r="J9">
        <f t="shared" si="1"/>
        <v>5.0625</v>
      </c>
      <c r="K9">
        <f t="shared" si="2"/>
        <v>157.9743738356448</v>
      </c>
      <c r="L9">
        <f t="shared" si="5"/>
        <v>2.5626164355202263E-2</v>
      </c>
      <c r="M9">
        <f t="shared" si="6"/>
        <v>6.5670029955983904E-4</v>
      </c>
      <c r="P9" t="s">
        <v>53</v>
      </c>
      <c r="S9">
        <f>P5*100</f>
        <v>51.987735888392351</v>
      </c>
      <c r="T9" t="s">
        <v>54</v>
      </c>
    </row>
    <row r="10" spans="1:20" x14ac:dyDescent="0.35">
      <c r="B10">
        <v>73</v>
      </c>
      <c r="C10">
        <v>152</v>
      </c>
      <c r="D10">
        <f t="shared" si="3"/>
        <v>11096</v>
      </c>
      <c r="E10">
        <f t="shared" si="4"/>
        <v>5329</v>
      </c>
      <c r="F10">
        <f t="shared" si="4"/>
        <v>23104</v>
      </c>
      <c r="G10">
        <f>B10-B15</f>
        <v>-12.583333333333329</v>
      </c>
      <c r="H10">
        <f>C10-C15</f>
        <v>-3.75</v>
      </c>
      <c r="I10">
        <f t="shared" si="0"/>
        <v>158.34027777777766</v>
      </c>
      <c r="J10">
        <f t="shared" si="1"/>
        <v>14.0625</v>
      </c>
      <c r="K10">
        <f t="shared" si="2"/>
        <v>144.16791554543576</v>
      </c>
      <c r="L10">
        <f t="shared" si="5"/>
        <v>7.8320844545642387</v>
      </c>
      <c r="M10">
        <f t="shared" si="6"/>
        <v>61.34154690342681</v>
      </c>
    </row>
    <row r="11" spans="1:20" x14ac:dyDescent="0.35">
      <c r="B11">
        <v>87</v>
      </c>
      <c r="C11">
        <v>162</v>
      </c>
      <c r="D11">
        <f t="shared" si="3"/>
        <v>14094</v>
      </c>
      <c r="E11">
        <f t="shared" si="4"/>
        <v>7569</v>
      </c>
      <c r="F11">
        <f t="shared" si="4"/>
        <v>26244</v>
      </c>
      <c r="G11">
        <f>B11-B15</f>
        <v>1.4166666666666714</v>
      </c>
      <c r="H11">
        <f>C11-C15</f>
        <v>6.25</v>
      </c>
      <c r="I11">
        <f t="shared" si="0"/>
        <v>2.006944444444458</v>
      </c>
      <c r="J11">
        <f t="shared" si="1"/>
        <v>39.0625</v>
      </c>
      <c r="K11">
        <f t="shared" si="2"/>
        <v>157.05394328296421</v>
      </c>
      <c r="L11">
        <f t="shared" si="5"/>
        <v>4.9460567170357876</v>
      </c>
      <c r="M11">
        <f t="shared" si="6"/>
        <v>24.463477048134834</v>
      </c>
    </row>
    <row r="12" spans="1:20" x14ac:dyDescent="0.35">
      <c r="B12">
        <v>76</v>
      </c>
      <c r="C12">
        <v>159</v>
      </c>
      <c r="D12">
        <f t="shared" si="3"/>
        <v>12084</v>
      </c>
      <c r="E12">
        <f t="shared" si="4"/>
        <v>5776</v>
      </c>
      <c r="F12">
        <f t="shared" si="4"/>
        <v>25281</v>
      </c>
      <c r="G12">
        <f>B12-B15</f>
        <v>-9.5833333333333286</v>
      </c>
      <c r="H12">
        <f>C12-C15</f>
        <v>3.25</v>
      </c>
      <c r="I12">
        <f t="shared" si="0"/>
        <v>91.840277777777686</v>
      </c>
      <c r="J12">
        <f t="shared" si="1"/>
        <v>10.5625</v>
      </c>
      <c r="K12">
        <f t="shared" si="2"/>
        <v>146.92920720347757</v>
      </c>
      <c r="L12">
        <f t="shared" si="5"/>
        <v>12.070792796522426</v>
      </c>
      <c r="M12">
        <f t="shared" si="6"/>
        <v>145.70403873657767</v>
      </c>
    </row>
    <row r="13" spans="1:20" x14ac:dyDescent="0.35">
      <c r="B13">
        <v>115</v>
      </c>
      <c r="C13">
        <v>173</v>
      </c>
      <c r="D13">
        <f t="shared" si="3"/>
        <v>19895</v>
      </c>
      <c r="E13">
        <f t="shared" si="4"/>
        <v>13225</v>
      </c>
      <c r="F13">
        <f t="shared" si="4"/>
        <v>29929</v>
      </c>
      <c r="G13">
        <f>B13-B15</f>
        <v>29.416666666666671</v>
      </c>
      <c r="H13">
        <f>C13-C15</f>
        <v>17.25</v>
      </c>
      <c r="I13">
        <f t="shared" si="0"/>
        <v>865.34027777777806</v>
      </c>
      <c r="J13">
        <f t="shared" si="1"/>
        <v>297.5625</v>
      </c>
      <c r="K13">
        <f t="shared" si="2"/>
        <v>182.82599875802106</v>
      </c>
      <c r="L13">
        <f t="shared" si="5"/>
        <v>-9.8259987580210577</v>
      </c>
      <c r="M13">
        <f t="shared" si="6"/>
        <v>96.550251592631369</v>
      </c>
    </row>
    <row r="14" spans="1:20" x14ac:dyDescent="0.35">
      <c r="A14" t="s">
        <v>19</v>
      </c>
      <c r="B14" s="2">
        <f>SUM(B2:B13)</f>
        <v>1027</v>
      </c>
      <c r="C14" s="2">
        <f>SUM(C2:C13)</f>
        <v>1869</v>
      </c>
      <c r="D14" s="2">
        <f t="shared" ref="D14:F14" si="7">SUM(D2:D13)</f>
        <v>161808</v>
      </c>
      <c r="E14" s="2">
        <f t="shared" si="7"/>
        <v>89907</v>
      </c>
      <c r="F14" s="2">
        <f t="shared" si="7"/>
        <v>294377</v>
      </c>
      <c r="G14" s="2">
        <f t="shared" ref="G14:M14" si="8">SUM(G2:G13)</f>
        <v>5.6843418860808015E-14</v>
      </c>
      <c r="H14" s="2">
        <f t="shared" si="8"/>
        <v>0</v>
      </c>
      <c r="I14" s="2">
        <f t="shared" si="8"/>
        <v>2012.9166666666667</v>
      </c>
      <c r="J14" s="2">
        <f t="shared" si="8"/>
        <v>3280.25</v>
      </c>
      <c r="K14" s="2">
        <f t="shared" si="8"/>
        <v>1869.0000000000002</v>
      </c>
      <c r="L14" s="2">
        <f t="shared" si="8"/>
        <v>-1.1368683772161603E-13</v>
      </c>
      <c r="M14" s="2">
        <f t="shared" si="8"/>
        <v>1574.9222935210105</v>
      </c>
    </row>
    <row r="15" spans="1:20" x14ac:dyDescent="0.35">
      <c r="A15" t="s">
        <v>20</v>
      </c>
      <c r="B15" s="1">
        <f>AVERAGE(B2:B13)</f>
        <v>85.583333333333329</v>
      </c>
      <c r="C15" s="1">
        <f t="shared" ref="C15:F15" si="9">AVERAGE(C2:C13)</f>
        <v>155.75</v>
      </c>
      <c r="D15" s="1">
        <f t="shared" si="9"/>
        <v>13484</v>
      </c>
      <c r="E15" s="1">
        <f t="shared" si="9"/>
        <v>7492.25</v>
      </c>
      <c r="F15" s="1">
        <f t="shared" si="9"/>
        <v>24531.416666666668</v>
      </c>
      <c r="I15" s="1">
        <f t="shared" ref="I15:M15" si="10">AVERAGE(I2:I13)</f>
        <v>167.74305555555557</v>
      </c>
      <c r="J15" s="1">
        <f t="shared" si="10"/>
        <v>273.35416666666669</v>
      </c>
      <c r="K15" s="1">
        <f t="shared" si="10"/>
        <v>155.75000000000003</v>
      </c>
      <c r="M15" s="1">
        <f t="shared" si="10"/>
        <v>131.24352446008422</v>
      </c>
    </row>
    <row r="16" spans="1:20" x14ac:dyDescent="0.35">
      <c r="A16" t="s">
        <v>21</v>
      </c>
      <c r="E16">
        <f>SQRT(E15)</f>
        <v>86.557784167572123</v>
      </c>
      <c r="F16">
        <f>SQRT(F15)</f>
        <v>156.62508313379013</v>
      </c>
    </row>
    <row r="17" spans="2:12" x14ac:dyDescent="0.35">
      <c r="B17" t="s">
        <v>32</v>
      </c>
    </row>
    <row r="18" spans="2:12" x14ac:dyDescent="0.35">
      <c r="B18" s="3">
        <f>(D15-B15*C15)/SQRT((B15*B15-E15)*(C15*C15-F15))</f>
        <v>0.72102521376434692</v>
      </c>
      <c r="C18" s="4">
        <f>CORREL(B2:B13,C2:C13)</f>
        <v>0.72102521376434792</v>
      </c>
      <c r="E18" s="5">
        <f>B18*SQRT(12-2)/SQRT(1-B18*B18)</f>
        <v>3.2905944338232187</v>
      </c>
      <c r="F18" s="6">
        <v>2.2280000000000002</v>
      </c>
      <c r="G18" t="b">
        <f>E18&gt;F18</f>
        <v>1</v>
      </c>
      <c r="H18" t="s">
        <v>5</v>
      </c>
    </row>
    <row r="20" spans="2:12" x14ac:dyDescent="0.35">
      <c r="E20">
        <f>_xlfn.T.INV.2T(0.05,10)</f>
        <v>2.2281388519862744</v>
      </c>
      <c r="K20" t="s">
        <v>26</v>
      </c>
      <c r="L20" t="s">
        <v>25</v>
      </c>
    </row>
    <row r="21" spans="2:12" x14ac:dyDescent="0.35">
      <c r="K21">
        <v>0.05</v>
      </c>
      <c r="L21">
        <f>12-2</f>
        <v>10</v>
      </c>
    </row>
    <row r="22" spans="2:12" x14ac:dyDescent="0.35">
      <c r="B22" t="s">
        <v>33</v>
      </c>
    </row>
    <row r="23" spans="2:12" x14ac:dyDescent="0.35">
      <c r="B23" t="s">
        <v>18</v>
      </c>
      <c r="E23" t="s">
        <v>6</v>
      </c>
      <c r="H23" t="s">
        <v>31</v>
      </c>
    </row>
    <row r="24" spans="2:12" x14ac:dyDescent="0.35">
      <c r="E24" t="s">
        <v>7</v>
      </c>
      <c r="F24">
        <f>1859367/24155</f>
        <v>76.976485199751608</v>
      </c>
      <c r="H24" t="s">
        <v>7</v>
      </c>
      <c r="I24">
        <f>C15-I25*B15</f>
        <v>76.976485199751778</v>
      </c>
    </row>
    <row r="25" spans="2:12" x14ac:dyDescent="0.35">
      <c r="E25" t="s">
        <v>8</v>
      </c>
      <c r="F25">
        <f>22233/24155</f>
        <v>0.92043055268060447</v>
      </c>
      <c r="H25" t="s">
        <v>8</v>
      </c>
      <c r="I25">
        <f>(D15-B15*C15)/(E15-B15*B15)</f>
        <v>0.92043055268060248</v>
      </c>
    </row>
    <row r="27" spans="2:12" x14ac:dyDescent="0.35">
      <c r="E27" t="s">
        <v>11</v>
      </c>
      <c r="F27">
        <f>F30*SQRT(E14/(12*I14))</f>
        <v>24.211561382725794</v>
      </c>
    </row>
    <row r="28" spans="2:12" x14ac:dyDescent="0.35">
      <c r="E28" t="s">
        <v>24</v>
      </c>
      <c r="F28">
        <f>F30*SQRT(1/(I14))</f>
        <v>0.27971558670972052</v>
      </c>
    </row>
    <row r="30" spans="2:12" x14ac:dyDescent="0.35">
      <c r="E30" t="s">
        <v>16</v>
      </c>
      <c r="F30">
        <f>SQRT(M14/10)</f>
        <v>12.549590804169714</v>
      </c>
    </row>
    <row r="32" spans="2:12" x14ac:dyDescent="0.35">
      <c r="E32" t="s">
        <v>9</v>
      </c>
      <c r="F32">
        <f>I24/F27</f>
        <v>3.1793275940754544</v>
      </c>
      <c r="G32" t="s">
        <v>29</v>
      </c>
      <c r="H32" t="s">
        <v>27</v>
      </c>
      <c r="I32">
        <f>_xlfn.T.INV.2T(K21,L21)</f>
        <v>2.2281388519862744</v>
      </c>
    </row>
    <row r="33" spans="5:12" x14ac:dyDescent="0.35">
      <c r="E33" t="s">
        <v>10</v>
      </c>
      <c r="F33">
        <f>I25/F28</f>
        <v>3.2905944338232196</v>
      </c>
      <c r="G33" t="s">
        <v>29</v>
      </c>
      <c r="H33" t="s">
        <v>28</v>
      </c>
      <c r="I33">
        <f>_xlfn.T.INV.2T(K21,L21)</f>
        <v>2.2281388519862744</v>
      </c>
    </row>
    <row r="35" spans="5:12" x14ac:dyDescent="0.35">
      <c r="E35" t="s">
        <v>30</v>
      </c>
    </row>
    <row r="37" spans="5:12" x14ac:dyDescent="0.35">
      <c r="E37" t="s">
        <v>34</v>
      </c>
      <c r="F37">
        <f>B15*1.1</f>
        <v>94.141666666666666</v>
      </c>
      <c r="H37" t="s">
        <v>37</v>
      </c>
      <c r="I37">
        <f>C18^2*10/(1-C18^2)</f>
        <v>10.828011727908411</v>
      </c>
      <c r="J37" t="s">
        <v>29</v>
      </c>
      <c r="K37" t="s">
        <v>38</v>
      </c>
      <c r="L37">
        <f>FINV(K21,1,10)</f>
        <v>4.9646027437307128</v>
      </c>
    </row>
    <row r="39" spans="5:12" x14ac:dyDescent="0.35">
      <c r="E39" t="s">
        <v>35</v>
      </c>
      <c r="F39">
        <f>I24+F37*I25</f>
        <v>163.62735148002483</v>
      </c>
    </row>
    <row r="41" spans="5:12" x14ac:dyDescent="0.35">
      <c r="E41" t="s">
        <v>36</v>
      </c>
      <c r="F41">
        <f>F30*I32*SQRT(1+1/12+((F37-B15)^2)/(I14))</f>
        <v>29.588755715254575</v>
      </c>
    </row>
    <row r="43" spans="5:12" x14ac:dyDescent="0.35">
      <c r="E43" t="s">
        <v>39</v>
      </c>
      <c r="F43">
        <f>F39+F41</f>
        <v>193.21610719527939</v>
      </c>
    </row>
    <row r="44" spans="5:12" x14ac:dyDescent="0.35">
      <c r="E44" t="s">
        <v>40</v>
      </c>
      <c r="F44">
        <f>F39-F41</f>
        <v>134.03859576477026</v>
      </c>
    </row>
    <row r="46" spans="5:12" x14ac:dyDescent="0.35">
      <c r="E46" t="s">
        <v>41</v>
      </c>
    </row>
  </sheetData>
  <autoFilter ref="S9:T9" xr:uid="{09E0B42A-5135-42EC-BF19-B031C1DA6E72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0CCF9-69E6-473B-9E88-5970139A554E}">
  <dimension ref="A1:I18"/>
  <sheetViews>
    <sheetView workbookViewId="0">
      <selection activeCell="C10" sqref="C10"/>
    </sheetView>
  </sheetViews>
  <sheetFormatPr defaultRowHeight="14.5" x14ac:dyDescent="0.35"/>
  <cols>
    <col min="1" max="1" width="24.90625" bestFit="1" customWidth="1"/>
    <col min="2" max="2" width="15.6328125" bestFit="1" customWidth="1"/>
    <col min="3" max="3" width="21.08984375" bestFit="1" customWidth="1"/>
    <col min="4" max="4" width="14.08984375" bestFit="1" customWidth="1"/>
    <col min="5" max="5" width="11.81640625" bestFit="1" customWidth="1"/>
    <col min="6" max="6" width="13.54296875" bestFit="1" customWidth="1"/>
    <col min="7" max="7" width="12.54296875" bestFit="1" customWidth="1"/>
    <col min="8" max="8" width="13.90625" bestFit="1" customWidth="1"/>
    <col min="9" max="9" width="14.08984375" bestFit="1" customWidth="1"/>
  </cols>
  <sheetData>
    <row r="1" spans="1:9" x14ac:dyDescent="0.35">
      <c r="A1" t="s">
        <v>55</v>
      </c>
    </row>
    <row r="2" spans="1:9" ht="15" thickBot="1" x14ac:dyDescent="0.4"/>
    <row r="3" spans="1:9" x14ac:dyDescent="0.35">
      <c r="A3" s="9" t="s">
        <v>56</v>
      </c>
      <c r="B3" s="9"/>
    </row>
    <row r="4" spans="1:9" x14ac:dyDescent="0.35">
      <c r="A4" t="s">
        <v>57</v>
      </c>
      <c r="B4">
        <v>0.72102521376434781</v>
      </c>
    </row>
    <row r="5" spans="1:9" x14ac:dyDescent="0.35">
      <c r="A5" t="s">
        <v>58</v>
      </c>
      <c r="B5">
        <v>0.5198773588839235</v>
      </c>
    </row>
    <row r="6" spans="1:9" x14ac:dyDescent="0.35">
      <c r="A6" t="s">
        <v>59</v>
      </c>
      <c r="B6">
        <v>0.47186509477231586</v>
      </c>
    </row>
    <row r="7" spans="1:9" x14ac:dyDescent="0.35">
      <c r="A7" t="s">
        <v>60</v>
      </c>
      <c r="B7">
        <v>12.549590804169712</v>
      </c>
    </row>
    <row r="8" spans="1:9" ht="15" thickBot="1" x14ac:dyDescent="0.4">
      <c r="A8" s="7" t="s">
        <v>61</v>
      </c>
      <c r="B8" s="7">
        <v>12</v>
      </c>
    </row>
    <row r="10" spans="1:9" ht="15" thickBot="1" x14ac:dyDescent="0.4">
      <c r="A10" t="s">
        <v>62</v>
      </c>
    </row>
    <row r="11" spans="1:9" x14ac:dyDescent="0.35">
      <c r="A11" s="8"/>
      <c r="B11" s="8" t="s">
        <v>67</v>
      </c>
      <c r="C11" s="8" t="s">
        <v>68</v>
      </c>
      <c r="D11" s="8" t="s">
        <v>69</v>
      </c>
      <c r="E11" s="8" t="s">
        <v>70</v>
      </c>
      <c r="F11" s="8" t="s">
        <v>71</v>
      </c>
    </row>
    <row r="12" spans="1:9" x14ac:dyDescent="0.35">
      <c r="A12" t="s">
        <v>63</v>
      </c>
      <c r="B12">
        <v>1</v>
      </c>
      <c r="C12">
        <v>1705.3277064789902</v>
      </c>
      <c r="D12">
        <v>1705.3277064789902</v>
      </c>
      <c r="E12">
        <v>10.828011727908407</v>
      </c>
      <c r="F12">
        <v>8.141842859781586E-3</v>
      </c>
    </row>
    <row r="13" spans="1:9" x14ac:dyDescent="0.35">
      <c r="A13" t="s">
        <v>64</v>
      </c>
      <c r="B13">
        <v>10</v>
      </c>
      <c r="C13">
        <v>1574.9222935210098</v>
      </c>
      <c r="D13">
        <v>157.49222935210099</v>
      </c>
    </row>
    <row r="14" spans="1:9" ht="15" thickBot="1" x14ac:dyDescent="0.4">
      <c r="A14" s="7" t="s">
        <v>65</v>
      </c>
      <c r="B14" s="7">
        <v>11</v>
      </c>
      <c r="C14" s="7">
        <v>3280.25</v>
      </c>
      <c r="D14" s="7"/>
      <c r="E14" s="7"/>
      <c r="F14" s="7"/>
    </row>
    <row r="15" spans="1:9" ht="15" thickBot="1" x14ac:dyDescent="0.4"/>
    <row r="16" spans="1:9" x14ac:dyDescent="0.35">
      <c r="A16" s="8"/>
      <c r="B16" s="8" t="s">
        <v>72</v>
      </c>
      <c r="C16" s="8" t="s">
        <v>60</v>
      </c>
      <c r="D16" s="8" t="s">
        <v>73</v>
      </c>
      <c r="E16" s="8" t="s">
        <v>74</v>
      </c>
      <c r="F16" s="8" t="s">
        <v>75</v>
      </c>
      <c r="G16" s="8" t="s">
        <v>76</v>
      </c>
      <c r="H16" s="8" t="s">
        <v>77</v>
      </c>
      <c r="I16" s="8" t="s">
        <v>78</v>
      </c>
    </row>
    <row r="17" spans="1:9" x14ac:dyDescent="0.35">
      <c r="A17" t="s">
        <v>66</v>
      </c>
      <c r="B17">
        <v>76.976485199751608</v>
      </c>
      <c r="C17">
        <v>24.21156138272579</v>
      </c>
      <c r="D17">
        <v>3.1793275940754477</v>
      </c>
      <c r="E17">
        <v>9.8306681313813458E-3</v>
      </c>
      <c r="F17">
        <v>23.029764615649754</v>
      </c>
      <c r="G17">
        <v>130.92320578385346</v>
      </c>
      <c r="H17">
        <v>23.029764615649754</v>
      </c>
      <c r="I17">
        <v>130.92320578385346</v>
      </c>
    </row>
    <row r="18" spans="1:9" ht="15" thickBot="1" x14ac:dyDescent="0.4">
      <c r="A18" s="7" t="s">
        <v>79</v>
      </c>
      <c r="B18" s="7">
        <v>0.92043055268060436</v>
      </c>
      <c r="C18" s="7">
        <v>0.27971558670972047</v>
      </c>
      <c r="D18" s="7">
        <v>3.2905944338232271</v>
      </c>
      <c r="E18" s="7">
        <v>8.1418428597815895E-3</v>
      </c>
      <c r="F18" s="7">
        <v>0.29718538642654058</v>
      </c>
      <c r="G18" s="7">
        <v>1.5436757189346682</v>
      </c>
      <c r="H18" s="7">
        <v>0.29718538642654058</v>
      </c>
      <c r="I18" s="7">
        <v>1.5436757189346682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Тищенко Иван Сергеевич</dc:creator>
  <cp:lastModifiedBy>Иван Тищенко</cp:lastModifiedBy>
  <dcterms:created xsi:type="dcterms:W3CDTF">2024-09-05T11:04:56Z</dcterms:created>
  <dcterms:modified xsi:type="dcterms:W3CDTF">2024-09-19T11:40:14Z</dcterms:modified>
</cp:coreProperties>
</file>