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eb11bbb5f08d5b/Documents/Games/Monopoly/"/>
    </mc:Choice>
  </mc:AlternateContent>
  <xr:revisionPtr revIDLastSave="1449" documentId="8_{C0AFE4A3-1D1F-4480-9B6A-64AE972A51C4}" xr6:coauthVersionLast="47" xr6:coauthVersionMax="47" xr10:uidLastSave="{228592A3-9C4E-40C1-8A23-34AB5C7BB58A}"/>
  <bookViews>
    <workbookView xWindow="28680" yWindow="-120" windowWidth="29040" windowHeight="15840" xr2:uid="{40DACDAE-F8FE-4F55-8D3E-EAB23061782E}"/>
  </bookViews>
  <sheets>
    <sheet name="Sheet1" sheetId="1" r:id="rId1"/>
    <sheet name="Properties" sheetId="7" r:id="rId2"/>
    <sheet name="Property Per Lap" sheetId="15" r:id="rId3"/>
    <sheet name="Sets" sheetId="5" r:id="rId4"/>
    <sheet name="Utilities" sheetId="10" r:id="rId5"/>
    <sheet name="Utilities Return" sheetId="21" r:id="rId6"/>
    <sheet name="Stations" sheetId="11" r:id="rId7"/>
    <sheet name="Station Return" sheetId="24" r:id="rId8"/>
    <sheet name="Jail And Cards" sheetId="12" r:id="rId9"/>
    <sheet name="Property Development" sheetId="18" r:id="rId10"/>
    <sheet name="Property Return Development" sheetId="26" r:id="rId11"/>
    <sheet name="Set Development" sheetId="28" r:id="rId12"/>
    <sheet name="Set Return Development" sheetId="19" r:id="rId13"/>
    <sheet name="Property Difference" sheetId="13" r:id="rId14"/>
    <sheet name="Property Return Difference" sheetId="25" r:id="rId15"/>
    <sheet name="Set Difference" sheetId="29" r:id="rId16"/>
    <sheet name="Set Return Difference" sheetId="14" r:id="rId17"/>
    <sheet name="Individual Rent Per Lap" sheetId="16" r:id="rId18"/>
    <sheet name="Set Rent Per Lap" sheetId="9" r:id="rId19"/>
    <sheet name="Individual Laps To Return" sheetId="27" r:id="rId20"/>
    <sheet name="Set Laps To Return" sheetId="20" r:id="rId21"/>
    <sheet name="Set Laps To Return (Difference)" sheetId="17" r:id="rId22"/>
    <sheet name="Times Landed" sheetId="2" r:id="rId23"/>
    <sheet name="Relative Land On" sheetId="4" r:id="rId24"/>
  </sheets>
  <definedNames>
    <definedName name="_xlnm._FilterDatabase" localSheetId="1" hidden="1">Properties!$G$1:$T$41</definedName>
    <definedName name="_xlnm._FilterDatabase" localSheetId="0" hidden="1">Sheet1!$A$3:$I$43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F3" i="14"/>
  <c r="G3" i="14"/>
  <c r="H3" i="14"/>
  <c r="E4" i="14"/>
  <c r="F4" i="14"/>
  <c r="G4" i="14"/>
  <c r="H4" i="14"/>
  <c r="E5" i="14"/>
  <c r="F5" i="14"/>
  <c r="G5" i="14"/>
  <c r="H5" i="14"/>
  <c r="E6" i="14"/>
  <c r="F6" i="14"/>
  <c r="G6" i="14"/>
  <c r="H6" i="14"/>
  <c r="E7" i="14"/>
  <c r="F7" i="14"/>
  <c r="G7" i="14"/>
  <c r="H7" i="14"/>
  <c r="E8" i="14"/>
  <c r="F8" i="14"/>
  <c r="G8" i="14"/>
  <c r="H8" i="14"/>
  <c r="E9" i="14"/>
  <c r="F9" i="14"/>
  <c r="G9" i="14"/>
  <c r="H9" i="14"/>
  <c r="D3" i="14"/>
  <c r="D4" i="14"/>
  <c r="D5" i="14"/>
  <c r="D6" i="14"/>
  <c r="D7" i="14"/>
  <c r="D8" i="14"/>
  <c r="D9" i="14"/>
  <c r="H2" i="14"/>
  <c r="G2" i="14"/>
  <c r="F2" i="14"/>
  <c r="E2" i="14"/>
  <c r="D2" i="19"/>
  <c r="D1" i="14" a="1"/>
  <c r="D1" i="14" s="1"/>
  <c r="A2" i="29" a="1"/>
  <c r="F9" i="29" s="1"/>
  <c r="B1" i="29" a="1"/>
  <c r="B1" i="29" s="1"/>
  <c r="H3" i="19"/>
  <c r="H4" i="19"/>
  <c r="H5" i="19"/>
  <c r="H6" i="19"/>
  <c r="H7" i="19"/>
  <c r="H8" i="19"/>
  <c r="H9" i="19"/>
  <c r="H2" i="19"/>
  <c r="G3" i="19"/>
  <c r="G4" i="19"/>
  <c r="G5" i="19"/>
  <c r="G6" i="19"/>
  <c r="G7" i="19"/>
  <c r="G8" i="19"/>
  <c r="G9" i="19"/>
  <c r="G2" i="19"/>
  <c r="F3" i="19"/>
  <c r="F4" i="19"/>
  <c r="F5" i="19"/>
  <c r="F6" i="19"/>
  <c r="F7" i="19"/>
  <c r="F8" i="19"/>
  <c r="F9" i="19"/>
  <c r="F2" i="19"/>
  <c r="E2" i="19"/>
  <c r="E3" i="19"/>
  <c r="E4" i="19"/>
  <c r="E5" i="19"/>
  <c r="E6" i="19"/>
  <c r="E7" i="19"/>
  <c r="E8" i="19"/>
  <c r="E9" i="19"/>
  <c r="D3" i="19"/>
  <c r="D4" i="19"/>
  <c r="D5" i="19"/>
  <c r="D6" i="19"/>
  <c r="D7" i="19"/>
  <c r="D8" i="19"/>
  <c r="D9" i="19"/>
  <c r="D1" i="19" a="1"/>
  <c r="D1" i="19" s="1"/>
  <c r="B1" i="28" a="1"/>
  <c r="B1" i="28" s="1"/>
  <c r="B2" i="28"/>
  <c r="C2" i="28"/>
  <c r="D2" i="28"/>
  <c r="E2" i="28"/>
  <c r="F2" i="28"/>
  <c r="B3" i="28"/>
  <c r="C3" i="28"/>
  <c r="D3" i="28"/>
  <c r="E3" i="28"/>
  <c r="F3" i="28"/>
  <c r="B4" i="28"/>
  <c r="C4" i="28"/>
  <c r="D4" i="28"/>
  <c r="E4" i="28"/>
  <c r="F4" i="28"/>
  <c r="B5" i="28"/>
  <c r="C5" i="28"/>
  <c r="D5" i="28"/>
  <c r="E5" i="28"/>
  <c r="F5" i="28"/>
  <c r="B6" i="28"/>
  <c r="C6" i="28"/>
  <c r="D6" i="28"/>
  <c r="E6" i="28"/>
  <c r="F6" i="28"/>
  <c r="B7" i="28"/>
  <c r="C7" i="28"/>
  <c r="D7" i="28"/>
  <c r="E7" i="28"/>
  <c r="F7" i="28"/>
  <c r="B8" i="28"/>
  <c r="C8" i="28"/>
  <c r="D8" i="28"/>
  <c r="E8" i="28"/>
  <c r="F8" i="28"/>
  <c r="B9" i="28"/>
  <c r="C9" i="28"/>
  <c r="D9" i="28"/>
  <c r="E9" i="28"/>
  <c r="F9" i="28"/>
  <c r="A2" i="28" a="1"/>
  <c r="C2" i="14"/>
  <c r="C5" i="14"/>
  <c r="C6" i="14"/>
  <c r="C9" i="14"/>
  <c r="B3" i="14"/>
  <c r="B6" i="14"/>
  <c r="B7" i="14"/>
  <c r="B2" i="14"/>
  <c r="I2" i="26" a="1"/>
  <c r="I2" i="26" s="1"/>
  <c r="H2" i="26" a="1"/>
  <c r="H2" i="26" s="1"/>
  <c r="G2" i="26" a="1"/>
  <c r="G2" i="26" s="1"/>
  <c r="F2" i="26" a="1"/>
  <c r="F2" i="26" s="1"/>
  <c r="E2" i="26" a="1"/>
  <c r="E2" i="26" s="1"/>
  <c r="E1" i="26" a="1"/>
  <c r="E1" i="26" s="1"/>
  <c r="A2" i="26" a="1"/>
  <c r="C1" i="26" a="1"/>
  <c r="C1" i="26" s="1"/>
  <c r="A1" i="26" a="1"/>
  <c r="A1" i="26" s="1"/>
  <c r="F1" i="25" a="1"/>
  <c r="F1" i="25" s="1"/>
  <c r="B20" i="25"/>
  <c r="D19" i="25"/>
  <c r="D15" i="25"/>
  <c r="D13" i="25"/>
  <c r="B10" i="25"/>
  <c r="B8" i="25"/>
  <c r="B4" i="25"/>
  <c r="D3" i="25"/>
  <c r="A2" i="25" a="1"/>
  <c r="D23" i="25" s="1"/>
  <c r="C1" i="25" a="1"/>
  <c r="C1" i="25" s="1"/>
  <c r="A1" i="25"/>
  <c r="A1" i="25" a="1"/>
  <c r="D2" i="24"/>
  <c r="E2" i="24"/>
  <c r="F2" i="24"/>
  <c r="D3" i="24"/>
  <c r="E3" i="24"/>
  <c r="F3" i="24"/>
  <c r="D4" i="24"/>
  <c r="E4" i="24"/>
  <c r="F4" i="24"/>
  <c r="D5" i="24"/>
  <c r="E5" i="24"/>
  <c r="F5" i="24"/>
  <c r="F7" i="24" a="1"/>
  <c r="F7" i="24" s="1"/>
  <c r="E7" i="24" a="1"/>
  <c r="E7" i="24" s="1"/>
  <c r="D7" i="24" a="1"/>
  <c r="D7" i="24" s="1"/>
  <c r="C7" i="24" a="1"/>
  <c r="C7" i="24" s="1"/>
  <c r="D8" i="11"/>
  <c r="C1" i="24" a="1"/>
  <c r="C1" i="24" s="1"/>
  <c r="C3" i="24"/>
  <c r="C4" i="24"/>
  <c r="C5" i="24"/>
  <c r="C2" i="24"/>
  <c r="B3" i="24"/>
  <c r="B4" i="24"/>
  <c r="B5" i="24"/>
  <c r="B2" i="24"/>
  <c r="B2" i="21"/>
  <c r="A2" i="24" a="1"/>
  <c r="A2" i="24" s="1"/>
  <c r="A1" i="24"/>
  <c r="H1" i="1"/>
  <c r="E1" i="1"/>
  <c r="C3" i="21"/>
  <c r="C2" i="21"/>
  <c r="C5" i="21"/>
  <c r="C1" i="21"/>
  <c r="D1" i="21" s="1"/>
  <c r="B3" i="21"/>
  <c r="A1" i="21"/>
  <c r="A2" i="21" a="1"/>
  <c r="A2" i="21" s="1"/>
  <c r="A2" i="19" a="1"/>
  <c r="A2" i="19" s="1"/>
  <c r="B2" i="19" s="1"/>
  <c r="A2" i="14" a="1"/>
  <c r="A2" i="14" s="1"/>
  <c r="G3" i="18"/>
  <c r="G7" i="18"/>
  <c r="G11" i="18"/>
  <c r="G15" i="18"/>
  <c r="G19" i="18"/>
  <c r="G23" i="18"/>
  <c r="D3" i="18"/>
  <c r="D4" i="18"/>
  <c r="E4" i="18"/>
  <c r="E5" i="18"/>
  <c r="F5" i="18"/>
  <c r="F6" i="18"/>
  <c r="D7" i="18"/>
  <c r="D8" i="18"/>
  <c r="E8" i="18"/>
  <c r="E9" i="18"/>
  <c r="F9" i="18"/>
  <c r="F10" i="18"/>
  <c r="D11" i="18"/>
  <c r="D12" i="18"/>
  <c r="E12" i="18"/>
  <c r="E13" i="18"/>
  <c r="F13" i="18"/>
  <c r="F14" i="18"/>
  <c r="D15" i="18"/>
  <c r="D16" i="18"/>
  <c r="E16" i="18"/>
  <c r="E17" i="18"/>
  <c r="F17" i="18"/>
  <c r="F18" i="18"/>
  <c r="D19" i="18"/>
  <c r="D20" i="18"/>
  <c r="E20" i="18"/>
  <c r="E21" i="18"/>
  <c r="F21" i="18"/>
  <c r="F22" i="18"/>
  <c r="D23" i="18"/>
  <c r="C1" i="18" a="1"/>
  <c r="C1" i="18" s="1"/>
  <c r="D1" i="13" a="1"/>
  <c r="D1" i="13" s="1"/>
  <c r="C5" i="18"/>
  <c r="C6" i="18"/>
  <c r="C9" i="18"/>
  <c r="C10" i="18"/>
  <c r="C13" i="18"/>
  <c r="C14" i="18"/>
  <c r="C17" i="18"/>
  <c r="C18" i="18"/>
  <c r="C21" i="18"/>
  <c r="C22" i="18"/>
  <c r="B3" i="18"/>
  <c r="B4" i="18"/>
  <c r="B7" i="18"/>
  <c r="B8" i="18"/>
  <c r="B11" i="18"/>
  <c r="B12" i="18"/>
  <c r="B15" i="18"/>
  <c r="B16" i="18"/>
  <c r="B19" i="18"/>
  <c r="B20" i="18"/>
  <c r="B23" i="18"/>
  <c r="B2" i="18"/>
  <c r="B2" i="13"/>
  <c r="A2" i="18" a="1"/>
  <c r="A2" i="18" s="1"/>
  <c r="D2" i="18" s="1"/>
  <c r="A2" i="13" a="1"/>
  <c r="A2" i="13" s="1"/>
  <c r="C2" i="13" s="1"/>
  <c r="A1" i="18" a="1"/>
  <c r="A1" i="18" s="1"/>
  <c r="A1" i="13" a="1"/>
  <c r="A1" i="13" s="1"/>
  <c r="C10" i="13"/>
  <c r="C14" i="13"/>
  <c r="C1" i="13"/>
  <c r="C2" i="5"/>
  <c r="D2" i="5"/>
  <c r="E2" i="5"/>
  <c r="F2" i="5"/>
  <c r="G2" i="5"/>
  <c r="C3" i="5"/>
  <c r="D3" i="5"/>
  <c r="E3" i="5"/>
  <c r="F3" i="5"/>
  <c r="G3" i="5"/>
  <c r="C4" i="5"/>
  <c r="D4" i="5"/>
  <c r="E4" i="5"/>
  <c r="F4" i="5"/>
  <c r="G4" i="5"/>
  <c r="C5" i="5"/>
  <c r="D5" i="5"/>
  <c r="E5" i="5"/>
  <c r="F5" i="5"/>
  <c r="G5" i="5"/>
  <c r="C6" i="5"/>
  <c r="D6" i="5"/>
  <c r="E6" i="5"/>
  <c r="F6" i="5"/>
  <c r="G6" i="5"/>
  <c r="C7" i="5"/>
  <c r="D7" i="5"/>
  <c r="E7" i="5"/>
  <c r="F7" i="5"/>
  <c r="G7" i="5"/>
  <c r="C8" i="5"/>
  <c r="D8" i="5"/>
  <c r="E8" i="5"/>
  <c r="F8" i="5"/>
  <c r="G8" i="5"/>
  <c r="C9" i="5"/>
  <c r="D9" i="5"/>
  <c r="E9" i="5"/>
  <c r="F9" i="5"/>
  <c r="G9" i="5"/>
  <c r="B3" i="5"/>
  <c r="B4" i="5"/>
  <c r="B5" i="5"/>
  <c r="B6" i="5"/>
  <c r="B7" i="5"/>
  <c r="B8" i="5"/>
  <c r="B9" i="5"/>
  <c r="B2" i="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E2" i="15"/>
  <c r="F2" i="15"/>
  <c r="G2" i="15"/>
  <c r="H2" i="15"/>
  <c r="I2" i="15"/>
  <c r="E3" i="15"/>
  <c r="F3" i="15"/>
  <c r="G3" i="15"/>
  <c r="H3" i="15"/>
  <c r="I3" i="15"/>
  <c r="E4" i="15"/>
  <c r="F4" i="15"/>
  <c r="G4" i="15"/>
  <c r="H4" i="15"/>
  <c r="I4" i="15"/>
  <c r="E5" i="15"/>
  <c r="F5" i="15"/>
  <c r="G5" i="15"/>
  <c r="H5" i="15"/>
  <c r="I5" i="15"/>
  <c r="E6" i="15"/>
  <c r="F6" i="15"/>
  <c r="G6" i="15"/>
  <c r="H6" i="15"/>
  <c r="I6" i="15"/>
  <c r="E7" i="15"/>
  <c r="F7" i="15"/>
  <c r="G7" i="15"/>
  <c r="H7" i="15"/>
  <c r="I7" i="15"/>
  <c r="E8" i="15"/>
  <c r="F8" i="15"/>
  <c r="G8" i="15"/>
  <c r="H8" i="15"/>
  <c r="I8" i="15"/>
  <c r="E9" i="15"/>
  <c r="F9" i="15"/>
  <c r="G9" i="15"/>
  <c r="H9" i="15"/>
  <c r="I9" i="15"/>
  <c r="E10" i="15"/>
  <c r="F10" i="15"/>
  <c r="G10" i="15"/>
  <c r="H10" i="15"/>
  <c r="I10" i="15"/>
  <c r="E11" i="15"/>
  <c r="F11" i="15"/>
  <c r="G11" i="15"/>
  <c r="H11" i="15"/>
  <c r="I11" i="15"/>
  <c r="E12" i="15"/>
  <c r="F12" i="15"/>
  <c r="G12" i="15"/>
  <c r="H12" i="15"/>
  <c r="I12" i="15"/>
  <c r="E13" i="15"/>
  <c r="F13" i="15"/>
  <c r="G13" i="15"/>
  <c r="H13" i="15"/>
  <c r="I13" i="15"/>
  <c r="E14" i="15"/>
  <c r="F14" i="15"/>
  <c r="G14" i="15"/>
  <c r="H14" i="15"/>
  <c r="I14" i="15"/>
  <c r="E15" i="15"/>
  <c r="F15" i="15"/>
  <c r="G15" i="15"/>
  <c r="H15" i="15"/>
  <c r="I15" i="15"/>
  <c r="E16" i="15"/>
  <c r="F16" i="15"/>
  <c r="G16" i="15"/>
  <c r="H16" i="15"/>
  <c r="I16" i="15"/>
  <c r="E17" i="15"/>
  <c r="F17" i="15"/>
  <c r="G17" i="15"/>
  <c r="H17" i="15"/>
  <c r="I17" i="15"/>
  <c r="E18" i="15"/>
  <c r="F18" i="15"/>
  <c r="G18" i="15"/>
  <c r="H18" i="15"/>
  <c r="I18" i="15"/>
  <c r="E19" i="15"/>
  <c r="F19" i="15"/>
  <c r="G19" i="15"/>
  <c r="H19" i="15"/>
  <c r="I19" i="15"/>
  <c r="E20" i="15"/>
  <c r="F20" i="15"/>
  <c r="G20" i="15"/>
  <c r="H20" i="15"/>
  <c r="I20" i="15"/>
  <c r="E21" i="15"/>
  <c r="F21" i="15"/>
  <c r="G21" i="15"/>
  <c r="H21" i="15"/>
  <c r="I21" i="15"/>
  <c r="E22" i="15"/>
  <c r="F22" i="15"/>
  <c r="G22" i="15"/>
  <c r="H22" i="15"/>
  <c r="I22" i="15"/>
  <c r="E23" i="15"/>
  <c r="F23" i="15"/>
  <c r="G23" i="15"/>
  <c r="H23" i="15"/>
  <c r="I23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" i="15"/>
  <c r="C2" i="15"/>
  <c r="H1" i="15"/>
  <c r="I1" i="15"/>
  <c r="J1" i="15"/>
  <c r="E1" i="15"/>
  <c r="F1" i="15"/>
  <c r="G1" i="15"/>
  <c r="D1" i="15"/>
  <c r="A1" i="15" a="1"/>
  <c r="A1" i="15" s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" i="15"/>
  <c r="A2" i="15" a="1"/>
  <c r="A2" i="15" s="1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C2" i="7"/>
  <c r="F2" i="12"/>
  <c r="E2" i="12" a="1"/>
  <c r="E2" i="12" s="1"/>
  <c r="D2" i="12" a="1"/>
  <c r="D2" i="12" s="1"/>
  <c r="G2" i="10" a="1"/>
  <c r="G2" i="10" s="1"/>
  <c r="H2" i="10" s="1" a="1"/>
  <c r="H2" i="10" s="1"/>
  <c r="C2" i="10" a="1"/>
  <c r="C2" i="10" s="1"/>
  <c r="C3" i="7"/>
  <c r="C6" i="7"/>
  <c r="C7" i="7"/>
  <c r="C10" i="7"/>
  <c r="C11" i="7"/>
  <c r="C14" i="7"/>
  <c r="C15" i="7"/>
  <c r="C18" i="7"/>
  <c r="C19" i="7"/>
  <c r="C22" i="7"/>
  <c r="C23" i="7"/>
  <c r="B2" i="7"/>
  <c r="I42" i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G4" i="1" a="1"/>
  <c r="G4" i="1" s="1"/>
  <c r="F4" i="1" a="1"/>
  <c r="F4" i="1" s="1"/>
  <c r="E4" i="1" a="1"/>
  <c r="E4" i="1" s="1"/>
  <c r="B9" i="14" l="1"/>
  <c r="B5" i="14"/>
  <c r="C8" i="14"/>
  <c r="C4" i="14"/>
  <c r="B8" i="14"/>
  <c r="B4" i="14"/>
  <c r="C7" i="14"/>
  <c r="C3" i="14"/>
  <c r="E3" i="29"/>
  <c r="B4" i="29"/>
  <c r="F4" i="29"/>
  <c r="C5" i="29"/>
  <c r="D6" i="29"/>
  <c r="E7" i="29"/>
  <c r="B8" i="29"/>
  <c r="F8" i="29"/>
  <c r="C9" i="29"/>
  <c r="A2" i="29"/>
  <c r="B3" i="29"/>
  <c r="F3" i="29"/>
  <c r="C4" i="29"/>
  <c r="D5" i="29"/>
  <c r="E6" i="29"/>
  <c r="B7" i="29"/>
  <c r="F7" i="29"/>
  <c r="C8" i="29"/>
  <c r="D9" i="29"/>
  <c r="C3" i="29"/>
  <c r="D4" i="29"/>
  <c r="E5" i="29"/>
  <c r="B6" i="29"/>
  <c r="F6" i="29"/>
  <c r="C7" i="29"/>
  <c r="D8" i="29"/>
  <c r="E9" i="29"/>
  <c r="D3" i="29"/>
  <c r="E4" i="29"/>
  <c r="B5" i="29"/>
  <c r="F5" i="29"/>
  <c r="C6" i="29"/>
  <c r="D7" i="29"/>
  <c r="E8" i="29"/>
  <c r="B9" i="29"/>
  <c r="B9" i="19"/>
  <c r="C6" i="19"/>
  <c r="B6" i="19"/>
  <c r="C2" i="19"/>
  <c r="B5" i="19"/>
  <c r="C9" i="19"/>
  <c r="C5" i="19"/>
  <c r="B8" i="19"/>
  <c r="B4" i="19"/>
  <c r="C8" i="19"/>
  <c r="C4" i="19"/>
  <c r="B7" i="19"/>
  <c r="B3" i="19"/>
  <c r="C7" i="19"/>
  <c r="C3" i="19"/>
  <c r="A2" i="28"/>
  <c r="B22" i="18"/>
  <c r="B18" i="18"/>
  <c r="B14" i="18"/>
  <c r="B10" i="18"/>
  <c r="B6" i="18"/>
  <c r="C2" i="18"/>
  <c r="C20" i="18"/>
  <c r="C16" i="18"/>
  <c r="C12" i="18"/>
  <c r="C8" i="18"/>
  <c r="C4" i="18"/>
  <c r="F23" i="18"/>
  <c r="E22" i="18"/>
  <c r="D21" i="18"/>
  <c r="F19" i="18"/>
  <c r="E18" i="18"/>
  <c r="D17" i="18"/>
  <c r="F15" i="18"/>
  <c r="E14" i="18"/>
  <c r="D13" i="18"/>
  <c r="F11" i="18"/>
  <c r="E10" i="18"/>
  <c r="D9" i="18"/>
  <c r="F7" i="18"/>
  <c r="E6" i="18"/>
  <c r="D5" i="18"/>
  <c r="F3" i="18"/>
  <c r="E2" i="18"/>
  <c r="G21" i="18"/>
  <c r="G17" i="18"/>
  <c r="G13" i="18"/>
  <c r="G9" i="18"/>
  <c r="G5" i="18"/>
  <c r="F2" i="18"/>
  <c r="G22" i="18"/>
  <c r="G18" i="18"/>
  <c r="G14" i="18"/>
  <c r="G10" i="18"/>
  <c r="G6" i="18"/>
  <c r="G2" i="18"/>
  <c r="B21" i="18"/>
  <c r="B17" i="18"/>
  <c r="B13" i="18"/>
  <c r="B9" i="18"/>
  <c r="B5" i="18"/>
  <c r="C23" i="18"/>
  <c r="C19" i="18"/>
  <c r="C15" i="18"/>
  <c r="C11" i="18"/>
  <c r="C7" i="18"/>
  <c r="C3" i="18"/>
  <c r="E23" i="18"/>
  <c r="D22" i="18"/>
  <c r="F20" i="18"/>
  <c r="E19" i="18"/>
  <c r="D18" i="18"/>
  <c r="F16" i="18"/>
  <c r="E15" i="18"/>
  <c r="D14" i="18"/>
  <c r="F12" i="18"/>
  <c r="E11" i="18"/>
  <c r="D10" i="18"/>
  <c r="F8" i="18"/>
  <c r="E7" i="18"/>
  <c r="D6" i="18"/>
  <c r="F4" i="18"/>
  <c r="E3" i="18"/>
  <c r="G20" i="18"/>
  <c r="G16" i="18"/>
  <c r="G12" i="18"/>
  <c r="G8" i="18"/>
  <c r="G4" i="18"/>
  <c r="A2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B3" i="26"/>
  <c r="B5" i="26"/>
  <c r="B6" i="26"/>
  <c r="B14" i="26"/>
  <c r="B21" i="26"/>
  <c r="B23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B4" i="26"/>
  <c r="B7" i="26"/>
  <c r="B8" i="26"/>
  <c r="B9" i="26"/>
  <c r="B10" i="26"/>
  <c r="B11" i="26"/>
  <c r="B12" i="26"/>
  <c r="B13" i="26"/>
  <c r="B15" i="26"/>
  <c r="B16" i="26"/>
  <c r="B17" i="26"/>
  <c r="B18" i="26"/>
  <c r="B19" i="26"/>
  <c r="B20" i="26"/>
  <c r="B22" i="26"/>
  <c r="C22" i="13"/>
  <c r="C6" i="13"/>
  <c r="C18" i="13"/>
  <c r="D2" i="13"/>
  <c r="D5" i="25"/>
  <c r="D11" i="25"/>
  <c r="B16" i="25"/>
  <c r="D21" i="25"/>
  <c r="A2" i="25"/>
  <c r="D2" i="25" s="1"/>
  <c r="D7" i="25"/>
  <c r="B12" i="25"/>
  <c r="B18" i="25"/>
  <c r="C2" i="25"/>
  <c r="B2" i="25"/>
  <c r="E2" i="25"/>
  <c r="C23" i="25"/>
  <c r="E22" i="25"/>
  <c r="C21" i="25"/>
  <c r="E20" i="25"/>
  <c r="C19" i="25"/>
  <c r="E18" i="25"/>
  <c r="C17" i="25"/>
  <c r="E16" i="25"/>
  <c r="C15" i="25"/>
  <c r="E14" i="25"/>
  <c r="C13" i="25"/>
  <c r="E12" i="25"/>
  <c r="C11" i="25"/>
  <c r="E10" i="25"/>
  <c r="C9" i="25"/>
  <c r="E8" i="25"/>
  <c r="C7" i="25"/>
  <c r="E6" i="25"/>
  <c r="C5" i="25"/>
  <c r="E4" i="25"/>
  <c r="C3" i="25"/>
  <c r="C22" i="25"/>
  <c r="E21" i="25"/>
  <c r="E19" i="25"/>
  <c r="C16" i="25"/>
  <c r="E15" i="25"/>
  <c r="C8" i="25"/>
  <c r="E7" i="25"/>
  <c r="E3" i="25"/>
  <c r="B23" i="25"/>
  <c r="D22" i="25"/>
  <c r="B21" i="25"/>
  <c r="D20" i="25"/>
  <c r="B19" i="25"/>
  <c r="D18" i="25"/>
  <c r="B17" i="25"/>
  <c r="D16" i="25"/>
  <c r="B15" i="25"/>
  <c r="D14" i="25"/>
  <c r="B13" i="25"/>
  <c r="D12" i="25"/>
  <c r="B11" i="25"/>
  <c r="D10" i="25"/>
  <c r="B9" i="25"/>
  <c r="D8" i="25"/>
  <c r="B7" i="25"/>
  <c r="D6" i="25"/>
  <c r="B5" i="25"/>
  <c r="D4" i="25"/>
  <c r="B3" i="25"/>
  <c r="E23" i="25"/>
  <c r="C20" i="25"/>
  <c r="C18" i="25"/>
  <c r="E17" i="25"/>
  <c r="C14" i="25"/>
  <c r="E13" i="25"/>
  <c r="C12" i="25"/>
  <c r="E11" i="25"/>
  <c r="C10" i="25"/>
  <c r="E9" i="25"/>
  <c r="C6" i="25"/>
  <c r="E5" i="25"/>
  <c r="C4" i="25"/>
  <c r="B6" i="25"/>
  <c r="D9" i="25"/>
  <c r="B14" i="25"/>
  <c r="D17" i="25"/>
  <c r="B22" i="25"/>
  <c r="B5" i="21"/>
  <c r="D5" i="21" s="1"/>
  <c r="D2" i="21" a="1"/>
  <c r="D2" i="21" s="1"/>
  <c r="C21" i="13"/>
  <c r="C17" i="13"/>
  <c r="C13" i="13"/>
  <c r="C9" i="13"/>
  <c r="C5" i="13"/>
  <c r="C20" i="13"/>
  <c r="C16" i="13"/>
  <c r="C12" i="13"/>
  <c r="C8" i="13"/>
  <c r="C4" i="13"/>
  <c r="D3" i="13"/>
  <c r="C23" i="13"/>
  <c r="C19" i="13"/>
  <c r="C15" i="13"/>
  <c r="C11" i="13"/>
  <c r="C7" i="13"/>
  <c r="C3" i="13"/>
  <c r="F2" i="25" s="1" a="1"/>
  <c r="F2" i="25" s="1"/>
  <c r="D9" i="13"/>
  <c r="D21" i="13"/>
  <c r="D5" i="13"/>
  <c r="D17" i="13"/>
  <c r="D13" i="13"/>
  <c r="H2" i="13"/>
  <c r="E2" i="13"/>
  <c r="F2" i="13"/>
  <c r="G2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D16" i="13"/>
  <c r="D8" i="13"/>
  <c r="F23" i="13"/>
  <c r="F21" i="13"/>
  <c r="F18" i="13"/>
  <c r="F15" i="13"/>
  <c r="F13" i="13"/>
  <c r="F11" i="13"/>
  <c r="F9" i="13"/>
  <c r="F7" i="13"/>
  <c r="F5" i="13"/>
  <c r="D23" i="13"/>
  <c r="D19" i="13"/>
  <c r="D15" i="13"/>
  <c r="D11" i="13"/>
  <c r="D7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D20" i="13"/>
  <c r="D12" i="13"/>
  <c r="D4" i="13"/>
  <c r="F22" i="13"/>
  <c r="F20" i="13"/>
  <c r="F19" i="13"/>
  <c r="F17" i="13"/>
  <c r="F16" i="13"/>
  <c r="F14" i="13"/>
  <c r="F12" i="13"/>
  <c r="F10" i="13"/>
  <c r="F8" i="13"/>
  <c r="F6" i="13"/>
  <c r="F4" i="13"/>
  <c r="F3" i="13"/>
  <c r="D22" i="13"/>
  <c r="D18" i="13"/>
  <c r="D14" i="13"/>
  <c r="D10" i="13"/>
  <c r="D6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B2" i="11"/>
  <c r="I8" i="1"/>
  <c r="C21" i="7"/>
  <c r="C17" i="7"/>
  <c r="C13" i="7"/>
  <c r="C9" i="7"/>
  <c r="C5" i="7"/>
  <c r="B4" i="11"/>
  <c r="B5" i="11"/>
  <c r="C20" i="7"/>
  <c r="C16" i="7"/>
  <c r="C12" i="7"/>
  <c r="C8" i="7"/>
  <c r="C4" i="7"/>
  <c r="B3" i="11"/>
  <c r="F2" i="11" s="1" a="1"/>
  <c r="F2" i="11" s="1"/>
  <c r="F7" i="11" s="1"/>
  <c r="B5" i="13"/>
  <c r="B9" i="13"/>
  <c r="B13" i="13"/>
  <c r="B21" i="13"/>
  <c r="B17" i="13"/>
  <c r="B3" i="13"/>
  <c r="B7" i="13"/>
  <c r="B11" i="13"/>
  <c r="B15" i="13"/>
  <c r="B19" i="13"/>
  <c r="B23" i="13"/>
  <c r="B4" i="13"/>
  <c r="B6" i="13"/>
  <c r="B8" i="13"/>
  <c r="B10" i="13"/>
  <c r="B12" i="13"/>
  <c r="B14" i="13"/>
  <c r="B16" i="13"/>
  <c r="B18" i="13"/>
  <c r="B20" i="13"/>
  <c r="B22" i="13"/>
  <c r="D2" i="10" a="1"/>
  <c r="D2" i="10" s="1"/>
  <c r="E2" i="10" a="1"/>
  <c r="E2" i="10" s="1"/>
  <c r="E2" i="29" l="1"/>
  <c r="D2" i="29"/>
  <c r="C2" i="29"/>
  <c r="F2" i="29"/>
  <c r="B2" i="29"/>
  <c r="D2" i="14" s="1"/>
  <c r="C2" i="26"/>
  <c r="B2" i="26"/>
  <c r="D2" i="26"/>
  <c r="K2" i="25" a="1"/>
  <c r="K2" i="25" s="1"/>
  <c r="G2" i="25" a="1"/>
  <c r="G2" i="25" s="1"/>
  <c r="D2" i="11" a="1"/>
  <c r="D2" i="11" s="1"/>
  <c r="E2" i="11" a="1"/>
  <c r="E2" i="11" s="1"/>
  <c r="E7" i="11" s="1"/>
  <c r="C2" i="11" a="1"/>
  <c r="C2" i="11" s="1"/>
  <c r="C7" i="11" s="1"/>
  <c r="F8" i="11"/>
  <c r="E8" i="11"/>
  <c r="D7" i="11"/>
  <c r="I2" i="10" a="1"/>
  <c r="C8" i="11" l="1"/>
  <c r="I2" i="10"/>
  <c r="J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<sst xmlns="http://schemas.openxmlformats.org/spreadsheetml/2006/main" count="173" uniqueCount="104">
  <si>
    <t>Go</t>
  </si>
  <si>
    <t>Old Kent Road</t>
  </si>
  <si>
    <t>Whitechapel</t>
  </si>
  <si>
    <t>Income Tax</t>
  </si>
  <si>
    <t>Landed On</t>
  </si>
  <si>
    <t>Laps:</t>
  </si>
  <si>
    <t>Euston</t>
  </si>
  <si>
    <t>Just Visiting</t>
  </si>
  <si>
    <t>Pall Mall</t>
  </si>
  <si>
    <t>Electric Company</t>
  </si>
  <si>
    <t>{1: 230154756, 10: 14849219}</t>
  </si>
  <si>
    <t>{1: 207052888, 10: 24235239}</t>
  </si>
  <si>
    <t>Community Chest</t>
  </si>
  <si>
    <t>King's Cross Station</t>
  </si>
  <si>
    <t>The Angel, Islington</t>
  </si>
  <si>
    <t>Chance</t>
  </si>
  <si>
    <t>Pentonville Road</t>
  </si>
  <si>
    <t>Whitehall</t>
  </si>
  <si>
    <t>Northumberland Avenue</t>
  </si>
  <si>
    <t>Marylebone Station</t>
  </si>
  <si>
    <t>Bow Street</t>
  </si>
  <si>
    <t>Marlborough Street</t>
  </si>
  <si>
    <t>Vine Street</t>
  </si>
  <si>
    <t>Free Parking</t>
  </si>
  <si>
    <t>Strand</t>
  </si>
  <si>
    <t>Fleet Street</t>
  </si>
  <si>
    <t>Trafalgar Square</t>
  </si>
  <si>
    <t>Fenchurch Street Station</t>
  </si>
  <si>
    <t>Leceister Square</t>
  </si>
  <si>
    <t>Coventry Street</t>
  </si>
  <si>
    <t>Water Works</t>
  </si>
  <si>
    <t>Piccadilly</t>
  </si>
  <si>
    <t>Go To Jail</t>
  </si>
  <si>
    <t>Regent Street</t>
  </si>
  <si>
    <t>Oxford Street</t>
  </si>
  <si>
    <t>Bond Street</t>
  </si>
  <si>
    <t>Liverpool Street Station</t>
  </si>
  <si>
    <t>Park Lane</t>
  </si>
  <si>
    <t>Super Tax</t>
  </si>
  <si>
    <t>Mayfair</t>
  </si>
  <si>
    <t>Rent Charged</t>
  </si>
  <si>
    <t>Land/Lap</t>
  </si>
  <si>
    <t>Rent Charged/Lap</t>
  </si>
  <si>
    <t>Square</t>
  </si>
  <si>
    <t>Relative Land On</t>
  </si>
  <si>
    <t>Colour Group</t>
  </si>
  <si>
    <t>Brown</t>
  </si>
  <si>
    <t>Light Blue</t>
  </si>
  <si>
    <t>Pink</t>
  </si>
  <si>
    <t>Orange</t>
  </si>
  <si>
    <t>Red</t>
  </si>
  <si>
    <t>Yellow</t>
  </si>
  <si>
    <t>Green</t>
  </si>
  <si>
    <t>Dark Blue</t>
  </si>
  <si>
    <t>Group</t>
  </si>
  <si>
    <t>Undeveloped</t>
  </si>
  <si>
    <t>Individual</t>
  </si>
  <si>
    <t>1 House</t>
  </si>
  <si>
    <t>2 Houses</t>
  </si>
  <si>
    <t>3 Houses</t>
  </si>
  <si>
    <t>4 Houses</t>
  </si>
  <si>
    <t>Hotel</t>
  </si>
  <si>
    <t>Land Per Lap</t>
  </si>
  <si>
    <t>Undeveloped Per Lap</t>
  </si>
  <si>
    <t>1 House Per Lap</t>
  </si>
  <si>
    <t>2 Houses Per Lap</t>
  </si>
  <si>
    <t>3 Houses Per Lap</t>
  </si>
  <si>
    <t>4 Houses Per Lap</t>
  </si>
  <si>
    <t>Hotel Per Lap</t>
  </si>
  <si>
    <t>Rent From Chance To Per Lap</t>
  </si>
  <si>
    <t>Rolls From Roll To Per Lap</t>
  </si>
  <si>
    <t>Rolls From Roll To</t>
  </si>
  <si>
    <t>Rolls From Chance To</t>
  </si>
  <si>
    <t>Rolls From Chance To Per Lap</t>
  </si>
  <si>
    <t>1 Utility Rent From Roll To Per Lap</t>
  </si>
  <si>
    <t>2 Utility Rent From Roll To Per Lap</t>
  </si>
  <si>
    <t>1 Utility Rent Per Lap</t>
  </si>
  <si>
    <t>2 Utility Rent Per Lap</t>
  </si>
  <si>
    <t>Rent Per Lap</t>
  </si>
  <si>
    <t>1 Station Rent Per Lap</t>
  </si>
  <si>
    <t>2 Stations Rent Per Lap</t>
  </si>
  <si>
    <t>3 Stations Rent Per Lap</t>
  </si>
  <si>
    <t>4 Stations Rent Per Lap</t>
  </si>
  <si>
    <t>Maximum</t>
  </si>
  <si>
    <t>Minimum</t>
  </si>
  <si>
    <t>General</t>
  </si>
  <si>
    <t>Per Opponent</t>
  </si>
  <si>
    <t>Per House</t>
  </si>
  <si>
    <t>Per Hotel</t>
  </si>
  <si>
    <t>Income</t>
  </si>
  <si>
    <t>Outgoing</t>
  </si>
  <si>
    <t>Net</t>
  </si>
  <si>
    <t>Net Per Lap</t>
  </si>
  <si>
    <t>Cost Per Lap</t>
  </si>
  <si>
    <t>With Free Parking (No Outgoing) Per Lap</t>
  </si>
  <si>
    <t>Total</t>
  </si>
  <si>
    <t>House Cost</t>
  </si>
  <si>
    <t>Hotel Cost</t>
  </si>
  <si>
    <t>Price</t>
  </si>
  <si>
    <t>House Price</t>
  </si>
  <si>
    <t>Hotel Price</t>
  </si>
  <si>
    <t>2 Utilities</t>
  </si>
  <si>
    <t>Turns:</t>
  </si>
  <si>
    <t>Turns Per Lap: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</si>
</sst>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65" fontId="0" fillId="0" borderId="0" xfId="0" applyNumberFormat="1"/>
    <xf numFmtId="0" fontId="0" fillId="0" borderId="0" xfId="1" applyNumberFormat="1" applyFont="1"/>
    <xf numFmtId="164" fontId="0" fillId="0" borderId="0" xfId="1" applyNumberFormat="1" applyFont="1"/>
    <xf numFmtId="2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CC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'Property Per Lap'!$D$1</c:f>
              <c:strCache>
                <c:ptCount val="1"/>
                <c:pt idx="0">
                  <c:v>Individual Per Lap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'Property Per Lap'!$A$2:$A$23</c:f>
              <c:strCache>
                <c:ptCount val="22"/>
                <c:pt idx="0">
                  <c:v>Old Kent Road</c:v>
                </c:pt>
                <c:pt idx="1">
                  <c:v>Whitechapel</c:v>
                </c:pt>
                <c:pt idx="2">
                  <c:v>The Angel, Islington</c:v>
                </c:pt>
                <c:pt idx="3">
                  <c:v>Euston</c:v>
                </c:pt>
                <c:pt idx="4">
                  <c:v>Pentonville Road</c:v>
                </c:pt>
                <c:pt idx="5">
                  <c:v>Pall Mall</c:v>
                </c:pt>
                <c:pt idx="6">
                  <c:v>Whitehall</c:v>
                </c:pt>
                <c:pt idx="7">
                  <c:v>Northumberland Avenue</c:v>
                </c:pt>
                <c:pt idx="8">
                  <c:v>Bow Street</c:v>
                </c:pt>
                <c:pt idx="9">
                  <c:v>Marlborough Street</c:v>
                </c:pt>
                <c:pt idx="10">
                  <c:v>Vine Street</c:v>
                </c:pt>
                <c:pt idx="11">
                  <c:v>Strand</c:v>
                </c:pt>
                <c:pt idx="12">
                  <c:v>Fleet Street</c:v>
                </c:pt>
                <c:pt idx="13">
                  <c:v>Trafalgar Square</c:v>
                </c:pt>
                <c:pt idx="14">
                  <c:v>Leceister Square</c:v>
                </c:pt>
                <c:pt idx="15">
                  <c:v>Coventry Street</c:v>
                </c:pt>
                <c:pt idx="16">
                  <c:v>Piccadilly</c:v>
                </c:pt>
                <c:pt idx="17">
                  <c:v>Regent Street</c:v>
                </c:pt>
                <c:pt idx="18">
                  <c:v>Oxford Street</c:v>
                </c:pt>
                <c:pt idx="19">
                  <c:v>Bond Street</c:v>
                </c:pt>
                <c:pt idx="20">
                  <c:v>Park Lane</c:v>
                </c:pt>
                <c:pt idx="21">
                  <c:v>Mayfair</c:v>
                </c:pt>
              </c:strCache>
            </c:strRef>
          </c:cat>
          <c:val>
            <c:numRef>
              <c:f>'Property Per Lap'!$D$2:$D$23</c:f>
              <c:numCache>
                <c:formatCode>0.00</c:formatCode>
                <c:ptCount val="22"/>
                <c:pt idx="0">
                  <c:v>0.22011584381464588</c:v>
                </c:pt>
                <c:pt idx="1">
                  <c:v>0.44411855002550132</c:v>
                </c:pt>
                <c:pt idx="2">
                  <c:v>0.69023719837379871</c:v>
                </c:pt>
                <c:pt idx="3">
                  <c:v>0.71099154205376014</c:v>
                </c:pt>
                <c:pt idx="4">
                  <c:v>0.93565480592676775</c:v>
                </c:pt>
                <c:pt idx="5">
                  <c:v>1.3870804179333815</c:v>
                </c:pt>
                <c:pt idx="6">
                  <c:v>1.1990769697447716</c:v>
                </c:pt>
                <c:pt idx="7">
                  <c:v>1.5377496742362748</c:v>
                </c:pt>
                <c:pt idx="8">
                  <c:v>1.8908466552262992</c:v>
                </c:pt>
                <c:pt idx="9">
                  <c:v>2.0470456611583794</c:v>
                </c:pt>
                <c:pt idx="10">
                  <c:v>2.3607490804095606</c:v>
                </c:pt>
                <c:pt idx="11">
                  <c:v>2.4936966807683687</c:v>
                </c:pt>
                <c:pt idx="12">
                  <c:v>2.4834445009493855</c:v>
                </c:pt>
                <c:pt idx="13">
                  <c:v>3.2962551610669291</c:v>
                </c:pt>
                <c:pt idx="14">
                  <c:v>2.9134033087362101</c:v>
                </c:pt>
                <c:pt idx="15">
                  <c:v>2.9227620440516509</c:v>
                </c:pt>
                <c:pt idx="16">
                  <c:v>3.1671130400589815</c:v>
                </c:pt>
                <c:pt idx="17">
                  <c:v>3.458057158590484</c:v>
                </c:pt>
                <c:pt idx="18">
                  <c:v>3.4375875953678325</c:v>
                </c:pt>
                <c:pt idx="19">
                  <c:v>3.5547748554304803</c:v>
                </c:pt>
                <c:pt idx="20">
                  <c:v>4.1416510896288603</c:v>
                </c:pt>
                <c:pt idx="21">
                  <c:v>6.6898435459808931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0B-4DB7-9251-939098673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637552"/>
        <c:axId val="573637912"/>
      </c:barChart>
      <c:catAx>
        <c:axId val="57363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37912"/>
        <c:crosses val="autoZero"/>
        <c:auto val="1"/>
        <c:lblAlgn val="ctr"/>
        <c:lblOffset val="100"/>
        <c:noMultiLvlLbl val="0"/>
      </c:catAx>
      <c:valAx>
        <c:axId val="57363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3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Rent Per Lap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Sets!$A$2</c:f>
              <c:strCache>
                <c:ptCount val="1"/>
                <c:pt idx="0">
                  <c:v>Brown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  <a:effectLst/>
          </c:spPr>
          <c:invertIfNegative val="0"/>
          <c:cat>
            <c:strRef>
              <c:f>Sets!$B$1:$G$1</c:f>
              <c:strCache>
                <c:ptCount val="6"/>
                <c:pt idx="0">
                  <c:v>Undeveloped Per Lap</c:v>
                </c:pt>
                <c:pt idx="1">
                  <c:v>1 House Per Lap</c:v>
                </c:pt>
                <c:pt idx="2">
                  <c:v>2 Houses Per Lap</c:v>
                </c:pt>
                <c:pt idx="3">
                  <c:v>3 Houses Per Lap</c:v>
                </c:pt>
                <c:pt idx="4">
                  <c:v>4 Houses Per Lap</c:v>
                </c:pt>
                <c:pt idx="5">
                  <c:v>Hotel Per Lap</c:v>
                </c:pt>
              </c:strCache>
            </c:strRef>
          </c:cat>
          <c:val>
            <c:numRef>
              <c:f>Sets!$B$2:$G$2</c:f>
              <c:numCache>
                <c:formatCode>0.00</c:formatCode>
                <c:ptCount val="6"/>
                <c:pt idx="0">
                  <c:v>1.3284687876802943</c:v>
                </c:pt>
                <c:pt idx="1">
                  <c:v>3.3211719692007362</c:v>
                </c:pt>
                <c:pt idx="2">
                  <c:v>9.9635159076022077</c:v>
                </c:pt>
                <c:pt idx="3">
                  <c:v>18.787583972169092</c:v>
                </c:pt>
                <c:pt idx="4">
                  <c:v>53.138751507211779</c:v>
                </c:pt>
                <c:pt idx="5">
                  <c:v>77.477817354699624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3-461B-BC59-28F0F1666FDF}"/>
            </c:ext>
          </c:extLst>
        </c:ser>
        <c:ser>
          <c:idx val="1"/>
          <c:order val="1"/>
          <c:tx>
            <c:strRef>
              <c:f>Sets!$A$3</c:f>
              <c:strCache>
                <c:ptCount val="1"/>
                <c:pt idx="0">
                  <c:v>Light Blue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Sets!$B$1:$G$1</c:f>
              <c:strCache>
                <c:ptCount val="6"/>
                <c:pt idx="0">
                  <c:v>Undeveloped Per Lap</c:v>
                </c:pt>
                <c:pt idx="1">
                  <c:v>1 House Per Lap</c:v>
                </c:pt>
                <c:pt idx="2">
                  <c:v>2 Houses Per Lap</c:v>
                </c:pt>
                <c:pt idx="3">
                  <c:v>3 Houses Per Lap</c:v>
                </c:pt>
                <c:pt idx="4">
                  <c:v>4 Houses Per Lap</c:v>
                </c:pt>
                <c:pt idx="5">
                  <c:v>Hotel Per Lap</c:v>
                </c:pt>
              </c:strCache>
            </c:strRef>
          </c:cat>
          <c:val>
            <c:numRef>
              <c:f>Sets!$B$3:$G$3</c:f>
              <c:numCache>
                <c:formatCode>0.00</c:formatCode>
                <c:ptCount val="6"/>
                <c:pt idx="0">
                  <c:v>4.673767092708653</c:v>
                </c:pt>
                <c:pt idx="1">
                  <c:v>11.684417731771633</c:v>
                </c:pt>
                <c:pt idx="2">
                  <c:v>32.714116180497982</c:v>
                </c:pt>
                <c:pt idx="3">
                  <c:v>98.142348541493931</c:v>
                </c:pt>
                <c:pt idx="4">
                  <c:v>146.04583219521794</c:v>
                </c:pt>
                <c:pt idx="5">
                  <c:v>198.6200783170338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3-461B-BC59-28F0F1666FDF}"/>
            </c:ext>
          </c:extLst>
        </c:ser>
        <c:ser>
          <c:idx val="2"/>
          <c:order val="2"/>
          <c:tx>
            <c:strRef>
              <c:f>Sets!$A$4</c:f>
              <c:strCache>
                <c:ptCount val="1"/>
                <c:pt idx="0">
                  <c:v>Pink</c:v>
                </c:pt>
              </c:strCache>
            </c:strRef>
          </c:tx>
          <c:spPr>
            <a:solidFill>
              <a:srgbClr val="FF33CC"/>
            </a:solidFill>
            <a:ln>
              <a:noFill/>
            </a:ln>
            <a:effectLst/>
          </c:spPr>
          <c:invertIfNegative val="0"/>
          <c:cat>
            <c:strRef>
              <c:f>Sets!$B$1:$G$1</c:f>
              <c:strCache>
                <c:ptCount val="6"/>
                <c:pt idx="0">
                  <c:v>Undeveloped Per Lap</c:v>
                </c:pt>
                <c:pt idx="1">
                  <c:v>1 House Per Lap</c:v>
                </c:pt>
                <c:pt idx="2">
                  <c:v>2 Houses Per Lap</c:v>
                </c:pt>
                <c:pt idx="3">
                  <c:v>3 Houses Per Lap</c:v>
                </c:pt>
                <c:pt idx="4">
                  <c:v>4 Houses Per Lap</c:v>
                </c:pt>
                <c:pt idx="5">
                  <c:v>Hotel Per Lap</c:v>
                </c:pt>
              </c:strCache>
            </c:strRef>
          </c:cat>
          <c:val>
            <c:numRef>
              <c:f>Sets!$B$4:$G$4</c:f>
              <c:numCache>
                <c:formatCode>0.00</c:formatCode>
                <c:ptCount val="6"/>
                <c:pt idx="0">
                  <c:v>8.2478141238288565</c:v>
                </c:pt>
                <c:pt idx="1">
                  <c:v>20.619535309572139</c:v>
                </c:pt>
                <c:pt idx="2">
                  <c:v>61.858605928716415</c:v>
                </c:pt>
                <c:pt idx="3">
                  <c:v>180.44998553869499</c:v>
                </c:pt>
                <c:pt idx="4">
                  <c:v>251.33690106033393</c:v>
                </c:pt>
                <c:pt idx="5">
                  <c:v>309.29302964358209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3-461B-BC59-28F0F1666FDF}"/>
            </c:ext>
          </c:extLst>
        </c:ser>
        <c:ser>
          <c:idx val="3"/>
          <c:order val="3"/>
          <c:tx>
            <c:strRef>
              <c:f>Sets!$A$5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Sets!$B$1:$G$1</c:f>
              <c:strCache>
                <c:ptCount val="6"/>
                <c:pt idx="0">
                  <c:v>Undeveloped Per Lap</c:v>
                </c:pt>
                <c:pt idx="1">
                  <c:v>1 House Per Lap</c:v>
                </c:pt>
                <c:pt idx="2">
                  <c:v>2 Houses Per Lap</c:v>
                </c:pt>
                <c:pt idx="3">
                  <c:v>3 Houses Per Lap</c:v>
                </c:pt>
                <c:pt idx="4">
                  <c:v>4 Houses Per Lap</c:v>
                </c:pt>
                <c:pt idx="5">
                  <c:v>Hotel Per Lap</c:v>
                </c:pt>
              </c:strCache>
            </c:strRef>
          </c:cat>
          <c:val>
            <c:numRef>
              <c:f>Sets!$B$5:$G$5</c:f>
              <c:numCache>
                <c:formatCode>0.00</c:formatCode>
                <c:ptCount val="6"/>
                <c:pt idx="0">
                  <c:v>12.597282793588478</c:v>
                </c:pt>
                <c:pt idx="1">
                  <c:v>31.493206983971199</c:v>
                </c:pt>
                <c:pt idx="2">
                  <c:v>88.715904375412578</c:v>
                </c:pt>
                <c:pt idx="3">
                  <c:v>243.23100294475663</c:v>
                </c:pt>
                <c:pt idx="4">
                  <c:v>328.99597096965726</c:v>
                </c:pt>
                <c:pt idx="5">
                  <c:v>414.76093899455788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13-461B-BC59-28F0F1666FDF}"/>
            </c:ext>
          </c:extLst>
        </c:ser>
        <c:ser>
          <c:idx val="4"/>
          <c:order val="4"/>
          <c:tx>
            <c:strRef>
              <c:f>Sets!$A$6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Sets!$B$1:$G$1</c:f>
              <c:strCache>
                <c:ptCount val="6"/>
                <c:pt idx="0">
                  <c:v>Undeveloped Per Lap</c:v>
                </c:pt>
                <c:pt idx="1">
                  <c:v>1 House Per Lap</c:v>
                </c:pt>
                <c:pt idx="2">
                  <c:v>2 Houses Per Lap</c:v>
                </c:pt>
                <c:pt idx="3">
                  <c:v>3 Houses Per Lap</c:v>
                </c:pt>
                <c:pt idx="4">
                  <c:v>4 Houses Per Lap</c:v>
                </c:pt>
                <c:pt idx="5">
                  <c:v>Hotel Per Lap</c:v>
                </c:pt>
              </c:strCache>
            </c:strRef>
          </c:cat>
          <c:val>
            <c:numRef>
              <c:f>Sets!$B$6:$G$6</c:f>
              <c:numCache>
                <c:formatCode>0.00</c:formatCode>
                <c:ptCount val="6"/>
                <c:pt idx="0">
                  <c:v>16.546792685569365</c:v>
                </c:pt>
                <c:pt idx="1">
                  <c:v>41.366981713923423</c:v>
                </c:pt>
                <c:pt idx="2">
                  <c:v>118.57078827319498</c:v>
                </c:pt>
                <c:pt idx="3">
                  <c:v>317.16505894014472</c:v>
                </c:pt>
                <c:pt idx="4">
                  <c:v>394.39616419951403</c:v>
                </c:pt>
                <c:pt idx="5">
                  <c:v>471.6272694588834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13-461B-BC59-28F0F1666FDF}"/>
            </c:ext>
          </c:extLst>
        </c:ser>
        <c:ser>
          <c:idx val="5"/>
          <c:order val="5"/>
          <c:tx>
            <c:strRef>
              <c:f>Sets!$A$7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Sets!$B$1:$G$1</c:f>
              <c:strCache>
                <c:ptCount val="6"/>
                <c:pt idx="0">
                  <c:v>Undeveloped Per Lap</c:v>
                </c:pt>
                <c:pt idx="1">
                  <c:v>1 House Per Lap</c:v>
                </c:pt>
                <c:pt idx="2">
                  <c:v>2 Houses Per Lap</c:v>
                </c:pt>
                <c:pt idx="3">
                  <c:v>3 Houses Per Lap</c:v>
                </c:pt>
                <c:pt idx="4">
                  <c:v>4 Houses Per Lap</c:v>
                </c:pt>
                <c:pt idx="5">
                  <c:v>Hotel Per Lap</c:v>
                </c:pt>
              </c:strCache>
            </c:strRef>
          </c:cat>
          <c:val>
            <c:numRef>
              <c:f>Sets!$B$7:$G$7</c:f>
              <c:numCache>
                <c:formatCode>0.00</c:formatCode>
                <c:ptCount val="6"/>
                <c:pt idx="0">
                  <c:v>18.006556785693682</c:v>
                </c:pt>
                <c:pt idx="1">
                  <c:v>45.016391964234217</c:v>
                </c:pt>
                <c:pt idx="2">
                  <c:v>135.04917589270264</c:v>
                </c:pt>
                <c:pt idx="3">
                  <c:v>324.39278148225361</c:v>
                </c:pt>
                <c:pt idx="4">
                  <c:v>393.91035664501135</c:v>
                </c:pt>
                <c:pt idx="5">
                  <c:v>463.42793180776914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3-461B-BC59-28F0F1666FDF}"/>
            </c:ext>
          </c:extLst>
        </c:ser>
        <c:ser>
          <c:idx val="6"/>
          <c:order val="6"/>
          <c:tx>
            <c:strRef>
              <c:f>Sets!$A$8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Sets!$B$1:$G$1</c:f>
              <c:strCache>
                <c:ptCount val="6"/>
                <c:pt idx="0">
                  <c:v>Undeveloped Per Lap</c:v>
                </c:pt>
                <c:pt idx="1">
                  <c:v>1 House Per Lap</c:v>
                </c:pt>
                <c:pt idx="2">
                  <c:v>2 Houses Per Lap</c:v>
                </c:pt>
                <c:pt idx="3">
                  <c:v>3 Houses Per Lap</c:v>
                </c:pt>
                <c:pt idx="4">
                  <c:v>4 Houses Per Lap</c:v>
                </c:pt>
                <c:pt idx="5">
                  <c:v>Hotel Per Lap</c:v>
                </c:pt>
              </c:strCache>
            </c:strRef>
          </c:cat>
          <c:val>
            <c:numRef>
              <c:f>Sets!$B$8:$G$8</c:f>
              <c:numCache>
                <c:formatCode>0.00</c:formatCode>
                <c:ptCount val="6"/>
                <c:pt idx="0">
                  <c:v>20.900839218777595</c:v>
                </c:pt>
                <c:pt idx="1">
                  <c:v>53.521660495312013</c:v>
                </c:pt>
                <c:pt idx="2">
                  <c:v>160.56498148593604</c:v>
                </c:pt>
                <c:pt idx="3">
                  <c:v>365.6516401661292</c:v>
                </c:pt>
                <c:pt idx="4">
                  <c:v>444.08631031778452</c:v>
                </c:pt>
                <c:pt idx="5">
                  <c:v>515.89055282140293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3-461B-BC59-28F0F1666FDF}"/>
            </c:ext>
          </c:extLst>
        </c:ser>
        <c:ser>
          <c:idx val="7"/>
          <c:order val="7"/>
          <c:tx>
            <c:strRef>
              <c:f>Sets!$A$9</c:f>
              <c:strCache>
                <c:ptCount val="1"/>
                <c:pt idx="0">
                  <c:v>Dark Blue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Sets!$B$1:$G$1</c:f>
              <c:strCache>
                <c:ptCount val="6"/>
                <c:pt idx="0">
                  <c:v>Undeveloped Per Lap</c:v>
                </c:pt>
                <c:pt idx="1">
                  <c:v>1 House Per Lap</c:v>
                </c:pt>
                <c:pt idx="2">
                  <c:v>2 Houses Per Lap</c:v>
                </c:pt>
                <c:pt idx="3">
                  <c:v>3 Houses Per Lap</c:v>
                </c:pt>
                <c:pt idx="4">
                  <c:v>4 Houses Per Lap</c:v>
                </c:pt>
                <c:pt idx="5">
                  <c:v>Hotel Per Lap</c:v>
                </c:pt>
              </c:strCache>
            </c:strRef>
          </c:cat>
          <c:val>
            <c:numRef>
              <c:f>Sets!$B$9:$G$9</c:f>
              <c:numCache>
                <c:formatCode>0.00</c:formatCode>
                <c:ptCount val="6"/>
                <c:pt idx="0">
                  <c:v>21.662989271219509</c:v>
                </c:pt>
                <c:pt idx="1">
                  <c:v>47.467629632067869</c:v>
                </c:pt>
                <c:pt idx="2">
                  <c:v>139.44456668932588</c:v>
                </c:pt>
                <c:pt idx="3">
                  <c:v>317.48179639008634</c:v>
                </c:pt>
                <c:pt idx="4">
                  <c:v>381.28743532099372</c:v>
                </c:pt>
                <c:pt idx="5">
                  <c:v>445.09307425190116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13-461B-BC59-28F0F1666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942448"/>
        <c:axId val="754957712"/>
      </c:barChart>
      <c:catAx>
        <c:axId val="75394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957712"/>
        <c:crosses val="autoZero"/>
        <c:auto val="1"/>
        <c:lblAlgn val="ctr"/>
        <c:lblOffset val="100"/>
        <c:noMultiLvlLbl val="0"/>
      </c:catAx>
      <c:valAx>
        <c:axId val="7549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4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Laps To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'Property Return Difference'!$F$1</c:f>
              <c:strCache>
                <c:ptCount val="1"/>
                <c:pt idx="0">
                  <c:v>Individual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'Property Return Difference'!$A$2:$A$23</c:f>
              <c:strCache>
                <c:ptCount val="22"/>
                <c:pt idx="0">
                  <c:v>Old Kent Road</c:v>
                </c:pt>
                <c:pt idx="1">
                  <c:v>Whitechapel</c:v>
                </c:pt>
                <c:pt idx="2">
                  <c:v>The Angel, Islington</c:v>
                </c:pt>
                <c:pt idx="3">
                  <c:v>Euston</c:v>
                </c:pt>
                <c:pt idx="4">
                  <c:v>Pentonville Road</c:v>
                </c:pt>
                <c:pt idx="5">
                  <c:v>Pall Mall</c:v>
                </c:pt>
                <c:pt idx="6">
                  <c:v>Whitehall</c:v>
                </c:pt>
                <c:pt idx="7">
                  <c:v>Northumberland Avenue</c:v>
                </c:pt>
                <c:pt idx="8">
                  <c:v>Bow Street</c:v>
                </c:pt>
                <c:pt idx="9">
                  <c:v>Marlborough Street</c:v>
                </c:pt>
                <c:pt idx="10">
                  <c:v>Vine Street</c:v>
                </c:pt>
                <c:pt idx="11">
                  <c:v>Strand</c:v>
                </c:pt>
                <c:pt idx="12">
                  <c:v>Fleet Street</c:v>
                </c:pt>
                <c:pt idx="13">
                  <c:v>Trafalgar Square</c:v>
                </c:pt>
                <c:pt idx="14">
                  <c:v>Leceister Square</c:v>
                </c:pt>
                <c:pt idx="15">
                  <c:v>Coventry Street</c:v>
                </c:pt>
                <c:pt idx="16">
                  <c:v>Piccadilly</c:v>
                </c:pt>
                <c:pt idx="17">
                  <c:v>Regent Street</c:v>
                </c:pt>
                <c:pt idx="18">
                  <c:v>Oxford Street</c:v>
                </c:pt>
                <c:pt idx="19">
                  <c:v>Bond Street</c:v>
                </c:pt>
                <c:pt idx="20">
                  <c:v>Park Lane</c:v>
                </c:pt>
                <c:pt idx="21">
                  <c:v>Mayfair</c:v>
                </c:pt>
              </c:strCache>
            </c:strRef>
          </c:cat>
          <c:val>
            <c:numRef>
              <c:f>'Property Return Difference'!$F$2:$F$23</c:f>
              <c:numCache>
                <c:formatCode>0.00</c:formatCode>
                <c:ptCount val="22"/>
                <c:pt idx="0">
                  <c:v>272.58374027143867</c:v>
                </c:pt>
                <c:pt idx="1">
                  <c:v>135.09906306898191</c:v>
                </c:pt>
                <c:pt idx="2">
                  <c:v>144.87773222828378</c:v>
                </c:pt>
                <c:pt idx="3">
                  <c:v>140.64864922463269</c:v>
                </c:pt>
                <c:pt idx="4">
                  <c:v>128.2524273266996</c:v>
                </c:pt>
                <c:pt idx="5">
                  <c:v>100.93142271346224</c:v>
                </c:pt>
                <c:pt idx="6">
                  <c:v>116.75647479894437</c:v>
                </c:pt>
                <c:pt idx="7">
                  <c:v>104.04814429856029</c:v>
                </c:pt>
                <c:pt idx="8">
                  <c:v>95.195450938594135</c:v>
                </c:pt>
                <c:pt idx="9">
                  <c:v>87.931599873615838</c:v>
                </c:pt>
                <c:pt idx="10">
                  <c:v>84.718872352712083</c:v>
                </c:pt>
                <c:pt idx="11">
                  <c:v>88.222437675223858</c:v>
                </c:pt>
                <c:pt idx="12">
                  <c:v>88.586638403192467</c:v>
                </c:pt>
                <c:pt idx="13">
                  <c:v>72.809897375273891</c:v>
                </c:pt>
                <c:pt idx="14">
                  <c:v>89.242707736466471</c:v>
                </c:pt>
                <c:pt idx="15">
                  <c:v>88.95695102143091</c:v>
                </c:pt>
                <c:pt idx="16">
                  <c:v>88.408590555007635</c:v>
                </c:pt>
                <c:pt idx="17">
                  <c:v>86.753915924941225</c:v>
                </c:pt>
                <c:pt idx="18">
                  <c:v>87.270503420553297</c:v>
                </c:pt>
                <c:pt idx="19">
                  <c:v>90.019765811933055</c:v>
                </c:pt>
                <c:pt idx="20">
                  <c:v>84.507360090384637</c:v>
                </c:pt>
                <c:pt idx="21">
                  <c:v>59.792130750249157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6-4953-8F5C-AB76BE52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475112"/>
        <c:axId val="760468632"/>
      </c:barChart>
      <c:catAx>
        <c:axId val="76047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468632"/>
        <c:crosses val="autoZero"/>
        <c:auto val="1"/>
        <c:lblAlgn val="ctr"/>
        <c:lblOffset val="100"/>
        <c:noMultiLvlLbl val="0"/>
      </c:catAx>
      <c:valAx>
        <c:axId val="76046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475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Laps To Return (Upgrading From Undeveloped)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'Set Return Development'!$A$2</c:f>
              <c:strCache>
                <c:ptCount val="1"/>
                <c:pt idx="0">
                  <c:v>Brown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  <a:effectLst/>
          </c:spPr>
          <c:invertIfNegative val="0"/>
          <c:cat>
            <c:strRef>
              <c:f>'Set Return Development'!$D$1:$H$1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Development'!$D$2:$H$2</c:f>
              <c:numCache>
                <c:formatCode>0.00</c:formatCode>
                <c:ptCount val="5"/>
                <c:pt idx="0">
                  <c:v>50.183088443558127</c:v>
                </c:pt>
                <c:pt idx="1">
                  <c:v>23.161425435488368</c:v>
                </c:pt>
                <c:pt idx="2">
                  <c:v>17.183001362321559</c:v>
                </c:pt>
                <c:pt idx="3">
                  <c:v>7.7204751451627889</c:v>
                </c:pt>
                <c:pt idx="4">
                  <c:v>6.5660443511207207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4-4359-BBCA-EFBE88CEAE08}"/>
            </c:ext>
          </c:extLst>
        </c:ser>
        <c:ser>
          <c:idx val="1"/>
          <c:order val="1"/>
          <c:tx>
            <c:strRef>
              <c:f>'Set Return Development'!$A$3</c:f>
              <c:strCache>
                <c:ptCount val="1"/>
                <c:pt idx="0">
                  <c:v>Light Blue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'Set Return Development'!$D$1:$H$1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Development'!$D$3:$H$3</c:f>
              <c:numCache>
                <c:formatCode>0.00</c:formatCode>
                <c:ptCount val="5"/>
                <c:pt idx="0">
                  <c:v>21.396016963704881</c:v>
                </c:pt>
                <c:pt idx="1">
                  <c:v>10.698868229520022</c:v>
                </c:pt>
                <c:pt idx="2">
                  <c:v>4.8144520118406939</c:v>
                </c:pt>
                <c:pt idx="3">
                  <c:v>4.2441199367423703</c:v>
                </c:pt>
                <c:pt idx="4">
                  <c:v>3.8670495729744689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4-4359-BBCA-EFBE88CEAE08}"/>
            </c:ext>
          </c:extLst>
        </c:ser>
        <c:ser>
          <c:idx val="2"/>
          <c:order val="2"/>
          <c:tx>
            <c:strRef>
              <c:f>'Set Return Development'!$A$4</c:f>
              <c:strCache>
                <c:ptCount val="1"/>
                <c:pt idx="0">
                  <c:v>Pink</c:v>
                </c:pt>
              </c:strCache>
            </c:strRef>
          </c:tx>
          <c:spPr>
            <a:solidFill>
              <a:srgbClr val="FF33CC"/>
            </a:solidFill>
            <a:ln>
              <a:noFill/>
            </a:ln>
            <a:effectLst/>
          </c:spPr>
          <c:invertIfNegative val="0"/>
          <c:cat>
            <c:strRef>
              <c:f>'Set Return Development'!$D$1:$H$1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Development'!$D$4:$H$4</c:f>
              <c:numCache>
                <c:formatCode>0.00</c:formatCode>
                <c:ptCount val="5"/>
                <c:pt idx="0">
                  <c:v>24.248849088654616</c:v>
                </c:pt>
                <c:pt idx="1">
                  <c:v>11.191776502455976</c:v>
                </c:pt>
                <c:pt idx="2">
                  <c:v>5.2264149319681774</c:v>
                </c:pt>
                <c:pt idx="3">
                  <c:v>4.9364618343127855</c:v>
                </c:pt>
                <c:pt idx="4">
                  <c:v>4.9826402236961531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34-4359-BBCA-EFBE88CEAE08}"/>
            </c:ext>
          </c:extLst>
        </c:ser>
        <c:ser>
          <c:idx val="3"/>
          <c:order val="3"/>
          <c:tx>
            <c:strRef>
              <c:f>'Set Return Development'!$A$5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'Set Return Development'!$D$1:$H$1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Development'!$D$5:$H$5</c:f>
              <c:numCache>
                <c:formatCode>0.00</c:formatCode>
                <c:ptCount val="5"/>
                <c:pt idx="0">
                  <c:v>15.87643964790503</c:v>
                </c:pt>
                <c:pt idx="1">
                  <c:v>7.8824338582514519</c:v>
                </c:pt>
                <c:pt idx="2">
                  <c:v>3.9022914750284468</c:v>
                </c:pt>
                <c:pt idx="3">
                  <c:v>3.7926832343003487</c:v>
                </c:pt>
                <c:pt idx="4">
                  <c:v>3.7298248533189664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34-4359-BBCA-EFBE88CEAE08}"/>
            </c:ext>
          </c:extLst>
        </c:ser>
        <c:ser>
          <c:idx val="4"/>
          <c:order val="4"/>
          <c:tx>
            <c:strRef>
              <c:f>'Set Return Development'!$A$6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'Set Return Development'!$D$1:$H$1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Development'!$D$6:$H$6</c:f>
              <c:numCache>
                <c:formatCode>0.00</c:formatCode>
                <c:ptCount val="5"/>
                <c:pt idx="0">
                  <c:v>18.130401806607093</c:v>
                </c:pt>
                <c:pt idx="1">
                  <c:v>8.8214541570959604</c:v>
                </c:pt>
                <c:pt idx="2">
                  <c:v>4.4907450795314183</c:v>
                </c:pt>
                <c:pt idx="3">
                  <c:v>4.7638030805446778</c:v>
                </c:pt>
                <c:pt idx="4">
                  <c:v>4.9441804578243342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34-4359-BBCA-EFBE88CEAE08}"/>
            </c:ext>
          </c:extLst>
        </c:ser>
        <c:ser>
          <c:idx val="5"/>
          <c:order val="5"/>
          <c:tx>
            <c:strRef>
              <c:f>'Set Return Development'!$A$7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'Set Return Development'!$D$1:$H$1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Development'!$D$7:$H$7</c:f>
              <c:numCache>
                <c:formatCode>0.00</c:formatCode>
                <c:ptCount val="5"/>
                <c:pt idx="0">
                  <c:v>16.660597779490619</c:v>
                </c:pt>
                <c:pt idx="1">
                  <c:v>7.6895066674572092</c:v>
                </c:pt>
                <c:pt idx="2">
                  <c:v>4.4062033184978171</c:v>
                </c:pt>
                <c:pt idx="3">
                  <c:v>4.7884591767192877</c:v>
                </c:pt>
                <c:pt idx="4">
                  <c:v>5.0513965565493759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34-4359-BBCA-EFBE88CEAE08}"/>
            </c:ext>
          </c:extLst>
        </c:ser>
        <c:ser>
          <c:idx val="6"/>
          <c:order val="6"/>
          <c:tx>
            <c:strRef>
              <c:f>'Set Return Development'!$A$8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'Set Return Development'!$D$1:$H$1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Development'!$D$8:$H$8</c:f>
              <c:numCache>
                <c:formatCode>0.00</c:formatCode>
                <c:ptCount val="5"/>
                <c:pt idx="0">
                  <c:v>18.393160457661629</c:v>
                </c:pt>
                <c:pt idx="1">
                  <c:v>8.5920407380196693</c:v>
                </c:pt>
                <c:pt idx="2">
                  <c:v>5.2211626341511703</c:v>
                </c:pt>
                <c:pt idx="3">
                  <c:v>5.6712722054640308</c:v>
                </c:pt>
                <c:pt idx="4">
                  <c:v>6.0607320062581769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34-4359-BBCA-EFBE88CEAE08}"/>
            </c:ext>
          </c:extLst>
        </c:ser>
        <c:ser>
          <c:idx val="7"/>
          <c:order val="7"/>
          <c:tx>
            <c:strRef>
              <c:f>'Set Return Development'!$A$9</c:f>
              <c:strCache>
                <c:ptCount val="1"/>
                <c:pt idx="0">
                  <c:v>Dark Blue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'Set Return Development'!$D$1:$H$1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Development'!$D$9:$H$9</c:f>
              <c:numCache>
                <c:formatCode>0.00</c:formatCode>
                <c:ptCount val="5"/>
                <c:pt idx="0">
                  <c:v>15.501087959625007</c:v>
                </c:pt>
                <c:pt idx="1">
                  <c:v>6.7922337052773871</c:v>
                </c:pt>
                <c:pt idx="2">
                  <c:v>4.0565372150858963</c:v>
                </c:pt>
                <c:pt idx="3">
                  <c:v>4.4490857548058624</c:v>
                </c:pt>
                <c:pt idx="4">
                  <c:v>4.7233299449925648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34-4359-BBCA-EFBE88CEA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439264"/>
        <c:axId val="624435304"/>
      </c:barChart>
      <c:catAx>
        <c:axId val="62443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35304"/>
        <c:crosses val="autoZero"/>
        <c:auto val="1"/>
        <c:lblAlgn val="ctr"/>
        <c:lblOffset val="100"/>
        <c:noMultiLvlLbl val="0"/>
      </c:catAx>
      <c:valAx>
        <c:axId val="62443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3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Laps To Return (Upgrading From</a:t>
            </a:r>
            <a:r>
              <a:rPr lang="en-GB" baseline="0"/>
              <a:t> Previous)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'Set Return Difference'!$A$2</c:f>
              <c:strCache>
                <c:ptCount val="1"/>
                <c:pt idx="0">
                  <c:v>Brown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  <a:effectLst/>
          </c:spPr>
          <c:invertIfNegative val="0"/>
          <c:cat>
            <c:strRef>
              <c:f>'Set Return Difference'!$D$1:$H$1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Difference'!$D$2:$H$2</c:f>
              <c:numCache>
                <c:formatCode>0.00</c:formatCode>
                <c:ptCount val="5"/>
                <c:pt idx="0">
                  <c:v>50.183088443558127</c:v>
                </c:pt>
                <c:pt idx="1">
                  <c:v>15.054926533067441</c:v>
                </c:pt>
                <c:pt idx="2">
                  <c:v>11.332641505968295</c:v>
                </c:pt>
                <c:pt idx="3">
                  <c:v>2.9111092045994331</c:v>
                </c:pt>
                <c:pt idx="4">
                  <c:v>4.1086211207371175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F-47FE-A6E6-94327E0504C4}"/>
            </c:ext>
          </c:extLst>
        </c:ser>
        <c:ser>
          <c:idx val="1"/>
          <c:order val="1"/>
          <c:tx>
            <c:strRef>
              <c:f>'Set Return Difference'!$A$3</c:f>
              <c:strCache>
                <c:ptCount val="1"/>
                <c:pt idx="0">
                  <c:v>Light Blue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'Set Return Difference'!$D$1:$H$1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Difference'!$D$3:$H$3</c:f>
              <c:numCache>
                <c:formatCode>0.00</c:formatCode>
                <c:ptCount val="5"/>
                <c:pt idx="0">
                  <c:v>21.396016963704881</c:v>
                </c:pt>
                <c:pt idx="1">
                  <c:v>7.13276989519004</c:v>
                </c:pt>
                <c:pt idx="2">
                  <c:v>2.2925882999923477</c:v>
                </c:pt>
                <c:pt idx="3">
                  <c:v>3.1312962765775598</c:v>
                </c:pt>
                <c:pt idx="4">
                  <c:v>2.8531079580760168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DF-47FE-A6E6-94327E0504C4}"/>
            </c:ext>
          </c:extLst>
        </c:ser>
        <c:ser>
          <c:idx val="2"/>
          <c:order val="2"/>
          <c:tx>
            <c:strRef>
              <c:f>'Set Return Difference'!$A$4</c:f>
              <c:strCache>
                <c:ptCount val="1"/>
                <c:pt idx="0">
                  <c:v>Pink</c:v>
                </c:pt>
              </c:strCache>
            </c:strRef>
          </c:tx>
          <c:spPr>
            <a:solidFill>
              <a:srgbClr val="FF33CC"/>
            </a:solidFill>
            <a:ln>
              <a:noFill/>
            </a:ln>
            <a:effectLst/>
          </c:spPr>
          <c:invertIfNegative val="0"/>
          <c:cat>
            <c:strRef>
              <c:f>'Set Return Difference'!$D$1:$H$1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Difference'!$D$4:$H$4</c:f>
              <c:numCache>
                <c:formatCode>0.00</c:formatCode>
                <c:ptCount val="5"/>
                <c:pt idx="0">
                  <c:v>24.248849088654616</c:v>
                </c:pt>
                <c:pt idx="1">
                  <c:v>7.2746547265963857</c:v>
                </c:pt>
                <c:pt idx="2">
                  <c:v>2.5296948309956018</c:v>
                </c:pt>
                <c:pt idx="3">
                  <c:v>4.2320927323805195</c:v>
                </c:pt>
                <c:pt idx="4">
                  <c:v>5.1763291878455986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DF-47FE-A6E6-94327E0504C4}"/>
            </c:ext>
          </c:extLst>
        </c:ser>
        <c:ser>
          <c:idx val="3"/>
          <c:order val="3"/>
          <c:tx>
            <c:strRef>
              <c:f>'Set Return Difference'!$A$5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'Set Return Difference'!$D$1:$H$1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Difference'!$D$5:$H$5</c:f>
              <c:numCache>
                <c:formatCode>0.00</c:formatCode>
                <c:ptCount val="5"/>
                <c:pt idx="0">
                  <c:v>15.87643964790503</c:v>
                </c:pt>
                <c:pt idx="1">
                  <c:v>5.2426749118064135</c:v>
                </c:pt>
                <c:pt idx="2">
                  <c:v>1.9415578333619257</c:v>
                </c:pt>
                <c:pt idx="3">
                  <c:v>3.4979316952919435</c:v>
                </c:pt>
                <c:pt idx="4">
                  <c:v>3.4979316952919444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DF-47FE-A6E6-94327E0504C4}"/>
            </c:ext>
          </c:extLst>
        </c:ser>
        <c:ser>
          <c:idx val="4"/>
          <c:order val="4"/>
          <c:tx>
            <c:strRef>
              <c:f>'Set Return Difference'!$A$6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'Set Return Difference'!$D$1:$H$1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Difference'!$D$6:$H$6</c:f>
              <c:numCache>
                <c:formatCode>0.00</c:formatCode>
                <c:ptCount val="5"/>
                <c:pt idx="0">
                  <c:v>18.130401806607093</c:v>
                </c:pt>
                <c:pt idx="1">
                  <c:v>5.8287281424980284</c:v>
                </c:pt>
                <c:pt idx="2">
                  <c:v>2.2659263960069995</c:v>
                </c:pt>
                <c:pt idx="3">
                  <c:v>5.8266678754465726</c:v>
                </c:pt>
                <c:pt idx="4">
                  <c:v>5.8266678754465682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F-47FE-A6E6-94327E0504C4}"/>
            </c:ext>
          </c:extLst>
        </c:ser>
        <c:ser>
          <c:idx val="5"/>
          <c:order val="5"/>
          <c:tx>
            <c:strRef>
              <c:f>'Set Return Difference'!$A$7</c:f>
              <c:strCache>
                <c:ptCount val="1"/>
                <c:pt idx="0">
                  <c:v>Yellow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'Set Return Difference'!$D$1:$H$1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Difference'!$D$7:$H$7</c:f>
              <c:numCache>
                <c:formatCode>0.00</c:formatCode>
                <c:ptCount val="5"/>
                <c:pt idx="0">
                  <c:v>16.660597779490619</c:v>
                </c:pt>
                <c:pt idx="1">
                  <c:v>4.9981793338471867</c:v>
                </c:pt>
                <c:pt idx="2">
                  <c:v>2.3766316195302952</c:v>
                </c:pt>
                <c:pt idx="3">
                  <c:v>6.4731832050591427</c:v>
                </c:pt>
                <c:pt idx="4">
                  <c:v>6.4731832050591374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DF-47FE-A6E6-94327E0504C4}"/>
            </c:ext>
          </c:extLst>
        </c:ser>
        <c:ser>
          <c:idx val="6"/>
          <c:order val="6"/>
          <c:tx>
            <c:strRef>
              <c:f>'Set Return Difference'!$A$8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'Set Return Difference'!$D$1:$H$1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Difference'!$D$8:$H$8</c:f>
              <c:numCache>
                <c:formatCode>0.00</c:formatCode>
                <c:ptCount val="5"/>
                <c:pt idx="0">
                  <c:v>18.393160457661629</c:v>
                </c:pt>
                <c:pt idx="1">
                  <c:v>5.6052072604562992</c:v>
                </c:pt>
                <c:pt idx="2">
                  <c:v>2.9255925463958361</c:v>
                </c:pt>
                <c:pt idx="3">
                  <c:v>7.6496783736055187</c:v>
                </c:pt>
                <c:pt idx="4">
                  <c:v>8.3560522203094667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DF-47FE-A6E6-94327E0504C4}"/>
            </c:ext>
          </c:extLst>
        </c:ser>
        <c:ser>
          <c:idx val="7"/>
          <c:order val="7"/>
          <c:tx>
            <c:strRef>
              <c:f>'Set Return Difference'!$A$9</c:f>
              <c:strCache>
                <c:ptCount val="1"/>
                <c:pt idx="0">
                  <c:v>Dark Blue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'Set Return Difference'!$D$1:$H$1</c:f>
              <c:strCache>
                <c:ptCount val="5"/>
                <c:pt idx="0">
                  <c:v>1 House</c:v>
                </c:pt>
                <c:pt idx="1">
                  <c:v>2 Houses</c:v>
                </c:pt>
                <c:pt idx="2">
                  <c:v>3 Houses</c:v>
                </c:pt>
                <c:pt idx="3">
                  <c:v>4 Houses</c:v>
                </c:pt>
                <c:pt idx="4">
                  <c:v>Hotel</c:v>
                </c:pt>
              </c:strCache>
            </c:strRef>
          </c:cat>
          <c:val>
            <c:numRef>
              <c:f>'Set Return Difference'!$D$9:$H$9</c:f>
              <c:numCache>
                <c:formatCode>0.00</c:formatCode>
                <c:ptCount val="5"/>
                <c:pt idx="0">
                  <c:v>15.501087959625007</c:v>
                </c:pt>
                <c:pt idx="1">
                  <c:v>4.3489162913849775</c:v>
                </c:pt>
                <c:pt idx="2">
                  <c:v>2.246721096886914</c:v>
                </c:pt>
                <c:pt idx="3">
                  <c:v>6.2690383906843143</c:v>
                </c:pt>
                <c:pt idx="4">
                  <c:v>6.2690383906843081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DF-47FE-A6E6-94327E050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8117608"/>
        <c:axId val="568117968"/>
      </c:barChart>
      <c:catAx>
        <c:axId val="56811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17968"/>
        <c:crosses val="autoZero"/>
        <c:auto val="1"/>
        <c:lblAlgn val="ctr"/>
        <c:lblOffset val="100"/>
        <c:noMultiLvlLbl val="0"/>
      </c:catAx>
      <c:valAx>
        <c:axId val="5681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1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 Landed On In A Billion Rolls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Sheet1!$A$4:$A$43</c:f>
              <c:strCache>
                <c:ptCount val="40"/>
                <c:pt idx="0">
                  <c:v>Go</c:v>
                </c:pt>
                <c:pt idx="1">
                  <c:v>Old Kent Road</c:v>
                </c:pt>
                <c:pt idx="2">
                  <c:v>Community Chest</c:v>
                </c:pt>
                <c:pt idx="3">
                  <c:v>Whitechapel</c:v>
                </c:pt>
                <c:pt idx="4">
                  <c:v>Income Tax</c:v>
                </c:pt>
                <c:pt idx="5">
                  <c:v>King's Cross Station</c:v>
                </c:pt>
                <c:pt idx="6">
                  <c:v>The Angel, Islington</c:v>
                </c:pt>
                <c:pt idx="7">
                  <c:v>Chance</c:v>
                </c:pt>
                <c:pt idx="8">
                  <c:v>Euston</c:v>
                </c:pt>
                <c:pt idx="9">
                  <c:v>Pentonville Road</c:v>
                </c:pt>
                <c:pt idx="10">
                  <c:v>Just Visiting</c:v>
                </c:pt>
                <c:pt idx="11">
                  <c:v>Pall Mall</c:v>
                </c:pt>
                <c:pt idx="12">
                  <c:v>Electric Company</c:v>
                </c:pt>
                <c:pt idx="13">
                  <c:v>Whitehall</c:v>
                </c:pt>
                <c:pt idx="14">
                  <c:v>Northumberland Avenue</c:v>
                </c:pt>
                <c:pt idx="15">
                  <c:v>Marylebone Station</c:v>
                </c:pt>
                <c:pt idx="16">
                  <c:v>Bow Street</c:v>
                </c:pt>
                <c:pt idx="17">
                  <c:v>Community Chest</c:v>
                </c:pt>
                <c:pt idx="18">
                  <c:v>Marlborough Street</c:v>
                </c:pt>
                <c:pt idx="19">
                  <c:v>Vine Street</c:v>
                </c:pt>
                <c:pt idx="20">
                  <c:v>Free Parking</c:v>
                </c:pt>
                <c:pt idx="21">
                  <c:v>Strand</c:v>
                </c:pt>
                <c:pt idx="22">
                  <c:v>Chance</c:v>
                </c:pt>
                <c:pt idx="23">
                  <c:v>Fleet Street</c:v>
                </c:pt>
                <c:pt idx="24">
                  <c:v>Trafalgar Square</c:v>
                </c:pt>
                <c:pt idx="25">
                  <c:v>Fenchurch Street Station</c:v>
                </c:pt>
                <c:pt idx="26">
                  <c:v>Leceister Square</c:v>
                </c:pt>
                <c:pt idx="27">
                  <c:v>Coventry Street</c:v>
                </c:pt>
                <c:pt idx="28">
                  <c:v>Water Works</c:v>
                </c:pt>
                <c:pt idx="29">
                  <c:v>Piccadilly</c:v>
                </c:pt>
                <c:pt idx="30">
                  <c:v>Go To Jail</c:v>
                </c:pt>
                <c:pt idx="31">
                  <c:v>Regent Street</c:v>
                </c:pt>
                <c:pt idx="32">
                  <c:v>Oxford Street</c:v>
                </c:pt>
                <c:pt idx="33">
                  <c:v>Community Chest</c:v>
                </c:pt>
                <c:pt idx="34">
                  <c:v>Bond Street</c:v>
                </c:pt>
                <c:pt idx="35">
                  <c:v>Liverpool Street Station</c:v>
                </c:pt>
                <c:pt idx="36">
                  <c:v>Chance</c:v>
                </c:pt>
                <c:pt idx="37">
                  <c:v>Park Lane</c:v>
                </c:pt>
                <c:pt idx="38">
                  <c:v>Super Tax</c:v>
                </c:pt>
                <c:pt idx="39">
                  <c:v>Mayfair</c:v>
                </c:pt>
              </c:strCache>
            </c:strRef>
          </c:cat>
          <c:val>
            <c:numRef>
              <c:f>Sheet1!$C$4:$C$43</c:f>
              <c:numCache>
                <c:formatCode>General</c:formatCode>
                <c:ptCount val="40"/>
                <c:pt idx="0">
                  <c:v>33612014</c:v>
                </c:pt>
                <c:pt idx="1">
                  <c:v>23766104</c:v>
                </c:pt>
                <c:pt idx="2">
                  <c:v>23919219</c:v>
                </c:pt>
                <c:pt idx="3">
                  <c:v>23975938</c:v>
                </c:pt>
                <c:pt idx="4">
                  <c:v>25524308</c:v>
                </c:pt>
                <c:pt idx="5">
                  <c:v>32650560</c:v>
                </c:pt>
                <c:pt idx="6">
                  <c:v>24841842</c:v>
                </c:pt>
                <c:pt idx="7">
                  <c:v>25251518</c:v>
                </c:pt>
                <c:pt idx="8">
                  <c:v>25588797</c:v>
                </c:pt>
                <c:pt idx="9">
                  <c:v>25255871</c:v>
                </c:pt>
                <c:pt idx="10">
                  <c:v>25088853</c:v>
                </c:pt>
                <c:pt idx="11">
                  <c:v>29952862</c:v>
                </c:pt>
                <c:pt idx="12">
                  <c:v>30014371</c:v>
                </c:pt>
                <c:pt idx="13">
                  <c:v>25893082</c:v>
                </c:pt>
                <c:pt idx="14">
                  <c:v>27672034</c:v>
                </c:pt>
                <c:pt idx="15">
                  <c:v>29429733</c:v>
                </c:pt>
                <c:pt idx="16">
                  <c:v>29165200</c:v>
                </c:pt>
                <c:pt idx="17">
                  <c:v>28827125</c:v>
                </c:pt>
                <c:pt idx="18">
                  <c:v>31574478</c:v>
                </c:pt>
                <c:pt idx="19">
                  <c:v>31861523</c:v>
                </c:pt>
                <c:pt idx="20">
                  <c:v>31452277</c:v>
                </c:pt>
                <c:pt idx="21">
                  <c:v>29916295</c:v>
                </c:pt>
                <c:pt idx="22">
                  <c:v>31548484</c:v>
                </c:pt>
                <c:pt idx="23">
                  <c:v>29793302</c:v>
                </c:pt>
                <c:pt idx="24">
                  <c:v>35589961</c:v>
                </c:pt>
                <c:pt idx="25">
                  <c:v>32188289</c:v>
                </c:pt>
                <c:pt idx="26">
                  <c:v>28596614</c:v>
                </c:pt>
                <c:pt idx="27">
                  <c:v>28688475</c:v>
                </c:pt>
                <c:pt idx="28">
                  <c:v>30535233</c:v>
                </c:pt>
                <c:pt idx="29">
                  <c:v>28496335</c:v>
                </c:pt>
                <c:pt idx="30">
                  <c:v>28288085</c:v>
                </c:pt>
                <c:pt idx="31">
                  <c:v>28720732</c:v>
                </c:pt>
                <c:pt idx="32">
                  <c:v>28550723</c:v>
                </c:pt>
                <c:pt idx="33">
                  <c:v>29558611</c:v>
                </c:pt>
                <c:pt idx="34">
                  <c:v>27415158</c:v>
                </c:pt>
                <c:pt idx="35">
                  <c:v>26775925</c:v>
                </c:pt>
                <c:pt idx="36">
                  <c:v>26240292</c:v>
                </c:pt>
                <c:pt idx="37">
                  <c:v>25553015</c:v>
                </c:pt>
                <c:pt idx="38">
                  <c:v>24237899</c:v>
                </c:pt>
                <c:pt idx="39">
                  <c:v>28892335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1-475A-BF8D-00996472A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647904"/>
        <c:axId val="583655464"/>
      </c:barChart>
      <c:catAx>
        <c:axId val="58364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655464"/>
        <c:crosses val="autoZero"/>
        <c:auto val="1"/>
        <c:lblAlgn val="ctr"/>
        <c:lblOffset val="100"/>
        <c:noMultiLvlLbl val="0"/>
      </c:catAx>
      <c:valAx>
        <c:axId val="58365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64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Relative Land 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Sheet1!$A$4:$A$43</c:f>
              <c:strCache>
                <c:ptCount val="40"/>
                <c:pt idx="0">
                  <c:v>Go</c:v>
                </c:pt>
                <c:pt idx="1">
                  <c:v>Old Kent Road</c:v>
                </c:pt>
                <c:pt idx="2">
                  <c:v>Community Chest</c:v>
                </c:pt>
                <c:pt idx="3">
                  <c:v>Whitechapel</c:v>
                </c:pt>
                <c:pt idx="4">
                  <c:v>Income Tax</c:v>
                </c:pt>
                <c:pt idx="5">
                  <c:v>King's Cross Station</c:v>
                </c:pt>
                <c:pt idx="6">
                  <c:v>The Angel, Islington</c:v>
                </c:pt>
                <c:pt idx="7">
                  <c:v>Chance</c:v>
                </c:pt>
                <c:pt idx="8">
                  <c:v>Euston</c:v>
                </c:pt>
                <c:pt idx="9">
                  <c:v>Pentonville Road</c:v>
                </c:pt>
                <c:pt idx="10">
                  <c:v>Just Visiting</c:v>
                </c:pt>
                <c:pt idx="11">
                  <c:v>Pall Mall</c:v>
                </c:pt>
                <c:pt idx="12">
                  <c:v>Electric Company</c:v>
                </c:pt>
                <c:pt idx="13">
                  <c:v>Whitehall</c:v>
                </c:pt>
                <c:pt idx="14">
                  <c:v>Northumberland Avenue</c:v>
                </c:pt>
                <c:pt idx="15">
                  <c:v>Marylebone Station</c:v>
                </c:pt>
                <c:pt idx="16">
                  <c:v>Bow Street</c:v>
                </c:pt>
                <c:pt idx="17">
                  <c:v>Community Chest</c:v>
                </c:pt>
                <c:pt idx="18">
                  <c:v>Marlborough Street</c:v>
                </c:pt>
                <c:pt idx="19">
                  <c:v>Vine Street</c:v>
                </c:pt>
                <c:pt idx="20">
                  <c:v>Free Parking</c:v>
                </c:pt>
                <c:pt idx="21">
                  <c:v>Strand</c:v>
                </c:pt>
                <c:pt idx="22">
                  <c:v>Chance</c:v>
                </c:pt>
                <c:pt idx="23">
                  <c:v>Fleet Street</c:v>
                </c:pt>
                <c:pt idx="24">
                  <c:v>Trafalgar Square</c:v>
                </c:pt>
                <c:pt idx="25">
                  <c:v>Fenchurch Street Station</c:v>
                </c:pt>
                <c:pt idx="26">
                  <c:v>Leceister Square</c:v>
                </c:pt>
                <c:pt idx="27">
                  <c:v>Coventry Street</c:v>
                </c:pt>
                <c:pt idx="28">
                  <c:v>Water Works</c:v>
                </c:pt>
                <c:pt idx="29">
                  <c:v>Piccadilly</c:v>
                </c:pt>
                <c:pt idx="30">
                  <c:v>Go To Jail</c:v>
                </c:pt>
                <c:pt idx="31">
                  <c:v>Regent Street</c:v>
                </c:pt>
                <c:pt idx="32">
                  <c:v>Oxford Street</c:v>
                </c:pt>
                <c:pt idx="33">
                  <c:v>Community Chest</c:v>
                </c:pt>
                <c:pt idx="34">
                  <c:v>Bond Street</c:v>
                </c:pt>
                <c:pt idx="35">
                  <c:v>Liverpool Street Station</c:v>
                </c:pt>
                <c:pt idx="36">
                  <c:v>Chance</c:v>
                </c:pt>
                <c:pt idx="37">
                  <c:v>Park Lane</c:v>
                </c:pt>
                <c:pt idx="38">
                  <c:v>Super Tax</c:v>
                </c:pt>
                <c:pt idx="39">
                  <c:v>Mayfair</c:v>
                </c:pt>
              </c:strCache>
            </c:strRef>
          </c:cat>
          <c:val>
            <c:numRef>
              <c:f>Sheet1!$G$4:$G$43</c:f>
              <c:numCache>
                <c:formatCode>0.00%</c:formatCode>
                <c:ptCount val="40"/>
                <c:pt idx="0">
                  <c:v>1.1846651218985784</c:v>
                </c:pt>
                <c:pt idx="1">
                  <c:v>0.83764318592198295</c:v>
                </c:pt>
                <c:pt idx="2">
                  <c:v>0.84303976823149585</c:v>
                </c:pt>
                <c:pt idx="3">
                  <c:v>0.84503884573541954</c:v>
                </c:pt>
                <c:pt idx="4">
                  <c:v>0.89961159269411417</c:v>
                </c:pt>
                <c:pt idx="5">
                  <c:v>1.1507783985350253</c:v>
                </c:pt>
                <c:pt idx="6">
                  <c:v>0.87555788180723793</c:v>
                </c:pt>
                <c:pt idx="7">
                  <c:v>0.88999703051397483</c:v>
                </c:pt>
                <c:pt idx="8">
                  <c:v>0.90188452608769532</c:v>
                </c:pt>
                <c:pt idx="9">
                  <c:v>0.8901504532537019</c:v>
                </c:pt>
                <c:pt idx="10">
                  <c:v>0.88426385570172961</c:v>
                </c:pt>
                <c:pt idx="11">
                  <c:v>1.0556972549291839</c:v>
                </c:pt>
                <c:pt idx="12">
                  <c:v>1.0578651573637974</c:v>
                </c:pt>
                <c:pt idx="13">
                  <c:v>0.91260913862108617</c:v>
                </c:pt>
                <c:pt idx="14">
                  <c:v>0.97530881463370833</c:v>
                </c:pt>
                <c:pt idx="15">
                  <c:v>1.0372594225352763</c:v>
                </c:pt>
                <c:pt idx="16">
                  <c:v>1.0279358807001693</c:v>
                </c:pt>
                <c:pt idx="17">
                  <c:v>1.0160203298770065</c:v>
                </c:pt>
                <c:pt idx="18">
                  <c:v>1.1128515782706143</c:v>
                </c:pt>
                <c:pt idx="19">
                  <c:v>1.122968562034675</c:v>
                </c:pt>
                <c:pt idx="20">
                  <c:v>1.1085445688018831</c:v>
                </c:pt>
                <c:pt idx="21">
                  <c:v>1.0544084404739578</c:v>
                </c:pt>
                <c:pt idx="22">
                  <c:v>1.1119354122479943</c:v>
                </c:pt>
                <c:pt idx="23">
                  <c:v>1.0500735167369371</c:v>
                </c:pt>
                <c:pt idx="24">
                  <c:v>1.2543784340453581</c:v>
                </c:pt>
                <c:pt idx="25">
                  <c:v>1.134485523893084</c:v>
                </c:pt>
                <c:pt idx="26">
                  <c:v>1.0078959032385444</c:v>
                </c:pt>
                <c:pt idx="27">
                  <c:v>1.0111335706619462</c:v>
                </c:pt>
                <c:pt idx="28">
                  <c:v>1.0762230886892554</c:v>
                </c:pt>
                <c:pt idx="29">
                  <c:v>1.0043615409787028</c:v>
                </c:pt>
                <c:pt idx="30">
                  <c:v>0.997021709701845</c:v>
                </c:pt>
                <c:pt idx="31">
                  <c:v>1.0122704779248397</c:v>
                </c:pt>
                <c:pt idx="32">
                  <c:v>1.006278461715729</c:v>
                </c:pt>
                <c:pt idx="33">
                  <c:v>1.041801764793614</c:v>
                </c:pt>
                <c:pt idx="34">
                  <c:v>0.9662551459706874</c:v>
                </c:pt>
                <c:pt idx="35">
                  <c:v>0.94372519463047333</c:v>
                </c:pt>
                <c:pt idx="36">
                  <c:v>0.92484665515235998</c:v>
                </c:pt>
                <c:pt idx="37">
                  <c:v>0.9006233791837408</c:v>
                </c:pt>
                <c:pt idx="38">
                  <c:v>0.85427173668916223</c:v>
                </c:pt>
                <c:pt idx="39">
                  <c:v>1.0183186751234117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B-4119-9BFC-DC7EBCF46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7272656"/>
        <c:axId val="707270856"/>
      </c:barChart>
      <c:catAx>
        <c:axId val="70727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270856"/>
        <c:crosses val="autoZero"/>
        <c:auto val="1"/>
        <c:lblAlgn val="ctr"/>
        <c:lblOffset val="100"/>
        <c:noMultiLvlLbl val="0"/>
      </c:catAx>
      <c:valAx>
        <c:axId val="70727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27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8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9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0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0D7C4C-0E6F-4064-9DC1-F1709AA043F0}">
  <sheetPr/>
  <sheetViews>
    <sheetView zoomScale="5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9891E6-8BD3-4D17-BCED-89EA1DB0BC7D}">
  <sheetPr/>
  <sheetViews>
    <sheetView zoomScale="5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7D1745-C9D8-4C7B-B8B0-0FF26A13FB0C}">
  <sheetPr/>
  <sheetViews>
    <sheetView zoomScale="5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6473C9-4FE0-4BFA-83AA-5CC9A5F8B42E}">
  <sheetPr/>
  <sheetViews>
    <sheetView zoomScale="5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DA3751-FDE8-469C-9393-8142A28EF8EF}">
  <sheetPr/>
  <sheetViews>
    <sheetView zoomScale="5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7B1C32-83A3-432A-8EA4-4BCA9519F355}">
  <sheetPr/>
  <sheetViews>
    <sheetView zoomScale="5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1C85FD-501D-4583-B2A3-4FEBFD8AD93A}">
  <sheetPr/>
  <sheetViews>
    <sheetView zoomScale="58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138" cy="60653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8A22B8-6036-7EA7-DC9B-CA6352725D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4138" cy="60653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0003D-8444-CB36-3FF2-645556E2DD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4138" cy="60653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A22798-5BF6-DECB-0111-41BE802B39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4138" cy="60653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C0692-65C4-6A34-528A-3F58F8F3AC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4138" cy="60653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5F2672-CDEA-CCA6-1907-0EE712764C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84138" cy="60653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DF7A40-D0AA-C79B-9743-EB5E2B286F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84138" cy="60653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A347E6-0742-F50F-97AA-83C74F1D4A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044E-8889-4B71-8DCE-21B9DB532B77}">
  <dimension ref="A1:I43"/>
  <sheetViews>
    <sheetView tabSelected="1" workbookViewId="0"/>
  </sheetViews>
  <sheetFormatPr defaultRowHeight="14.5" x14ac:dyDescent="0.35"/>
  <cols>
    <col min="1" max="1" width="21.81640625" bestFit="1" customWidth="1"/>
    <col min="2" max="2" width="12.08984375" bestFit="1" customWidth="1"/>
    <col min="3" max="3" width="9.81640625" bestFit="1" customWidth="1"/>
    <col min="4" max="4" width="12" bestFit="1" customWidth="1"/>
    <col min="5" max="5" width="12" customWidth="1"/>
    <col min="6" max="6" width="15.81640625" bestFit="1" customWidth="1"/>
    <col min="7" max="8" width="15.81640625" customWidth="1"/>
    <col min="9" max="9" width="11.81640625" bestFit="1" customWidth="1"/>
    <col min="10" max="10" width="10.81640625" bestFit="1" customWidth="1"/>
    <col min="11" max="11" width="11.90625" bestFit="1" customWidth="1"/>
    <col min="16" max="22" width="8.7265625" customWidth="1"/>
    <col min="23" max="23" width="15.7265625" bestFit="1" customWidth="1"/>
  </cols>
  <sheetData>
    <row r="1" spans="1:9" x14ac:dyDescent="0.35">
      <c r="A1" t="s">
        <v>5</v>
      </c>
      <c r="B1">
        <v>215941784</v>
      </c>
      <c r="D1" t="s">
        <v>102</v>
      </c>
      <c r="E1">
        <f>10^9</f>
        <v>1000000000</v>
      </c>
      <c r="G1" t="s">
        <v>103</v>
      </c>
      <c r="H1" s="2">
        <f>E1/B1</f>
        <v>4.6308777369367293</v>
      </c>
    </row>
    <row r="3" spans="1:9" x14ac:dyDescent="0.35">
      <c r="A3" t="s">
        <v>43</v>
      </c>
      <c r="B3" t="s">
        <v>45</v>
      </c>
      <c r="C3" t="s">
        <v>4</v>
      </c>
      <c r="D3" t="s">
        <v>40</v>
      </c>
      <c r="E3" t="s">
        <v>41</v>
      </c>
      <c r="F3" t="s">
        <v>42</v>
      </c>
      <c r="G3" t="s">
        <v>44</v>
      </c>
      <c r="H3" t="s">
        <v>98</v>
      </c>
      <c r="I3" t="s">
        <v>93</v>
      </c>
    </row>
    <row r="4" spans="1:9" x14ac:dyDescent="0.35">
      <c r="A4" t="s">
        <v>0</v>
      </c>
      <c r="C4">
        <v>33612014</v>
      </c>
      <c r="D4">
        <v>33612014</v>
      </c>
      <c r="E4" s="1" cm="1">
        <f t="array" ref="E4:E43">C4:C43/B1</f>
        <v>0.15565312732620565</v>
      </c>
      <c r="F4" s="1" cm="1">
        <f t="array" ref="F4:F43">D4:D43/B1</f>
        <v>0.15565312732620565</v>
      </c>
      <c r="G4" s="1" cm="1">
        <f t="array" ref="G4:G43">C4:C43/AVERAGE(C4:C43)</f>
        <v>1.1846651218985784</v>
      </c>
      <c r="H4" s="3"/>
    </row>
    <row r="5" spans="1:9" x14ac:dyDescent="0.35">
      <c r="A5" t="s">
        <v>1</v>
      </c>
      <c r="B5" t="s">
        <v>46</v>
      </c>
      <c r="C5">
        <v>23766104</v>
      </c>
      <c r="D5">
        <v>23766104</v>
      </c>
      <c r="E5" s="1">
        <v>0.11005792190732294</v>
      </c>
      <c r="F5" s="1">
        <v>0.11005792190732294</v>
      </c>
      <c r="G5" s="1">
        <v>0.83764318592198295</v>
      </c>
      <c r="H5" s="3">
        <v>60</v>
      </c>
    </row>
    <row r="6" spans="1:9" x14ac:dyDescent="0.35">
      <c r="A6" t="s">
        <v>12</v>
      </c>
      <c r="C6">
        <v>23919219</v>
      </c>
      <c r="D6">
        <v>23919219</v>
      </c>
      <c r="E6" s="1">
        <v>0.11076697875201401</v>
      </c>
      <c r="F6" s="1">
        <v>0.11076697875201401</v>
      </c>
      <c r="G6" s="1">
        <v>0.84303976823149585</v>
      </c>
      <c r="H6" s="3"/>
    </row>
    <row r="7" spans="1:9" x14ac:dyDescent="0.35">
      <c r="A7" t="s">
        <v>2</v>
      </c>
      <c r="B7" t="s">
        <v>46</v>
      </c>
      <c r="C7">
        <v>23975938</v>
      </c>
      <c r="D7">
        <v>23975938</v>
      </c>
      <c r="E7" s="1">
        <v>0.11102963750637533</v>
      </c>
      <c r="F7" s="1">
        <v>0.11102963750637533</v>
      </c>
      <c r="G7" s="1">
        <v>0.84503884573541954</v>
      </c>
      <c r="H7" s="3">
        <v>60</v>
      </c>
    </row>
    <row r="8" spans="1:9" x14ac:dyDescent="0.35">
      <c r="A8" t="s">
        <v>3</v>
      </c>
      <c r="C8">
        <v>25524308</v>
      </c>
      <c r="D8">
        <v>25524308</v>
      </c>
      <c r="E8" s="1">
        <v>0.11819994966791605</v>
      </c>
      <c r="F8" s="1">
        <v>0.11819994966791605</v>
      </c>
      <c r="G8" s="1">
        <v>0.89961159269411417</v>
      </c>
      <c r="H8" s="3"/>
      <c r="I8">
        <f>200*E8</f>
        <v>23.639989933583212</v>
      </c>
    </row>
    <row r="9" spans="1:9" x14ac:dyDescent="0.35">
      <c r="A9" t="s">
        <v>13</v>
      </c>
      <c r="C9">
        <v>32650560</v>
      </c>
      <c r="D9">
        <v>35736854</v>
      </c>
      <c r="E9" s="1">
        <v>0.1512007514025169</v>
      </c>
      <c r="F9" s="1">
        <v>0.16549300157675831</v>
      </c>
      <c r="G9" s="1">
        <v>1.1507783985350253</v>
      </c>
      <c r="H9" s="3">
        <v>200</v>
      </c>
    </row>
    <row r="10" spans="1:9" x14ac:dyDescent="0.35">
      <c r="A10" t="s">
        <v>14</v>
      </c>
      <c r="B10" t="s">
        <v>47</v>
      </c>
      <c r="C10">
        <v>24841842</v>
      </c>
      <c r="D10">
        <v>24841842</v>
      </c>
      <c r="E10" s="1">
        <v>0.11503953306229979</v>
      </c>
      <c r="F10" s="1">
        <v>0.11503953306229979</v>
      </c>
      <c r="G10" s="1">
        <v>0.87555788180723793</v>
      </c>
      <c r="H10" s="3">
        <v>100</v>
      </c>
    </row>
    <row r="11" spans="1:9" x14ac:dyDescent="0.35">
      <c r="A11" t="s">
        <v>15</v>
      </c>
      <c r="C11">
        <v>25251518</v>
      </c>
      <c r="D11">
        <v>25251518</v>
      </c>
      <c r="E11" s="1">
        <v>0.11693669253005708</v>
      </c>
      <c r="F11" s="1">
        <v>0.11693669253005708</v>
      </c>
      <c r="G11" s="1">
        <v>0.88999703051397483</v>
      </c>
      <c r="H11" s="3"/>
    </row>
    <row r="12" spans="1:9" x14ac:dyDescent="0.35">
      <c r="A12" t="s">
        <v>6</v>
      </c>
      <c r="B12" t="s">
        <v>47</v>
      </c>
      <c r="C12">
        <v>25588797</v>
      </c>
      <c r="D12">
        <v>25588797</v>
      </c>
      <c r="E12" s="1">
        <v>0.11849859034229336</v>
      </c>
      <c r="F12" s="1">
        <v>0.11849859034229336</v>
      </c>
      <c r="G12" s="1">
        <v>0.90188452608769532</v>
      </c>
      <c r="H12" s="3">
        <v>100</v>
      </c>
    </row>
    <row r="13" spans="1:9" x14ac:dyDescent="0.35">
      <c r="A13" t="s">
        <v>16</v>
      </c>
      <c r="B13" t="s">
        <v>47</v>
      </c>
      <c r="C13">
        <v>25255871</v>
      </c>
      <c r="D13">
        <v>25255871</v>
      </c>
      <c r="E13" s="1">
        <v>0.11695685074084597</v>
      </c>
      <c r="F13" s="1">
        <v>0.11695685074084597</v>
      </c>
      <c r="G13" s="1">
        <v>0.8901504532537019</v>
      </c>
      <c r="H13" s="3">
        <v>120</v>
      </c>
    </row>
    <row r="14" spans="1:9" x14ac:dyDescent="0.35">
      <c r="A14" t="s">
        <v>7</v>
      </c>
      <c r="C14">
        <v>25088853</v>
      </c>
      <c r="D14">
        <v>25088853</v>
      </c>
      <c r="E14" s="1">
        <v>0.11618341080297827</v>
      </c>
      <c r="F14" s="1">
        <v>0.11618341080297827</v>
      </c>
      <c r="G14" s="1">
        <v>0.88426385570172961</v>
      </c>
      <c r="H14" s="3"/>
    </row>
    <row r="15" spans="1:9" x14ac:dyDescent="0.35">
      <c r="A15" t="s">
        <v>8</v>
      </c>
      <c r="B15" t="s">
        <v>48</v>
      </c>
      <c r="C15">
        <v>29952862</v>
      </c>
      <c r="D15">
        <v>29952862</v>
      </c>
      <c r="E15" s="1">
        <v>0.13870804179333815</v>
      </c>
      <c r="F15" s="1">
        <v>0.13870804179333815</v>
      </c>
      <c r="G15" s="1">
        <v>1.0556972549291839</v>
      </c>
      <c r="H15" s="3">
        <v>140</v>
      </c>
    </row>
    <row r="16" spans="1:9" x14ac:dyDescent="0.35">
      <c r="A16" t="s">
        <v>9</v>
      </c>
      <c r="C16">
        <v>30014371</v>
      </c>
      <c r="D16">
        <v>57283948</v>
      </c>
      <c r="E16" s="1">
        <v>0.1389928824520594</v>
      </c>
      <c r="F16" s="1">
        <v>0.26527495947704127</v>
      </c>
      <c r="G16" s="1">
        <v>1.0578651573637974</v>
      </c>
      <c r="H16" s="3">
        <v>150</v>
      </c>
    </row>
    <row r="17" spans="1:8" x14ac:dyDescent="0.35">
      <c r="A17" t="s">
        <v>17</v>
      </c>
      <c r="B17" t="s">
        <v>48</v>
      </c>
      <c r="C17">
        <v>25893082</v>
      </c>
      <c r="D17">
        <v>25893082</v>
      </c>
      <c r="E17" s="1">
        <v>0.11990769697447716</v>
      </c>
      <c r="F17" s="1">
        <v>0.11990769697447716</v>
      </c>
      <c r="G17" s="1">
        <v>0.91260913862108617</v>
      </c>
      <c r="H17" s="3">
        <v>140</v>
      </c>
    </row>
    <row r="18" spans="1:8" x14ac:dyDescent="0.35">
      <c r="A18" t="s">
        <v>18</v>
      </c>
      <c r="B18" t="s">
        <v>48</v>
      </c>
      <c r="C18">
        <v>27672034</v>
      </c>
      <c r="D18">
        <v>27672034</v>
      </c>
      <c r="E18" s="1">
        <v>0.12814580618635624</v>
      </c>
      <c r="F18" s="1">
        <v>0.12814580618635624</v>
      </c>
      <c r="G18" s="1">
        <v>0.97530881463370833</v>
      </c>
      <c r="H18" s="3">
        <v>160</v>
      </c>
    </row>
    <row r="19" spans="1:8" x14ac:dyDescent="0.35">
      <c r="A19" t="s">
        <v>19</v>
      </c>
      <c r="C19">
        <v>29429733</v>
      </c>
      <c r="D19">
        <v>32402359</v>
      </c>
      <c r="E19" s="1">
        <v>0.13628549535369217</v>
      </c>
      <c r="F19" s="1">
        <v>0.15005136291733145</v>
      </c>
      <c r="G19" s="1">
        <v>1.0372594225352763</v>
      </c>
      <c r="H19" s="3">
        <v>200</v>
      </c>
    </row>
    <row r="20" spans="1:8" x14ac:dyDescent="0.35">
      <c r="A20" t="s">
        <v>20</v>
      </c>
      <c r="B20" t="s">
        <v>49</v>
      </c>
      <c r="C20">
        <v>29165200</v>
      </c>
      <c r="D20">
        <v>29165200</v>
      </c>
      <c r="E20" s="1">
        <v>0.13506047537330709</v>
      </c>
      <c r="F20" s="1">
        <v>0.13506047537330709</v>
      </c>
      <c r="G20" s="1">
        <v>1.0279358807001693</v>
      </c>
      <c r="H20" s="3">
        <v>180</v>
      </c>
    </row>
    <row r="21" spans="1:8" x14ac:dyDescent="0.35">
      <c r="A21" t="s">
        <v>12</v>
      </c>
      <c r="C21">
        <v>28827125</v>
      </c>
      <c r="D21">
        <v>28827125</v>
      </c>
      <c r="E21" s="1">
        <v>0.13349489138239221</v>
      </c>
      <c r="F21" s="1">
        <v>0.13349489138239221</v>
      </c>
      <c r="G21" s="1">
        <v>1.0160203298770065</v>
      </c>
      <c r="H21" s="3">
        <v>180</v>
      </c>
    </row>
    <row r="22" spans="1:8" x14ac:dyDescent="0.35">
      <c r="A22" t="s">
        <v>21</v>
      </c>
      <c r="B22" t="s">
        <v>49</v>
      </c>
      <c r="C22">
        <v>31574478</v>
      </c>
      <c r="D22">
        <v>31574478</v>
      </c>
      <c r="E22" s="1">
        <v>0.14621754722559854</v>
      </c>
      <c r="F22" s="1">
        <v>0.14621754722559854</v>
      </c>
      <c r="G22" s="1">
        <v>1.1128515782706143</v>
      </c>
      <c r="H22" s="3">
        <v>180</v>
      </c>
    </row>
    <row r="23" spans="1:8" x14ac:dyDescent="0.35">
      <c r="A23" t="s">
        <v>22</v>
      </c>
      <c r="B23" t="s">
        <v>49</v>
      </c>
      <c r="C23">
        <v>31861523</v>
      </c>
      <c r="D23">
        <v>31861523</v>
      </c>
      <c r="E23" s="1">
        <v>0.14754681752559753</v>
      </c>
      <c r="F23" s="1">
        <v>0.14754681752559753</v>
      </c>
      <c r="G23" s="1">
        <v>1.122968562034675</v>
      </c>
      <c r="H23" s="3">
        <v>200</v>
      </c>
    </row>
    <row r="24" spans="1:8" x14ac:dyDescent="0.35">
      <c r="A24" t="s">
        <v>23</v>
      </c>
      <c r="C24">
        <v>31452277</v>
      </c>
      <c r="D24">
        <v>31452277</v>
      </c>
      <c r="E24" s="1">
        <v>0.14565164933526714</v>
      </c>
      <c r="F24" s="1">
        <v>0.14565164933526714</v>
      </c>
      <c r="G24" s="1">
        <v>1.1085445688018831</v>
      </c>
      <c r="H24" s="3"/>
    </row>
    <row r="25" spans="1:8" x14ac:dyDescent="0.35">
      <c r="A25" t="s">
        <v>24</v>
      </c>
      <c r="B25" t="s">
        <v>50</v>
      </c>
      <c r="C25">
        <v>29916295</v>
      </c>
      <c r="D25">
        <v>29916295</v>
      </c>
      <c r="E25" s="1">
        <v>0.1385387044871316</v>
      </c>
      <c r="F25" s="1">
        <v>0.1385387044871316</v>
      </c>
      <c r="G25" s="1">
        <v>1.0544084404739578</v>
      </c>
      <c r="H25" s="3">
        <v>220</v>
      </c>
    </row>
    <row r="26" spans="1:8" x14ac:dyDescent="0.35">
      <c r="A26" t="s">
        <v>15</v>
      </c>
      <c r="C26">
        <v>31548484</v>
      </c>
      <c r="D26">
        <v>31548484</v>
      </c>
      <c r="E26" s="1">
        <v>0.14609717218970461</v>
      </c>
      <c r="F26" s="1">
        <v>0.14609717218970461</v>
      </c>
      <c r="G26" s="1">
        <v>1.1119354122479943</v>
      </c>
      <c r="H26" s="1"/>
    </row>
    <row r="27" spans="1:8" x14ac:dyDescent="0.35">
      <c r="A27" t="s">
        <v>25</v>
      </c>
      <c r="B27" t="s">
        <v>50</v>
      </c>
      <c r="C27">
        <v>29793302</v>
      </c>
      <c r="D27">
        <v>29793302</v>
      </c>
      <c r="E27" s="1">
        <v>0.13796913894163254</v>
      </c>
      <c r="F27" s="1">
        <v>0.13796913894163254</v>
      </c>
      <c r="G27" s="1">
        <v>1.0500735167369371</v>
      </c>
      <c r="H27" s="3">
        <v>220</v>
      </c>
    </row>
    <row r="28" spans="1:8" x14ac:dyDescent="0.35">
      <c r="A28" t="s">
        <v>26</v>
      </c>
      <c r="B28" t="s">
        <v>50</v>
      </c>
      <c r="C28">
        <v>35589961</v>
      </c>
      <c r="D28">
        <v>35589961</v>
      </c>
      <c r="E28" s="1">
        <v>0.16481275805334644</v>
      </c>
      <c r="F28" s="1">
        <v>0.16481275805334644</v>
      </c>
      <c r="G28" s="1">
        <v>1.2543784340453581</v>
      </c>
      <c r="H28" s="3">
        <v>240</v>
      </c>
    </row>
    <row r="29" spans="1:8" x14ac:dyDescent="0.35">
      <c r="A29" t="s">
        <v>27</v>
      </c>
      <c r="C29">
        <v>32188289</v>
      </c>
      <c r="D29">
        <v>35900080</v>
      </c>
      <c r="E29" s="1">
        <v>0.14906003092018541</v>
      </c>
      <c r="F29" s="1">
        <v>0.16624888122624754</v>
      </c>
      <c r="G29" s="1">
        <v>1.134485523893084</v>
      </c>
      <c r="H29" s="3">
        <v>200</v>
      </c>
    </row>
    <row r="30" spans="1:8" x14ac:dyDescent="0.35">
      <c r="A30" t="s">
        <v>28</v>
      </c>
      <c r="B30" t="s">
        <v>51</v>
      </c>
      <c r="C30">
        <v>28596614</v>
      </c>
      <c r="D30">
        <v>28596614</v>
      </c>
      <c r="E30" s="1">
        <v>0.13242742312437319</v>
      </c>
      <c r="F30" s="1">
        <v>0.13242742312437319</v>
      </c>
      <c r="G30" s="1">
        <v>1.0078959032385444</v>
      </c>
      <c r="H30" s="3">
        <v>260</v>
      </c>
    </row>
    <row r="31" spans="1:8" x14ac:dyDescent="0.35">
      <c r="A31" t="s">
        <v>29</v>
      </c>
      <c r="B31" t="s">
        <v>51</v>
      </c>
      <c r="C31">
        <v>28688475</v>
      </c>
      <c r="D31">
        <v>28688475</v>
      </c>
      <c r="E31" s="1">
        <v>0.13285282018416594</v>
      </c>
      <c r="F31" s="1">
        <v>0.13285282018416594</v>
      </c>
      <c r="G31" s="1">
        <v>1.0111335706619462</v>
      </c>
      <c r="H31" s="3">
        <v>260</v>
      </c>
    </row>
    <row r="32" spans="1:8" x14ac:dyDescent="0.35">
      <c r="A32" t="s">
        <v>30</v>
      </c>
      <c r="C32">
        <v>30535233</v>
      </c>
      <c r="D32">
        <v>47234751</v>
      </c>
      <c r="E32" s="1">
        <v>0.14140493069187574</v>
      </c>
      <c r="F32" s="1">
        <v>0.2187383568156499</v>
      </c>
      <c r="G32" s="1">
        <v>1.0762230886892554</v>
      </c>
      <c r="H32" s="3">
        <v>150</v>
      </c>
    </row>
    <row r="33" spans="1:9" x14ac:dyDescent="0.35">
      <c r="A33" t="s">
        <v>31</v>
      </c>
      <c r="B33" t="s">
        <v>51</v>
      </c>
      <c r="C33">
        <v>28496335</v>
      </c>
      <c r="D33">
        <v>28496335</v>
      </c>
      <c r="E33" s="1">
        <v>0.1319630433357909</v>
      </c>
      <c r="F33" s="1">
        <v>0.1319630433357909</v>
      </c>
      <c r="G33" s="1">
        <v>1.0043615409787028</v>
      </c>
      <c r="H33" s="3">
        <v>280</v>
      </c>
    </row>
    <row r="34" spans="1:9" x14ac:dyDescent="0.35">
      <c r="A34" t="s">
        <v>32</v>
      </c>
      <c r="C34">
        <v>28288085</v>
      </c>
      <c r="D34">
        <v>28288085</v>
      </c>
      <c r="E34" s="1">
        <v>0.13099866304707383</v>
      </c>
      <c r="F34" s="1">
        <v>0.13099866304707383</v>
      </c>
      <c r="G34" s="1">
        <v>0.997021709701845</v>
      </c>
      <c r="H34" s="3"/>
    </row>
    <row r="35" spans="1:9" x14ac:dyDescent="0.35">
      <c r="A35" t="s">
        <v>33</v>
      </c>
      <c r="B35" t="s">
        <v>52</v>
      </c>
      <c r="C35">
        <v>28720732</v>
      </c>
      <c r="D35">
        <v>28720732</v>
      </c>
      <c r="E35" s="1">
        <v>0.1330021984073263</v>
      </c>
      <c r="F35" s="1">
        <v>0.1330021984073263</v>
      </c>
      <c r="G35" s="1">
        <v>1.0122704779248397</v>
      </c>
      <c r="H35" s="3">
        <v>300</v>
      </c>
    </row>
    <row r="36" spans="1:9" x14ac:dyDescent="0.35">
      <c r="A36" t="s">
        <v>34</v>
      </c>
      <c r="B36" t="s">
        <v>52</v>
      </c>
      <c r="C36">
        <v>28550723</v>
      </c>
      <c r="D36">
        <v>28550723</v>
      </c>
      <c r="E36" s="1">
        <v>0.13221490751414741</v>
      </c>
      <c r="F36" s="1">
        <v>0.13221490751414741</v>
      </c>
      <c r="G36" s="1">
        <v>1.006278461715729</v>
      </c>
      <c r="H36" s="3">
        <v>300</v>
      </c>
    </row>
    <row r="37" spans="1:9" x14ac:dyDescent="0.35">
      <c r="A37" t="s">
        <v>12</v>
      </c>
      <c r="C37">
        <v>29558611</v>
      </c>
      <c r="D37">
        <v>29558611</v>
      </c>
      <c r="E37" s="1">
        <v>0.13688231361467312</v>
      </c>
      <c r="F37" s="1">
        <v>0.13688231361467312</v>
      </c>
      <c r="G37" s="1">
        <v>1.041801764793614</v>
      </c>
      <c r="H37" s="3"/>
    </row>
    <row r="38" spans="1:9" x14ac:dyDescent="0.35">
      <c r="A38" t="s">
        <v>35</v>
      </c>
      <c r="B38" t="s">
        <v>52</v>
      </c>
      <c r="C38">
        <v>27415158</v>
      </c>
      <c r="D38">
        <v>27415158</v>
      </c>
      <c r="E38" s="1">
        <v>0.12695624483680287</v>
      </c>
      <c r="F38" s="1">
        <v>0.12695624483680287</v>
      </c>
      <c r="G38" s="1">
        <v>0.9662551459706874</v>
      </c>
      <c r="H38" s="3">
        <v>320</v>
      </c>
    </row>
    <row r="39" spans="1:9" x14ac:dyDescent="0.35">
      <c r="A39" t="s">
        <v>36</v>
      </c>
      <c r="C39">
        <v>26775925</v>
      </c>
      <c r="D39">
        <v>26775925</v>
      </c>
      <c r="E39" s="1">
        <v>0.1239960349683876</v>
      </c>
      <c r="F39" s="1">
        <v>0.1239960349683876</v>
      </c>
      <c r="G39" s="1">
        <v>0.94372519463047333</v>
      </c>
      <c r="H39" s="3">
        <v>200</v>
      </c>
    </row>
    <row r="40" spans="1:9" x14ac:dyDescent="0.35">
      <c r="A40" t="s">
        <v>15</v>
      </c>
      <c r="C40">
        <v>26240292</v>
      </c>
      <c r="D40">
        <v>26240292</v>
      </c>
      <c r="E40" s="1">
        <v>0.12151558403351896</v>
      </c>
      <c r="F40" s="1">
        <v>0.12151558403351896</v>
      </c>
      <c r="G40" s="1">
        <v>0.92484665515235998</v>
      </c>
      <c r="H40" s="3"/>
    </row>
    <row r="41" spans="1:9" x14ac:dyDescent="0.35">
      <c r="A41" t="s">
        <v>37</v>
      </c>
      <c r="B41" t="s">
        <v>53</v>
      </c>
      <c r="C41">
        <v>25553015</v>
      </c>
      <c r="D41">
        <v>25553015</v>
      </c>
      <c r="E41" s="1">
        <v>0.11833288827511029</v>
      </c>
      <c r="F41" s="1">
        <v>0.11833288827511029</v>
      </c>
      <c r="G41" s="1">
        <v>0.9006233791837408</v>
      </c>
      <c r="H41" s="3">
        <v>350</v>
      </c>
    </row>
    <row r="42" spans="1:9" x14ac:dyDescent="0.35">
      <c r="A42" t="s">
        <v>38</v>
      </c>
      <c r="C42">
        <v>24237899</v>
      </c>
      <c r="D42">
        <v>24237899</v>
      </c>
      <c r="E42" s="1">
        <v>0.11224274686922101</v>
      </c>
      <c r="F42" s="1">
        <v>0.11224274686922101</v>
      </c>
      <c r="G42" s="1">
        <v>0.85427173668916223</v>
      </c>
      <c r="H42" s="3"/>
      <c r="I42">
        <f>E42*100</f>
        <v>11.224274686922101</v>
      </c>
    </row>
    <row r="43" spans="1:9" x14ac:dyDescent="0.35">
      <c r="A43" t="s">
        <v>39</v>
      </c>
      <c r="B43" t="s">
        <v>53</v>
      </c>
      <c r="C43">
        <v>28892335</v>
      </c>
      <c r="D43">
        <v>28892335</v>
      </c>
      <c r="E43" s="1">
        <v>0.13379687091961787</v>
      </c>
      <c r="F43" s="1">
        <v>0.13379687091961787</v>
      </c>
      <c r="G43" s="1">
        <v>1.0183186751234117</v>
      </c>
      <c r="H43" s="3">
        <v>400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D60E-323D-4AF6-92CB-A623304C1E9B}">
  <dimension ref="A1:T41"/>
  <sheetViews>
    <sheetView workbookViewId="0">
      <selection activeCell="N4" sqref="N4"/>
    </sheetView>
  </sheetViews>
  <sheetFormatPr defaultRowHeight="14.5" x14ac:dyDescent="0.35"/>
  <cols>
    <col min="1" max="1" width="21.81640625" bestFit="1" customWidth="1"/>
    <col min="2" max="2" width="8.81640625" bestFit="1" customWidth="1"/>
    <col min="3" max="6" width="8.7265625" customWidth="1"/>
    <col min="7" max="7" width="9" bestFit="1" customWidth="1"/>
    <col min="8" max="8" width="11.90625" bestFit="1" customWidth="1"/>
    <col min="14" max="14" width="15.6328125" bestFit="1" customWidth="1"/>
    <col min="15" max="15" width="18.6328125" bestFit="1" customWidth="1"/>
    <col min="16" max="16" width="14.1796875" bestFit="1" customWidth="1"/>
    <col min="17" max="19" width="15" bestFit="1" customWidth="1"/>
    <col min="20" max="20" width="11.81640625" bestFit="1" customWidth="1"/>
  </cols>
  <sheetData>
    <row r="1" spans="1:20" ht="29" x14ac:dyDescent="0.35">
      <c r="A1" t="s">
        <v>43</v>
      </c>
      <c r="B1" t="s">
        <v>54</v>
      </c>
      <c r="C1" s="6" t="s">
        <v>62</v>
      </c>
      <c r="D1" t="s">
        <v>98</v>
      </c>
      <c r="E1" s="6" t="s">
        <v>99</v>
      </c>
      <c r="F1" s="6" t="s">
        <v>100</v>
      </c>
      <c r="G1" t="s">
        <v>56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20" x14ac:dyDescent="0.35">
      <c r="A2" t="s">
        <v>1</v>
      </c>
      <c r="B2" t="str">
        <f>_xlfn.XLOOKUP(A2,Sheet1!A$4:A$43,Sheet1!B$4:B$43)</f>
        <v>Brown</v>
      </c>
      <c r="C2" s="1">
        <f>_xlfn.XLOOKUP(A2,Sheet1!A$4:A$43,Sheet1!E$4:E$43)</f>
        <v>0.11005792190732294</v>
      </c>
      <c r="D2">
        <f>_xlfn.XLOOKUP(A2,Sheet1!A$4:A$43,Sheet1!H$4:H$43)</f>
        <v>60</v>
      </c>
      <c r="E2">
        <v>50</v>
      </c>
      <c r="F2">
        <v>50</v>
      </c>
      <c r="G2">
        <v>2</v>
      </c>
      <c r="H2">
        <v>4</v>
      </c>
      <c r="I2">
        <v>10</v>
      </c>
      <c r="J2">
        <v>30</v>
      </c>
      <c r="K2">
        <v>90</v>
      </c>
      <c r="L2">
        <v>160</v>
      </c>
      <c r="M2">
        <v>250</v>
      </c>
      <c r="N2" s="2"/>
      <c r="O2" s="2"/>
      <c r="P2" s="2"/>
      <c r="Q2" s="2"/>
      <c r="R2" s="2"/>
      <c r="S2" s="2"/>
      <c r="T2" s="2"/>
    </row>
    <row r="3" spans="1:20" x14ac:dyDescent="0.35">
      <c r="A3" t="s">
        <v>2</v>
      </c>
      <c r="B3" t="str">
        <f>_xlfn.XLOOKUP(A3,Sheet1!A$4:A$43,Sheet1!B$4:B$43)</f>
        <v>Brown</v>
      </c>
      <c r="C3" s="1">
        <f>_xlfn.XLOOKUP(A3,Sheet1!A$4:A$43,Sheet1!E$4:E$43)</f>
        <v>0.11102963750637533</v>
      </c>
      <c r="D3">
        <f>_xlfn.XLOOKUP(A3,Sheet1!A$4:A$43,Sheet1!H$4:H$43)</f>
        <v>60</v>
      </c>
      <c r="E3">
        <v>50</v>
      </c>
      <c r="F3">
        <v>50</v>
      </c>
      <c r="G3">
        <v>4</v>
      </c>
      <c r="H3">
        <v>8</v>
      </c>
      <c r="I3">
        <v>20</v>
      </c>
      <c r="J3">
        <v>60</v>
      </c>
      <c r="K3">
        <v>80</v>
      </c>
      <c r="L3">
        <v>320</v>
      </c>
      <c r="M3">
        <v>450</v>
      </c>
      <c r="N3" s="2"/>
      <c r="O3" s="2"/>
      <c r="P3" s="2"/>
      <c r="Q3" s="2"/>
      <c r="R3" s="2"/>
      <c r="S3" s="2"/>
      <c r="T3" s="2"/>
    </row>
    <row r="4" spans="1:20" x14ac:dyDescent="0.35">
      <c r="A4" t="s">
        <v>14</v>
      </c>
      <c r="B4" t="str">
        <f>_xlfn.XLOOKUP(A4,Sheet1!A$4:A$43,Sheet1!B$4:B$43)</f>
        <v>Light Blue</v>
      </c>
      <c r="C4" s="1">
        <f>_xlfn.XLOOKUP(A4,Sheet1!A$4:A$43,Sheet1!E$4:E$43)</f>
        <v>0.11503953306229979</v>
      </c>
      <c r="D4">
        <f>_xlfn.XLOOKUP(A4,Sheet1!A$4:A$43,Sheet1!H$4:H$43)</f>
        <v>100</v>
      </c>
      <c r="E4">
        <v>50</v>
      </c>
      <c r="F4">
        <v>50</v>
      </c>
      <c r="G4">
        <v>6</v>
      </c>
      <c r="H4">
        <v>12</v>
      </c>
      <c r="I4">
        <v>30</v>
      </c>
      <c r="J4">
        <v>90</v>
      </c>
      <c r="K4">
        <v>270</v>
      </c>
      <c r="L4">
        <v>400</v>
      </c>
      <c r="M4">
        <v>550</v>
      </c>
      <c r="N4" s="2"/>
      <c r="O4" s="2"/>
      <c r="P4" s="2"/>
      <c r="Q4" s="2"/>
      <c r="R4" s="2"/>
      <c r="S4" s="2"/>
      <c r="T4" s="2"/>
    </row>
    <row r="5" spans="1:20" x14ac:dyDescent="0.35">
      <c r="A5" t="s">
        <v>6</v>
      </c>
      <c r="B5" t="str">
        <f>_xlfn.XLOOKUP(A5,Sheet1!A$4:A$43,Sheet1!B$4:B$43)</f>
        <v>Light Blue</v>
      </c>
      <c r="C5" s="1">
        <f>_xlfn.XLOOKUP(A5,Sheet1!A$4:A$43,Sheet1!E$4:E$43)</f>
        <v>0.11849859034229336</v>
      </c>
      <c r="D5">
        <f>_xlfn.XLOOKUP(A5,Sheet1!A$4:A$43,Sheet1!H$4:H$43)</f>
        <v>100</v>
      </c>
      <c r="E5">
        <v>50</v>
      </c>
      <c r="F5">
        <v>50</v>
      </c>
      <c r="G5">
        <v>6</v>
      </c>
      <c r="H5">
        <v>12</v>
      </c>
      <c r="I5">
        <v>30</v>
      </c>
      <c r="J5">
        <v>90</v>
      </c>
      <c r="K5">
        <v>270</v>
      </c>
      <c r="L5">
        <v>400</v>
      </c>
      <c r="M5">
        <v>550</v>
      </c>
      <c r="N5" s="2"/>
      <c r="O5" s="2"/>
      <c r="P5" s="2"/>
      <c r="Q5" s="2"/>
      <c r="R5" s="2"/>
      <c r="S5" s="2"/>
      <c r="T5" s="2"/>
    </row>
    <row r="6" spans="1:20" x14ac:dyDescent="0.35">
      <c r="A6" t="s">
        <v>16</v>
      </c>
      <c r="B6" t="str">
        <f>_xlfn.XLOOKUP(A6,Sheet1!A$4:A$43,Sheet1!B$4:B$43)</f>
        <v>Light Blue</v>
      </c>
      <c r="C6" s="1">
        <f>_xlfn.XLOOKUP(A6,Sheet1!A$4:A$43,Sheet1!E$4:E$43)</f>
        <v>0.11695685074084597</v>
      </c>
      <c r="D6">
        <f>_xlfn.XLOOKUP(A6,Sheet1!A$4:A$43,Sheet1!H$4:H$43)</f>
        <v>120</v>
      </c>
      <c r="E6">
        <v>50</v>
      </c>
      <c r="F6">
        <v>50</v>
      </c>
      <c r="G6">
        <v>8</v>
      </c>
      <c r="H6">
        <v>16</v>
      </c>
      <c r="I6">
        <v>40</v>
      </c>
      <c r="J6">
        <v>100</v>
      </c>
      <c r="K6">
        <v>300</v>
      </c>
      <c r="L6">
        <v>450</v>
      </c>
      <c r="M6">
        <v>600</v>
      </c>
      <c r="N6" s="2"/>
      <c r="O6" s="2"/>
      <c r="P6" s="2"/>
      <c r="Q6" s="2"/>
      <c r="R6" s="2"/>
      <c r="S6" s="2"/>
      <c r="T6" s="2"/>
    </row>
    <row r="7" spans="1:20" x14ac:dyDescent="0.35">
      <c r="A7" t="s">
        <v>8</v>
      </c>
      <c r="B7" t="str">
        <f>_xlfn.XLOOKUP(A7,Sheet1!A$4:A$43,Sheet1!B$4:B$43)</f>
        <v>Pink</v>
      </c>
      <c r="C7" s="1">
        <f>_xlfn.XLOOKUP(A7,Sheet1!A$4:A$43,Sheet1!E$4:E$43)</f>
        <v>0.13870804179333815</v>
      </c>
      <c r="D7">
        <f>_xlfn.XLOOKUP(A7,Sheet1!A$4:A$43,Sheet1!H$4:H$43)</f>
        <v>140</v>
      </c>
      <c r="E7">
        <v>100</v>
      </c>
      <c r="F7">
        <v>100</v>
      </c>
      <c r="G7">
        <v>10</v>
      </c>
      <c r="H7">
        <v>20</v>
      </c>
      <c r="I7">
        <v>50</v>
      </c>
      <c r="J7">
        <v>150</v>
      </c>
      <c r="K7">
        <v>450</v>
      </c>
      <c r="L7">
        <v>625</v>
      </c>
      <c r="M7">
        <v>750</v>
      </c>
      <c r="N7" s="2"/>
      <c r="O7" s="2"/>
      <c r="P7" s="2"/>
      <c r="Q7" s="2"/>
      <c r="R7" s="2"/>
      <c r="S7" s="2"/>
      <c r="T7" s="2"/>
    </row>
    <row r="8" spans="1:20" x14ac:dyDescent="0.35">
      <c r="A8" t="s">
        <v>17</v>
      </c>
      <c r="B8" t="str">
        <f>_xlfn.XLOOKUP(A8,Sheet1!A$4:A$43,Sheet1!B$4:B$43)</f>
        <v>Pink</v>
      </c>
      <c r="C8" s="1">
        <f>_xlfn.XLOOKUP(A8,Sheet1!A$4:A$43,Sheet1!E$4:E$43)</f>
        <v>0.11990769697447716</v>
      </c>
      <c r="D8">
        <f>_xlfn.XLOOKUP(A8,Sheet1!A$4:A$43,Sheet1!H$4:H$43)</f>
        <v>140</v>
      </c>
      <c r="E8">
        <v>100</v>
      </c>
      <c r="F8">
        <v>100</v>
      </c>
      <c r="G8">
        <v>10</v>
      </c>
      <c r="H8">
        <v>20</v>
      </c>
      <c r="I8">
        <v>50</v>
      </c>
      <c r="J8">
        <v>150</v>
      </c>
      <c r="K8">
        <v>450</v>
      </c>
      <c r="L8">
        <v>625</v>
      </c>
      <c r="M8">
        <v>750</v>
      </c>
      <c r="N8" s="2"/>
      <c r="O8" s="2"/>
      <c r="P8" s="2"/>
      <c r="Q8" s="2"/>
      <c r="R8" s="2"/>
      <c r="S8" s="2"/>
      <c r="T8" s="2"/>
    </row>
    <row r="9" spans="1:20" x14ac:dyDescent="0.35">
      <c r="A9" t="s">
        <v>18</v>
      </c>
      <c r="B9" t="str">
        <f>_xlfn.XLOOKUP(A9,Sheet1!A$4:A$43,Sheet1!B$4:B$43)</f>
        <v>Pink</v>
      </c>
      <c r="C9" s="1">
        <f>_xlfn.XLOOKUP(A9,Sheet1!A$4:A$43,Sheet1!E$4:E$43)</f>
        <v>0.12814580618635624</v>
      </c>
      <c r="D9">
        <f>_xlfn.XLOOKUP(A9,Sheet1!A$4:A$43,Sheet1!H$4:H$43)</f>
        <v>160</v>
      </c>
      <c r="E9">
        <v>100</v>
      </c>
      <c r="F9">
        <v>100</v>
      </c>
      <c r="G9">
        <v>12</v>
      </c>
      <c r="H9">
        <v>24</v>
      </c>
      <c r="I9">
        <v>60</v>
      </c>
      <c r="J9">
        <v>180</v>
      </c>
      <c r="K9">
        <v>500</v>
      </c>
      <c r="L9">
        <v>700</v>
      </c>
      <c r="M9">
        <v>900</v>
      </c>
      <c r="N9" s="2"/>
      <c r="O9" s="2"/>
      <c r="P9" s="2"/>
      <c r="Q9" s="2"/>
      <c r="R9" s="2"/>
      <c r="S9" s="2"/>
      <c r="T9" s="2"/>
    </row>
    <row r="10" spans="1:20" x14ac:dyDescent="0.35">
      <c r="A10" t="s">
        <v>20</v>
      </c>
      <c r="B10" t="str">
        <f>_xlfn.XLOOKUP(A10,Sheet1!A$4:A$43,Sheet1!B$4:B$43)</f>
        <v>Orange</v>
      </c>
      <c r="C10" s="1">
        <f>_xlfn.XLOOKUP(A10,Sheet1!A$4:A$43,Sheet1!E$4:E$43)</f>
        <v>0.13506047537330709</v>
      </c>
      <c r="D10">
        <f>_xlfn.XLOOKUP(A10,Sheet1!A$4:A$43,Sheet1!H$4:H$43)</f>
        <v>180</v>
      </c>
      <c r="E10">
        <v>100</v>
      </c>
      <c r="F10">
        <v>100</v>
      </c>
      <c r="G10">
        <v>14</v>
      </c>
      <c r="H10">
        <v>28</v>
      </c>
      <c r="I10">
        <v>70</v>
      </c>
      <c r="J10">
        <v>200</v>
      </c>
      <c r="K10">
        <v>550</v>
      </c>
      <c r="L10">
        <v>750</v>
      </c>
      <c r="M10">
        <v>950</v>
      </c>
      <c r="N10" s="2"/>
      <c r="O10" s="2"/>
      <c r="P10" s="2"/>
      <c r="Q10" s="2"/>
      <c r="R10" s="2"/>
      <c r="S10" s="2"/>
      <c r="T10" s="2"/>
    </row>
    <row r="11" spans="1:20" x14ac:dyDescent="0.35">
      <c r="A11" t="s">
        <v>21</v>
      </c>
      <c r="B11" t="str">
        <f>_xlfn.XLOOKUP(A11,Sheet1!A$4:A$43,Sheet1!B$4:B$43)</f>
        <v>Orange</v>
      </c>
      <c r="C11" s="1">
        <f>_xlfn.XLOOKUP(A11,Sheet1!A$4:A$43,Sheet1!E$4:E$43)</f>
        <v>0.14621754722559854</v>
      </c>
      <c r="D11">
        <f>_xlfn.XLOOKUP(A11,Sheet1!A$4:A$43,Sheet1!H$4:H$43)</f>
        <v>180</v>
      </c>
      <c r="E11">
        <v>100</v>
      </c>
      <c r="F11">
        <v>100</v>
      </c>
      <c r="G11">
        <v>14</v>
      </c>
      <c r="H11">
        <v>28</v>
      </c>
      <c r="I11">
        <v>70</v>
      </c>
      <c r="J11">
        <v>200</v>
      </c>
      <c r="K11">
        <v>550</v>
      </c>
      <c r="L11">
        <v>750</v>
      </c>
      <c r="M11">
        <v>950</v>
      </c>
      <c r="N11" s="2"/>
      <c r="O11" s="2"/>
      <c r="P11" s="2"/>
      <c r="Q11" s="2"/>
      <c r="R11" s="2"/>
      <c r="S11" s="2"/>
      <c r="T11" s="2"/>
    </row>
    <row r="12" spans="1:20" x14ac:dyDescent="0.35">
      <c r="A12" t="s">
        <v>22</v>
      </c>
      <c r="B12" t="str">
        <f>_xlfn.XLOOKUP(A12,Sheet1!A$4:A$43,Sheet1!B$4:B$43)</f>
        <v>Orange</v>
      </c>
      <c r="C12" s="1">
        <f>_xlfn.XLOOKUP(A12,Sheet1!A$4:A$43,Sheet1!E$4:E$43)</f>
        <v>0.14754681752559753</v>
      </c>
      <c r="D12">
        <f>_xlfn.XLOOKUP(A12,Sheet1!A$4:A$43,Sheet1!H$4:H$43)</f>
        <v>200</v>
      </c>
      <c r="E12">
        <v>100</v>
      </c>
      <c r="F12">
        <v>100</v>
      </c>
      <c r="G12">
        <v>16</v>
      </c>
      <c r="H12">
        <v>32</v>
      </c>
      <c r="I12">
        <v>80</v>
      </c>
      <c r="J12">
        <v>220</v>
      </c>
      <c r="K12">
        <v>600</v>
      </c>
      <c r="L12">
        <v>800</v>
      </c>
      <c r="M12">
        <v>1000</v>
      </c>
      <c r="N12" s="2"/>
      <c r="O12" s="2"/>
      <c r="P12" s="2"/>
      <c r="Q12" s="2"/>
      <c r="R12" s="2"/>
      <c r="S12" s="2"/>
      <c r="T12" s="2"/>
    </row>
    <row r="13" spans="1:20" x14ac:dyDescent="0.35">
      <c r="A13" t="s">
        <v>24</v>
      </c>
      <c r="B13" t="str">
        <f>_xlfn.XLOOKUP(A13,Sheet1!A$4:A$43,Sheet1!B$4:B$43)</f>
        <v>Red</v>
      </c>
      <c r="C13" s="1">
        <f>_xlfn.XLOOKUP(A13,Sheet1!A$4:A$43,Sheet1!E$4:E$43)</f>
        <v>0.1385387044871316</v>
      </c>
      <c r="D13">
        <f>_xlfn.XLOOKUP(A13,Sheet1!A$4:A$43,Sheet1!H$4:H$43)</f>
        <v>220</v>
      </c>
      <c r="E13">
        <v>150</v>
      </c>
      <c r="F13">
        <v>150</v>
      </c>
      <c r="G13">
        <v>18</v>
      </c>
      <c r="H13">
        <v>36</v>
      </c>
      <c r="I13">
        <v>90</v>
      </c>
      <c r="J13">
        <v>250</v>
      </c>
      <c r="K13">
        <v>700</v>
      </c>
      <c r="L13">
        <v>875</v>
      </c>
      <c r="M13">
        <v>1050</v>
      </c>
      <c r="N13" s="2"/>
      <c r="O13" s="2"/>
      <c r="P13" s="2"/>
      <c r="Q13" s="2"/>
      <c r="R13" s="2"/>
      <c r="S13" s="2"/>
      <c r="T13" s="2"/>
    </row>
    <row r="14" spans="1:20" x14ac:dyDescent="0.35">
      <c r="A14" t="s">
        <v>25</v>
      </c>
      <c r="B14" t="str">
        <f>_xlfn.XLOOKUP(A14,Sheet1!A$4:A$43,Sheet1!B$4:B$43)</f>
        <v>Red</v>
      </c>
      <c r="C14" s="1">
        <f>_xlfn.XLOOKUP(A14,Sheet1!A$4:A$43,Sheet1!E$4:E$43)</f>
        <v>0.13796913894163254</v>
      </c>
      <c r="D14">
        <f>_xlfn.XLOOKUP(A14,Sheet1!A$4:A$43,Sheet1!H$4:H$43)</f>
        <v>220</v>
      </c>
      <c r="E14">
        <v>150</v>
      </c>
      <c r="F14">
        <v>150</v>
      </c>
      <c r="G14">
        <v>18</v>
      </c>
      <c r="H14">
        <v>36</v>
      </c>
      <c r="I14">
        <v>90</v>
      </c>
      <c r="J14">
        <v>250</v>
      </c>
      <c r="K14">
        <v>700</v>
      </c>
      <c r="L14">
        <v>875</v>
      </c>
      <c r="M14">
        <v>1050</v>
      </c>
      <c r="N14" s="2"/>
      <c r="O14" s="2"/>
      <c r="P14" s="2"/>
      <c r="Q14" s="2"/>
      <c r="R14" s="2"/>
      <c r="S14" s="2"/>
      <c r="T14" s="2"/>
    </row>
    <row r="15" spans="1:20" x14ac:dyDescent="0.35">
      <c r="A15" t="s">
        <v>26</v>
      </c>
      <c r="B15" t="str">
        <f>_xlfn.XLOOKUP(A15,Sheet1!A$4:A$43,Sheet1!B$4:B$43)</f>
        <v>Red</v>
      </c>
      <c r="C15" s="1">
        <f>_xlfn.XLOOKUP(A15,Sheet1!A$4:A$43,Sheet1!E$4:E$43)</f>
        <v>0.16481275805334644</v>
      </c>
      <c r="D15">
        <f>_xlfn.XLOOKUP(A15,Sheet1!A$4:A$43,Sheet1!H$4:H$43)</f>
        <v>240</v>
      </c>
      <c r="E15">
        <v>150</v>
      </c>
      <c r="F15">
        <v>150</v>
      </c>
      <c r="G15">
        <v>20</v>
      </c>
      <c r="H15">
        <v>40</v>
      </c>
      <c r="I15">
        <v>100</v>
      </c>
      <c r="J15">
        <v>300</v>
      </c>
      <c r="K15">
        <v>750</v>
      </c>
      <c r="L15">
        <v>925</v>
      </c>
      <c r="M15">
        <v>1100</v>
      </c>
      <c r="N15" s="2"/>
      <c r="O15" s="2"/>
      <c r="P15" s="2"/>
      <c r="Q15" s="2"/>
      <c r="R15" s="2"/>
      <c r="S15" s="2"/>
      <c r="T15" s="2"/>
    </row>
    <row r="16" spans="1:20" x14ac:dyDescent="0.35">
      <c r="A16" t="s">
        <v>28</v>
      </c>
      <c r="B16" t="str">
        <f>_xlfn.XLOOKUP(A16,Sheet1!A$4:A$43,Sheet1!B$4:B$43)</f>
        <v>Yellow</v>
      </c>
      <c r="C16" s="1">
        <f>_xlfn.XLOOKUP(A16,Sheet1!A$4:A$43,Sheet1!E$4:E$43)</f>
        <v>0.13242742312437319</v>
      </c>
      <c r="D16">
        <f>_xlfn.XLOOKUP(A16,Sheet1!A$4:A$43,Sheet1!H$4:H$43)</f>
        <v>260</v>
      </c>
      <c r="E16">
        <v>150</v>
      </c>
      <c r="F16">
        <v>150</v>
      </c>
      <c r="G16">
        <v>22</v>
      </c>
      <c r="H16">
        <v>44</v>
      </c>
      <c r="I16">
        <v>110</v>
      </c>
      <c r="J16">
        <v>330</v>
      </c>
      <c r="K16">
        <v>800</v>
      </c>
      <c r="L16">
        <v>975</v>
      </c>
      <c r="M16">
        <v>1150</v>
      </c>
      <c r="N16" s="2"/>
      <c r="O16" s="2"/>
      <c r="P16" s="2"/>
      <c r="Q16" s="2"/>
      <c r="R16" s="2"/>
      <c r="S16" s="2"/>
      <c r="T16" s="2"/>
    </row>
    <row r="17" spans="1:20" x14ac:dyDescent="0.35">
      <c r="A17" t="s">
        <v>29</v>
      </c>
      <c r="B17" t="str">
        <f>_xlfn.XLOOKUP(A17,Sheet1!A$4:A$43,Sheet1!B$4:B$43)</f>
        <v>Yellow</v>
      </c>
      <c r="C17" s="1">
        <f>_xlfn.XLOOKUP(A17,Sheet1!A$4:A$43,Sheet1!E$4:E$43)</f>
        <v>0.13285282018416594</v>
      </c>
      <c r="D17">
        <f>_xlfn.XLOOKUP(A17,Sheet1!A$4:A$43,Sheet1!H$4:H$43)</f>
        <v>260</v>
      </c>
      <c r="E17">
        <v>150</v>
      </c>
      <c r="F17">
        <v>150</v>
      </c>
      <c r="G17">
        <v>22</v>
      </c>
      <c r="H17">
        <v>44</v>
      </c>
      <c r="I17">
        <v>110</v>
      </c>
      <c r="J17">
        <v>330</v>
      </c>
      <c r="K17">
        <v>800</v>
      </c>
      <c r="L17">
        <v>975</v>
      </c>
      <c r="M17">
        <v>1150</v>
      </c>
      <c r="N17" s="2"/>
      <c r="O17" s="2"/>
      <c r="P17" s="2"/>
      <c r="Q17" s="2"/>
      <c r="R17" s="2"/>
      <c r="S17" s="2"/>
      <c r="T17" s="2"/>
    </row>
    <row r="18" spans="1:20" x14ac:dyDescent="0.35">
      <c r="A18" t="s">
        <v>31</v>
      </c>
      <c r="B18" t="str">
        <f>_xlfn.XLOOKUP(A18,Sheet1!A$4:A$43,Sheet1!B$4:B$43)</f>
        <v>Yellow</v>
      </c>
      <c r="C18" s="1">
        <f>_xlfn.XLOOKUP(A18,Sheet1!A$4:A$43,Sheet1!E$4:E$43)</f>
        <v>0.1319630433357909</v>
      </c>
      <c r="D18">
        <f>_xlfn.XLOOKUP(A18,Sheet1!A$4:A$43,Sheet1!H$4:H$43)</f>
        <v>280</v>
      </c>
      <c r="E18">
        <v>150</v>
      </c>
      <c r="F18">
        <v>150</v>
      </c>
      <c r="G18">
        <v>24</v>
      </c>
      <c r="H18">
        <v>48</v>
      </c>
      <c r="I18">
        <v>120</v>
      </c>
      <c r="J18">
        <v>360</v>
      </c>
      <c r="K18">
        <v>850</v>
      </c>
      <c r="L18">
        <v>1025</v>
      </c>
      <c r="M18">
        <v>1200</v>
      </c>
      <c r="N18" s="2"/>
      <c r="O18" s="2"/>
      <c r="P18" s="2"/>
      <c r="Q18" s="2"/>
      <c r="R18" s="2"/>
      <c r="S18" s="2"/>
      <c r="T18" s="2"/>
    </row>
    <row r="19" spans="1:20" x14ac:dyDescent="0.35">
      <c r="A19" t="s">
        <v>33</v>
      </c>
      <c r="B19" t="str">
        <f>_xlfn.XLOOKUP(A19,Sheet1!A$4:A$43,Sheet1!B$4:B$43)</f>
        <v>Green</v>
      </c>
      <c r="C19" s="1">
        <f>_xlfn.XLOOKUP(A19,Sheet1!A$4:A$43,Sheet1!E$4:E$43)</f>
        <v>0.1330021984073263</v>
      </c>
      <c r="D19">
        <f>_xlfn.XLOOKUP(A19,Sheet1!A$4:A$43,Sheet1!H$4:H$43)</f>
        <v>300</v>
      </c>
      <c r="E19">
        <v>200</v>
      </c>
      <c r="F19">
        <v>200</v>
      </c>
      <c r="G19">
        <v>26</v>
      </c>
      <c r="H19">
        <v>52</v>
      </c>
      <c r="I19">
        <v>130</v>
      </c>
      <c r="J19">
        <v>390</v>
      </c>
      <c r="K19">
        <v>900</v>
      </c>
      <c r="L19">
        <v>1100</v>
      </c>
      <c r="M19">
        <v>1275</v>
      </c>
      <c r="N19" s="2"/>
      <c r="O19" s="2"/>
      <c r="P19" s="2"/>
      <c r="Q19" s="2"/>
      <c r="R19" s="2"/>
      <c r="S19" s="2"/>
      <c r="T19" s="2"/>
    </row>
    <row r="20" spans="1:20" x14ac:dyDescent="0.35">
      <c r="A20" t="s">
        <v>34</v>
      </c>
      <c r="B20" t="str">
        <f>_xlfn.XLOOKUP(A20,Sheet1!A$4:A$43,Sheet1!B$4:B$43)</f>
        <v>Green</v>
      </c>
      <c r="C20" s="1">
        <f>_xlfn.XLOOKUP(A20,Sheet1!A$4:A$43,Sheet1!E$4:E$43)</f>
        <v>0.13221490751414741</v>
      </c>
      <c r="D20">
        <f>_xlfn.XLOOKUP(A20,Sheet1!A$4:A$43,Sheet1!H$4:H$43)</f>
        <v>300</v>
      </c>
      <c r="E20">
        <v>200</v>
      </c>
      <c r="F20">
        <v>200</v>
      </c>
      <c r="G20">
        <v>26</v>
      </c>
      <c r="H20">
        <v>52</v>
      </c>
      <c r="I20">
        <v>130</v>
      </c>
      <c r="J20">
        <v>390</v>
      </c>
      <c r="K20">
        <v>900</v>
      </c>
      <c r="L20">
        <v>1100</v>
      </c>
      <c r="M20">
        <v>1275</v>
      </c>
      <c r="N20" s="2"/>
      <c r="O20" s="2"/>
      <c r="P20" s="2"/>
      <c r="Q20" s="2"/>
      <c r="R20" s="2"/>
      <c r="S20" s="2"/>
      <c r="T20" s="2"/>
    </row>
    <row r="21" spans="1:20" x14ac:dyDescent="0.35">
      <c r="A21" t="s">
        <v>35</v>
      </c>
      <c r="B21" t="str">
        <f>_xlfn.XLOOKUP(A21,Sheet1!A$4:A$43,Sheet1!B$4:B$43)</f>
        <v>Green</v>
      </c>
      <c r="C21" s="1">
        <f>_xlfn.XLOOKUP(A21,Sheet1!A$4:A$43,Sheet1!E$4:E$43)</f>
        <v>0.12695624483680287</v>
      </c>
      <c r="D21">
        <f>_xlfn.XLOOKUP(A21,Sheet1!A$4:A$43,Sheet1!H$4:H$43)</f>
        <v>320</v>
      </c>
      <c r="E21">
        <v>200</v>
      </c>
      <c r="F21">
        <v>200</v>
      </c>
      <c r="G21">
        <v>28</v>
      </c>
      <c r="H21">
        <v>56</v>
      </c>
      <c r="I21">
        <v>150</v>
      </c>
      <c r="J21">
        <v>450</v>
      </c>
      <c r="K21">
        <v>1000</v>
      </c>
      <c r="L21">
        <v>1200</v>
      </c>
      <c r="M21">
        <v>1400</v>
      </c>
      <c r="N21" s="2"/>
      <c r="O21" s="2"/>
      <c r="P21" s="2"/>
      <c r="Q21" s="2"/>
      <c r="R21" s="2"/>
      <c r="S21" s="2"/>
      <c r="T21" s="2"/>
    </row>
    <row r="22" spans="1:20" x14ac:dyDescent="0.35">
      <c r="A22" t="s">
        <v>37</v>
      </c>
      <c r="B22" t="str">
        <f>_xlfn.XLOOKUP(A22,Sheet1!A$4:A$43,Sheet1!B$4:B$43)</f>
        <v>Dark Blue</v>
      </c>
      <c r="C22" s="1">
        <f>_xlfn.XLOOKUP(A22,Sheet1!A$4:A$43,Sheet1!E$4:E$43)</f>
        <v>0.11833288827511029</v>
      </c>
      <c r="D22">
        <f>_xlfn.XLOOKUP(A22,Sheet1!A$4:A$43,Sheet1!H$4:H$43)</f>
        <v>350</v>
      </c>
      <c r="E22">
        <v>200</v>
      </c>
      <c r="F22">
        <v>200</v>
      </c>
      <c r="G22">
        <v>35</v>
      </c>
      <c r="H22">
        <v>70</v>
      </c>
      <c r="I22">
        <v>175</v>
      </c>
      <c r="J22">
        <v>500</v>
      </c>
      <c r="K22">
        <v>1100</v>
      </c>
      <c r="L22">
        <v>1300</v>
      </c>
      <c r="M22">
        <v>1500</v>
      </c>
      <c r="N22" s="2"/>
      <c r="O22" s="2"/>
      <c r="P22" s="2"/>
      <c r="Q22" s="2"/>
      <c r="R22" s="2"/>
      <c r="S22" s="2"/>
      <c r="T22" s="2"/>
    </row>
    <row r="23" spans="1:20" x14ac:dyDescent="0.35">
      <c r="A23" t="s">
        <v>39</v>
      </c>
      <c r="B23" t="str">
        <f>_xlfn.XLOOKUP(A23,Sheet1!A$4:A$43,Sheet1!B$4:B$43)</f>
        <v>Dark Blue</v>
      </c>
      <c r="C23" s="1">
        <f>_xlfn.XLOOKUP(A23,Sheet1!A$4:A$43,Sheet1!E$4:E$43)</f>
        <v>0.13379687091961787</v>
      </c>
      <c r="D23">
        <f>_xlfn.XLOOKUP(A23,Sheet1!A$4:A$43,Sheet1!H$4:H$43)</f>
        <v>400</v>
      </c>
      <c r="E23">
        <v>200</v>
      </c>
      <c r="F23">
        <v>200</v>
      </c>
      <c r="G23">
        <v>50</v>
      </c>
      <c r="H23">
        <v>100</v>
      </c>
      <c r="I23">
        <v>200</v>
      </c>
      <c r="J23">
        <v>600</v>
      </c>
      <c r="K23">
        <v>1400</v>
      </c>
      <c r="L23">
        <v>1700</v>
      </c>
      <c r="M23">
        <v>2000</v>
      </c>
      <c r="N23" s="2"/>
      <c r="O23" s="2"/>
      <c r="P23" s="2"/>
      <c r="Q23" s="2"/>
      <c r="R23" s="2"/>
      <c r="S23" s="2"/>
      <c r="T23" s="2"/>
    </row>
    <row r="24" spans="1:20" x14ac:dyDescent="0.35">
      <c r="C24" s="1"/>
      <c r="D24" s="1"/>
      <c r="E24" s="1"/>
      <c r="F24" s="1"/>
    </row>
    <row r="25" spans="1:20" x14ac:dyDescent="0.35">
      <c r="C25" s="1"/>
      <c r="D25" s="1"/>
      <c r="E25" s="1"/>
      <c r="F25" s="1"/>
      <c r="N25" s="2"/>
      <c r="O25" s="2"/>
      <c r="P25" s="2"/>
    </row>
    <row r="26" spans="1:20" x14ac:dyDescent="0.35">
      <c r="C26" s="1"/>
      <c r="D26" s="1"/>
      <c r="E26" s="1"/>
      <c r="F26" s="1"/>
      <c r="N26" s="2"/>
    </row>
    <row r="27" spans="1:20" x14ac:dyDescent="0.35">
      <c r="C27" s="1"/>
      <c r="D27" s="1"/>
      <c r="E27" s="1"/>
      <c r="F27" s="1"/>
      <c r="N27" s="2"/>
    </row>
    <row r="28" spans="1:20" x14ac:dyDescent="0.35">
      <c r="C28" s="1"/>
      <c r="D28" s="1"/>
      <c r="E28" s="1"/>
      <c r="F28" s="1"/>
    </row>
    <row r="29" spans="1:20" x14ac:dyDescent="0.35">
      <c r="C29" s="1"/>
      <c r="D29" s="1"/>
      <c r="E29" s="1"/>
      <c r="F29" s="1"/>
    </row>
    <row r="30" spans="1:20" x14ac:dyDescent="0.35">
      <c r="C30" s="1"/>
      <c r="D30" s="1"/>
      <c r="E30" s="1"/>
      <c r="F30" s="1"/>
    </row>
    <row r="31" spans="1:20" x14ac:dyDescent="0.35">
      <c r="C31" s="1"/>
      <c r="D31" s="1"/>
      <c r="E31" s="1"/>
      <c r="F31" s="1"/>
    </row>
    <row r="32" spans="1:20" x14ac:dyDescent="0.35">
      <c r="C32" s="1"/>
      <c r="D32" s="1"/>
      <c r="E32" s="1"/>
      <c r="F32" s="1"/>
    </row>
    <row r="33" spans="3:6" x14ac:dyDescent="0.35">
      <c r="C33" s="1"/>
      <c r="D33" s="1"/>
      <c r="E33" s="1"/>
      <c r="F33" s="1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37" spans="3:6" x14ac:dyDescent="0.35">
      <c r="C37" s="1"/>
      <c r="D37" s="1"/>
      <c r="E37" s="1"/>
      <c r="F37" s="1"/>
    </row>
    <row r="38" spans="3:6" x14ac:dyDescent="0.35">
      <c r="C38" s="1"/>
      <c r="D38" s="1"/>
      <c r="E38" s="1"/>
      <c r="F38" s="1"/>
    </row>
    <row r="39" spans="3:6" x14ac:dyDescent="0.35">
      <c r="C39" s="1"/>
      <c r="D39" s="1"/>
      <c r="E39" s="1"/>
      <c r="F39" s="1"/>
    </row>
    <row r="40" spans="3:6" x14ac:dyDescent="0.35">
      <c r="C40" s="1"/>
      <c r="D40" s="1"/>
      <c r="E40" s="1"/>
      <c r="F40" s="1"/>
    </row>
    <row r="41" spans="3:6" x14ac:dyDescent="0.35">
      <c r="C41" s="1"/>
      <c r="D41" s="1"/>
      <c r="E41" s="1"/>
      <c r="F41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4253-FCD0-49F5-AE60-C8F94644CD54}">
  <dimension ref="A1:J28"/>
  <sheetViews>
    <sheetView workbookViewId="0"/>
  </sheetViews>
  <sheetFormatPr defaultRowHeight="14.5" x14ac:dyDescent="0.35"/>
  <cols>
    <col min="1" max="1" width="21.81640625" bestFit="1" customWidth="1"/>
    <col min="2" max="2" width="9.26953125" bestFit="1" customWidth="1"/>
    <col min="3" max="3" width="11.36328125" bestFit="1" customWidth="1"/>
    <col min="4" max="4" width="11.6328125" customWidth="1"/>
    <col min="5" max="5" width="12.7265625" customWidth="1"/>
    <col min="6" max="9" width="11.6328125" customWidth="1"/>
    <col min="10" max="10" width="11.81640625" bestFit="1" customWidth="1"/>
  </cols>
  <sheetData>
    <row r="1" spans="1:10" ht="29" x14ac:dyDescent="0.35">
      <c r="A1" t="str" cm="1">
        <f t="array" ref="A1:C1">Properties!A1:C1</f>
        <v>Square</v>
      </c>
      <c r="B1" t="str">
        <v>Group</v>
      </c>
      <c r="C1" t="str">
        <v>Land Per Lap</v>
      </c>
      <c r="D1" s="6" t="str">
        <f>_xlfn.CONCAT(Properties!G1," Per Lap")</f>
        <v>Individual Per Lap</v>
      </c>
      <c r="E1" s="6" t="str">
        <f>_xlfn.CONCAT(Properties!H1," Per Lap")</f>
        <v>Undeveloped Per Lap</v>
      </c>
      <c r="F1" s="6" t="str">
        <f>_xlfn.CONCAT(Properties!I1," Per Lap")</f>
        <v>1 House Per Lap</v>
      </c>
      <c r="G1" s="6" t="str">
        <f>_xlfn.CONCAT(Properties!J1," Per Lap")</f>
        <v>2 Houses Per Lap</v>
      </c>
      <c r="H1" s="6" t="str">
        <f>_xlfn.CONCAT(Properties!K1," Per Lap")</f>
        <v>3 Houses Per Lap</v>
      </c>
      <c r="I1" s="6" t="str">
        <f>_xlfn.CONCAT(Properties!L1," Per Lap")</f>
        <v>4 Houses Per Lap</v>
      </c>
      <c r="J1" s="6" t="str">
        <f>_xlfn.CONCAT(Properties!M1," Per Lap")</f>
        <v>Hotel Per Lap</v>
      </c>
    </row>
    <row r="2" spans="1:10" x14ac:dyDescent="0.35">
      <c r="A2" t="str" cm="1">
        <f t="array" ref="A2:A23">Properties!A2:A23</f>
        <v>Old Kent Road</v>
      </c>
      <c r="B2" t="str">
        <f>_xlfn.XLOOKUP($A2,Properties!$A$2:$A$23,Properties!B$2:B$23)</f>
        <v>Brown</v>
      </c>
      <c r="C2" s="1">
        <f>_xlfn.XLOOKUP($A2,Properties!$A$2:$A$23,Properties!C$2:C$23)</f>
        <v>0.11005792190732294</v>
      </c>
      <c r="D2" s="5">
        <f>_xlfn.XLOOKUP($A2,Properties!$A$2:$A$23,Properties!G$2:G$23)*$C2</f>
        <v>0.22011584381464588</v>
      </c>
      <c r="E2" s="5">
        <f>_xlfn.XLOOKUP($A2,Properties!$A$2:$A$23,Properties!H$2:H$23)*$C2</f>
        <v>0.44023168762929177</v>
      </c>
      <c r="F2" s="5">
        <f>_xlfn.XLOOKUP($A2,Properties!$A$2:$A$23,Properties!I$2:I$23)*$C2</f>
        <v>1.1005792190732295</v>
      </c>
      <c r="G2" s="5">
        <f>_xlfn.XLOOKUP($A2,Properties!$A$2:$A$23,Properties!J$2:J$23)*$C2</f>
        <v>3.3017376572196881</v>
      </c>
      <c r="H2" s="5">
        <f>_xlfn.XLOOKUP($A2,Properties!$A$2:$A$23,Properties!K$2:K$23)*$C2</f>
        <v>9.9052129716590649</v>
      </c>
      <c r="I2" s="5">
        <f>_xlfn.XLOOKUP($A2,Properties!$A$2:$A$23,Properties!L$2:L$23)*$C2</f>
        <v>17.609267505171672</v>
      </c>
      <c r="J2" s="5">
        <f>_xlfn.XLOOKUP($A2,Properties!$A$2:$A$23,Properties!M$2:M$23)*$C2</f>
        <v>27.514480476830734</v>
      </c>
    </row>
    <row r="3" spans="1:10" x14ac:dyDescent="0.35">
      <c r="A3" t="str">
        <v>Whitechapel</v>
      </c>
      <c r="B3" t="str">
        <f>_xlfn.XLOOKUP($A3,Properties!$A$2:$A$23,Properties!B$2:B$23)</f>
        <v>Brown</v>
      </c>
      <c r="C3" s="1">
        <f>_xlfn.XLOOKUP($A3,Properties!$A$2:$A$23,Properties!C$2:C$23)</f>
        <v>0.11102963750637533</v>
      </c>
      <c r="D3" s="5">
        <f>_xlfn.XLOOKUP($A3,Properties!$A$2:$A$23,Properties!G$2:G$23)*$C3</f>
        <v>0.44411855002550132</v>
      </c>
      <c r="E3" s="5">
        <f>_xlfn.XLOOKUP($A3,Properties!$A$2:$A$23,Properties!H$2:H$23)*$C3</f>
        <v>0.88823710005100265</v>
      </c>
      <c r="F3" s="5">
        <f>_xlfn.XLOOKUP($A3,Properties!$A$2:$A$23,Properties!I$2:I$23)*$C3</f>
        <v>2.2205927501275067</v>
      </c>
      <c r="G3" s="5">
        <f>_xlfn.XLOOKUP($A3,Properties!$A$2:$A$23,Properties!J$2:J$23)*$C3</f>
        <v>6.66177825038252</v>
      </c>
      <c r="H3" s="5">
        <f>_xlfn.XLOOKUP($A3,Properties!$A$2:$A$23,Properties!K$2:K$23)*$C3</f>
        <v>8.8823710005100267</v>
      </c>
      <c r="I3" s="5">
        <f>_xlfn.XLOOKUP($A3,Properties!$A$2:$A$23,Properties!L$2:L$23)*$C3</f>
        <v>35.529484002040107</v>
      </c>
      <c r="J3" s="5">
        <f>_xlfn.XLOOKUP($A3,Properties!$A$2:$A$23,Properties!M$2:M$23)*$C3</f>
        <v>49.963336877868898</v>
      </c>
    </row>
    <row r="4" spans="1:10" x14ac:dyDescent="0.35">
      <c r="A4" t="str">
        <v>The Angel, Islington</v>
      </c>
      <c r="B4" t="str">
        <f>_xlfn.XLOOKUP($A4,Properties!$A$2:$A$23,Properties!B$2:B$23)</f>
        <v>Light Blue</v>
      </c>
      <c r="C4" s="1">
        <f>_xlfn.XLOOKUP($A4,Properties!$A$2:$A$23,Properties!C$2:C$23)</f>
        <v>0.11503953306229979</v>
      </c>
      <c r="D4" s="5">
        <f>_xlfn.XLOOKUP($A4,Properties!$A$2:$A$23,Properties!G$2:G$23)*$C4</f>
        <v>0.69023719837379871</v>
      </c>
      <c r="E4" s="5">
        <f>_xlfn.XLOOKUP($A4,Properties!$A$2:$A$23,Properties!H$2:H$23)*$C4</f>
        <v>1.3804743967475974</v>
      </c>
      <c r="F4" s="5">
        <f>_xlfn.XLOOKUP($A4,Properties!$A$2:$A$23,Properties!I$2:I$23)*$C4</f>
        <v>3.4511859918689938</v>
      </c>
      <c r="G4" s="5">
        <f>_xlfn.XLOOKUP($A4,Properties!$A$2:$A$23,Properties!J$2:J$23)*$C4</f>
        <v>10.35355797560698</v>
      </c>
      <c r="H4" s="5">
        <f>_xlfn.XLOOKUP($A4,Properties!$A$2:$A$23,Properties!K$2:K$23)*$C4</f>
        <v>31.060673926820943</v>
      </c>
      <c r="I4" s="5">
        <f>_xlfn.XLOOKUP($A4,Properties!$A$2:$A$23,Properties!L$2:L$23)*$C4</f>
        <v>46.015813224919917</v>
      </c>
      <c r="J4" s="5">
        <f>_xlfn.XLOOKUP($A4,Properties!$A$2:$A$23,Properties!M$2:M$23)*$C4</f>
        <v>63.271743184264885</v>
      </c>
    </row>
    <row r="5" spans="1:10" x14ac:dyDescent="0.35">
      <c r="A5" t="str">
        <v>Euston</v>
      </c>
      <c r="B5" t="str">
        <f>_xlfn.XLOOKUP($A5,Properties!$A$2:$A$23,Properties!B$2:B$23)</f>
        <v>Light Blue</v>
      </c>
      <c r="C5" s="1">
        <f>_xlfn.XLOOKUP($A5,Properties!$A$2:$A$23,Properties!C$2:C$23)</f>
        <v>0.11849859034229336</v>
      </c>
      <c r="D5" s="5">
        <f>_xlfn.XLOOKUP($A5,Properties!$A$2:$A$23,Properties!G$2:G$23)*$C5</f>
        <v>0.71099154205376014</v>
      </c>
      <c r="E5" s="5">
        <f>_xlfn.XLOOKUP($A5,Properties!$A$2:$A$23,Properties!H$2:H$23)*$C5</f>
        <v>1.4219830841075203</v>
      </c>
      <c r="F5" s="5">
        <f>_xlfn.XLOOKUP($A5,Properties!$A$2:$A$23,Properties!I$2:I$23)*$C5</f>
        <v>3.554957710268801</v>
      </c>
      <c r="G5" s="5">
        <f>_xlfn.XLOOKUP($A5,Properties!$A$2:$A$23,Properties!J$2:J$23)*$C5</f>
        <v>10.664873130806402</v>
      </c>
      <c r="H5" s="5">
        <f>_xlfn.XLOOKUP($A5,Properties!$A$2:$A$23,Properties!K$2:K$23)*$C5</f>
        <v>31.994619392419207</v>
      </c>
      <c r="I5" s="5">
        <f>_xlfn.XLOOKUP($A5,Properties!$A$2:$A$23,Properties!L$2:L$23)*$C5</f>
        <v>47.399436136917345</v>
      </c>
      <c r="J5" s="5">
        <f>_xlfn.XLOOKUP($A5,Properties!$A$2:$A$23,Properties!M$2:M$23)*$C5</f>
        <v>65.174224688261347</v>
      </c>
    </row>
    <row r="6" spans="1:10" x14ac:dyDescent="0.35">
      <c r="A6" t="str">
        <v>Pentonville Road</v>
      </c>
      <c r="B6" t="str">
        <f>_xlfn.XLOOKUP($A6,Properties!$A$2:$A$23,Properties!B$2:B$23)</f>
        <v>Light Blue</v>
      </c>
      <c r="C6" s="1">
        <f>_xlfn.XLOOKUP($A6,Properties!$A$2:$A$23,Properties!C$2:C$23)</f>
        <v>0.11695685074084597</v>
      </c>
      <c r="D6" s="5">
        <f>_xlfn.XLOOKUP($A6,Properties!$A$2:$A$23,Properties!G$2:G$23)*$C6</f>
        <v>0.93565480592676775</v>
      </c>
      <c r="E6" s="5">
        <f>_xlfn.XLOOKUP($A6,Properties!$A$2:$A$23,Properties!H$2:H$23)*$C6</f>
        <v>1.8713096118535355</v>
      </c>
      <c r="F6" s="5">
        <f>_xlfn.XLOOKUP($A6,Properties!$A$2:$A$23,Properties!I$2:I$23)*$C6</f>
        <v>4.6782740296338385</v>
      </c>
      <c r="G6" s="5">
        <f>_xlfn.XLOOKUP($A6,Properties!$A$2:$A$23,Properties!J$2:J$23)*$C6</f>
        <v>11.695685074084597</v>
      </c>
      <c r="H6" s="5">
        <f>_xlfn.XLOOKUP($A6,Properties!$A$2:$A$23,Properties!K$2:K$23)*$C6</f>
        <v>35.087055222253788</v>
      </c>
      <c r="I6" s="5">
        <f>_xlfn.XLOOKUP($A6,Properties!$A$2:$A$23,Properties!L$2:L$23)*$C6</f>
        <v>52.630582833380686</v>
      </c>
      <c r="J6" s="5">
        <f>_xlfn.XLOOKUP($A6,Properties!$A$2:$A$23,Properties!M$2:M$23)*$C6</f>
        <v>70.174110444507576</v>
      </c>
    </row>
    <row r="7" spans="1:10" x14ac:dyDescent="0.35">
      <c r="A7" t="str">
        <v>Pall Mall</v>
      </c>
      <c r="B7" t="str">
        <f>_xlfn.XLOOKUP($A7,Properties!$A$2:$A$23,Properties!B$2:B$23)</f>
        <v>Pink</v>
      </c>
      <c r="C7" s="1">
        <f>_xlfn.XLOOKUP($A7,Properties!$A$2:$A$23,Properties!C$2:C$23)</f>
        <v>0.13870804179333815</v>
      </c>
      <c r="D7" s="5">
        <f>_xlfn.XLOOKUP($A7,Properties!$A$2:$A$23,Properties!G$2:G$23)*$C7</f>
        <v>1.3870804179333815</v>
      </c>
      <c r="E7" s="5">
        <f>_xlfn.XLOOKUP($A7,Properties!$A$2:$A$23,Properties!H$2:H$23)*$C7</f>
        <v>2.7741608358667631</v>
      </c>
      <c r="F7" s="5">
        <f>_xlfn.XLOOKUP($A7,Properties!$A$2:$A$23,Properties!I$2:I$23)*$C7</f>
        <v>6.9354020896669075</v>
      </c>
      <c r="G7" s="5">
        <f>_xlfn.XLOOKUP($A7,Properties!$A$2:$A$23,Properties!J$2:J$23)*$C7</f>
        <v>20.806206269000722</v>
      </c>
      <c r="H7" s="5">
        <f>_xlfn.XLOOKUP($A7,Properties!$A$2:$A$23,Properties!K$2:K$23)*$C7</f>
        <v>62.418618807002169</v>
      </c>
      <c r="I7" s="5">
        <f>_xlfn.XLOOKUP($A7,Properties!$A$2:$A$23,Properties!L$2:L$23)*$C7</f>
        <v>86.692526120836348</v>
      </c>
      <c r="J7" s="5">
        <f>_xlfn.XLOOKUP($A7,Properties!$A$2:$A$23,Properties!M$2:M$23)*$C7</f>
        <v>104.03103134500361</v>
      </c>
    </row>
    <row r="8" spans="1:10" x14ac:dyDescent="0.35">
      <c r="A8" t="str">
        <v>Whitehall</v>
      </c>
      <c r="B8" t="str">
        <f>_xlfn.XLOOKUP($A8,Properties!$A$2:$A$23,Properties!B$2:B$23)</f>
        <v>Pink</v>
      </c>
      <c r="C8" s="1">
        <f>_xlfn.XLOOKUP($A8,Properties!$A$2:$A$23,Properties!C$2:C$23)</f>
        <v>0.11990769697447716</v>
      </c>
      <c r="D8" s="5">
        <f>_xlfn.XLOOKUP($A8,Properties!$A$2:$A$23,Properties!G$2:G$23)*$C8</f>
        <v>1.1990769697447716</v>
      </c>
      <c r="E8" s="5">
        <f>_xlfn.XLOOKUP($A8,Properties!$A$2:$A$23,Properties!H$2:H$23)*$C8</f>
        <v>2.3981539394895433</v>
      </c>
      <c r="F8" s="5">
        <f>_xlfn.XLOOKUP($A8,Properties!$A$2:$A$23,Properties!I$2:I$23)*$C8</f>
        <v>5.9953848487238579</v>
      </c>
      <c r="G8" s="5">
        <f>_xlfn.XLOOKUP($A8,Properties!$A$2:$A$23,Properties!J$2:J$23)*$C8</f>
        <v>17.986154546171573</v>
      </c>
      <c r="H8" s="5">
        <f>_xlfn.XLOOKUP($A8,Properties!$A$2:$A$23,Properties!K$2:K$23)*$C8</f>
        <v>53.958463638514722</v>
      </c>
      <c r="I8" s="5">
        <f>_xlfn.XLOOKUP($A8,Properties!$A$2:$A$23,Properties!L$2:L$23)*$C8</f>
        <v>74.942310609048221</v>
      </c>
      <c r="J8" s="5">
        <f>_xlfn.XLOOKUP($A8,Properties!$A$2:$A$23,Properties!M$2:M$23)*$C8</f>
        <v>89.930772730857868</v>
      </c>
    </row>
    <row r="9" spans="1:10" x14ac:dyDescent="0.35">
      <c r="A9" t="str">
        <v>Northumberland Avenue</v>
      </c>
      <c r="B9" t="str">
        <f>_xlfn.XLOOKUP($A9,Properties!$A$2:$A$23,Properties!B$2:B$23)</f>
        <v>Pink</v>
      </c>
      <c r="C9" s="1">
        <f>_xlfn.XLOOKUP($A9,Properties!$A$2:$A$23,Properties!C$2:C$23)</f>
        <v>0.12814580618635624</v>
      </c>
      <c r="D9" s="5">
        <f>_xlfn.XLOOKUP($A9,Properties!$A$2:$A$23,Properties!G$2:G$23)*$C9</f>
        <v>1.5377496742362748</v>
      </c>
      <c r="E9" s="5">
        <f>_xlfn.XLOOKUP($A9,Properties!$A$2:$A$23,Properties!H$2:H$23)*$C9</f>
        <v>3.0754993484725497</v>
      </c>
      <c r="F9" s="5">
        <f>_xlfn.XLOOKUP($A9,Properties!$A$2:$A$23,Properties!I$2:I$23)*$C9</f>
        <v>7.688748371181374</v>
      </c>
      <c r="G9" s="5">
        <f>_xlfn.XLOOKUP($A9,Properties!$A$2:$A$23,Properties!J$2:J$23)*$C9</f>
        <v>23.066245113544124</v>
      </c>
      <c r="H9" s="5">
        <f>_xlfn.XLOOKUP($A9,Properties!$A$2:$A$23,Properties!K$2:K$23)*$C9</f>
        <v>64.072903093178112</v>
      </c>
      <c r="I9" s="5">
        <f>_xlfn.XLOOKUP($A9,Properties!$A$2:$A$23,Properties!L$2:L$23)*$C9</f>
        <v>89.70206433044936</v>
      </c>
      <c r="J9" s="5">
        <f>_xlfn.XLOOKUP($A9,Properties!$A$2:$A$23,Properties!M$2:M$23)*$C9</f>
        <v>115.33122556772061</v>
      </c>
    </row>
    <row r="10" spans="1:10" x14ac:dyDescent="0.35">
      <c r="A10" t="str">
        <v>Bow Street</v>
      </c>
      <c r="B10" t="str">
        <f>_xlfn.XLOOKUP($A10,Properties!$A$2:$A$23,Properties!B$2:B$23)</f>
        <v>Orange</v>
      </c>
      <c r="C10" s="1">
        <f>_xlfn.XLOOKUP($A10,Properties!$A$2:$A$23,Properties!C$2:C$23)</f>
        <v>0.13506047537330709</v>
      </c>
      <c r="D10" s="5">
        <f>_xlfn.XLOOKUP($A10,Properties!$A$2:$A$23,Properties!G$2:G$23)*$C10</f>
        <v>1.8908466552262992</v>
      </c>
      <c r="E10" s="5">
        <f>_xlfn.XLOOKUP($A10,Properties!$A$2:$A$23,Properties!H$2:H$23)*$C10</f>
        <v>3.7816933104525985</v>
      </c>
      <c r="F10" s="5">
        <f>_xlfn.XLOOKUP($A10,Properties!$A$2:$A$23,Properties!I$2:I$23)*$C10</f>
        <v>9.4542332761314967</v>
      </c>
      <c r="G10" s="5">
        <f>_xlfn.XLOOKUP($A10,Properties!$A$2:$A$23,Properties!J$2:J$23)*$C10</f>
        <v>27.012095074661417</v>
      </c>
      <c r="H10" s="5">
        <f>_xlfn.XLOOKUP($A10,Properties!$A$2:$A$23,Properties!K$2:K$23)*$C10</f>
        <v>74.283261455318907</v>
      </c>
      <c r="I10" s="5">
        <f>_xlfn.XLOOKUP($A10,Properties!$A$2:$A$23,Properties!L$2:L$23)*$C10</f>
        <v>101.29535652998032</v>
      </c>
      <c r="J10" s="5">
        <f>_xlfn.XLOOKUP($A10,Properties!$A$2:$A$23,Properties!M$2:M$23)*$C10</f>
        <v>128.30745160464173</v>
      </c>
    </row>
    <row r="11" spans="1:10" x14ac:dyDescent="0.35">
      <c r="A11" t="str">
        <v>Marlborough Street</v>
      </c>
      <c r="B11" t="str">
        <f>_xlfn.XLOOKUP($A11,Properties!$A$2:$A$23,Properties!B$2:B$23)</f>
        <v>Orange</v>
      </c>
      <c r="C11" s="1">
        <f>_xlfn.XLOOKUP($A11,Properties!$A$2:$A$23,Properties!C$2:C$23)</f>
        <v>0.14621754722559854</v>
      </c>
      <c r="D11" s="5">
        <f>_xlfn.XLOOKUP($A11,Properties!$A$2:$A$23,Properties!G$2:G$23)*$C11</f>
        <v>2.0470456611583794</v>
      </c>
      <c r="E11" s="5">
        <f>_xlfn.XLOOKUP($A11,Properties!$A$2:$A$23,Properties!H$2:H$23)*$C11</f>
        <v>4.0940913223167588</v>
      </c>
      <c r="F11" s="5">
        <f>_xlfn.XLOOKUP($A11,Properties!$A$2:$A$23,Properties!I$2:I$23)*$C11</f>
        <v>10.235228305791898</v>
      </c>
      <c r="G11" s="5">
        <f>_xlfn.XLOOKUP($A11,Properties!$A$2:$A$23,Properties!J$2:J$23)*$C11</f>
        <v>29.24350944511971</v>
      </c>
      <c r="H11" s="5">
        <f>_xlfn.XLOOKUP($A11,Properties!$A$2:$A$23,Properties!K$2:K$23)*$C11</f>
        <v>80.419650974079204</v>
      </c>
      <c r="I11" s="5">
        <f>_xlfn.XLOOKUP($A11,Properties!$A$2:$A$23,Properties!L$2:L$23)*$C11</f>
        <v>109.6631604191989</v>
      </c>
      <c r="J11" s="5">
        <f>_xlfn.XLOOKUP($A11,Properties!$A$2:$A$23,Properties!M$2:M$23)*$C11</f>
        <v>138.90666986431862</v>
      </c>
    </row>
    <row r="12" spans="1:10" x14ac:dyDescent="0.35">
      <c r="A12" t="str">
        <v>Vine Street</v>
      </c>
      <c r="B12" t="str">
        <f>_xlfn.XLOOKUP($A12,Properties!$A$2:$A$23,Properties!B$2:B$23)</f>
        <v>Orange</v>
      </c>
      <c r="C12" s="1">
        <f>_xlfn.XLOOKUP($A12,Properties!$A$2:$A$23,Properties!C$2:C$23)</f>
        <v>0.14754681752559753</v>
      </c>
      <c r="D12" s="5">
        <f>_xlfn.XLOOKUP($A12,Properties!$A$2:$A$23,Properties!G$2:G$23)*$C12</f>
        <v>2.3607490804095606</v>
      </c>
      <c r="E12" s="5">
        <f>_xlfn.XLOOKUP($A12,Properties!$A$2:$A$23,Properties!H$2:H$23)*$C12</f>
        <v>4.7214981608191211</v>
      </c>
      <c r="F12" s="5">
        <f>_xlfn.XLOOKUP($A12,Properties!$A$2:$A$23,Properties!I$2:I$23)*$C12</f>
        <v>11.803745402047802</v>
      </c>
      <c r="G12" s="5">
        <f>_xlfn.XLOOKUP($A12,Properties!$A$2:$A$23,Properties!J$2:J$23)*$C12</f>
        <v>32.460299855631455</v>
      </c>
      <c r="H12" s="5">
        <f>_xlfn.XLOOKUP($A12,Properties!$A$2:$A$23,Properties!K$2:K$23)*$C12</f>
        <v>88.528090515358514</v>
      </c>
      <c r="I12" s="5">
        <f>_xlfn.XLOOKUP($A12,Properties!$A$2:$A$23,Properties!L$2:L$23)*$C12</f>
        <v>118.03745402047802</v>
      </c>
      <c r="J12" s="5">
        <f>_xlfn.XLOOKUP($A12,Properties!$A$2:$A$23,Properties!M$2:M$23)*$C12</f>
        <v>147.54681752559753</v>
      </c>
    </row>
    <row r="13" spans="1:10" x14ac:dyDescent="0.35">
      <c r="A13" t="str">
        <v>Strand</v>
      </c>
      <c r="B13" t="str">
        <f>_xlfn.XLOOKUP($A13,Properties!$A$2:$A$23,Properties!B$2:B$23)</f>
        <v>Red</v>
      </c>
      <c r="C13" s="1">
        <f>_xlfn.XLOOKUP($A13,Properties!$A$2:$A$23,Properties!C$2:C$23)</f>
        <v>0.1385387044871316</v>
      </c>
      <c r="D13" s="5">
        <f>_xlfn.XLOOKUP($A13,Properties!$A$2:$A$23,Properties!G$2:G$23)*$C13</f>
        <v>2.4936966807683687</v>
      </c>
      <c r="E13" s="5">
        <f>_xlfn.XLOOKUP($A13,Properties!$A$2:$A$23,Properties!H$2:H$23)*$C13</f>
        <v>4.9873933615367374</v>
      </c>
      <c r="F13" s="5">
        <f>_xlfn.XLOOKUP($A13,Properties!$A$2:$A$23,Properties!I$2:I$23)*$C13</f>
        <v>12.468483403841844</v>
      </c>
      <c r="G13" s="5">
        <f>_xlfn.XLOOKUP($A13,Properties!$A$2:$A$23,Properties!J$2:J$23)*$C13</f>
        <v>34.634676121782903</v>
      </c>
      <c r="H13" s="5">
        <f>_xlfn.XLOOKUP($A13,Properties!$A$2:$A$23,Properties!K$2:K$23)*$C13</f>
        <v>96.977093140992125</v>
      </c>
      <c r="I13" s="5">
        <f>_xlfn.XLOOKUP($A13,Properties!$A$2:$A$23,Properties!L$2:L$23)*$C13</f>
        <v>121.22136642624015</v>
      </c>
      <c r="J13" s="5">
        <f>_xlfn.XLOOKUP($A13,Properties!$A$2:$A$23,Properties!M$2:M$23)*$C13</f>
        <v>145.46563971148817</v>
      </c>
    </row>
    <row r="14" spans="1:10" x14ac:dyDescent="0.35">
      <c r="A14" t="str">
        <v>Fleet Street</v>
      </c>
      <c r="B14" t="str">
        <f>_xlfn.XLOOKUP($A14,Properties!$A$2:$A$23,Properties!B$2:B$23)</f>
        <v>Red</v>
      </c>
      <c r="C14" s="1">
        <f>_xlfn.XLOOKUP($A14,Properties!$A$2:$A$23,Properties!C$2:C$23)</f>
        <v>0.13796913894163254</v>
      </c>
      <c r="D14" s="5">
        <f>_xlfn.XLOOKUP($A14,Properties!$A$2:$A$23,Properties!G$2:G$23)*$C14</f>
        <v>2.4834445009493855</v>
      </c>
      <c r="E14" s="5">
        <f>_xlfn.XLOOKUP($A14,Properties!$A$2:$A$23,Properties!H$2:H$23)*$C14</f>
        <v>4.966889001898771</v>
      </c>
      <c r="F14" s="5">
        <f>_xlfn.XLOOKUP($A14,Properties!$A$2:$A$23,Properties!I$2:I$23)*$C14</f>
        <v>12.417222504746929</v>
      </c>
      <c r="G14" s="5">
        <f>_xlfn.XLOOKUP($A14,Properties!$A$2:$A$23,Properties!J$2:J$23)*$C14</f>
        <v>34.492284735408134</v>
      </c>
      <c r="H14" s="5">
        <f>_xlfn.XLOOKUP($A14,Properties!$A$2:$A$23,Properties!K$2:K$23)*$C14</f>
        <v>96.578397259142776</v>
      </c>
      <c r="I14" s="5">
        <f>_xlfn.XLOOKUP($A14,Properties!$A$2:$A$23,Properties!L$2:L$23)*$C14</f>
        <v>120.72299657392847</v>
      </c>
      <c r="J14" s="5">
        <f>_xlfn.XLOOKUP($A14,Properties!$A$2:$A$23,Properties!M$2:M$23)*$C14</f>
        <v>144.86759588871416</v>
      </c>
    </row>
    <row r="15" spans="1:10" x14ac:dyDescent="0.35">
      <c r="A15" t="str">
        <v>Trafalgar Square</v>
      </c>
      <c r="B15" t="str">
        <f>_xlfn.XLOOKUP($A15,Properties!$A$2:$A$23,Properties!B$2:B$23)</f>
        <v>Red</v>
      </c>
      <c r="C15" s="1">
        <f>_xlfn.XLOOKUP($A15,Properties!$A$2:$A$23,Properties!C$2:C$23)</f>
        <v>0.16481275805334644</v>
      </c>
      <c r="D15" s="5">
        <f>_xlfn.XLOOKUP($A15,Properties!$A$2:$A$23,Properties!G$2:G$23)*$C15</f>
        <v>3.2962551610669291</v>
      </c>
      <c r="E15" s="5">
        <f>_xlfn.XLOOKUP($A15,Properties!$A$2:$A$23,Properties!H$2:H$23)*$C15</f>
        <v>6.5925103221338581</v>
      </c>
      <c r="F15" s="5">
        <f>_xlfn.XLOOKUP($A15,Properties!$A$2:$A$23,Properties!I$2:I$23)*$C15</f>
        <v>16.481275805334644</v>
      </c>
      <c r="G15" s="5">
        <f>_xlfn.XLOOKUP($A15,Properties!$A$2:$A$23,Properties!J$2:J$23)*$C15</f>
        <v>49.443827416003934</v>
      </c>
      <c r="H15" s="5">
        <f>_xlfn.XLOOKUP($A15,Properties!$A$2:$A$23,Properties!K$2:K$23)*$C15</f>
        <v>123.60956854000983</v>
      </c>
      <c r="I15" s="5">
        <f>_xlfn.XLOOKUP($A15,Properties!$A$2:$A$23,Properties!L$2:L$23)*$C15</f>
        <v>152.45180119934545</v>
      </c>
      <c r="J15" s="5">
        <f>_xlfn.XLOOKUP($A15,Properties!$A$2:$A$23,Properties!M$2:M$23)*$C15</f>
        <v>181.29403385868108</v>
      </c>
    </row>
    <row r="16" spans="1:10" x14ac:dyDescent="0.35">
      <c r="A16" t="str">
        <v>Leceister Square</v>
      </c>
      <c r="B16" t="str">
        <f>_xlfn.XLOOKUP($A16,Properties!$A$2:$A$23,Properties!B$2:B$23)</f>
        <v>Yellow</v>
      </c>
      <c r="C16" s="1">
        <f>_xlfn.XLOOKUP($A16,Properties!$A$2:$A$23,Properties!C$2:C$23)</f>
        <v>0.13242742312437319</v>
      </c>
      <c r="D16" s="5">
        <f>_xlfn.XLOOKUP($A16,Properties!$A$2:$A$23,Properties!G$2:G$23)*$C16</f>
        <v>2.9134033087362101</v>
      </c>
      <c r="E16" s="5">
        <f>_xlfn.XLOOKUP($A16,Properties!$A$2:$A$23,Properties!H$2:H$23)*$C16</f>
        <v>5.8268066174724202</v>
      </c>
      <c r="F16" s="5">
        <f>_xlfn.XLOOKUP($A16,Properties!$A$2:$A$23,Properties!I$2:I$23)*$C16</f>
        <v>14.567016543681051</v>
      </c>
      <c r="G16" s="5">
        <f>_xlfn.XLOOKUP($A16,Properties!$A$2:$A$23,Properties!J$2:J$23)*$C16</f>
        <v>43.701049631043155</v>
      </c>
      <c r="H16" s="5">
        <f>_xlfn.XLOOKUP($A16,Properties!$A$2:$A$23,Properties!K$2:K$23)*$C16</f>
        <v>105.94193849949856</v>
      </c>
      <c r="I16" s="5">
        <f>_xlfn.XLOOKUP($A16,Properties!$A$2:$A$23,Properties!L$2:L$23)*$C16</f>
        <v>129.11673754626386</v>
      </c>
      <c r="J16" s="5">
        <f>_xlfn.XLOOKUP($A16,Properties!$A$2:$A$23,Properties!M$2:M$23)*$C16</f>
        <v>152.29153659302918</v>
      </c>
    </row>
    <row r="17" spans="1:10" x14ac:dyDescent="0.35">
      <c r="A17" t="str">
        <v>Coventry Street</v>
      </c>
      <c r="B17" t="str">
        <f>_xlfn.XLOOKUP($A17,Properties!$A$2:$A$23,Properties!B$2:B$23)</f>
        <v>Yellow</v>
      </c>
      <c r="C17" s="1">
        <f>_xlfn.XLOOKUP($A17,Properties!$A$2:$A$23,Properties!C$2:C$23)</f>
        <v>0.13285282018416594</v>
      </c>
      <c r="D17" s="5">
        <f>_xlfn.XLOOKUP($A17,Properties!$A$2:$A$23,Properties!G$2:G$23)*$C17</f>
        <v>2.9227620440516509</v>
      </c>
      <c r="E17" s="5">
        <f>_xlfn.XLOOKUP($A17,Properties!$A$2:$A$23,Properties!H$2:H$23)*$C17</f>
        <v>5.8455240881033017</v>
      </c>
      <c r="F17" s="5">
        <f>_xlfn.XLOOKUP($A17,Properties!$A$2:$A$23,Properties!I$2:I$23)*$C17</f>
        <v>14.613810220258253</v>
      </c>
      <c r="G17" s="5">
        <f>_xlfn.XLOOKUP($A17,Properties!$A$2:$A$23,Properties!J$2:J$23)*$C17</f>
        <v>43.841430660774762</v>
      </c>
      <c r="H17" s="5">
        <f>_xlfn.XLOOKUP($A17,Properties!$A$2:$A$23,Properties!K$2:K$23)*$C17</f>
        <v>106.28225614733276</v>
      </c>
      <c r="I17" s="5">
        <f>_xlfn.XLOOKUP($A17,Properties!$A$2:$A$23,Properties!L$2:L$23)*$C17</f>
        <v>129.53149967956179</v>
      </c>
      <c r="J17" s="5">
        <f>_xlfn.XLOOKUP($A17,Properties!$A$2:$A$23,Properties!M$2:M$23)*$C17</f>
        <v>152.78074321179082</v>
      </c>
    </row>
    <row r="18" spans="1:10" x14ac:dyDescent="0.35">
      <c r="A18" t="str">
        <v>Piccadilly</v>
      </c>
      <c r="B18" t="str">
        <f>_xlfn.XLOOKUP($A18,Properties!$A$2:$A$23,Properties!B$2:B$23)</f>
        <v>Yellow</v>
      </c>
      <c r="C18" s="1">
        <f>_xlfn.XLOOKUP($A18,Properties!$A$2:$A$23,Properties!C$2:C$23)</f>
        <v>0.1319630433357909</v>
      </c>
      <c r="D18" s="5">
        <f>_xlfn.XLOOKUP($A18,Properties!$A$2:$A$23,Properties!G$2:G$23)*$C18</f>
        <v>3.1671130400589815</v>
      </c>
      <c r="E18" s="5">
        <f>_xlfn.XLOOKUP($A18,Properties!$A$2:$A$23,Properties!H$2:H$23)*$C18</f>
        <v>6.3342260801179631</v>
      </c>
      <c r="F18" s="5">
        <f>_xlfn.XLOOKUP($A18,Properties!$A$2:$A$23,Properties!I$2:I$23)*$C18</f>
        <v>15.835565200294909</v>
      </c>
      <c r="G18" s="5">
        <f>_xlfn.XLOOKUP($A18,Properties!$A$2:$A$23,Properties!J$2:J$23)*$C18</f>
        <v>47.506695600884726</v>
      </c>
      <c r="H18" s="5">
        <f>_xlfn.XLOOKUP($A18,Properties!$A$2:$A$23,Properties!K$2:K$23)*$C18</f>
        <v>112.16858683542226</v>
      </c>
      <c r="I18" s="5">
        <f>_xlfn.XLOOKUP($A18,Properties!$A$2:$A$23,Properties!L$2:L$23)*$C18</f>
        <v>135.26211941918567</v>
      </c>
      <c r="J18" s="5">
        <f>_xlfn.XLOOKUP($A18,Properties!$A$2:$A$23,Properties!M$2:M$23)*$C18</f>
        <v>158.35565200294909</v>
      </c>
    </row>
    <row r="19" spans="1:10" x14ac:dyDescent="0.35">
      <c r="A19" t="str">
        <v>Regent Street</v>
      </c>
      <c r="B19" t="str">
        <f>_xlfn.XLOOKUP($A19,Properties!$A$2:$A$23,Properties!B$2:B$23)</f>
        <v>Green</v>
      </c>
      <c r="C19" s="1">
        <f>_xlfn.XLOOKUP($A19,Properties!$A$2:$A$23,Properties!C$2:C$23)</f>
        <v>0.1330021984073263</v>
      </c>
      <c r="D19" s="5">
        <f>_xlfn.XLOOKUP($A19,Properties!$A$2:$A$23,Properties!G$2:G$23)*$C19</f>
        <v>3.458057158590484</v>
      </c>
      <c r="E19" s="5">
        <f>_xlfn.XLOOKUP($A19,Properties!$A$2:$A$23,Properties!H$2:H$23)*$C19</f>
        <v>6.916114317180968</v>
      </c>
      <c r="F19" s="5">
        <f>_xlfn.XLOOKUP($A19,Properties!$A$2:$A$23,Properties!I$2:I$23)*$C19</f>
        <v>17.290285792952417</v>
      </c>
      <c r="G19" s="5">
        <f>_xlfn.XLOOKUP($A19,Properties!$A$2:$A$23,Properties!J$2:J$23)*$C19</f>
        <v>51.870857378857259</v>
      </c>
      <c r="H19" s="5">
        <f>_xlfn.XLOOKUP($A19,Properties!$A$2:$A$23,Properties!K$2:K$23)*$C19</f>
        <v>119.70197856659367</v>
      </c>
      <c r="I19" s="5">
        <f>_xlfn.XLOOKUP($A19,Properties!$A$2:$A$23,Properties!L$2:L$23)*$C19</f>
        <v>146.30241824805893</v>
      </c>
      <c r="J19" s="5">
        <f>_xlfn.XLOOKUP($A19,Properties!$A$2:$A$23,Properties!M$2:M$23)*$C19</f>
        <v>169.57780296934104</v>
      </c>
    </row>
    <row r="20" spans="1:10" x14ac:dyDescent="0.35">
      <c r="A20" t="str">
        <v>Oxford Street</v>
      </c>
      <c r="B20" t="str">
        <f>_xlfn.XLOOKUP($A20,Properties!$A$2:$A$23,Properties!B$2:B$23)</f>
        <v>Green</v>
      </c>
      <c r="C20" s="1">
        <f>_xlfn.XLOOKUP($A20,Properties!$A$2:$A$23,Properties!C$2:C$23)</f>
        <v>0.13221490751414741</v>
      </c>
      <c r="D20" s="5">
        <f>_xlfn.XLOOKUP($A20,Properties!$A$2:$A$23,Properties!G$2:G$23)*$C20</f>
        <v>3.4375875953678325</v>
      </c>
      <c r="E20" s="5">
        <f>_xlfn.XLOOKUP($A20,Properties!$A$2:$A$23,Properties!H$2:H$23)*$C20</f>
        <v>6.8751751907356651</v>
      </c>
      <c r="F20" s="5">
        <f>_xlfn.XLOOKUP($A20,Properties!$A$2:$A$23,Properties!I$2:I$23)*$C20</f>
        <v>17.187937976839162</v>
      </c>
      <c r="G20" s="5">
        <f>_xlfn.XLOOKUP($A20,Properties!$A$2:$A$23,Properties!J$2:J$23)*$C20</f>
        <v>51.56381393051749</v>
      </c>
      <c r="H20" s="5">
        <f>_xlfn.XLOOKUP($A20,Properties!$A$2:$A$23,Properties!K$2:K$23)*$C20</f>
        <v>118.99341676273266</v>
      </c>
      <c r="I20" s="5">
        <f>_xlfn.XLOOKUP($A20,Properties!$A$2:$A$23,Properties!L$2:L$23)*$C20</f>
        <v>145.43639826556216</v>
      </c>
      <c r="J20" s="5">
        <f>_xlfn.XLOOKUP($A20,Properties!$A$2:$A$23,Properties!M$2:M$23)*$C20</f>
        <v>168.57400708053794</v>
      </c>
    </row>
    <row r="21" spans="1:10" x14ac:dyDescent="0.35">
      <c r="A21" t="str">
        <v>Bond Street</v>
      </c>
      <c r="B21" t="str">
        <f>_xlfn.XLOOKUP($A21,Properties!$A$2:$A$23,Properties!B$2:B$23)</f>
        <v>Green</v>
      </c>
      <c r="C21" s="1">
        <f>_xlfn.XLOOKUP($A21,Properties!$A$2:$A$23,Properties!C$2:C$23)</f>
        <v>0.12695624483680287</v>
      </c>
      <c r="D21" s="5">
        <f>_xlfn.XLOOKUP($A21,Properties!$A$2:$A$23,Properties!G$2:G$23)*$C21</f>
        <v>3.5547748554304803</v>
      </c>
      <c r="E21" s="5">
        <f>_xlfn.XLOOKUP($A21,Properties!$A$2:$A$23,Properties!H$2:H$23)*$C21</f>
        <v>7.1095497108609607</v>
      </c>
      <c r="F21" s="5">
        <f>_xlfn.XLOOKUP($A21,Properties!$A$2:$A$23,Properties!I$2:I$23)*$C21</f>
        <v>19.043436725520429</v>
      </c>
      <c r="G21" s="5">
        <f>_xlfn.XLOOKUP($A21,Properties!$A$2:$A$23,Properties!J$2:J$23)*$C21</f>
        <v>57.130310176561295</v>
      </c>
      <c r="H21" s="5">
        <f>_xlfn.XLOOKUP($A21,Properties!$A$2:$A$23,Properties!K$2:K$23)*$C21</f>
        <v>126.95624483680287</v>
      </c>
      <c r="I21" s="5">
        <f>_xlfn.XLOOKUP($A21,Properties!$A$2:$A$23,Properties!L$2:L$23)*$C21</f>
        <v>152.34749380416343</v>
      </c>
      <c r="J21" s="5">
        <f>_xlfn.XLOOKUP($A21,Properties!$A$2:$A$23,Properties!M$2:M$23)*$C21</f>
        <v>177.73874277152402</v>
      </c>
    </row>
    <row r="22" spans="1:10" x14ac:dyDescent="0.35">
      <c r="A22" t="str">
        <v>Park Lane</v>
      </c>
      <c r="B22" t="str">
        <f>_xlfn.XLOOKUP($A22,Properties!$A$2:$A$23,Properties!B$2:B$23)</f>
        <v>Dark Blue</v>
      </c>
      <c r="C22" s="1">
        <f>_xlfn.XLOOKUP($A22,Properties!$A$2:$A$23,Properties!C$2:C$23)</f>
        <v>0.11833288827511029</v>
      </c>
      <c r="D22" s="5">
        <f>_xlfn.XLOOKUP($A22,Properties!$A$2:$A$23,Properties!G$2:G$23)*$C22</f>
        <v>4.1416510896288603</v>
      </c>
      <c r="E22" s="5">
        <f>_xlfn.XLOOKUP($A22,Properties!$A$2:$A$23,Properties!H$2:H$23)*$C22</f>
        <v>8.2833021792577206</v>
      </c>
      <c r="F22" s="5">
        <f>_xlfn.XLOOKUP($A22,Properties!$A$2:$A$23,Properties!I$2:I$23)*$C22</f>
        <v>20.7082554481443</v>
      </c>
      <c r="G22" s="5">
        <f>_xlfn.XLOOKUP($A22,Properties!$A$2:$A$23,Properties!J$2:J$23)*$C22</f>
        <v>59.166444137555146</v>
      </c>
      <c r="H22" s="5">
        <f>_xlfn.XLOOKUP($A22,Properties!$A$2:$A$23,Properties!K$2:K$23)*$C22</f>
        <v>130.16617710262133</v>
      </c>
      <c r="I22" s="5">
        <f>_xlfn.XLOOKUP($A22,Properties!$A$2:$A$23,Properties!L$2:L$23)*$C22</f>
        <v>153.83275475764339</v>
      </c>
      <c r="J22" s="5">
        <f>_xlfn.XLOOKUP($A22,Properties!$A$2:$A$23,Properties!M$2:M$23)*$C22</f>
        <v>177.49933241266544</v>
      </c>
    </row>
    <row r="23" spans="1:10" x14ac:dyDescent="0.35">
      <c r="A23" t="str">
        <v>Mayfair</v>
      </c>
      <c r="B23" t="str">
        <f>_xlfn.XLOOKUP($A23,Properties!$A$2:$A$23,Properties!B$2:B$23)</f>
        <v>Dark Blue</v>
      </c>
      <c r="C23" s="1">
        <f>_xlfn.XLOOKUP($A23,Properties!$A$2:$A$23,Properties!C$2:C$23)</f>
        <v>0.13379687091961787</v>
      </c>
      <c r="D23" s="5">
        <f>_xlfn.XLOOKUP($A23,Properties!$A$2:$A$23,Properties!G$2:G$23)*$C23</f>
        <v>6.6898435459808931</v>
      </c>
      <c r="E23" s="5">
        <f>_xlfn.XLOOKUP($A23,Properties!$A$2:$A$23,Properties!H$2:H$23)*$C23</f>
        <v>13.379687091961786</v>
      </c>
      <c r="F23" s="5">
        <f>_xlfn.XLOOKUP($A23,Properties!$A$2:$A$23,Properties!I$2:I$23)*$C23</f>
        <v>26.759374183923573</v>
      </c>
      <c r="G23" s="5">
        <f>_xlfn.XLOOKUP($A23,Properties!$A$2:$A$23,Properties!J$2:J$23)*$C23</f>
        <v>80.278122551770721</v>
      </c>
      <c r="H23" s="5">
        <f>_xlfn.XLOOKUP($A23,Properties!$A$2:$A$23,Properties!K$2:K$23)*$C23</f>
        <v>187.31561928746501</v>
      </c>
      <c r="I23" s="5">
        <f>_xlfn.XLOOKUP($A23,Properties!$A$2:$A$23,Properties!L$2:L$23)*$C23</f>
        <v>227.45468056335037</v>
      </c>
      <c r="J23" s="5">
        <f>_xlfn.XLOOKUP($A23,Properties!$A$2:$A$23,Properties!M$2:M$23)*$C23</f>
        <v>267.59374183923575</v>
      </c>
    </row>
    <row r="26" spans="1:10" x14ac:dyDescent="0.35">
      <c r="D26" s="5"/>
    </row>
    <row r="27" spans="1:10" x14ac:dyDescent="0.35">
      <c r="D27" s="5"/>
    </row>
    <row r="28" spans="1:10" x14ac:dyDescent="0.35">
      <c r="D28" s="5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5932-3B28-4C45-86A2-9E7917D504A2}">
  <dimension ref="A1:G9"/>
  <sheetViews>
    <sheetView workbookViewId="0"/>
  </sheetViews>
  <sheetFormatPr defaultRowHeight="14.5" x14ac:dyDescent="0.35"/>
  <cols>
    <col min="1" max="1" width="8.81640625" bestFit="1" customWidth="1"/>
    <col min="2" max="2" width="18.7265625" bestFit="1" customWidth="1"/>
    <col min="3" max="3" width="14.26953125" bestFit="1" customWidth="1"/>
    <col min="4" max="6" width="15.08984375" bestFit="1" customWidth="1"/>
    <col min="7" max="7" width="12.36328125" bestFit="1" customWidth="1"/>
  </cols>
  <sheetData>
    <row r="1" spans="1:7" x14ac:dyDescent="0.35">
      <c r="A1" t="s">
        <v>54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35">
      <c r="A2" t="s">
        <v>46</v>
      </c>
      <c r="B2" s="5">
        <f>SUMIF('Property Per Lap'!$B2:$B23,Sets!$A2,'Property Per Lap'!E2:E23)</f>
        <v>1.3284687876802943</v>
      </c>
      <c r="C2" s="5">
        <f>SUMIF('Property Per Lap'!$B2:$B23,Sets!$A2,'Property Per Lap'!F2:F23)</f>
        <v>3.3211719692007362</v>
      </c>
      <c r="D2" s="5">
        <f>SUMIF('Property Per Lap'!$B2:$B23,Sets!$A2,'Property Per Lap'!G2:G23)</f>
        <v>9.9635159076022077</v>
      </c>
      <c r="E2" s="5">
        <f>SUMIF('Property Per Lap'!$B2:$B23,Sets!$A2,'Property Per Lap'!H2:H23)</f>
        <v>18.787583972169092</v>
      </c>
      <c r="F2" s="5">
        <f>SUMIF('Property Per Lap'!$B2:$B23,Sets!$A2,'Property Per Lap'!I2:I23)</f>
        <v>53.138751507211779</v>
      </c>
      <c r="G2" s="5">
        <f>SUMIF('Property Per Lap'!$B2:$B23,Sets!$A2,'Property Per Lap'!J2:J23)</f>
        <v>77.477817354699624</v>
      </c>
    </row>
    <row r="3" spans="1:7" x14ac:dyDescent="0.35">
      <c r="A3" t="s">
        <v>47</v>
      </c>
      <c r="B3" s="5">
        <f>SUMIF('Property Per Lap'!$B3:$B24,Sets!$A3,'Property Per Lap'!E3:E24)</f>
        <v>4.673767092708653</v>
      </c>
      <c r="C3" s="5">
        <f>SUMIF('Property Per Lap'!$B3:$B24,Sets!$A3,'Property Per Lap'!F3:F24)</f>
        <v>11.684417731771633</v>
      </c>
      <c r="D3" s="5">
        <f>SUMIF('Property Per Lap'!$B3:$B24,Sets!$A3,'Property Per Lap'!G3:G24)</f>
        <v>32.714116180497982</v>
      </c>
      <c r="E3" s="5">
        <f>SUMIF('Property Per Lap'!$B3:$B24,Sets!$A3,'Property Per Lap'!H3:H24)</f>
        <v>98.142348541493931</v>
      </c>
      <c r="F3" s="5">
        <f>SUMIF('Property Per Lap'!$B3:$B24,Sets!$A3,'Property Per Lap'!I3:I24)</f>
        <v>146.04583219521794</v>
      </c>
      <c r="G3" s="5">
        <f>SUMIF('Property Per Lap'!$B3:$B24,Sets!$A3,'Property Per Lap'!J3:J24)</f>
        <v>198.6200783170338</v>
      </c>
    </row>
    <row r="4" spans="1:7" x14ac:dyDescent="0.35">
      <c r="A4" t="s">
        <v>48</v>
      </c>
      <c r="B4" s="5">
        <f>SUMIF('Property Per Lap'!$B4:$B25,Sets!$A4,'Property Per Lap'!E4:E25)</f>
        <v>8.2478141238288565</v>
      </c>
      <c r="C4" s="5">
        <f>SUMIF('Property Per Lap'!$B4:$B25,Sets!$A4,'Property Per Lap'!F4:F25)</f>
        <v>20.619535309572139</v>
      </c>
      <c r="D4" s="5">
        <f>SUMIF('Property Per Lap'!$B4:$B25,Sets!$A4,'Property Per Lap'!G4:G25)</f>
        <v>61.858605928716415</v>
      </c>
      <c r="E4" s="5">
        <f>SUMIF('Property Per Lap'!$B4:$B25,Sets!$A4,'Property Per Lap'!H4:H25)</f>
        <v>180.44998553869499</v>
      </c>
      <c r="F4" s="5">
        <f>SUMIF('Property Per Lap'!$B4:$B25,Sets!$A4,'Property Per Lap'!I4:I25)</f>
        <v>251.33690106033393</v>
      </c>
      <c r="G4" s="5">
        <f>SUMIF('Property Per Lap'!$B4:$B25,Sets!$A4,'Property Per Lap'!J4:J25)</f>
        <v>309.29302964358209</v>
      </c>
    </row>
    <row r="5" spans="1:7" x14ac:dyDescent="0.35">
      <c r="A5" t="s">
        <v>49</v>
      </c>
      <c r="B5" s="5">
        <f>SUMIF('Property Per Lap'!$B5:$B26,Sets!$A5,'Property Per Lap'!E5:E26)</f>
        <v>12.597282793588478</v>
      </c>
      <c r="C5" s="5">
        <f>SUMIF('Property Per Lap'!$B5:$B26,Sets!$A5,'Property Per Lap'!F5:F26)</f>
        <v>31.493206983971199</v>
      </c>
      <c r="D5" s="5">
        <f>SUMIF('Property Per Lap'!$B5:$B26,Sets!$A5,'Property Per Lap'!G5:G26)</f>
        <v>88.715904375412578</v>
      </c>
      <c r="E5" s="5">
        <f>SUMIF('Property Per Lap'!$B5:$B26,Sets!$A5,'Property Per Lap'!H5:H26)</f>
        <v>243.23100294475663</v>
      </c>
      <c r="F5" s="5">
        <f>SUMIF('Property Per Lap'!$B5:$B26,Sets!$A5,'Property Per Lap'!I5:I26)</f>
        <v>328.99597096965726</v>
      </c>
      <c r="G5" s="5">
        <f>SUMIF('Property Per Lap'!$B5:$B26,Sets!$A5,'Property Per Lap'!J5:J26)</f>
        <v>414.76093899455788</v>
      </c>
    </row>
    <row r="6" spans="1:7" x14ac:dyDescent="0.35">
      <c r="A6" t="s">
        <v>50</v>
      </c>
      <c r="B6" s="5">
        <f>SUMIF('Property Per Lap'!$B6:$B27,Sets!$A6,'Property Per Lap'!E6:E27)</f>
        <v>16.546792685569365</v>
      </c>
      <c r="C6" s="5">
        <f>SUMIF('Property Per Lap'!$B6:$B27,Sets!$A6,'Property Per Lap'!F6:F27)</f>
        <v>41.366981713923423</v>
      </c>
      <c r="D6" s="5">
        <f>SUMIF('Property Per Lap'!$B6:$B27,Sets!$A6,'Property Per Lap'!G6:G27)</f>
        <v>118.57078827319498</v>
      </c>
      <c r="E6" s="5">
        <f>SUMIF('Property Per Lap'!$B6:$B27,Sets!$A6,'Property Per Lap'!H6:H27)</f>
        <v>317.16505894014472</v>
      </c>
      <c r="F6" s="5">
        <f>SUMIF('Property Per Lap'!$B6:$B27,Sets!$A6,'Property Per Lap'!I6:I27)</f>
        <v>394.39616419951403</v>
      </c>
      <c r="G6" s="5">
        <f>SUMIF('Property Per Lap'!$B6:$B27,Sets!$A6,'Property Per Lap'!J6:J27)</f>
        <v>471.6272694588834</v>
      </c>
    </row>
    <row r="7" spans="1:7" x14ac:dyDescent="0.35">
      <c r="A7" t="s">
        <v>51</v>
      </c>
      <c r="B7" s="5">
        <f>SUMIF('Property Per Lap'!$B7:$B28,Sets!$A7,'Property Per Lap'!E7:E28)</f>
        <v>18.006556785693682</v>
      </c>
      <c r="C7" s="5">
        <f>SUMIF('Property Per Lap'!$B7:$B28,Sets!$A7,'Property Per Lap'!F7:F28)</f>
        <v>45.016391964234217</v>
      </c>
      <c r="D7" s="5">
        <f>SUMIF('Property Per Lap'!$B7:$B28,Sets!$A7,'Property Per Lap'!G7:G28)</f>
        <v>135.04917589270264</v>
      </c>
      <c r="E7" s="5">
        <f>SUMIF('Property Per Lap'!$B7:$B28,Sets!$A7,'Property Per Lap'!H7:H28)</f>
        <v>324.39278148225361</v>
      </c>
      <c r="F7" s="5">
        <f>SUMIF('Property Per Lap'!$B7:$B28,Sets!$A7,'Property Per Lap'!I7:I28)</f>
        <v>393.91035664501135</v>
      </c>
      <c r="G7" s="5">
        <f>SUMIF('Property Per Lap'!$B7:$B28,Sets!$A7,'Property Per Lap'!J7:J28)</f>
        <v>463.42793180776914</v>
      </c>
    </row>
    <row r="8" spans="1:7" x14ac:dyDescent="0.35">
      <c r="A8" t="s">
        <v>52</v>
      </c>
      <c r="B8" s="5">
        <f>SUMIF('Property Per Lap'!$B8:$B29,Sets!$A8,'Property Per Lap'!E8:E29)</f>
        <v>20.900839218777595</v>
      </c>
      <c r="C8" s="5">
        <f>SUMIF('Property Per Lap'!$B8:$B29,Sets!$A8,'Property Per Lap'!F8:F29)</f>
        <v>53.521660495312013</v>
      </c>
      <c r="D8" s="5">
        <f>SUMIF('Property Per Lap'!$B8:$B29,Sets!$A8,'Property Per Lap'!G8:G29)</f>
        <v>160.56498148593604</v>
      </c>
      <c r="E8" s="5">
        <f>SUMIF('Property Per Lap'!$B8:$B29,Sets!$A8,'Property Per Lap'!H8:H29)</f>
        <v>365.6516401661292</v>
      </c>
      <c r="F8" s="5">
        <f>SUMIF('Property Per Lap'!$B8:$B29,Sets!$A8,'Property Per Lap'!I8:I29)</f>
        <v>444.08631031778452</v>
      </c>
      <c r="G8" s="5">
        <f>SUMIF('Property Per Lap'!$B8:$B29,Sets!$A8,'Property Per Lap'!J8:J29)</f>
        <v>515.89055282140293</v>
      </c>
    </row>
    <row r="9" spans="1:7" x14ac:dyDescent="0.35">
      <c r="A9" t="s">
        <v>53</v>
      </c>
      <c r="B9" s="5">
        <f>SUMIF('Property Per Lap'!$B9:$B30,Sets!$A9,'Property Per Lap'!E9:E30)</f>
        <v>21.662989271219509</v>
      </c>
      <c r="C9" s="5">
        <f>SUMIF('Property Per Lap'!$B9:$B30,Sets!$A9,'Property Per Lap'!F9:F30)</f>
        <v>47.467629632067869</v>
      </c>
      <c r="D9" s="5">
        <f>SUMIF('Property Per Lap'!$B9:$B30,Sets!$A9,'Property Per Lap'!G9:G30)</f>
        <v>139.44456668932588</v>
      </c>
      <c r="E9" s="5">
        <f>SUMIF('Property Per Lap'!$B9:$B30,Sets!$A9,'Property Per Lap'!H9:H30)</f>
        <v>317.48179639008634</v>
      </c>
      <c r="F9" s="5">
        <f>SUMIF('Property Per Lap'!$B9:$B30,Sets!$A9,'Property Per Lap'!I9:I30)</f>
        <v>381.28743532099372</v>
      </c>
      <c r="G9" s="5">
        <f>SUMIF('Property Per Lap'!$B9:$B30,Sets!$A9,'Property Per Lap'!J9:J30)</f>
        <v>445.09307425190116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FCC5-96D6-4CB1-B27A-93FC00EDF3CE}">
  <dimension ref="A1:L5"/>
  <sheetViews>
    <sheetView workbookViewId="0">
      <selection activeCell="I5" sqref="I5"/>
    </sheetView>
  </sheetViews>
  <sheetFormatPr defaultRowHeight="14.5" x14ac:dyDescent="0.35"/>
  <cols>
    <col min="1" max="1" width="15.1796875" bestFit="1" customWidth="1"/>
    <col min="2" max="2" width="15.6328125" bestFit="1" customWidth="1"/>
    <col min="3" max="3" width="22.36328125" bestFit="1" customWidth="1"/>
    <col min="4" max="5" width="29.26953125" bestFit="1" customWidth="1"/>
    <col min="6" max="6" width="18.7265625" bestFit="1" customWidth="1"/>
    <col min="7" max="7" width="25.453125" bestFit="1" customWidth="1"/>
    <col min="8" max="8" width="25.453125" customWidth="1"/>
    <col min="9" max="10" width="18.08984375" bestFit="1" customWidth="1"/>
  </cols>
  <sheetData>
    <row r="1" spans="1:12" x14ac:dyDescent="0.35">
      <c r="A1" t="s">
        <v>43</v>
      </c>
      <c r="B1" t="s">
        <v>71</v>
      </c>
      <c r="C1" t="s">
        <v>70</v>
      </c>
      <c r="D1" t="s">
        <v>74</v>
      </c>
      <c r="E1" t="s">
        <v>75</v>
      </c>
      <c r="F1" t="s">
        <v>72</v>
      </c>
      <c r="G1" t="s">
        <v>73</v>
      </c>
      <c r="H1" t="s">
        <v>69</v>
      </c>
      <c r="I1" t="s">
        <v>76</v>
      </c>
      <c r="J1" t="s">
        <v>77</v>
      </c>
    </row>
    <row r="2" spans="1:12" x14ac:dyDescent="0.35">
      <c r="A2" t="s">
        <v>9</v>
      </c>
      <c r="B2">
        <v>207052888</v>
      </c>
      <c r="C2" s="4" cm="1">
        <f t="array" ref="C2:C3">B2:B3/Sheet1!B1</f>
        <v>0.95883660940765403</v>
      </c>
      <c r="D2" cm="1">
        <f t="array" ref="D2:D3">C2:C3*4</f>
        <v>3.8353464376306161</v>
      </c>
      <c r="E2" cm="1">
        <f t="array" ref="E2:E3">C2:C3*10</f>
        <v>9.5883660940765409</v>
      </c>
      <c r="F2">
        <v>24235239</v>
      </c>
      <c r="G2" cm="1">
        <f t="array" ref="G2:G3">F2:F3/Sheet1!B1</f>
        <v>0.11223042873444077</v>
      </c>
      <c r="H2" cm="1">
        <f t="array" ref="H2:H3">_xlfn.ANCHORARRAY(G2)*10</f>
        <v>1.1223042873444076</v>
      </c>
      <c r="I2" s="5" cm="1">
        <f t="array" ref="I2:J3">D2:E3+_xlfn.ANCHORARRAY(H2)</f>
        <v>4.9576507249750232</v>
      </c>
      <c r="J2" s="5">
        <v>10.710670381420949</v>
      </c>
      <c r="L2" t="s">
        <v>11</v>
      </c>
    </row>
    <row r="3" spans="1:12" x14ac:dyDescent="0.35">
      <c r="A3" t="s">
        <v>30</v>
      </c>
      <c r="B3" s="3">
        <v>230154756</v>
      </c>
      <c r="C3" s="4">
        <v>1.065818535610505</v>
      </c>
      <c r="D3">
        <v>4.26327414244202</v>
      </c>
      <c r="E3">
        <v>10.658185356105051</v>
      </c>
      <c r="F3">
        <v>14849219</v>
      </c>
      <c r="G3">
        <v>6.8764917677997875E-2</v>
      </c>
      <c r="H3">
        <v>0.68764917677997872</v>
      </c>
      <c r="I3" s="5">
        <v>4.9509233192219986</v>
      </c>
      <c r="J3" s="5">
        <v>11.34583453288503</v>
      </c>
      <c r="L3" t="s">
        <v>10</v>
      </c>
    </row>
    <row r="5" spans="1:12" x14ac:dyDescent="0.35">
      <c r="A5" t="s">
        <v>95</v>
      </c>
      <c r="J5" s="5">
        <f>SUM(J2:J3)</f>
        <v>22.056504914305979</v>
      </c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7F8B-27E9-441F-93A8-F13E3BD47048}">
  <dimension ref="A1:D5"/>
  <sheetViews>
    <sheetView workbookViewId="0">
      <selection activeCell="B3" sqref="B3"/>
    </sheetView>
  </sheetViews>
  <sheetFormatPr defaultRowHeight="14.5" x14ac:dyDescent="0.35"/>
  <cols>
    <col min="1" max="1" width="15.1796875" bestFit="1" customWidth="1"/>
    <col min="2" max="2" width="15.1796875" customWidth="1"/>
    <col min="3" max="4" width="18.08984375" bestFit="1" customWidth="1"/>
  </cols>
  <sheetData>
    <row r="1" spans="1:4" x14ac:dyDescent="0.35">
      <c r="A1" t="str">
        <f>Utilities!A1</f>
        <v>Square</v>
      </c>
      <c r="B1" t="s">
        <v>98</v>
      </c>
      <c r="C1" t="str">
        <f>Utilities!I1</f>
        <v>1 Utility Rent Per Lap</v>
      </c>
      <c r="D1" t="str">
        <f>_xlfn.TEXTBEFORE(C1," Per Lap")</f>
        <v>1 Utility Rent</v>
      </c>
    </row>
    <row r="2" spans="1:4" x14ac:dyDescent="0.35">
      <c r="A2" t="str" cm="1">
        <f t="array" ref="A2:A3">Utilities!A2:A3</f>
        <v>Electric Company</v>
      </c>
      <c r="B2">
        <f>_xlfn.XLOOKUP(A2,Sheet1!A$4:A$43,Sheet1!H$4:H$43)</f>
        <v>150</v>
      </c>
      <c r="C2" s="5">
        <f>_xlfn.XLOOKUP(A2,Utilities!A$2:A$3,Utilities!I$2:I$3)</f>
        <v>4.9576507249750232</v>
      </c>
      <c r="D2" s="5" cm="1">
        <f t="array" ref="D2:D3">B2:B3/_xlfn.ANCHORARRAY(C2)</f>
        <v>30.256266187601529</v>
      </c>
    </row>
    <row r="3" spans="1:4" x14ac:dyDescent="0.35">
      <c r="A3" t="str">
        <v>Water Works</v>
      </c>
      <c r="B3">
        <f>_xlfn.XLOOKUP(A3,Sheet1!A$4:A$43,Sheet1!H$4:H$43)</f>
        <v>150</v>
      </c>
      <c r="C3" s="5">
        <f>_xlfn.XLOOKUP(A3,Utilities!A$2:A$3,Utilities!I$2:I$3)</f>
        <v>4.9509233192219986</v>
      </c>
      <c r="D3" s="5">
        <v>30.256266187601529</v>
      </c>
    </row>
    <row r="5" spans="1:4" x14ac:dyDescent="0.35">
      <c r="A5" t="s">
        <v>101</v>
      </c>
      <c r="B5">
        <f>SUM(B2:B3)</f>
        <v>300</v>
      </c>
      <c r="C5" s="5">
        <f>Utilities!J5</f>
        <v>22.056504914305979</v>
      </c>
      <c r="D5" s="5">
        <f>B5/C5</f>
        <v>13.601429653771584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A88E-1450-4919-9E3A-B6721A350E64}">
  <dimension ref="A1:F8"/>
  <sheetViews>
    <sheetView workbookViewId="0"/>
  </sheetViews>
  <sheetFormatPr defaultRowHeight="14.5" x14ac:dyDescent="0.35"/>
  <cols>
    <col min="1" max="1" width="21.36328125" bestFit="1" customWidth="1"/>
    <col min="2" max="2" width="11.81640625" bestFit="1" customWidth="1"/>
    <col min="3" max="6" width="12" customWidth="1"/>
  </cols>
  <sheetData>
    <row r="1" spans="1:6" ht="29" x14ac:dyDescent="0.35">
      <c r="A1" t="s">
        <v>43</v>
      </c>
      <c r="B1" t="s">
        <v>78</v>
      </c>
      <c r="C1" s="6" t="s">
        <v>79</v>
      </c>
      <c r="D1" s="6" t="s">
        <v>80</v>
      </c>
      <c r="E1" s="6" t="s">
        <v>81</v>
      </c>
      <c r="F1" s="6" t="s">
        <v>82</v>
      </c>
    </row>
    <row r="2" spans="1:6" x14ac:dyDescent="0.35">
      <c r="A2" t="s">
        <v>13</v>
      </c>
      <c r="B2" s="1">
        <f>_xlfn.XLOOKUP(A2,Sheet1!A$4:A$43,Sheet1!F$4:F$43)</f>
        <v>0.16549300157675831</v>
      </c>
      <c r="C2" s="5" cm="1">
        <f t="array" ref="C2:C5">25*B2:B5</f>
        <v>4.1373250394189576</v>
      </c>
      <c r="D2" s="5" cm="1">
        <f t="array" ref="D2:D5">50*B2:B5</f>
        <v>8.2746500788379151</v>
      </c>
      <c r="E2" s="5" cm="1">
        <f t="array" ref="E2:E5">100*B2:B5</f>
        <v>16.54930015767583</v>
      </c>
      <c r="F2" s="5" cm="1">
        <f t="array" ref="F2:F5">200*B2:B5</f>
        <v>33.098600315351661</v>
      </c>
    </row>
    <row r="3" spans="1:6" x14ac:dyDescent="0.35">
      <c r="A3" t="s">
        <v>19</v>
      </c>
      <c r="B3" s="1">
        <f>_xlfn.XLOOKUP(A3,Sheet1!A$4:A$43,Sheet1!F$4:F$43)</f>
        <v>0.15005136291733145</v>
      </c>
      <c r="C3" s="5">
        <v>3.7512840729332861</v>
      </c>
      <c r="D3" s="5">
        <v>7.5025681458665723</v>
      </c>
      <c r="E3" s="5">
        <v>15.005136291733145</v>
      </c>
      <c r="F3" s="5">
        <v>30.010272583466289</v>
      </c>
    </row>
    <row r="4" spans="1:6" x14ac:dyDescent="0.35">
      <c r="A4" t="s">
        <v>27</v>
      </c>
      <c r="B4" s="1">
        <f>_xlfn.XLOOKUP(A4,Sheet1!A$4:A$43,Sheet1!F$4:F$43)</f>
        <v>0.16624888122624754</v>
      </c>
      <c r="C4" s="5">
        <v>4.1562220306561883</v>
      </c>
      <c r="D4" s="5">
        <v>8.3124440613123767</v>
      </c>
      <c r="E4" s="5">
        <v>16.624888122624753</v>
      </c>
      <c r="F4" s="5">
        <v>33.249776245249507</v>
      </c>
    </row>
    <row r="5" spans="1:6" x14ac:dyDescent="0.35">
      <c r="A5" t="s">
        <v>36</v>
      </c>
      <c r="B5" s="1">
        <f>_xlfn.XLOOKUP(A5,Sheet1!A$4:A$43,Sheet1!F$4:F$43)</f>
        <v>0.1239960349683876</v>
      </c>
      <c r="C5" s="5">
        <v>3.0999008742096898</v>
      </c>
      <c r="D5" s="5">
        <v>6.1998017484193797</v>
      </c>
      <c r="E5" s="5">
        <v>12.399603496838759</v>
      </c>
      <c r="F5" s="5">
        <v>24.799206993677519</v>
      </c>
    </row>
    <row r="7" spans="1:6" x14ac:dyDescent="0.35">
      <c r="A7" t="s">
        <v>84</v>
      </c>
      <c r="C7" s="5">
        <f>SMALL(_xlfn.ANCHORARRAY(C2),1)</f>
        <v>3.0999008742096898</v>
      </c>
      <c r="D7" s="5">
        <f>SMALL(_xlfn.ANCHORARRAY(D2),1)+SMALL(_xlfn.ANCHORARRAY(D2),2)</f>
        <v>13.702369894285951</v>
      </c>
      <c r="E7" s="5">
        <f>SMALL(_xlfn.ANCHORARRAY(E2),1)+SMALL(_xlfn.ANCHORARRAY(E2),2)+SMALL(_xlfn.ANCHORARRAY(E2),3)</f>
        <v>43.954039946247732</v>
      </c>
      <c r="F7" s="5">
        <f>SMALL(_xlfn.ANCHORARRAY(F2),1)+SMALL(_xlfn.ANCHORARRAY(F2),2)+SMALL(_xlfn.ANCHORARRAY(F2),3)+SMALL(_xlfn.ANCHORARRAY(F2),4)</f>
        <v>121.15785613774497</v>
      </c>
    </row>
    <row r="8" spans="1:6" x14ac:dyDescent="0.35">
      <c r="A8" t="s">
        <v>83</v>
      </c>
      <c r="C8" s="5">
        <f>LARGE(_xlfn.ANCHORARRAY(C2),1)</f>
        <v>4.1562220306561883</v>
      </c>
      <c r="D8" s="5">
        <f>LARGE(_xlfn.ANCHORARRAY(D2),1)+LARGE(_xlfn.ANCHORARRAY(D2),2)</f>
        <v>16.587094140150292</v>
      </c>
      <c r="E8" s="5">
        <f>LARGE(_xlfn.ANCHORARRAY(E2),1)+LARGE(_xlfn.ANCHORARRAY(E2),2)+LARGE(_xlfn.ANCHORARRAY(E2),3)</f>
        <v>48.179324572033728</v>
      </c>
      <c r="F8" s="5">
        <f>LARGE(_xlfn.ANCHORARRAY(F2),1)+LARGE(_xlfn.ANCHORARRAY(F2),2)+LARGE(_xlfn.ANCHORARRAY(F2),3)+LARGE(_xlfn.ANCHORARRAY(F2),4)</f>
        <v>121.15785613774497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80DF-C66B-4BC9-B1A5-FD28D85F8B06}">
  <dimension ref="A1:F8"/>
  <sheetViews>
    <sheetView workbookViewId="0"/>
  </sheetViews>
  <sheetFormatPr defaultRowHeight="14.5" x14ac:dyDescent="0.35"/>
  <cols>
    <col min="1" max="1" width="21.36328125" bestFit="1" customWidth="1"/>
    <col min="2" max="2" width="8.81640625" customWidth="1"/>
    <col min="3" max="3" width="12.36328125" bestFit="1" customWidth="1"/>
    <col min="4" max="6" width="13.26953125" bestFit="1" customWidth="1"/>
  </cols>
  <sheetData>
    <row r="1" spans="1:6" x14ac:dyDescent="0.35">
      <c r="A1" t="str">
        <f>Stations!A1</f>
        <v>Square</v>
      </c>
      <c r="B1" t="s">
        <v>98</v>
      </c>
      <c r="C1" t="str" cm="1">
        <f t="array" ref="C1:F1">_xlfn.TEXTBEFORE(Stations!C1:F1," Rent Per Lap")</f>
        <v>1 Station</v>
      </c>
      <c r="D1" t="str">
        <v>2 Stations</v>
      </c>
      <c r="E1" t="str">
        <v>3 Stations</v>
      </c>
      <c r="F1" t="str">
        <v>4 Stations</v>
      </c>
    </row>
    <row r="2" spans="1:6" x14ac:dyDescent="0.35">
      <c r="A2" t="str" cm="1">
        <f t="array" ref="A2:A5">Stations!A2:A5</f>
        <v>King's Cross Station</v>
      </c>
      <c r="B2">
        <f>_xlfn.XLOOKUP(A2,Sheet1!A$4:A$43,Sheet1!H$4:H$43)</f>
        <v>200</v>
      </c>
      <c r="C2" s="5">
        <f>$B2/_xlfn.XLOOKUP($A2,Stations!$A$2:$A$5,Stations!C$2:C$5)</f>
        <v>48.34041272911152</v>
      </c>
      <c r="D2" s="5">
        <f>$B2/_xlfn.XLOOKUP($A2,Stations!$A$2:$A$5,Stations!D$2:D$5)</f>
        <v>24.17020636455576</v>
      </c>
      <c r="E2" s="5">
        <f>$B2/_xlfn.XLOOKUP($A2,Stations!$A$2:$A$5,Stations!E$2:E$5)</f>
        <v>12.08510318227788</v>
      </c>
      <c r="F2" s="5">
        <f>$B2/_xlfn.XLOOKUP($A2,Stations!$A$2:$A$5,Stations!F$2:F$5)</f>
        <v>6.04255159113894</v>
      </c>
    </row>
    <row r="3" spans="1:6" x14ac:dyDescent="0.35">
      <c r="A3" t="str">
        <v>Marylebone Station</v>
      </c>
      <c r="B3">
        <f>_xlfn.XLOOKUP(A3,Sheet1!A$4:A$43,Sheet1!H$4:H$43)</f>
        <v>200</v>
      </c>
      <c r="C3" s="5">
        <f>$B3/_xlfn.XLOOKUP($A3,Stations!$A$2:$A$5,Stations!C$2:C$5)</f>
        <v>53.315077213976927</v>
      </c>
      <c r="D3" s="5">
        <f>$B3/_xlfn.XLOOKUP($A3,Stations!$A$2:$A$5,Stations!D$2:D$5)</f>
        <v>26.657538606988464</v>
      </c>
      <c r="E3" s="5">
        <f>$B3/_xlfn.XLOOKUP($A3,Stations!$A$2:$A$5,Stations!E$2:E$5)</f>
        <v>13.328769303494232</v>
      </c>
      <c r="F3" s="5">
        <f>$B3/_xlfn.XLOOKUP($A3,Stations!$A$2:$A$5,Stations!F$2:F$5)</f>
        <v>6.6643846517471159</v>
      </c>
    </row>
    <row r="4" spans="1:6" x14ac:dyDescent="0.35">
      <c r="A4" t="str">
        <v>Fenchurch Street Station</v>
      </c>
      <c r="B4">
        <f>_xlfn.XLOOKUP(A4,Sheet1!A$4:A$43,Sheet1!H$4:H$43)</f>
        <v>200</v>
      </c>
      <c r="C4" s="5">
        <f>$B4/_xlfn.XLOOKUP($A4,Stations!$A$2:$A$5,Stations!C$2:C$5)</f>
        <v>48.120624577995372</v>
      </c>
      <c r="D4" s="5">
        <f>$B4/_xlfn.XLOOKUP($A4,Stations!$A$2:$A$5,Stations!D$2:D$5)</f>
        <v>24.060312288997686</v>
      </c>
      <c r="E4" s="5">
        <f>$B4/_xlfn.XLOOKUP($A4,Stations!$A$2:$A$5,Stations!E$2:E$5)</f>
        <v>12.030156144498843</v>
      </c>
      <c r="F4" s="5">
        <f>$B4/_xlfn.XLOOKUP($A4,Stations!$A$2:$A$5,Stations!F$2:F$5)</f>
        <v>6.0150780722494215</v>
      </c>
    </row>
    <row r="5" spans="1:6" x14ac:dyDescent="0.35">
      <c r="A5" t="str">
        <v>Liverpool Street Station</v>
      </c>
      <c r="B5">
        <f>_xlfn.XLOOKUP(A5,Sheet1!A$4:A$43,Sheet1!H$4:H$43)</f>
        <v>200</v>
      </c>
      <c r="C5" s="5">
        <f>$B5/_xlfn.XLOOKUP($A5,Stations!$A$2:$A$5,Stations!C$2:C$5)</f>
        <v>64.518192069928489</v>
      </c>
      <c r="D5" s="5">
        <f>$B5/_xlfn.XLOOKUP($A5,Stations!$A$2:$A$5,Stations!D$2:D$5)</f>
        <v>32.259096034964244</v>
      </c>
      <c r="E5" s="5">
        <f>$B5/_xlfn.XLOOKUP($A5,Stations!$A$2:$A$5,Stations!E$2:E$5)</f>
        <v>16.129548017482122</v>
      </c>
      <c r="F5" s="5">
        <f>$B5/_xlfn.XLOOKUP($A5,Stations!$A$2:$A$5,Stations!F$2:F$5)</f>
        <v>8.0647740087410611</v>
      </c>
    </row>
    <row r="7" spans="1:6" x14ac:dyDescent="0.35">
      <c r="A7" t="s">
        <v>84</v>
      </c>
      <c r="C7" s="5" cm="1">
        <f t="array" ref="C7:C8">200/Stations!C7:C8</f>
        <v>64.518192069928489</v>
      </c>
      <c r="D7" s="5" cm="1">
        <f t="array" ref="D7:D8">400/Stations!D7:D8</f>
        <v>29.192030509029294</v>
      </c>
      <c r="E7" s="5" cm="1">
        <f t="array" ref="E7:E8">600/Stations!E7:E8</f>
        <v>13.650622348565728</v>
      </c>
      <c r="F7" s="5" cm="1">
        <f t="array" ref="F7:F8">800/Stations!F7:F8</f>
        <v>6.6029560566875336</v>
      </c>
    </row>
    <row r="8" spans="1:6" x14ac:dyDescent="0.35">
      <c r="A8" t="s">
        <v>83</v>
      </c>
      <c r="C8" s="5">
        <v>48.120624577995372</v>
      </c>
      <c r="D8" s="5">
        <v>24.115134128995525</v>
      </c>
      <c r="E8" s="5">
        <v>12.453474707868306</v>
      </c>
      <c r="F8" s="5">
        <v>6.6029560566875336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251D-2CE4-4612-8B80-5EA10383B82D}">
  <dimension ref="A1:F5"/>
  <sheetViews>
    <sheetView workbookViewId="0"/>
  </sheetViews>
  <sheetFormatPr defaultRowHeight="14.5" x14ac:dyDescent="0.35"/>
  <cols>
    <col min="1" max="1" width="12.453125" bestFit="1" customWidth="1"/>
    <col min="2" max="3" width="10.81640625" bestFit="1" customWidth="1"/>
    <col min="4" max="4" width="11.453125" bestFit="1" customWidth="1"/>
    <col min="5" max="5" width="10.26953125" bestFit="1" customWidth="1"/>
    <col min="6" max="6" width="23.26953125" customWidth="1"/>
  </cols>
  <sheetData>
    <row r="1" spans="1:6" ht="29" x14ac:dyDescent="0.35">
      <c r="B1" t="s">
        <v>89</v>
      </c>
      <c r="C1" t="s">
        <v>90</v>
      </c>
      <c r="D1" t="s">
        <v>91</v>
      </c>
      <c r="E1" t="s">
        <v>92</v>
      </c>
      <c r="F1" s="6" t="s">
        <v>94</v>
      </c>
    </row>
    <row r="2" spans="1:6" x14ac:dyDescent="0.35">
      <c r="A2" t="s">
        <v>85</v>
      </c>
      <c r="B2">
        <v>3905674980</v>
      </c>
      <c r="C2">
        <v>1899795690</v>
      </c>
      <c r="D2" cm="1">
        <f t="array" ref="D2:D5">B2:B5-C2:C5</f>
        <v>2005879290</v>
      </c>
      <c r="E2" cm="1">
        <f t="array" ref="E2:E5">_xlfn.ANCHORARRAY(D2)/Sheet1!B1</f>
        <v>9.2889817470434526</v>
      </c>
      <c r="F2">
        <f>B2/Sheet1!B1</f>
        <v>18.086703312592807</v>
      </c>
    </row>
    <row r="3" spans="1:6" x14ac:dyDescent="0.35">
      <c r="A3" t="s">
        <v>86</v>
      </c>
      <c r="B3">
        <v>48422730</v>
      </c>
      <c r="C3">
        <v>244232500</v>
      </c>
      <c r="D3">
        <v>-195809770</v>
      </c>
      <c r="E3">
        <v>-0.90677110456770149</v>
      </c>
    </row>
    <row r="4" spans="1:6" x14ac:dyDescent="0.35">
      <c r="A4" t="s">
        <v>87</v>
      </c>
      <c r="B4">
        <v>0</v>
      </c>
      <c r="C4">
        <v>315541130</v>
      </c>
      <c r="D4">
        <v>-315541130</v>
      </c>
      <c r="E4">
        <v>-1.4612323940048584</v>
      </c>
    </row>
    <row r="5" spans="1:6" x14ac:dyDescent="0.35">
      <c r="A5" t="s">
        <v>88</v>
      </c>
      <c r="B5">
        <v>0</v>
      </c>
      <c r="C5">
        <v>1044387830</v>
      </c>
      <c r="D5">
        <v>-1044387830</v>
      </c>
      <c r="E5">
        <v>-4.8364323506746612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C33F-B05C-4577-AAF6-03D08FB603DC}">
  <dimension ref="A1:L23"/>
  <sheetViews>
    <sheetView workbookViewId="0"/>
  </sheetViews>
  <sheetFormatPr defaultRowHeight="14.5" x14ac:dyDescent="0.35"/>
  <cols>
    <col min="1" max="1" width="21.81640625" bestFit="1" customWidth="1"/>
    <col min="2" max="2" width="8.81640625" bestFit="1" customWidth="1"/>
    <col min="3" max="3" width="14.26953125" bestFit="1" customWidth="1"/>
    <col min="4" max="6" width="15.08984375" bestFit="1" customWidth="1"/>
    <col min="7" max="7" width="12.36328125" bestFit="1" customWidth="1"/>
    <col min="8" max="11" width="11.36328125" bestFit="1" customWidth="1"/>
    <col min="12" max="12" width="10.36328125" bestFit="1" customWidth="1"/>
  </cols>
  <sheetData>
    <row r="1" spans="1:12" x14ac:dyDescent="0.35">
      <c r="A1" t="str" cm="1">
        <f t="array" ref="A1:B1">Properties!A1:B1</f>
        <v>Square</v>
      </c>
      <c r="B1" t="str">
        <v>Group</v>
      </c>
      <c r="C1" t="str" cm="1">
        <f t="array" ref="C1:G1">'Property Per Lap'!F1:J1</f>
        <v>1 House Per Lap</v>
      </c>
      <c r="D1" t="str">
        <v>2 Houses Per Lap</v>
      </c>
      <c r="E1" t="str">
        <v>3 Houses Per Lap</v>
      </c>
      <c r="F1" t="str">
        <v>4 Houses Per Lap</v>
      </c>
      <c r="G1" t="str">
        <v>Hotel Per Lap</v>
      </c>
    </row>
    <row r="2" spans="1:12" x14ac:dyDescent="0.35">
      <c r="A2" t="str" cm="1">
        <f t="array" ref="A2:A23">Properties!A2:A23</f>
        <v>Old Kent Road</v>
      </c>
      <c r="B2" t="str">
        <f>_xlfn.XLOOKUP(A2,Sheet1!A$4:A$43,Sheet1!B$4:B$43)</f>
        <v>Brown</v>
      </c>
      <c r="C2" s="5">
        <f>_xlfn.XLOOKUP($A2,'Property Per Lap'!$A$2:$A$23,'Property Per Lap'!F$2:F$23)-_xlfn.XLOOKUP($A2,'Property Per Lap'!$A$2:$A$23,'Property Per Lap'!$E$2:$E$23)</f>
        <v>0.66034753144393776</v>
      </c>
      <c r="D2" s="5">
        <f>_xlfn.XLOOKUP($A2,'Property Per Lap'!$A$2:$A$23,'Property Per Lap'!G$2:G$23)-_xlfn.XLOOKUP($A2,'Property Per Lap'!$A$2:$A$23,'Property Per Lap'!$E$2:$E$23)</f>
        <v>2.8615059695903966</v>
      </c>
      <c r="E2" s="5">
        <f>_xlfn.XLOOKUP($A2,'Property Per Lap'!$A$2:$A$23,'Property Per Lap'!H$2:H$23)-_xlfn.XLOOKUP($A2,'Property Per Lap'!$A$2:$A$23,'Property Per Lap'!$E$2:$E$23)</f>
        <v>9.4649812840297738</v>
      </c>
      <c r="F2" s="5">
        <f>_xlfn.XLOOKUP($A2,'Property Per Lap'!$A$2:$A$23,'Property Per Lap'!I$2:I$23)-_xlfn.XLOOKUP($A2,'Property Per Lap'!$A$2:$A$23,'Property Per Lap'!$E$2:$E$23)</f>
        <v>17.16903581754238</v>
      </c>
      <c r="G2" s="5">
        <f>_xlfn.XLOOKUP($A2,'Property Per Lap'!$A$2:$A$23,'Property Per Lap'!J$2:J$23)-_xlfn.XLOOKUP($A2,'Property Per Lap'!$A$2:$A$23,'Property Per Lap'!$E$2:$E$23)</f>
        <v>27.074248789201441</v>
      </c>
      <c r="H2" s="5"/>
      <c r="I2" s="5"/>
      <c r="J2" s="5"/>
      <c r="K2" s="5"/>
      <c r="L2" s="5"/>
    </row>
    <row r="3" spans="1:12" x14ac:dyDescent="0.35">
      <c r="A3" t="str">
        <v>Whitechapel</v>
      </c>
      <c r="B3" t="str">
        <f>_xlfn.XLOOKUP(A3,Sheet1!A$4:A$43,Sheet1!B$4:B$43)</f>
        <v>Brown</v>
      </c>
      <c r="C3" s="5">
        <f>_xlfn.XLOOKUP($A3,'Property Per Lap'!$A$2:$A$23,'Property Per Lap'!F$2:F$23)-_xlfn.XLOOKUP($A3,'Property Per Lap'!$A$2:$A$23,'Property Per Lap'!$E$2:$E$23)</f>
        <v>1.3323556500765039</v>
      </c>
      <c r="D3" s="5">
        <f>_xlfn.XLOOKUP($A3,'Property Per Lap'!$A$2:$A$23,'Property Per Lap'!G$2:G$23)-_xlfn.XLOOKUP($A3,'Property Per Lap'!$A$2:$A$23,'Property Per Lap'!$E$2:$E$23)</f>
        <v>5.7735411503315177</v>
      </c>
      <c r="E3" s="5">
        <f>_xlfn.XLOOKUP($A3,'Property Per Lap'!$A$2:$A$23,'Property Per Lap'!H$2:H$23)-_xlfn.XLOOKUP($A3,'Property Per Lap'!$A$2:$A$23,'Property Per Lap'!$E$2:$E$23)</f>
        <v>7.9941339004590244</v>
      </c>
      <c r="F3" s="5">
        <f>_xlfn.XLOOKUP($A3,'Property Per Lap'!$A$2:$A$23,'Property Per Lap'!I$2:I$23)-_xlfn.XLOOKUP($A3,'Property Per Lap'!$A$2:$A$23,'Property Per Lap'!$E$2:$E$23)</f>
        <v>34.641246901989106</v>
      </c>
      <c r="G3" s="5">
        <f>_xlfn.XLOOKUP($A3,'Property Per Lap'!$A$2:$A$23,'Property Per Lap'!J$2:J$23)-_xlfn.XLOOKUP($A3,'Property Per Lap'!$A$2:$A$23,'Property Per Lap'!$E$2:$E$23)</f>
        <v>49.075099777817897</v>
      </c>
      <c r="H3" s="5"/>
      <c r="I3" s="5"/>
      <c r="J3" s="5"/>
      <c r="K3" s="5"/>
      <c r="L3" s="5"/>
    </row>
    <row r="4" spans="1:12" x14ac:dyDescent="0.35">
      <c r="A4" t="str">
        <v>The Angel, Islington</v>
      </c>
      <c r="B4" t="str">
        <f>_xlfn.XLOOKUP(A4,Sheet1!A$4:A$43,Sheet1!B$4:B$43)</f>
        <v>Light Blue</v>
      </c>
      <c r="C4" s="5">
        <f>_xlfn.XLOOKUP($A4,'Property Per Lap'!$A$2:$A$23,'Property Per Lap'!F$2:F$23)-_xlfn.XLOOKUP($A4,'Property Per Lap'!$A$2:$A$23,'Property Per Lap'!$E$2:$E$23)</f>
        <v>2.0707115951213964</v>
      </c>
      <c r="D4" s="5">
        <f>_xlfn.XLOOKUP($A4,'Property Per Lap'!$A$2:$A$23,'Property Per Lap'!G$2:G$23)-_xlfn.XLOOKUP($A4,'Property Per Lap'!$A$2:$A$23,'Property Per Lap'!$E$2:$E$23)</f>
        <v>8.9730835788593826</v>
      </c>
      <c r="E4" s="5">
        <f>_xlfn.XLOOKUP($A4,'Property Per Lap'!$A$2:$A$23,'Property Per Lap'!H$2:H$23)-_xlfn.XLOOKUP($A4,'Property Per Lap'!$A$2:$A$23,'Property Per Lap'!$E$2:$E$23)</f>
        <v>29.680199530073345</v>
      </c>
      <c r="F4" s="5">
        <f>_xlfn.XLOOKUP($A4,'Property Per Lap'!$A$2:$A$23,'Property Per Lap'!I$2:I$23)-_xlfn.XLOOKUP($A4,'Property Per Lap'!$A$2:$A$23,'Property Per Lap'!$E$2:$E$23)</f>
        <v>44.635338828172323</v>
      </c>
      <c r="G4" s="5">
        <f>_xlfn.XLOOKUP($A4,'Property Per Lap'!$A$2:$A$23,'Property Per Lap'!J$2:J$23)-_xlfn.XLOOKUP($A4,'Property Per Lap'!$A$2:$A$23,'Property Per Lap'!$E$2:$E$23)</f>
        <v>61.891268787517291</v>
      </c>
      <c r="H4" s="5"/>
      <c r="I4" s="5"/>
      <c r="J4" s="5"/>
      <c r="K4" s="5"/>
      <c r="L4" s="5"/>
    </row>
    <row r="5" spans="1:12" x14ac:dyDescent="0.35">
      <c r="A5" t="str">
        <v>Euston</v>
      </c>
      <c r="B5" t="str">
        <f>_xlfn.XLOOKUP(A5,Sheet1!A$4:A$43,Sheet1!B$4:B$43)</f>
        <v>Light Blue</v>
      </c>
      <c r="C5" s="5">
        <f>_xlfn.XLOOKUP($A5,'Property Per Lap'!$A$2:$A$23,'Property Per Lap'!F$2:F$23)-_xlfn.XLOOKUP($A5,'Property Per Lap'!$A$2:$A$23,'Property Per Lap'!$E$2:$E$23)</f>
        <v>2.132974626161281</v>
      </c>
      <c r="D5" s="5">
        <f>_xlfn.XLOOKUP($A5,'Property Per Lap'!$A$2:$A$23,'Property Per Lap'!G$2:G$23)-_xlfn.XLOOKUP($A5,'Property Per Lap'!$A$2:$A$23,'Property Per Lap'!$E$2:$E$23)</f>
        <v>9.2428900466988821</v>
      </c>
      <c r="E5" s="5">
        <f>_xlfn.XLOOKUP($A5,'Property Per Lap'!$A$2:$A$23,'Property Per Lap'!H$2:H$23)-_xlfn.XLOOKUP($A5,'Property Per Lap'!$A$2:$A$23,'Property Per Lap'!$E$2:$E$23)</f>
        <v>30.572636308311687</v>
      </c>
      <c r="F5" s="5">
        <f>_xlfn.XLOOKUP($A5,'Property Per Lap'!$A$2:$A$23,'Property Per Lap'!I$2:I$23)-_xlfn.XLOOKUP($A5,'Property Per Lap'!$A$2:$A$23,'Property Per Lap'!$E$2:$E$23)</f>
        <v>45.977453052809821</v>
      </c>
      <c r="G5" s="5">
        <f>_xlfn.XLOOKUP($A5,'Property Per Lap'!$A$2:$A$23,'Property Per Lap'!J$2:J$23)-_xlfn.XLOOKUP($A5,'Property Per Lap'!$A$2:$A$23,'Property Per Lap'!$E$2:$E$23)</f>
        <v>63.752241604153824</v>
      </c>
      <c r="H5" s="5"/>
      <c r="I5" s="5"/>
      <c r="J5" s="5"/>
      <c r="K5" s="5"/>
      <c r="L5" s="5"/>
    </row>
    <row r="6" spans="1:12" x14ac:dyDescent="0.35">
      <c r="A6" t="str">
        <v>Pentonville Road</v>
      </c>
      <c r="B6" t="str">
        <f>_xlfn.XLOOKUP(A6,Sheet1!A$4:A$43,Sheet1!B$4:B$43)</f>
        <v>Light Blue</v>
      </c>
      <c r="C6" s="5">
        <f>_xlfn.XLOOKUP($A6,'Property Per Lap'!$A$2:$A$23,'Property Per Lap'!F$2:F$23)-_xlfn.XLOOKUP($A6,'Property Per Lap'!$A$2:$A$23,'Property Per Lap'!$E$2:$E$23)</f>
        <v>2.806964417780303</v>
      </c>
      <c r="D6" s="5">
        <f>_xlfn.XLOOKUP($A6,'Property Per Lap'!$A$2:$A$23,'Property Per Lap'!G$2:G$23)-_xlfn.XLOOKUP($A6,'Property Per Lap'!$A$2:$A$23,'Property Per Lap'!$E$2:$E$23)</f>
        <v>9.8243754622310622</v>
      </c>
      <c r="E6" s="5">
        <f>_xlfn.XLOOKUP($A6,'Property Per Lap'!$A$2:$A$23,'Property Per Lap'!H$2:H$23)-_xlfn.XLOOKUP($A6,'Property Per Lap'!$A$2:$A$23,'Property Per Lap'!$E$2:$E$23)</f>
        <v>33.215745610400255</v>
      </c>
      <c r="F6" s="5">
        <f>_xlfn.XLOOKUP($A6,'Property Per Lap'!$A$2:$A$23,'Property Per Lap'!I$2:I$23)-_xlfn.XLOOKUP($A6,'Property Per Lap'!$A$2:$A$23,'Property Per Lap'!$E$2:$E$23)</f>
        <v>50.759273221527152</v>
      </c>
      <c r="G6" s="5">
        <f>_xlfn.XLOOKUP($A6,'Property Per Lap'!$A$2:$A$23,'Property Per Lap'!J$2:J$23)-_xlfn.XLOOKUP($A6,'Property Per Lap'!$A$2:$A$23,'Property Per Lap'!$E$2:$E$23)</f>
        <v>68.302800832654043</v>
      </c>
      <c r="H6" s="5"/>
      <c r="I6" s="5"/>
      <c r="J6" s="5"/>
      <c r="K6" s="5"/>
      <c r="L6" s="5"/>
    </row>
    <row r="7" spans="1:12" x14ac:dyDescent="0.35">
      <c r="A7" t="str">
        <v>Pall Mall</v>
      </c>
      <c r="B7" t="str">
        <f>_xlfn.XLOOKUP(A7,Sheet1!A$4:A$43,Sheet1!B$4:B$43)</f>
        <v>Pink</v>
      </c>
      <c r="C7" s="5">
        <f>_xlfn.XLOOKUP($A7,'Property Per Lap'!$A$2:$A$23,'Property Per Lap'!F$2:F$23)-_xlfn.XLOOKUP($A7,'Property Per Lap'!$A$2:$A$23,'Property Per Lap'!$E$2:$E$23)</f>
        <v>4.161241253800144</v>
      </c>
      <c r="D7" s="5">
        <f>_xlfn.XLOOKUP($A7,'Property Per Lap'!$A$2:$A$23,'Property Per Lap'!G$2:G$23)-_xlfn.XLOOKUP($A7,'Property Per Lap'!$A$2:$A$23,'Property Per Lap'!$E$2:$E$23)</f>
        <v>18.032045433133959</v>
      </c>
      <c r="E7" s="5">
        <f>_xlfn.XLOOKUP($A7,'Property Per Lap'!$A$2:$A$23,'Property Per Lap'!H$2:H$23)-_xlfn.XLOOKUP($A7,'Property Per Lap'!$A$2:$A$23,'Property Per Lap'!$E$2:$E$23)</f>
        <v>59.644457971135402</v>
      </c>
      <c r="F7" s="5">
        <f>_xlfn.XLOOKUP($A7,'Property Per Lap'!$A$2:$A$23,'Property Per Lap'!I$2:I$23)-_xlfn.XLOOKUP($A7,'Property Per Lap'!$A$2:$A$23,'Property Per Lap'!$E$2:$E$23)</f>
        <v>83.918365284969582</v>
      </c>
      <c r="G7" s="5">
        <f>_xlfn.XLOOKUP($A7,'Property Per Lap'!$A$2:$A$23,'Property Per Lap'!J$2:J$23)-_xlfn.XLOOKUP($A7,'Property Per Lap'!$A$2:$A$23,'Property Per Lap'!$E$2:$E$23)</f>
        <v>101.25687050913685</v>
      </c>
      <c r="H7" s="5"/>
      <c r="I7" s="5"/>
      <c r="J7" s="5"/>
      <c r="K7" s="5"/>
      <c r="L7" s="5"/>
    </row>
    <row r="8" spans="1:12" x14ac:dyDescent="0.35">
      <c r="A8" t="str">
        <v>Whitehall</v>
      </c>
      <c r="B8" t="str">
        <f>_xlfn.XLOOKUP(A8,Sheet1!A$4:A$43,Sheet1!B$4:B$43)</f>
        <v>Pink</v>
      </c>
      <c r="C8" s="5">
        <f>_xlfn.XLOOKUP($A8,'Property Per Lap'!$A$2:$A$23,'Property Per Lap'!F$2:F$23)-_xlfn.XLOOKUP($A8,'Property Per Lap'!$A$2:$A$23,'Property Per Lap'!$E$2:$E$23)</f>
        <v>3.5972309092343147</v>
      </c>
      <c r="D8" s="5">
        <f>_xlfn.XLOOKUP($A8,'Property Per Lap'!$A$2:$A$23,'Property Per Lap'!G$2:G$23)-_xlfn.XLOOKUP($A8,'Property Per Lap'!$A$2:$A$23,'Property Per Lap'!$E$2:$E$23)</f>
        <v>15.58800060668203</v>
      </c>
      <c r="E8" s="5">
        <f>_xlfn.XLOOKUP($A8,'Property Per Lap'!$A$2:$A$23,'Property Per Lap'!H$2:H$23)-_xlfn.XLOOKUP($A8,'Property Per Lap'!$A$2:$A$23,'Property Per Lap'!$E$2:$E$23)</f>
        <v>51.560309699025176</v>
      </c>
      <c r="F8" s="5">
        <f>_xlfn.XLOOKUP($A8,'Property Per Lap'!$A$2:$A$23,'Property Per Lap'!I$2:I$23)-_xlfn.XLOOKUP($A8,'Property Per Lap'!$A$2:$A$23,'Property Per Lap'!$E$2:$E$23)</f>
        <v>72.544156669558674</v>
      </c>
      <c r="G8" s="5">
        <f>_xlfn.XLOOKUP($A8,'Property Per Lap'!$A$2:$A$23,'Property Per Lap'!J$2:J$23)-_xlfn.XLOOKUP($A8,'Property Per Lap'!$A$2:$A$23,'Property Per Lap'!$E$2:$E$23)</f>
        <v>87.532618791368321</v>
      </c>
      <c r="H8" s="5"/>
      <c r="I8" s="5"/>
      <c r="J8" s="5"/>
      <c r="K8" s="5"/>
      <c r="L8" s="5"/>
    </row>
    <row r="9" spans="1:12" x14ac:dyDescent="0.35">
      <c r="A9" t="str">
        <v>Northumberland Avenue</v>
      </c>
      <c r="B9" t="str">
        <f>_xlfn.XLOOKUP(A9,Sheet1!A$4:A$43,Sheet1!B$4:B$43)</f>
        <v>Pink</v>
      </c>
      <c r="C9" s="5">
        <f>_xlfn.XLOOKUP($A9,'Property Per Lap'!$A$2:$A$23,'Property Per Lap'!F$2:F$23)-_xlfn.XLOOKUP($A9,'Property Per Lap'!$A$2:$A$23,'Property Per Lap'!$E$2:$E$23)</f>
        <v>4.6132490227088248</v>
      </c>
      <c r="D9" s="5">
        <f>_xlfn.XLOOKUP($A9,'Property Per Lap'!$A$2:$A$23,'Property Per Lap'!G$2:G$23)-_xlfn.XLOOKUP($A9,'Property Per Lap'!$A$2:$A$23,'Property Per Lap'!$E$2:$E$23)</f>
        <v>19.990745765071573</v>
      </c>
      <c r="E9" s="5">
        <f>_xlfn.XLOOKUP($A9,'Property Per Lap'!$A$2:$A$23,'Property Per Lap'!H$2:H$23)-_xlfn.XLOOKUP($A9,'Property Per Lap'!$A$2:$A$23,'Property Per Lap'!$E$2:$E$23)</f>
        <v>60.997403744705565</v>
      </c>
      <c r="F9" s="5">
        <f>_xlfn.XLOOKUP($A9,'Property Per Lap'!$A$2:$A$23,'Property Per Lap'!I$2:I$23)-_xlfn.XLOOKUP($A9,'Property Per Lap'!$A$2:$A$23,'Property Per Lap'!$E$2:$E$23)</f>
        <v>86.626564981976813</v>
      </c>
      <c r="G9" s="5">
        <f>_xlfn.XLOOKUP($A9,'Property Per Lap'!$A$2:$A$23,'Property Per Lap'!J$2:J$23)-_xlfn.XLOOKUP($A9,'Property Per Lap'!$A$2:$A$23,'Property Per Lap'!$E$2:$E$23)</f>
        <v>112.25572621924806</v>
      </c>
      <c r="H9" s="5"/>
      <c r="I9" s="5"/>
      <c r="J9" s="5"/>
      <c r="K9" s="5"/>
      <c r="L9" s="5"/>
    </row>
    <row r="10" spans="1:12" x14ac:dyDescent="0.35">
      <c r="A10" t="str">
        <v>Bow Street</v>
      </c>
      <c r="B10" t="str">
        <f>_xlfn.XLOOKUP(A10,Sheet1!A$4:A$43,Sheet1!B$4:B$43)</f>
        <v>Orange</v>
      </c>
      <c r="C10" s="5">
        <f>_xlfn.XLOOKUP($A10,'Property Per Lap'!$A$2:$A$23,'Property Per Lap'!F$2:F$23)-_xlfn.XLOOKUP($A10,'Property Per Lap'!$A$2:$A$23,'Property Per Lap'!$E$2:$E$23)</f>
        <v>5.6725399656788982</v>
      </c>
      <c r="D10" s="5">
        <f>_xlfn.XLOOKUP($A10,'Property Per Lap'!$A$2:$A$23,'Property Per Lap'!G$2:G$23)-_xlfn.XLOOKUP($A10,'Property Per Lap'!$A$2:$A$23,'Property Per Lap'!$E$2:$E$23)</f>
        <v>23.230401764208818</v>
      </c>
      <c r="E10" s="5">
        <f>_xlfn.XLOOKUP($A10,'Property Per Lap'!$A$2:$A$23,'Property Per Lap'!H$2:H$23)-_xlfn.XLOOKUP($A10,'Property Per Lap'!$A$2:$A$23,'Property Per Lap'!$E$2:$E$23)</f>
        <v>70.501568144866312</v>
      </c>
      <c r="F10" s="5">
        <f>_xlfn.XLOOKUP($A10,'Property Per Lap'!$A$2:$A$23,'Property Per Lap'!I$2:I$23)-_xlfn.XLOOKUP($A10,'Property Per Lap'!$A$2:$A$23,'Property Per Lap'!$E$2:$E$23)</f>
        <v>97.513663219527729</v>
      </c>
      <c r="G10" s="5">
        <f>_xlfn.XLOOKUP($A10,'Property Per Lap'!$A$2:$A$23,'Property Per Lap'!J$2:J$23)-_xlfn.XLOOKUP($A10,'Property Per Lap'!$A$2:$A$23,'Property Per Lap'!$E$2:$E$23)</f>
        <v>124.52575829418913</v>
      </c>
      <c r="H10" s="5"/>
      <c r="I10" s="5"/>
      <c r="J10" s="5"/>
      <c r="K10" s="5"/>
      <c r="L10" s="5"/>
    </row>
    <row r="11" spans="1:12" x14ac:dyDescent="0.35">
      <c r="A11" t="str">
        <v>Marlborough Street</v>
      </c>
      <c r="B11" t="str">
        <f>_xlfn.XLOOKUP(A11,Sheet1!A$4:A$43,Sheet1!B$4:B$43)</f>
        <v>Orange</v>
      </c>
      <c r="C11" s="5">
        <f>_xlfn.XLOOKUP($A11,'Property Per Lap'!$A$2:$A$23,'Property Per Lap'!F$2:F$23)-_xlfn.XLOOKUP($A11,'Property Per Lap'!$A$2:$A$23,'Property Per Lap'!$E$2:$E$23)</f>
        <v>6.141136983475139</v>
      </c>
      <c r="D11" s="5">
        <f>_xlfn.XLOOKUP($A11,'Property Per Lap'!$A$2:$A$23,'Property Per Lap'!G$2:G$23)-_xlfn.XLOOKUP($A11,'Property Per Lap'!$A$2:$A$23,'Property Per Lap'!$E$2:$E$23)</f>
        <v>25.149418122802949</v>
      </c>
      <c r="E11" s="5">
        <f>_xlfn.XLOOKUP($A11,'Property Per Lap'!$A$2:$A$23,'Property Per Lap'!H$2:H$23)-_xlfn.XLOOKUP($A11,'Property Per Lap'!$A$2:$A$23,'Property Per Lap'!$E$2:$E$23)</f>
        <v>76.325559651762447</v>
      </c>
      <c r="F11" s="5">
        <f>_xlfn.XLOOKUP($A11,'Property Per Lap'!$A$2:$A$23,'Property Per Lap'!I$2:I$23)-_xlfn.XLOOKUP($A11,'Property Per Lap'!$A$2:$A$23,'Property Per Lap'!$E$2:$E$23)</f>
        <v>105.56906909688215</v>
      </c>
      <c r="G11" s="5">
        <f>_xlfn.XLOOKUP($A11,'Property Per Lap'!$A$2:$A$23,'Property Per Lap'!J$2:J$23)-_xlfn.XLOOKUP($A11,'Property Per Lap'!$A$2:$A$23,'Property Per Lap'!$E$2:$E$23)</f>
        <v>134.81257854200186</v>
      </c>
      <c r="H11" s="5"/>
      <c r="I11" s="5"/>
      <c r="J11" s="5"/>
      <c r="K11" s="5"/>
      <c r="L11" s="5"/>
    </row>
    <row r="12" spans="1:12" x14ac:dyDescent="0.35">
      <c r="A12" t="str">
        <v>Vine Street</v>
      </c>
      <c r="B12" t="str">
        <f>_xlfn.XLOOKUP(A12,Sheet1!A$4:A$43,Sheet1!B$4:B$43)</f>
        <v>Orange</v>
      </c>
      <c r="C12" s="5">
        <f>_xlfn.XLOOKUP($A12,'Property Per Lap'!$A$2:$A$23,'Property Per Lap'!F$2:F$23)-_xlfn.XLOOKUP($A12,'Property Per Lap'!$A$2:$A$23,'Property Per Lap'!$E$2:$E$23)</f>
        <v>7.0822472412286812</v>
      </c>
      <c r="D12" s="5">
        <f>_xlfn.XLOOKUP($A12,'Property Per Lap'!$A$2:$A$23,'Property Per Lap'!G$2:G$23)-_xlfn.XLOOKUP($A12,'Property Per Lap'!$A$2:$A$23,'Property Per Lap'!$E$2:$E$23)</f>
        <v>27.738801694812334</v>
      </c>
      <c r="E12" s="5">
        <f>_xlfn.XLOOKUP($A12,'Property Per Lap'!$A$2:$A$23,'Property Per Lap'!H$2:H$23)-_xlfn.XLOOKUP($A12,'Property Per Lap'!$A$2:$A$23,'Property Per Lap'!$E$2:$E$23)</f>
        <v>83.80659235453939</v>
      </c>
      <c r="F12" s="5">
        <f>_xlfn.XLOOKUP($A12,'Property Per Lap'!$A$2:$A$23,'Property Per Lap'!I$2:I$23)-_xlfn.XLOOKUP($A12,'Property Per Lap'!$A$2:$A$23,'Property Per Lap'!$E$2:$E$23)</f>
        <v>113.3159558596589</v>
      </c>
      <c r="G12" s="5">
        <f>_xlfn.XLOOKUP($A12,'Property Per Lap'!$A$2:$A$23,'Property Per Lap'!J$2:J$23)-_xlfn.XLOOKUP($A12,'Property Per Lap'!$A$2:$A$23,'Property Per Lap'!$E$2:$E$23)</f>
        <v>142.82531936477841</v>
      </c>
      <c r="H12" s="5"/>
      <c r="I12" s="5"/>
      <c r="J12" s="5"/>
      <c r="K12" s="5"/>
      <c r="L12" s="5"/>
    </row>
    <row r="13" spans="1:12" x14ac:dyDescent="0.35">
      <c r="A13" t="str">
        <v>Strand</v>
      </c>
      <c r="B13" t="str">
        <f>_xlfn.XLOOKUP(A13,Sheet1!A$4:A$43,Sheet1!B$4:B$43)</f>
        <v>Red</v>
      </c>
      <c r="C13" s="5">
        <f>_xlfn.XLOOKUP($A13,'Property Per Lap'!$A$2:$A$23,'Property Per Lap'!F$2:F$23)-_xlfn.XLOOKUP($A13,'Property Per Lap'!$A$2:$A$23,'Property Per Lap'!$E$2:$E$23)</f>
        <v>7.481090042305107</v>
      </c>
      <c r="D13" s="5">
        <f>_xlfn.XLOOKUP($A13,'Property Per Lap'!$A$2:$A$23,'Property Per Lap'!G$2:G$23)-_xlfn.XLOOKUP($A13,'Property Per Lap'!$A$2:$A$23,'Property Per Lap'!$E$2:$E$23)</f>
        <v>29.647282760246163</v>
      </c>
      <c r="E13" s="5">
        <f>_xlfn.XLOOKUP($A13,'Property Per Lap'!$A$2:$A$23,'Property Per Lap'!H$2:H$23)-_xlfn.XLOOKUP($A13,'Property Per Lap'!$A$2:$A$23,'Property Per Lap'!$E$2:$E$23)</f>
        <v>91.989699779455393</v>
      </c>
      <c r="F13" s="5">
        <f>_xlfn.XLOOKUP($A13,'Property Per Lap'!$A$2:$A$23,'Property Per Lap'!I$2:I$23)-_xlfn.XLOOKUP($A13,'Property Per Lap'!$A$2:$A$23,'Property Per Lap'!$E$2:$E$23)</f>
        <v>116.23397306470342</v>
      </c>
      <c r="G13" s="5">
        <f>_xlfn.XLOOKUP($A13,'Property Per Lap'!$A$2:$A$23,'Property Per Lap'!J$2:J$23)-_xlfn.XLOOKUP($A13,'Property Per Lap'!$A$2:$A$23,'Property Per Lap'!$E$2:$E$23)</f>
        <v>140.47824634995143</v>
      </c>
      <c r="H13" s="5"/>
      <c r="I13" s="5"/>
      <c r="J13" s="5"/>
      <c r="K13" s="5"/>
      <c r="L13" s="5"/>
    </row>
    <row r="14" spans="1:12" x14ac:dyDescent="0.35">
      <c r="A14" t="str">
        <v>Fleet Street</v>
      </c>
      <c r="B14" t="str">
        <f>_xlfn.XLOOKUP(A14,Sheet1!A$4:A$43,Sheet1!B$4:B$43)</f>
        <v>Red</v>
      </c>
      <c r="C14" s="5">
        <f>_xlfn.XLOOKUP($A14,'Property Per Lap'!$A$2:$A$23,'Property Per Lap'!F$2:F$23)-_xlfn.XLOOKUP($A14,'Property Per Lap'!$A$2:$A$23,'Property Per Lap'!$E$2:$E$23)</f>
        <v>7.4503335028481583</v>
      </c>
      <c r="D14" s="5">
        <f>_xlfn.XLOOKUP($A14,'Property Per Lap'!$A$2:$A$23,'Property Per Lap'!G$2:G$23)-_xlfn.XLOOKUP($A14,'Property Per Lap'!$A$2:$A$23,'Property Per Lap'!$E$2:$E$23)</f>
        <v>29.525395733509363</v>
      </c>
      <c r="E14" s="5">
        <f>_xlfn.XLOOKUP($A14,'Property Per Lap'!$A$2:$A$23,'Property Per Lap'!H$2:H$23)-_xlfn.XLOOKUP($A14,'Property Per Lap'!$A$2:$A$23,'Property Per Lap'!$E$2:$E$23)</f>
        <v>91.611508257243997</v>
      </c>
      <c r="F14" s="5">
        <f>_xlfn.XLOOKUP($A14,'Property Per Lap'!$A$2:$A$23,'Property Per Lap'!I$2:I$23)-_xlfn.XLOOKUP($A14,'Property Per Lap'!$A$2:$A$23,'Property Per Lap'!$E$2:$E$23)</f>
        <v>115.75610757202969</v>
      </c>
      <c r="G14" s="5">
        <f>_xlfn.XLOOKUP($A14,'Property Per Lap'!$A$2:$A$23,'Property Per Lap'!J$2:J$23)-_xlfn.XLOOKUP($A14,'Property Per Lap'!$A$2:$A$23,'Property Per Lap'!$E$2:$E$23)</f>
        <v>139.90070688681539</v>
      </c>
      <c r="H14" s="5"/>
      <c r="I14" s="5"/>
      <c r="J14" s="5"/>
      <c r="K14" s="5"/>
      <c r="L14" s="5"/>
    </row>
    <row r="15" spans="1:12" x14ac:dyDescent="0.35">
      <c r="A15" t="str">
        <v>Trafalgar Square</v>
      </c>
      <c r="B15" t="str">
        <f>_xlfn.XLOOKUP(A15,Sheet1!A$4:A$43,Sheet1!B$4:B$43)</f>
        <v>Red</v>
      </c>
      <c r="C15" s="5">
        <f>_xlfn.XLOOKUP($A15,'Property Per Lap'!$A$2:$A$23,'Property Per Lap'!F$2:F$23)-_xlfn.XLOOKUP($A15,'Property Per Lap'!$A$2:$A$23,'Property Per Lap'!$E$2:$E$23)</f>
        <v>9.8887654832007854</v>
      </c>
      <c r="D15" s="5">
        <f>_xlfn.XLOOKUP($A15,'Property Per Lap'!$A$2:$A$23,'Property Per Lap'!G$2:G$23)-_xlfn.XLOOKUP($A15,'Property Per Lap'!$A$2:$A$23,'Property Per Lap'!$E$2:$E$23)</f>
        <v>42.85131709387008</v>
      </c>
      <c r="E15" s="5">
        <f>_xlfn.XLOOKUP($A15,'Property Per Lap'!$A$2:$A$23,'Property Per Lap'!H$2:H$23)-_xlfn.XLOOKUP($A15,'Property Per Lap'!$A$2:$A$23,'Property Per Lap'!$E$2:$E$23)</f>
        <v>117.01705821787597</v>
      </c>
      <c r="F15" s="5">
        <f>_xlfn.XLOOKUP($A15,'Property Per Lap'!$A$2:$A$23,'Property Per Lap'!I$2:I$23)-_xlfn.XLOOKUP($A15,'Property Per Lap'!$A$2:$A$23,'Property Per Lap'!$E$2:$E$23)</f>
        <v>145.85929087721161</v>
      </c>
      <c r="G15" s="5">
        <f>_xlfn.XLOOKUP($A15,'Property Per Lap'!$A$2:$A$23,'Property Per Lap'!J$2:J$23)-_xlfn.XLOOKUP($A15,'Property Per Lap'!$A$2:$A$23,'Property Per Lap'!$E$2:$E$23)</f>
        <v>174.70152353654723</v>
      </c>
      <c r="H15" s="5"/>
      <c r="I15" s="5"/>
      <c r="J15" s="5"/>
      <c r="K15" s="5"/>
      <c r="L15" s="5"/>
    </row>
    <row r="16" spans="1:12" x14ac:dyDescent="0.35">
      <c r="A16" t="str">
        <v>Leceister Square</v>
      </c>
      <c r="B16" t="str">
        <f>_xlfn.XLOOKUP(A16,Sheet1!A$4:A$43,Sheet1!B$4:B$43)</f>
        <v>Yellow</v>
      </c>
      <c r="C16" s="5">
        <f>_xlfn.XLOOKUP($A16,'Property Per Lap'!$A$2:$A$23,'Property Per Lap'!F$2:F$23)-_xlfn.XLOOKUP($A16,'Property Per Lap'!$A$2:$A$23,'Property Per Lap'!$E$2:$E$23)</f>
        <v>8.7402099262086317</v>
      </c>
      <c r="D16" s="5">
        <f>_xlfn.XLOOKUP($A16,'Property Per Lap'!$A$2:$A$23,'Property Per Lap'!G$2:G$23)-_xlfn.XLOOKUP($A16,'Property Per Lap'!$A$2:$A$23,'Property Per Lap'!$E$2:$E$23)</f>
        <v>37.874243013570734</v>
      </c>
      <c r="E16" s="5">
        <f>_xlfn.XLOOKUP($A16,'Property Per Lap'!$A$2:$A$23,'Property Per Lap'!H$2:H$23)-_xlfn.XLOOKUP($A16,'Property Per Lap'!$A$2:$A$23,'Property Per Lap'!$E$2:$E$23)</f>
        <v>100.11513188202615</v>
      </c>
      <c r="F16" s="5">
        <f>_xlfn.XLOOKUP($A16,'Property Per Lap'!$A$2:$A$23,'Property Per Lap'!I$2:I$23)-_xlfn.XLOOKUP($A16,'Property Per Lap'!$A$2:$A$23,'Property Per Lap'!$E$2:$E$23)</f>
        <v>123.28993092879145</v>
      </c>
      <c r="G16" s="5">
        <f>_xlfn.XLOOKUP($A16,'Property Per Lap'!$A$2:$A$23,'Property Per Lap'!J$2:J$23)-_xlfn.XLOOKUP($A16,'Property Per Lap'!$A$2:$A$23,'Property Per Lap'!$E$2:$E$23)</f>
        <v>146.46472997555676</v>
      </c>
      <c r="H16" s="5"/>
      <c r="I16" s="5"/>
      <c r="J16" s="5"/>
      <c r="K16" s="5"/>
      <c r="L16" s="5"/>
    </row>
    <row r="17" spans="1:12" x14ac:dyDescent="0.35">
      <c r="A17" t="str">
        <v>Coventry Street</v>
      </c>
      <c r="B17" t="str">
        <f>_xlfn.XLOOKUP(A17,Sheet1!A$4:A$43,Sheet1!B$4:B$43)</f>
        <v>Yellow</v>
      </c>
      <c r="C17" s="5">
        <f>_xlfn.XLOOKUP($A17,'Property Per Lap'!$A$2:$A$23,'Property Per Lap'!F$2:F$23)-_xlfn.XLOOKUP($A17,'Property Per Lap'!$A$2:$A$23,'Property Per Lap'!$E$2:$E$23)</f>
        <v>8.7682861321549517</v>
      </c>
      <c r="D17" s="5">
        <f>_xlfn.XLOOKUP($A17,'Property Per Lap'!$A$2:$A$23,'Property Per Lap'!G$2:G$23)-_xlfn.XLOOKUP($A17,'Property Per Lap'!$A$2:$A$23,'Property Per Lap'!$E$2:$E$23)</f>
        <v>37.995906572671458</v>
      </c>
      <c r="E17" s="5">
        <f>_xlfn.XLOOKUP($A17,'Property Per Lap'!$A$2:$A$23,'Property Per Lap'!H$2:H$23)-_xlfn.XLOOKUP($A17,'Property Per Lap'!$A$2:$A$23,'Property Per Lap'!$E$2:$E$23)</f>
        <v>100.43673205922946</v>
      </c>
      <c r="F17" s="5">
        <f>_xlfn.XLOOKUP($A17,'Property Per Lap'!$A$2:$A$23,'Property Per Lap'!I$2:I$23)-_xlfn.XLOOKUP($A17,'Property Per Lap'!$A$2:$A$23,'Property Per Lap'!$E$2:$E$23)</f>
        <v>123.68597559145849</v>
      </c>
      <c r="G17" s="5">
        <f>_xlfn.XLOOKUP($A17,'Property Per Lap'!$A$2:$A$23,'Property Per Lap'!J$2:J$23)-_xlfn.XLOOKUP($A17,'Property Per Lap'!$A$2:$A$23,'Property Per Lap'!$E$2:$E$23)</f>
        <v>146.93521912368752</v>
      </c>
      <c r="H17" s="5"/>
      <c r="I17" s="5"/>
      <c r="J17" s="5"/>
      <c r="K17" s="5"/>
      <c r="L17" s="5"/>
    </row>
    <row r="18" spans="1:12" x14ac:dyDescent="0.35">
      <c r="A18" t="str">
        <v>Piccadilly</v>
      </c>
      <c r="B18" t="str">
        <f>_xlfn.XLOOKUP(A18,Sheet1!A$4:A$43,Sheet1!B$4:B$43)</f>
        <v>Yellow</v>
      </c>
      <c r="C18" s="5">
        <f>_xlfn.XLOOKUP($A18,'Property Per Lap'!$A$2:$A$23,'Property Per Lap'!F$2:F$23)-_xlfn.XLOOKUP($A18,'Property Per Lap'!$A$2:$A$23,'Property Per Lap'!$E$2:$E$23)</f>
        <v>9.5013391201769455</v>
      </c>
      <c r="D18" s="5">
        <f>_xlfn.XLOOKUP($A18,'Property Per Lap'!$A$2:$A$23,'Property Per Lap'!G$2:G$23)-_xlfn.XLOOKUP($A18,'Property Per Lap'!$A$2:$A$23,'Property Per Lap'!$E$2:$E$23)</f>
        <v>41.172469520766761</v>
      </c>
      <c r="E18" s="5">
        <f>_xlfn.XLOOKUP($A18,'Property Per Lap'!$A$2:$A$23,'Property Per Lap'!H$2:H$23)-_xlfn.XLOOKUP($A18,'Property Per Lap'!$A$2:$A$23,'Property Per Lap'!$E$2:$E$23)</f>
        <v>105.8343607553043</v>
      </c>
      <c r="F18" s="5">
        <f>_xlfn.XLOOKUP($A18,'Property Per Lap'!$A$2:$A$23,'Property Per Lap'!I$2:I$23)-_xlfn.XLOOKUP($A18,'Property Per Lap'!$A$2:$A$23,'Property Per Lap'!$E$2:$E$23)</f>
        <v>128.92789333906771</v>
      </c>
      <c r="G18" s="5">
        <f>_xlfn.XLOOKUP($A18,'Property Per Lap'!$A$2:$A$23,'Property Per Lap'!J$2:J$23)-_xlfn.XLOOKUP($A18,'Property Per Lap'!$A$2:$A$23,'Property Per Lap'!$E$2:$E$23)</f>
        <v>152.02142592283113</v>
      </c>
      <c r="H18" s="5"/>
      <c r="I18" s="5"/>
      <c r="J18" s="5"/>
      <c r="K18" s="5"/>
      <c r="L18" s="5"/>
    </row>
    <row r="19" spans="1:12" x14ac:dyDescent="0.35">
      <c r="A19" t="str">
        <v>Regent Street</v>
      </c>
      <c r="B19" t="str">
        <f>_xlfn.XLOOKUP(A19,Sheet1!A$4:A$43,Sheet1!B$4:B$43)</f>
        <v>Green</v>
      </c>
      <c r="C19" s="5">
        <f>_xlfn.XLOOKUP($A19,'Property Per Lap'!$A$2:$A$23,'Property Per Lap'!F$2:F$23)-_xlfn.XLOOKUP($A19,'Property Per Lap'!$A$2:$A$23,'Property Per Lap'!$E$2:$E$23)</f>
        <v>10.374171475771449</v>
      </c>
      <c r="D19" s="5">
        <f>_xlfn.XLOOKUP($A19,'Property Per Lap'!$A$2:$A$23,'Property Per Lap'!G$2:G$23)-_xlfn.XLOOKUP($A19,'Property Per Lap'!$A$2:$A$23,'Property Per Lap'!$E$2:$E$23)</f>
        <v>44.95474306167629</v>
      </c>
      <c r="E19" s="5">
        <f>_xlfn.XLOOKUP($A19,'Property Per Lap'!$A$2:$A$23,'Property Per Lap'!H$2:H$23)-_xlfn.XLOOKUP($A19,'Property Per Lap'!$A$2:$A$23,'Property Per Lap'!$E$2:$E$23)</f>
        <v>112.7858642494127</v>
      </c>
      <c r="F19" s="5">
        <f>_xlfn.XLOOKUP($A19,'Property Per Lap'!$A$2:$A$23,'Property Per Lap'!I$2:I$23)-_xlfn.XLOOKUP($A19,'Property Per Lap'!$A$2:$A$23,'Property Per Lap'!$E$2:$E$23)</f>
        <v>139.38630393087797</v>
      </c>
      <c r="G19" s="5">
        <f>_xlfn.XLOOKUP($A19,'Property Per Lap'!$A$2:$A$23,'Property Per Lap'!J$2:J$23)-_xlfn.XLOOKUP($A19,'Property Per Lap'!$A$2:$A$23,'Property Per Lap'!$E$2:$E$23)</f>
        <v>162.66168865216008</v>
      </c>
      <c r="H19" s="5"/>
      <c r="I19" s="5"/>
      <c r="J19" s="5"/>
      <c r="K19" s="5"/>
      <c r="L19" s="5"/>
    </row>
    <row r="20" spans="1:12" x14ac:dyDescent="0.35">
      <c r="A20" t="str">
        <v>Oxford Street</v>
      </c>
      <c r="B20" t="str">
        <f>_xlfn.XLOOKUP(A20,Sheet1!A$4:A$43,Sheet1!B$4:B$43)</f>
        <v>Green</v>
      </c>
      <c r="C20" s="5">
        <f>_xlfn.XLOOKUP($A20,'Property Per Lap'!$A$2:$A$23,'Property Per Lap'!F$2:F$23)-_xlfn.XLOOKUP($A20,'Property Per Lap'!$A$2:$A$23,'Property Per Lap'!$E$2:$E$23)</f>
        <v>10.312762786103498</v>
      </c>
      <c r="D20" s="5">
        <f>_xlfn.XLOOKUP($A20,'Property Per Lap'!$A$2:$A$23,'Property Per Lap'!G$2:G$23)-_xlfn.XLOOKUP($A20,'Property Per Lap'!$A$2:$A$23,'Property Per Lap'!$E$2:$E$23)</f>
        <v>44.688638739781823</v>
      </c>
      <c r="E20" s="5">
        <f>_xlfn.XLOOKUP($A20,'Property Per Lap'!$A$2:$A$23,'Property Per Lap'!H$2:H$23)-_xlfn.XLOOKUP($A20,'Property Per Lap'!$A$2:$A$23,'Property Per Lap'!$E$2:$E$23)</f>
        <v>112.118241571997</v>
      </c>
      <c r="F20" s="5">
        <f>_xlfn.XLOOKUP($A20,'Property Per Lap'!$A$2:$A$23,'Property Per Lap'!I$2:I$23)-_xlfn.XLOOKUP($A20,'Property Per Lap'!$A$2:$A$23,'Property Per Lap'!$E$2:$E$23)</f>
        <v>138.5612230748265</v>
      </c>
      <c r="G20" s="5">
        <f>_xlfn.XLOOKUP($A20,'Property Per Lap'!$A$2:$A$23,'Property Per Lap'!J$2:J$23)-_xlfn.XLOOKUP($A20,'Property Per Lap'!$A$2:$A$23,'Property Per Lap'!$E$2:$E$23)</f>
        <v>161.69883188980228</v>
      </c>
      <c r="H20" s="5"/>
      <c r="I20" s="5"/>
      <c r="J20" s="5"/>
      <c r="K20" s="5"/>
      <c r="L20" s="5"/>
    </row>
    <row r="21" spans="1:12" x14ac:dyDescent="0.35">
      <c r="A21" t="str">
        <v>Bond Street</v>
      </c>
      <c r="B21" t="str">
        <f>_xlfn.XLOOKUP(A21,Sheet1!A$4:A$43,Sheet1!B$4:B$43)</f>
        <v>Green</v>
      </c>
      <c r="C21" s="5">
        <f>_xlfn.XLOOKUP($A21,'Property Per Lap'!$A$2:$A$23,'Property Per Lap'!F$2:F$23)-_xlfn.XLOOKUP($A21,'Property Per Lap'!$A$2:$A$23,'Property Per Lap'!$E$2:$E$23)</f>
        <v>11.933887014659469</v>
      </c>
      <c r="D21" s="5">
        <f>_xlfn.XLOOKUP($A21,'Property Per Lap'!$A$2:$A$23,'Property Per Lap'!G$2:G$23)-_xlfn.XLOOKUP($A21,'Property Per Lap'!$A$2:$A$23,'Property Per Lap'!$E$2:$E$23)</f>
        <v>50.020760465700334</v>
      </c>
      <c r="E21" s="5">
        <f>_xlfn.XLOOKUP($A21,'Property Per Lap'!$A$2:$A$23,'Property Per Lap'!H$2:H$23)-_xlfn.XLOOKUP($A21,'Property Per Lap'!$A$2:$A$23,'Property Per Lap'!$E$2:$E$23)</f>
        <v>119.84669512594191</v>
      </c>
      <c r="F21" s="5">
        <f>_xlfn.XLOOKUP($A21,'Property Per Lap'!$A$2:$A$23,'Property Per Lap'!I$2:I$23)-_xlfn.XLOOKUP($A21,'Property Per Lap'!$A$2:$A$23,'Property Per Lap'!$E$2:$E$23)</f>
        <v>145.23794409330247</v>
      </c>
      <c r="G21" s="5">
        <f>_xlfn.XLOOKUP($A21,'Property Per Lap'!$A$2:$A$23,'Property Per Lap'!J$2:J$23)-_xlfn.XLOOKUP($A21,'Property Per Lap'!$A$2:$A$23,'Property Per Lap'!$E$2:$E$23)</f>
        <v>170.62919306066306</v>
      </c>
      <c r="H21" s="5"/>
      <c r="I21" s="5"/>
      <c r="J21" s="5"/>
      <c r="K21" s="5"/>
      <c r="L21" s="5"/>
    </row>
    <row r="22" spans="1:12" x14ac:dyDescent="0.35">
      <c r="A22" t="str">
        <v>Park Lane</v>
      </c>
      <c r="B22" t="str">
        <f>_xlfn.XLOOKUP(A22,Sheet1!A$4:A$43,Sheet1!B$4:B$43)</f>
        <v>Dark Blue</v>
      </c>
      <c r="C22" s="5">
        <f>_xlfn.XLOOKUP($A22,'Property Per Lap'!$A$2:$A$23,'Property Per Lap'!F$2:F$23)-_xlfn.XLOOKUP($A22,'Property Per Lap'!$A$2:$A$23,'Property Per Lap'!$E$2:$E$23)</f>
        <v>12.424953268886579</v>
      </c>
      <c r="D22" s="5">
        <f>_xlfn.XLOOKUP($A22,'Property Per Lap'!$A$2:$A$23,'Property Per Lap'!G$2:G$23)-_xlfn.XLOOKUP($A22,'Property Per Lap'!$A$2:$A$23,'Property Per Lap'!$E$2:$E$23)</f>
        <v>50.883141958297429</v>
      </c>
      <c r="E22" s="5">
        <f>_xlfn.XLOOKUP($A22,'Property Per Lap'!$A$2:$A$23,'Property Per Lap'!H$2:H$23)-_xlfn.XLOOKUP($A22,'Property Per Lap'!$A$2:$A$23,'Property Per Lap'!$E$2:$E$23)</f>
        <v>121.88287492336362</v>
      </c>
      <c r="F22" s="5">
        <f>_xlfn.XLOOKUP($A22,'Property Per Lap'!$A$2:$A$23,'Property Per Lap'!I$2:I$23)-_xlfn.XLOOKUP($A22,'Property Per Lap'!$A$2:$A$23,'Property Per Lap'!$E$2:$E$23)</f>
        <v>145.54945257838565</v>
      </c>
      <c r="G22" s="5">
        <f>_xlfn.XLOOKUP($A22,'Property Per Lap'!$A$2:$A$23,'Property Per Lap'!J$2:J$23)-_xlfn.XLOOKUP($A22,'Property Per Lap'!$A$2:$A$23,'Property Per Lap'!$E$2:$E$23)</f>
        <v>169.21603023340771</v>
      </c>
      <c r="H22" s="5"/>
      <c r="I22" s="5"/>
      <c r="J22" s="5"/>
      <c r="K22" s="5"/>
      <c r="L22" s="5"/>
    </row>
    <row r="23" spans="1:12" x14ac:dyDescent="0.35">
      <c r="A23" t="str">
        <v>Mayfair</v>
      </c>
      <c r="B23" t="str">
        <f>_xlfn.XLOOKUP(A23,Sheet1!A$4:A$43,Sheet1!B$4:B$43)</f>
        <v>Dark Blue</v>
      </c>
      <c r="C23" s="5">
        <f>_xlfn.XLOOKUP($A23,'Property Per Lap'!$A$2:$A$23,'Property Per Lap'!F$2:F$23)-_xlfn.XLOOKUP($A23,'Property Per Lap'!$A$2:$A$23,'Property Per Lap'!$E$2:$E$23)</f>
        <v>13.379687091961786</v>
      </c>
      <c r="D23" s="5">
        <f>_xlfn.XLOOKUP($A23,'Property Per Lap'!$A$2:$A$23,'Property Per Lap'!G$2:G$23)-_xlfn.XLOOKUP($A23,'Property Per Lap'!$A$2:$A$23,'Property Per Lap'!$E$2:$E$23)</f>
        <v>66.898435459808937</v>
      </c>
      <c r="E23" s="5">
        <f>_xlfn.XLOOKUP($A23,'Property Per Lap'!$A$2:$A$23,'Property Per Lap'!H$2:H$23)-_xlfn.XLOOKUP($A23,'Property Per Lap'!$A$2:$A$23,'Property Per Lap'!$E$2:$E$23)</f>
        <v>173.93593219550323</v>
      </c>
      <c r="F23" s="5">
        <f>_xlfn.XLOOKUP($A23,'Property Per Lap'!$A$2:$A$23,'Property Per Lap'!I$2:I$23)-_xlfn.XLOOKUP($A23,'Property Per Lap'!$A$2:$A$23,'Property Per Lap'!$E$2:$E$23)</f>
        <v>214.07499347138858</v>
      </c>
      <c r="G23" s="5">
        <f>_xlfn.XLOOKUP($A23,'Property Per Lap'!$A$2:$A$23,'Property Per Lap'!J$2:J$23)-_xlfn.XLOOKUP($A23,'Property Per Lap'!$A$2:$A$23,'Property Per Lap'!$E$2:$E$23)</f>
        <v>254.21405474727396</v>
      </c>
      <c r="H23" s="5"/>
      <c r="I23" s="5"/>
      <c r="J23" s="5"/>
      <c r="K23" s="5"/>
      <c r="L23" s="5"/>
    </row>
  </sheetData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883D-B8C6-436B-84B2-C38F6089262B}">
  <dimension ref="A1:I23"/>
  <sheetViews>
    <sheetView workbookViewId="0"/>
  </sheetViews>
  <sheetFormatPr defaultRowHeight="14.5" x14ac:dyDescent="0.35"/>
  <cols>
    <col min="1" max="1" width="21.81640625" bestFit="1" customWidth="1"/>
    <col min="2" max="2" width="8.81640625" bestFit="1" customWidth="1"/>
    <col min="3" max="3" width="10.54296875" bestFit="1" customWidth="1"/>
    <col min="4" max="4" width="9.7265625" bestFit="1" customWidth="1"/>
    <col min="5" max="8" width="11.36328125" bestFit="1" customWidth="1"/>
    <col min="9" max="9" width="10.36328125" bestFit="1" customWidth="1"/>
  </cols>
  <sheetData>
    <row r="1" spans="1:9" x14ac:dyDescent="0.35">
      <c r="A1" t="str" cm="1">
        <f t="array" ref="A1:B1">Properties!A1:B1</f>
        <v>Square</v>
      </c>
      <c r="B1" t="str">
        <v>Group</v>
      </c>
      <c r="C1" t="str" cm="1">
        <f t="array" ref="C1:D1">Properties!E1:F1</f>
        <v>House Price</v>
      </c>
      <c r="D1" t="str">
        <v>Hotel Price</v>
      </c>
      <c r="E1" t="str" cm="1">
        <f t="array" ref="E1:I1">_xlfn.TEXTBEFORE(_xlfn.ANCHORARRAY('Property Development'!C1)," Per Lap")</f>
        <v>1 House</v>
      </c>
      <c r="F1" t="str">
        <v>2 Houses</v>
      </c>
      <c r="G1" t="str">
        <v>3 Houses</v>
      </c>
      <c r="H1" t="str">
        <v>4 Houses</v>
      </c>
      <c r="I1" t="str">
        <v>Hotel</v>
      </c>
    </row>
    <row r="2" spans="1:9" x14ac:dyDescent="0.35">
      <c r="A2" t="str" cm="1">
        <f t="array" ref="A2:A23">Properties!A2:A23</f>
        <v>Old Kent Road</v>
      </c>
      <c r="B2" t="str">
        <f>_xlfn.XLOOKUP(A2,Sheet1!A$4:A$43,Sheet1!B$4:B$43)</f>
        <v>Brown</v>
      </c>
      <c r="C2">
        <f>_xlfn.XLOOKUP(A2,Properties!A$2:A$23,Properties!E$2:E$23)</f>
        <v>50</v>
      </c>
      <c r="D2">
        <f>_xlfn.XLOOKUP(A2,Properties!A$2:A$23,Properties!E$2:E$23)</f>
        <v>50</v>
      </c>
      <c r="E2" s="5" cm="1">
        <f t="array" ref="E2:E23">C2:C23/'Property Development'!C2:C23</f>
        <v>75.71770563095518</v>
      </c>
      <c r="F2" s="5" cm="1">
        <f t="array" ref="F2:F23">2*C2:C23/'Property Development'!D2:D23</f>
        <v>34.946633368133163</v>
      </c>
      <c r="G2" s="5" cm="1">
        <f t="array" ref="G2:G23">3*C2:C23/'Property Development'!E2:E23</f>
        <v>15.847891876246434</v>
      </c>
      <c r="H2" s="5" cm="1">
        <f t="array" ref="H2:H23">4*C2:C23/'Property Development'!F2:F23</f>
        <v>11.648877789377721</v>
      </c>
      <c r="I2" s="5" cm="1">
        <f t="array" ref="I2:I23">(4*C2:C23+D2:D23)/'Property Development'!G2:G23</f>
        <v>9.2338665403603901</v>
      </c>
    </row>
    <row r="3" spans="1:9" x14ac:dyDescent="0.35">
      <c r="A3" t="str">
        <v>Whitechapel</v>
      </c>
      <c r="B3" t="str">
        <f>_xlfn.XLOOKUP(A3,Sheet1!A$4:A$43,Sheet1!B$4:B$43)</f>
        <v>Brown</v>
      </c>
      <c r="C3">
        <f>_xlfn.XLOOKUP(A3,Properties!A$2:A$23,Properties!E$2:E$23)</f>
        <v>50</v>
      </c>
      <c r="D3">
        <f>_xlfn.XLOOKUP(A3,Properties!A$2:A$23,Properties!E$2:E$23)</f>
        <v>50</v>
      </c>
      <c r="E3" s="5">
        <v>37.527517519161641</v>
      </c>
      <c r="F3" s="5">
        <v>17.320392701151526</v>
      </c>
      <c r="G3" s="5">
        <v>18.763758759580821</v>
      </c>
      <c r="H3" s="5">
        <v>5.7734642337171751</v>
      </c>
      <c r="I3" s="5">
        <v>5.0942331473975075</v>
      </c>
    </row>
    <row r="4" spans="1:9" x14ac:dyDescent="0.35">
      <c r="A4" t="str">
        <v>The Angel, Islington</v>
      </c>
      <c r="B4" t="str">
        <f>_xlfn.XLOOKUP(A4,Sheet1!A$4:A$43,Sheet1!B$4:B$43)</f>
        <v>Light Blue</v>
      </c>
      <c r="C4">
        <f>_xlfn.XLOOKUP(A4,Properties!A$2:A$23,Properties!E$2:E$23)</f>
        <v>50</v>
      </c>
      <c r="D4">
        <f>_xlfn.XLOOKUP(A4,Properties!A$2:A$23,Properties!E$2:E$23)</f>
        <v>50</v>
      </c>
      <c r="E4" s="5">
        <v>24.14628870471396</v>
      </c>
      <c r="F4" s="5">
        <v>11.144440940637214</v>
      </c>
      <c r="G4" s="5">
        <v>5.0538743800564108</v>
      </c>
      <c r="H4" s="5">
        <v>4.4807546049984666</v>
      </c>
      <c r="I4" s="5">
        <v>4.0393419766250123</v>
      </c>
    </row>
    <row r="5" spans="1:9" x14ac:dyDescent="0.35">
      <c r="A5" t="str">
        <v>Euston</v>
      </c>
      <c r="B5" t="str">
        <f>_xlfn.XLOOKUP(A5,Sheet1!A$4:A$43,Sheet1!B$4:B$43)</f>
        <v>Light Blue</v>
      </c>
      <c r="C5">
        <f>_xlfn.XLOOKUP(A5,Properties!A$2:A$23,Properties!E$2:E$23)</f>
        <v>50</v>
      </c>
      <c r="D5">
        <f>_xlfn.XLOOKUP(A5,Properties!A$2:A$23,Properties!E$2:E$23)</f>
        <v>50</v>
      </c>
      <c r="E5" s="5">
        <v>23.441441537438777</v>
      </c>
      <c r="F5" s="5">
        <v>10.819126863433285</v>
      </c>
      <c r="G5" s="5">
        <v>4.906348228766257</v>
      </c>
      <c r="H5" s="5">
        <v>4.3499582234422487</v>
      </c>
      <c r="I5" s="5">
        <v>3.921430740463737</v>
      </c>
    </row>
    <row r="6" spans="1:9" x14ac:dyDescent="0.35">
      <c r="A6" t="str">
        <v>Pentonville Road</v>
      </c>
      <c r="B6" t="str">
        <f>_xlfn.XLOOKUP(A6,Sheet1!A$4:A$43,Sheet1!B$4:B$43)</f>
        <v>Light Blue</v>
      </c>
      <c r="C6">
        <f>_xlfn.XLOOKUP(A6,Properties!A$2:A$23,Properties!E$2:E$23)</f>
        <v>50</v>
      </c>
      <c r="D6">
        <f>_xlfn.XLOOKUP(A6,Properties!A$2:A$23,Properties!E$2:E$23)</f>
        <v>50</v>
      </c>
      <c r="E6" s="5">
        <v>17.812837128708278</v>
      </c>
      <c r="F6" s="5">
        <v>10.178764073547587</v>
      </c>
      <c r="G6" s="5">
        <v>4.5159305396725209</v>
      </c>
      <c r="H6" s="5">
        <v>3.940166738147453</v>
      </c>
      <c r="I6" s="5">
        <v>3.6601720127482764</v>
      </c>
    </row>
    <row r="7" spans="1:9" x14ac:dyDescent="0.35">
      <c r="A7" t="str">
        <v>Pall Mall</v>
      </c>
      <c r="B7" t="str">
        <f>_xlfn.XLOOKUP(A7,Sheet1!A$4:A$43,Sheet1!B$4:B$43)</f>
        <v>Pink</v>
      </c>
      <c r="C7">
        <f>_xlfn.XLOOKUP(A7,Properties!A$2:A$23,Properties!E$2:E$23)</f>
        <v>100</v>
      </c>
      <c r="D7">
        <f>_xlfn.XLOOKUP(A7,Properties!A$2:A$23,Properties!E$2:E$23)</f>
        <v>100</v>
      </c>
      <c r="E7" s="5">
        <v>24.031291122252917</v>
      </c>
      <c r="F7" s="5">
        <v>11.0913651333475</v>
      </c>
      <c r="G7" s="5">
        <v>5.0298051186110753</v>
      </c>
      <c r="H7" s="5">
        <v>4.7665370820997515</v>
      </c>
      <c r="I7" s="5">
        <v>4.9379365319697772</v>
      </c>
    </row>
    <row r="8" spans="1:9" x14ac:dyDescent="0.35">
      <c r="A8" t="str">
        <v>Whitehall</v>
      </c>
      <c r="B8" t="str">
        <f>_xlfn.XLOOKUP(A8,Sheet1!A$4:A$43,Sheet1!B$4:B$43)</f>
        <v>Pink</v>
      </c>
      <c r="C8">
        <f>_xlfn.XLOOKUP(A8,Properties!A$2:A$23,Properties!E$2:E$23)</f>
        <v>100</v>
      </c>
      <c r="D8">
        <f>_xlfn.XLOOKUP(A8,Properties!A$2:A$23,Properties!E$2:E$23)</f>
        <v>100</v>
      </c>
      <c r="E8" s="5">
        <v>27.799160666415325</v>
      </c>
      <c r="F8" s="5">
        <v>12.830381846037843</v>
      </c>
      <c r="G8" s="5">
        <v>5.81842897669158</v>
      </c>
      <c r="H8" s="5">
        <v>5.513883107388164</v>
      </c>
      <c r="I8" s="5">
        <v>5.7121563013182177</v>
      </c>
    </row>
    <row r="9" spans="1:9" x14ac:dyDescent="0.35">
      <c r="A9" t="str">
        <v>Northumberland Avenue</v>
      </c>
      <c r="B9" t="str">
        <f>_xlfn.XLOOKUP(A9,Sheet1!A$4:A$43,Sheet1!B$4:B$43)</f>
        <v>Pink</v>
      </c>
      <c r="C9">
        <f>_xlfn.XLOOKUP(A9,Properties!A$2:A$23,Properties!E$2:E$23)</f>
        <v>100</v>
      </c>
      <c r="D9">
        <f>_xlfn.XLOOKUP(A9,Properties!A$2:A$23,Properties!E$2:E$23)</f>
        <v>100</v>
      </c>
      <c r="E9" s="5">
        <v>21.676696728866727</v>
      </c>
      <c r="F9" s="5">
        <v>10.004629259476951</v>
      </c>
      <c r="G9" s="5">
        <v>4.9182421149529549</v>
      </c>
      <c r="H9" s="5">
        <v>4.61752119668167</v>
      </c>
      <c r="I9" s="5">
        <v>4.4541157662054918</v>
      </c>
    </row>
    <row r="10" spans="1:9" x14ac:dyDescent="0.35">
      <c r="A10" t="str">
        <v>Bow Street</v>
      </c>
      <c r="B10" t="str">
        <f>_xlfn.XLOOKUP(A10,Sheet1!A$4:A$43,Sheet1!B$4:B$43)</f>
        <v>Orange</v>
      </c>
      <c r="C10">
        <f>_xlfn.XLOOKUP(A10,Properties!A$2:A$23,Properties!E$2:E$23)</f>
        <v>100</v>
      </c>
      <c r="D10">
        <f>_xlfn.XLOOKUP(A10,Properties!A$2:A$23,Properties!E$2:E$23)</f>
        <v>100</v>
      </c>
      <c r="E10" s="5">
        <v>17.628787210850767</v>
      </c>
      <c r="F10" s="5">
        <v>8.6094077076247935</v>
      </c>
      <c r="G10" s="5">
        <v>4.2552244991708736</v>
      </c>
      <c r="H10" s="5">
        <v>4.1019892678987926</v>
      </c>
      <c r="I10" s="5">
        <v>4.0152335295864008</v>
      </c>
    </row>
    <row r="11" spans="1:9" x14ac:dyDescent="0.35">
      <c r="A11" t="str">
        <v>Marlborough Street</v>
      </c>
      <c r="B11" t="str">
        <f>_xlfn.XLOOKUP(A11,Sheet1!A$4:A$43,Sheet1!B$4:B$43)</f>
        <v>Orange</v>
      </c>
      <c r="C11">
        <f>_xlfn.XLOOKUP(A11,Properties!A$2:A$23,Properties!E$2:E$23)</f>
        <v>100</v>
      </c>
      <c r="D11">
        <f>_xlfn.XLOOKUP(A11,Properties!A$2:A$23,Properties!E$2:E$23)</f>
        <v>100</v>
      </c>
      <c r="E11" s="5">
        <v>16.283629606225151</v>
      </c>
      <c r="F11" s="5">
        <v>7.9524702728076333</v>
      </c>
      <c r="G11" s="5">
        <v>3.9305312842612437</v>
      </c>
      <c r="H11" s="5">
        <v>3.7889886064346618</v>
      </c>
      <c r="I11" s="5">
        <v>3.7088527302682017</v>
      </c>
    </row>
    <row r="12" spans="1:9" x14ac:dyDescent="0.35">
      <c r="A12" t="str">
        <v>Vine Street</v>
      </c>
      <c r="B12" t="str">
        <f>_xlfn.XLOOKUP(A12,Sheet1!A$4:A$43,Sheet1!B$4:B$43)</f>
        <v>Orange</v>
      </c>
      <c r="C12">
        <f>_xlfn.XLOOKUP(A12,Properties!A$2:A$23,Properties!E$2:E$23)</f>
        <v>100</v>
      </c>
      <c r="D12">
        <f>_xlfn.XLOOKUP(A12,Properties!A$2:A$23,Properties!E$2:E$23)</f>
        <v>100</v>
      </c>
      <c r="E12" s="5">
        <v>14.119812058785348</v>
      </c>
      <c r="F12" s="5">
        <v>7.2101167959754973</v>
      </c>
      <c r="G12" s="5">
        <v>3.5796706627906518</v>
      </c>
      <c r="H12" s="5">
        <v>3.5299530146963369</v>
      </c>
      <c r="I12" s="5">
        <v>3.5007798492856237</v>
      </c>
    </row>
    <row r="13" spans="1:9" x14ac:dyDescent="0.35">
      <c r="A13" t="str">
        <v>Strand</v>
      </c>
      <c r="B13" t="str">
        <f>_xlfn.XLOOKUP(A13,Sheet1!A$4:A$43,Sheet1!B$4:B$43)</f>
        <v>Red</v>
      </c>
      <c r="C13">
        <f>_xlfn.XLOOKUP(A13,Properties!A$2:A$23,Properties!E$2:E$23)</f>
        <v>150</v>
      </c>
      <c r="D13">
        <f>_xlfn.XLOOKUP(A13,Properties!A$2:A$23,Properties!E$2:E$23)</f>
        <v>150</v>
      </c>
      <c r="E13" s="5">
        <v>20.050554017096328</v>
      </c>
      <c r="F13" s="5">
        <v>10.118971186198147</v>
      </c>
      <c r="G13" s="5">
        <v>4.8918520342915741</v>
      </c>
      <c r="H13" s="5">
        <v>5.1620019877149073</v>
      </c>
      <c r="I13" s="5">
        <v>5.3389049157948811</v>
      </c>
    </row>
    <row r="14" spans="1:9" x14ac:dyDescent="0.35">
      <c r="A14" t="str">
        <v>Fleet Street</v>
      </c>
      <c r="B14" t="str">
        <f>_xlfn.XLOOKUP(A14,Sheet1!A$4:A$43,Sheet1!B$4:B$43)</f>
        <v>Red</v>
      </c>
      <c r="C14">
        <f>_xlfn.XLOOKUP(A14,Properties!A$2:A$23,Properties!E$2:E$23)</f>
        <v>150</v>
      </c>
      <c r="D14">
        <f>_xlfn.XLOOKUP(A14,Properties!A$2:A$23,Properties!E$2:E$23)</f>
        <v>150</v>
      </c>
      <c r="E14" s="5">
        <v>20.133326909816468</v>
      </c>
      <c r="F14" s="5">
        <v>10.160744421776537</v>
      </c>
      <c r="G14" s="5">
        <v>4.9120466255877533</v>
      </c>
      <c r="H14" s="5">
        <v>5.1833118146845738</v>
      </c>
      <c r="I14" s="5">
        <v>5.360945035158232</v>
      </c>
    </row>
    <row r="15" spans="1:9" x14ac:dyDescent="0.35">
      <c r="A15" t="str">
        <v>Trafalgar Square</v>
      </c>
      <c r="B15" t="str">
        <f>_xlfn.XLOOKUP(A15,Sheet1!A$4:A$43,Sheet1!B$4:B$43)</f>
        <v>Red</v>
      </c>
      <c r="C15">
        <f>_xlfn.XLOOKUP(A15,Properties!A$2:A$23,Properties!E$2:E$23)</f>
        <v>150</v>
      </c>
      <c r="D15">
        <f>_xlfn.XLOOKUP(A15,Properties!A$2:A$23,Properties!E$2:E$23)</f>
        <v>150</v>
      </c>
      <c r="E15" s="5">
        <v>15.168728619848729</v>
      </c>
      <c r="F15" s="5">
        <v>7.0009516706994122</v>
      </c>
      <c r="G15" s="5">
        <v>3.8455931712292548</v>
      </c>
      <c r="H15" s="5">
        <v>4.1135535240267735</v>
      </c>
      <c r="I15" s="5">
        <v>4.2930364018439793</v>
      </c>
    </row>
    <row r="16" spans="1:9" x14ac:dyDescent="0.35">
      <c r="A16" t="str">
        <v>Leceister Square</v>
      </c>
      <c r="B16" t="str">
        <f>_xlfn.XLOOKUP(A16,Sheet1!A$4:A$43,Sheet1!B$4:B$43)</f>
        <v>Yellow</v>
      </c>
      <c r="C16">
        <f>_xlfn.XLOOKUP(A16,Properties!A$2:A$23,Properties!E$2:E$23)</f>
        <v>150</v>
      </c>
      <c r="D16">
        <f>_xlfn.XLOOKUP(A16,Properties!A$2:A$23,Properties!E$2:E$23)</f>
        <v>150</v>
      </c>
      <c r="E16" s="5">
        <v>17.162059180089702</v>
      </c>
      <c r="F16" s="5">
        <v>7.9209503908106331</v>
      </c>
      <c r="G16" s="5">
        <v>4.4948250233568272</v>
      </c>
      <c r="H16" s="5">
        <v>4.866577468897618</v>
      </c>
      <c r="I16" s="5">
        <v>5.1206867354698034</v>
      </c>
    </row>
    <row r="17" spans="1:9" x14ac:dyDescent="0.35">
      <c r="A17" t="str">
        <v>Coventry Street</v>
      </c>
      <c r="B17" t="str">
        <f>_xlfn.XLOOKUP(A17,Sheet1!A$4:A$43,Sheet1!B$4:B$43)</f>
        <v>Yellow</v>
      </c>
      <c r="C17">
        <f>_xlfn.XLOOKUP(A17,Properties!A$2:A$23,Properties!E$2:E$23)</f>
        <v>150</v>
      </c>
      <c r="D17">
        <f>_xlfn.XLOOKUP(A17,Properties!A$2:A$23,Properties!E$2:E$23)</f>
        <v>150</v>
      </c>
      <c r="E17" s="5">
        <v>17.107105965659791</v>
      </c>
      <c r="F17" s="5">
        <v>7.8955873687660576</v>
      </c>
      <c r="G17" s="5">
        <v>4.4804325148156599</v>
      </c>
      <c r="H17" s="5">
        <v>4.8509946025071802</v>
      </c>
      <c r="I17" s="5">
        <v>5.1042902067520179</v>
      </c>
    </row>
    <row r="18" spans="1:9" x14ac:dyDescent="0.35">
      <c r="A18" t="str">
        <v>Piccadilly</v>
      </c>
      <c r="B18" t="str">
        <f>_xlfn.XLOOKUP(A18,Sheet1!A$4:A$43,Sheet1!B$4:B$43)</f>
        <v>Yellow</v>
      </c>
      <c r="C18">
        <f>_xlfn.XLOOKUP(A18,Properties!A$2:A$23,Properties!E$2:E$23)</f>
        <v>150</v>
      </c>
      <c r="D18">
        <f>_xlfn.XLOOKUP(A18,Properties!A$2:A$23,Properties!E$2:E$23)</f>
        <v>150</v>
      </c>
      <c r="E18" s="5">
        <v>15.787248313394219</v>
      </c>
      <c r="F18" s="5">
        <v>7.2864222984896401</v>
      </c>
      <c r="G18" s="5">
        <v>4.2519272265500643</v>
      </c>
      <c r="H18" s="5">
        <v>4.6537640882881632</v>
      </c>
      <c r="I18" s="5">
        <v>4.9335150979356932</v>
      </c>
    </row>
    <row r="19" spans="1:9" x14ac:dyDescent="0.35">
      <c r="A19" t="str">
        <v>Regent Street</v>
      </c>
      <c r="B19" t="str">
        <f>_xlfn.XLOOKUP(A19,Sheet1!A$4:A$43,Sheet1!B$4:B$43)</f>
        <v>Green</v>
      </c>
      <c r="C19">
        <f>_xlfn.XLOOKUP(A19,Properties!A$2:A$23,Properties!E$2:E$23)</f>
        <v>200</v>
      </c>
      <c r="D19">
        <f>_xlfn.XLOOKUP(A19,Properties!A$2:A$23,Properties!E$2:E$23)</f>
        <v>200</v>
      </c>
      <c r="E19" s="5">
        <v>19.278647983320276</v>
      </c>
      <c r="F19" s="5">
        <v>8.8978375307632032</v>
      </c>
      <c r="G19" s="5">
        <v>5.3198155991709246</v>
      </c>
      <c r="H19" s="5">
        <v>5.7394448194617604</v>
      </c>
      <c r="I19" s="5">
        <v>6.1477291197832429</v>
      </c>
    </row>
    <row r="20" spans="1:9" x14ac:dyDescent="0.35">
      <c r="A20" t="str">
        <v>Oxford Street</v>
      </c>
      <c r="B20" t="str">
        <f>_xlfn.XLOOKUP(A20,Sheet1!A$4:A$43,Sheet1!B$4:B$43)</f>
        <v>Green</v>
      </c>
      <c r="C20">
        <f>_xlfn.XLOOKUP(A20,Properties!A$2:A$23,Properties!E$2:E$23)</f>
        <v>200</v>
      </c>
      <c r="D20">
        <f>_xlfn.XLOOKUP(A20,Properties!A$2:A$23,Properties!E$2:E$23)</f>
        <v>200</v>
      </c>
      <c r="E20" s="5">
        <v>19.393445204567399</v>
      </c>
      <c r="F20" s="5">
        <v>8.9508208636464914</v>
      </c>
      <c r="G20" s="5">
        <v>5.3514931342792114</v>
      </c>
      <c r="H20" s="5">
        <v>5.7736210914360946</v>
      </c>
      <c r="I20" s="5">
        <v>6.1843365738195297</v>
      </c>
    </row>
    <row r="21" spans="1:9" x14ac:dyDescent="0.35">
      <c r="A21" t="str">
        <v>Bond Street</v>
      </c>
      <c r="B21" t="str">
        <f>_xlfn.XLOOKUP(A21,Sheet1!A$4:A$43,Sheet1!B$4:B$43)</f>
        <v>Green</v>
      </c>
      <c r="C21">
        <f>_xlfn.XLOOKUP(A21,Properties!A$2:A$23,Properties!E$2:E$23)</f>
        <v>200</v>
      </c>
      <c r="D21">
        <f>_xlfn.XLOOKUP(A21,Properties!A$2:A$23,Properties!E$2:E$23)</f>
        <v>200</v>
      </c>
      <c r="E21" s="5">
        <v>16.758998954349238</v>
      </c>
      <c r="F21" s="5">
        <v>7.9966797041057269</v>
      </c>
      <c r="G21" s="5">
        <v>5.0063958740746664</v>
      </c>
      <c r="H21" s="5">
        <v>5.5082024535273719</v>
      </c>
      <c r="I21" s="5">
        <v>5.8606618367143914</v>
      </c>
    </row>
    <row r="22" spans="1:9" x14ac:dyDescent="0.35">
      <c r="A22" t="str">
        <v>Park Lane</v>
      </c>
      <c r="B22" t="str">
        <f>_xlfn.XLOOKUP(A22,Sheet1!A$4:A$43,Sheet1!B$4:B$43)</f>
        <v>Dark Blue</v>
      </c>
      <c r="C22">
        <f>_xlfn.XLOOKUP(A22,Properties!A$2:A$23,Properties!E$2:E$23)</f>
        <v>200</v>
      </c>
      <c r="D22">
        <f>_xlfn.XLOOKUP(A22,Properties!A$2:A$23,Properties!E$2:E$23)</f>
        <v>200</v>
      </c>
      <c r="E22" s="5">
        <v>16.096640017216124</v>
      </c>
      <c r="F22" s="5">
        <v>7.8611497758497331</v>
      </c>
      <c r="G22" s="5">
        <v>4.9227588402165807</v>
      </c>
      <c r="H22" s="5">
        <v>5.496413664415261</v>
      </c>
      <c r="I22" s="5">
        <v>5.9096056007261986</v>
      </c>
    </row>
    <row r="23" spans="1:9" x14ac:dyDescent="0.35">
      <c r="A23" t="str">
        <v>Mayfair</v>
      </c>
      <c r="B23" t="str">
        <f>_xlfn.XLOOKUP(A23,Sheet1!A$4:A$43,Sheet1!B$4:B$43)</f>
        <v>Dark Blue</v>
      </c>
      <c r="C23">
        <f>_xlfn.XLOOKUP(A23,Properties!A$2:A$23,Properties!E$2:E$23)</f>
        <v>200</v>
      </c>
      <c r="D23">
        <f>_xlfn.XLOOKUP(A23,Properties!A$2:A$23,Properties!E$2:E$23)</f>
        <v>200</v>
      </c>
      <c r="E23" s="5">
        <v>14.948032687562289</v>
      </c>
      <c r="F23" s="5">
        <v>5.9792130750249148</v>
      </c>
      <c r="G23" s="5">
        <v>3.4495460048220665</v>
      </c>
      <c r="H23" s="5">
        <v>3.7370081718905723</v>
      </c>
      <c r="I23" s="5">
        <v>3.9336928125163912</v>
      </c>
    </row>
  </sheetData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2D9F-8050-4E03-A9B5-8A428D409836}">
  <dimension ref="A1:F9"/>
  <sheetViews>
    <sheetView workbookViewId="0"/>
  </sheetViews>
  <sheetFormatPr defaultRowHeight="14.5" x14ac:dyDescent="0.35"/>
  <cols>
    <col min="1" max="1" width="8.81640625" bestFit="1" customWidth="1"/>
    <col min="2" max="2" width="14.26953125" bestFit="1" customWidth="1"/>
    <col min="3" max="5" width="15.08984375" bestFit="1" customWidth="1"/>
    <col min="6" max="6" width="12.36328125" bestFit="1" customWidth="1"/>
  </cols>
  <sheetData>
    <row r="1" spans="1:6" x14ac:dyDescent="0.35">
      <c r="A1" t="s">
        <v>54</v>
      </c>
      <c r="B1" t="str" cm="1">
        <f t="array" ref="B1:F1">Sets!C1:G1</f>
        <v>1 House Per Lap</v>
      </c>
      <c r="C1" t="str">
        <v>2 Houses Per Lap</v>
      </c>
      <c r="D1" t="str">
        <v>3 Houses Per Lap</v>
      </c>
      <c r="E1" t="str">
        <v>4 Houses Per Lap</v>
      </c>
      <c r="F1" t="str">
        <v>Hotel Per Lap</v>
      </c>
    </row>
    <row r="2" spans="1:6" x14ac:dyDescent="0.35">
      <c r="A2" t="str" cm="1">
        <f t="array" ref="A2:A9">Sets!A2:A9</f>
        <v>Brown</v>
      </c>
      <c r="B2" s="5">
        <f>_xlfn.XLOOKUP($A2,Sets!$A$2:$A$9,Sets!C$2:C$9)-_xlfn.XLOOKUP($A2,Sets!$A$2:$A$9,Sets!$B$2:$B$9)</f>
        <v>1.9927031815204419</v>
      </c>
      <c r="C2" s="5">
        <f>_xlfn.XLOOKUP($A2,Sets!$A$2:$A$9,Sets!D$2:D$9)-_xlfn.XLOOKUP($A2,Sets!$A$2:$A$9,Sets!$B$2:$B$9)</f>
        <v>8.6350471199219143</v>
      </c>
      <c r="D2" s="5">
        <f>_xlfn.XLOOKUP($A2,Sets!$A$2:$A$9,Sets!E$2:E$9)-_xlfn.XLOOKUP($A2,Sets!$A$2:$A$9,Sets!$B$2:$B$9)</f>
        <v>17.459115184488798</v>
      </c>
      <c r="E2" s="5">
        <f>_xlfn.XLOOKUP($A2,Sets!$A$2:$A$9,Sets!F$2:F$9)-_xlfn.XLOOKUP($A2,Sets!$A$2:$A$9,Sets!$B$2:$B$9)</f>
        <v>51.810282719531486</v>
      </c>
      <c r="F2" s="5">
        <f>_xlfn.XLOOKUP($A2,Sets!$A$2:$A$9,Sets!G$2:G$9)-_xlfn.XLOOKUP($A2,Sets!$A$2:$A$9,Sets!$B$2:$B$9)</f>
        <v>76.149348567019331</v>
      </c>
    </row>
    <row r="3" spans="1:6" x14ac:dyDescent="0.35">
      <c r="A3" t="str">
        <v>Light Blue</v>
      </c>
      <c r="B3" s="5">
        <f>_xlfn.XLOOKUP($A3,Sets!$A$2:$A$9,Sets!C$2:C$9)-_xlfn.XLOOKUP($A3,Sets!$A$2:$A$9,Sets!$B$2:$B$9)</f>
        <v>7.0106506390629804</v>
      </c>
      <c r="C3" s="5">
        <f>_xlfn.XLOOKUP($A3,Sets!$A$2:$A$9,Sets!D$2:D$9)-_xlfn.XLOOKUP($A3,Sets!$A$2:$A$9,Sets!$B$2:$B$9)</f>
        <v>28.04034908778933</v>
      </c>
      <c r="D3" s="5">
        <f>_xlfn.XLOOKUP($A3,Sets!$A$2:$A$9,Sets!E$2:E$9)-_xlfn.XLOOKUP($A3,Sets!$A$2:$A$9,Sets!$B$2:$B$9)</f>
        <v>93.468581448785272</v>
      </c>
      <c r="E3" s="5">
        <f>_xlfn.XLOOKUP($A3,Sets!$A$2:$A$9,Sets!F$2:F$9)-_xlfn.XLOOKUP($A3,Sets!$A$2:$A$9,Sets!$B$2:$B$9)</f>
        <v>141.37206510250928</v>
      </c>
      <c r="F3" s="5">
        <f>_xlfn.XLOOKUP($A3,Sets!$A$2:$A$9,Sets!G$2:G$9)-_xlfn.XLOOKUP($A3,Sets!$A$2:$A$9,Sets!$B$2:$B$9)</f>
        <v>193.94631122432514</v>
      </c>
    </row>
    <row r="4" spans="1:6" x14ac:dyDescent="0.35">
      <c r="A4" t="str">
        <v>Pink</v>
      </c>
      <c r="B4" s="5">
        <f>_xlfn.XLOOKUP($A4,Sets!$A$2:$A$9,Sets!C$2:C$9)-_xlfn.XLOOKUP($A4,Sets!$A$2:$A$9,Sets!$B$2:$B$9)</f>
        <v>12.371721185743283</v>
      </c>
      <c r="C4" s="5">
        <f>_xlfn.XLOOKUP($A4,Sets!$A$2:$A$9,Sets!D$2:D$9)-_xlfn.XLOOKUP($A4,Sets!$A$2:$A$9,Sets!$B$2:$B$9)</f>
        <v>53.610791804887555</v>
      </c>
      <c r="D4" s="5">
        <f>_xlfn.XLOOKUP($A4,Sets!$A$2:$A$9,Sets!E$2:E$9)-_xlfn.XLOOKUP($A4,Sets!$A$2:$A$9,Sets!$B$2:$B$9)</f>
        <v>172.20217141486614</v>
      </c>
      <c r="E4" s="5">
        <f>_xlfn.XLOOKUP($A4,Sets!$A$2:$A$9,Sets!F$2:F$9)-_xlfn.XLOOKUP($A4,Sets!$A$2:$A$9,Sets!$B$2:$B$9)</f>
        <v>243.08908693650508</v>
      </c>
      <c r="F4" s="5">
        <f>_xlfn.XLOOKUP($A4,Sets!$A$2:$A$9,Sets!G$2:G$9)-_xlfn.XLOOKUP($A4,Sets!$A$2:$A$9,Sets!$B$2:$B$9)</f>
        <v>301.04521551975324</v>
      </c>
    </row>
    <row r="5" spans="1:6" x14ac:dyDescent="0.35">
      <c r="A5" t="str">
        <v>Orange</v>
      </c>
      <c r="B5" s="5">
        <f>_xlfn.XLOOKUP($A5,Sets!$A$2:$A$9,Sets!C$2:C$9)-_xlfn.XLOOKUP($A5,Sets!$A$2:$A$9,Sets!$B$2:$B$9)</f>
        <v>18.895924190382722</v>
      </c>
      <c r="C5" s="5">
        <f>_xlfn.XLOOKUP($A5,Sets!$A$2:$A$9,Sets!D$2:D$9)-_xlfn.XLOOKUP($A5,Sets!$A$2:$A$9,Sets!$B$2:$B$9)</f>
        <v>76.118621581824101</v>
      </c>
      <c r="D5" s="5">
        <f>_xlfn.XLOOKUP($A5,Sets!$A$2:$A$9,Sets!E$2:E$9)-_xlfn.XLOOKUP($A5,Sets!$A$2:$A$9,Sets!$B$2:$B$9)</f>
        <v>230.63372015116815</v>
      </c>
      <c r="E5" s="5">
        <f>_xlfn.XLOOKUP($A5,Sets!$A$2:$A$9,Sets!F$2:F$9)-_xlfn.XLOOKUP($A5,Sets!$A$2:$A$9,Sets!$B$2:$B$9)</f>
        <v>316.39868817606879</v>
      </c>
      <c r="F5" s="5">
        <f>_xlfn.XLOOKUP($A5,Sets!$A$2:$A$9,Sets!G$2:G$9)-_xlfn.XLOOKUP($A5,Sets!$A$2:$A$9,Sets!$B$2:$B$9)</f>
        <v>402.1636562009694</v>
      </c>
    </row>
    <row r="6" spans="1:6" x14ac:dyDescent="0.35">
      <c r="A6" t="str">
        <v>Red</v>
      </c>
      <c r="B6" s="5">
        <f>_xlfn.XLOOKUP($A6,Sets!$A$2:$A$9,Sets!C$2:C$9)-_xlfn.XLOOKUP($A6,Sets!$A$2:$A$9,Sets!$B$2:$B$9)</f>
        <v>24.820189028354058</v>
      </c>
      <c r="C6" s="5">
        <f>_xlfn.XLOOKUP($A6,Sets!$A$2:$A$9,Sets!D$2:D$9)-_xlfn.XLOOKUP($A6,Sets!$A$2:$A$9,Sets!$B$2:$B$9)</f>
        <v>102.02399558762562</v>
      </c>
      <c r="D6" s="5">
        <f>_xlfn.XLOOKUP($A6,Sets!$A$2:$A$9,Sets!E$2:E$9)-_xlfn.XLOOKUP($A6,Sets!$A$2:$A$9,Sets!$B$2:$B$9)</f>
        <v>300.61826625457536</v>
      </c>
      <c r="E6" s="5">
        <f>_xlfn.XLOOKUP($A6,Sets!$A$2:$A$9,Sets!F$2:F$9)-_xlfn.XLOOKUP($A6,Sets!$A$2:$A$9,Sets!$B$2:$B$9)</f>
        <v>377.84937151394467</v>
      </c>
      <c r="F6" s="5">
        <f>_xlfn.XLOOKUP($A6,Sets!$A$2:$A$9,Sets!G$2:G$9)-_xlfn.XLOOKUP($A6,Sets!$A$2:$A$9,Sets!$B$2:$B$9)</f>
        <v>455.08047677331405</v>
      </c>
    </row>
    <row r="7" spans="1:6" x14ac:dyDescent="0.35">
      <c r="A7" t="str">
        <v>Yellow</v>
      </c>
      <c r="B7" s="5">
        <f>_xlfn.XLOOKUP($A7,Sets!$A$2:$A$9,Sets!C$2:C$9)-_xlfn.XLOOKUP($A7,Sets!$A$2:$A$9,Sets!$B$2:$B$9)</f>
        <v>27.009835178540534</v>
      </c>
      <c r="C7" s="5">
        <f>_xlfn.XLOOKUP($A7,Sets!$A$2:$A$9,Sets!D$2:D$9)-_xlfn.XLOOKUP($A7,Sets!$A$2:$A$9,Sets!$B$2:$B$9)</f>
        <v>117.04261910700896</v>
      </c>
      <c r="D7" s="5">
        <f>_xlfn.XLOOKUP($A7,Sets!$A$2:$A$9,Sets!E$2:E$9)-_xlfn.XLOOKUP($A7,Sets!$A$2:$A$9,Sets!$B$2:$B$9)</f>
        <v>306.38622469655991</v>
      </c>
      <c r="E7" s="5">
        <f>_xlfn.XLOOKUP($A7,Sets!$A$2:$A$9,Sets!F$2:F$9)-_xlfn.XLOOKUP($A7,Sets!$A$2:$A$9,Sets!$B$2:$B$9)</f>
        <v>375.90379985931764</v>
      </c>
      <c r="F7" s="5">
        <f>_xlfn.XLOOKUP($A7,Sets!$A$2:$A$9,Sets!G$2:G$9)-_xlfn.XLOOKUP($A7,Sets!$A$2:$A$9,Sets!$B$2:$B$9)</f>
        <v>445.42137502207544</v>
      </c>
    </row>
    <row r="8" spans="1:6" x14ac:dyDescent="0.35">
      <c r="A8" t="str">
        <v>Green</v>
      </c>
      <c r="B8" s="5">
        <f>_xlfn.XLOOKUP($A8,Sets!$A$2:$A$9,Sets!C$2:C$9)-_xlfn.XLOOKUP($A8,Sets!$A$2:$A$9,Sets!$B$2:$B$9)</f>
        <v>32.620821276534414</v>
      </c>
      <c r="C8" s="5">
        <f>_xlfn.XLOOKUP($A8,Sets!$A$2:$A$9,Sets!D$2:D$9)-_xlfn.XLOOKUP($A8,Sets!$A$2:$A$9,Sets!$B$2:$B$9)</f>
        <v>139.66414226715844</v>
      </c>
      <c r="D8" s="5">
        <f>_xlfn.XLOOKUP($A8,Sets!$A$2:$A$9,Sets!E$2:E$9)-_xlfn.XLOOKUP($A8,Sets!$A$2:$A$9,Sets!$B$2:$B$9)</f>
        <v>344.75080094735159</v>
      </c>
      <c r="E8" s="5">
        <f>_xlfn.XLOOKUP($A8,Sets!$A$2:$A$9,Sets!F$2:F$9)-_xlfn.XLOOKUP($A8,Sets!$A$2:$A$9,Sets!$B$2:$B$9)</f>
        <v>423.18547109900692</v>
      </c>
      <c r="F8" s="5">
        <f>_xlfn.XLOOKUP($A8,Sets!$A$2:$A$9,Sets!G$2:G$9)-_xlfn.XLOOKUP($A8,Sets!$A$2:$A$9,Sets!$B$2:$B$9)</f>
        <v>494.98971360262533</v>
      </c>
    </row>
    <row r="9" spans="1:6" x14ac:dyDescent="0.35">
      <c r="A9" t="str">
        <v>Dark Blue</v>
      </c>
      <c r="B9" s="5">
        <f>_xlfn.XLOOKUP($A9,Sets!$A$2:$A$9,Sets!C$2:C$9)-_xlfn.XLOOKUP($A9,Sets!$A$2:$A$9,Sets!$B$2:$B$9)</f>
        <v>25.80464036084836</v>
      </c>
      <c r="C9" s="5">
        <f>_xlfn.XLOOKUP($A9,Sets!$A$2:$A$9,Sets!D$2:D$9)-_xlfn.XLOOKUP($A9,Sets!$A$2:$A$9,Sets!$B$2:$B$9)</f>
        <v>117.78157741810637</v>
      </c>
      <c r="D9" s="5">
        <f>_xlfn.XLOOKUP($A9,Sets!$A$2:$A$9,Sets!E$2:E$9)-_xlfn.XLOOKUP($A9,Sets!$A$2:$A$9,Sets!$B$2:$B$9)</f>
        <v>295.81880711886686</v>
      </c>
      <c r="E9" s="5">
        <f>_xlfn.XLOOKUP($A9,Sets!$A$2:$A$9,Sets!F$2:F$9)-_xlfn.XLOOKUP($A9,Sets!$A$2:$A$9,Sets!$B$2:$B$9)</f>
        <v>359.62444604977424</v>
      </c>
      <c r="F9" s="5">
        <f>_xlfn.XLOOKUP($A9,Sets!$A$2:$A$9,Sets!G$2:G$9)-_xlfn.XLOOKUP($A9,Sets!$A$2:$A$9,Sets!$B$2:$B$9)</f>
        <v>423.43008498068167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6AE1-96C9-4D50-9DFB-9B8B52A8525C}">
  <dimension ref="A1:H9"/>
  <sheetViews>
    <sheetView workbookViewId="0"/>
  </sheetViews>
  <sheetFormatPr defaultRowHeight="14.5" x14ac:dyDescent="0.35"/>
  <cols>
    <col min="1" max="1" width="8.81640625" bestFit="1" customWidth="1"/>
    <col min="2" max="2" width="10.1796875" bestFit="1" customWidth="1"/>
    <col min="3" max="3" width="9.36328125" bestFit="1" customWidth="1"/>
    <col min="4" max="6" width="11.36328125" bestFit="1" customWidth="1"/>
    <col min="7" max="8" width="10.36328125" bestFit="1" customWidth="1"/>
  </cols>
  <sheetData>
    <row r="1" spans="1:8" x14ac:dyDescent="0.35">
      <c r="A1" t="s">
        <v>54</v>
      </c>
      <c r="B1" t="s">
        <v>96</v>
      </c>
      <c r="C1" t="s">
        <v>97</v>
      </c>
      <c r="D1" t="str" cm="1">
        <f t="array" ref="D1:H1">_xlfn.TEXTBEFORE(_xlfn.ANCHORARRAY('Set Development'!B1)," Per Lap")</f>
        <v>1 House</v>
      </c>
      <c r="E1" t="str">
        <v>2 Houses</v>
      </c>
      <c r="F1" t="str">
        <v>3 Houses</v>
      </c>
      <c r="G1" t="str">
        <v>4 Houses</v>
      </c>
      <c r="H1" t="str">
        <v>Hotel</v>
      </c>
    </row>
    <row r="2" spans="1:8" x14ac:dyDescent="0.35">
      <c r="A2" t="str" cm="1">
        <f t="array" ref="A2:A9">Sets!A2:A9</f>
        <v>Brown</v>
      </c>
      <c r="B2">
        <f>SUMIF(Properties!$B$2:$B$23,$A2,Properties!E$2:E$23)</f>
        <v>100</v>
      </c>
      <c r="C2">
        <f>SUMIF(Properties!$B$2:$B$23,$A2,Properties!F$2:F$23)</f>
        <v>100</v>
      </c>
      <c r="D2" s="5">
        <f>B2/_xlfn.XLOOKUP(A2,'Set Development'!$A$2:$A$9,'Set Development'!B$2:B$9)</f>
        <v>50.183088443558127</v>
      </c>
      <c r="E2" s="5">
        <f>2*B2/_xlfn.XLOOKUP(A2,'Set Development'!$A$2:$A$9,'Set Development'!C$2:C$9)</f>
        <v>23.161425435488368</v>
      </c>
      <c r="F2" s="5">
        <f>3*B2/_xlfn.XLOOKUP(A2,'Set Development'!$A$2:$A$9,'Set Development'!D$2:D$9)</f>
        <v>17.183001362321559</v>
      </c>
      <c r="G2" s="5">
        <f>4*B2/_xlfn.XLOOKUP(A2,'Set Development'!$A$2:$A$9,'Set Development'!E$2:E$9)</f>
        <v>7.7204751451627889</v>
      </c>
      <c r="H2" s="5">
        <f>(4*B2+C2)/_xlfn.XLOOKUP(A2,'Set Development'!$A$2:$A$9,'Set Development'!F$2:F$9)</f>
        <v>6.5660443511207207</v>
      </c>
    </row>
    <row r="3" spans="1:8" x14ac:dyDescent="0.35">
      <c r="A3" t="str">
        <v>Light Blue</v>
      </c>
      <c r="B3">
        <f>SUMIF(Properties!$B$2:$B$23,$A3,Properties!E$2:E$23)</f>
        <v>150</v>
      </c>
      <c r="C3">
        <f>SUMIF(Properties!$B$2:$B$23,$A3,Properties!F$2:F$23)</f>
        <v>150</v>
      </c>
      <c r="D3" s="5">
        <f>B3/_xlfn.XLOOKUP(A3,'Set Development'!$A$2:$A$9,'Set Development'!B$2:B$9)</f>
        <v>21.396016963704881</v>
      </c>
      <c r="E3" s="5">
        <f>2*B3/_xlfn.XLOOKUP(A3,'Set Development'!$A$2:$A$9,'Set Development'!C$2:C$9)</f>
        <v>10.698868229520022</v>
      </c>
      <c r="F3" s="5">
        <f>3*B3/_xlfn.XLOOKUP(A3,'Set Development'!$A$2:$A$9,'Set Development'!D$2:D$9)</f>
        <v>4.8144520118406939</v>
      </c>
      <c r="G3" s="5">
        <f>4*B3/_xlfn.XLOOKUP(A3,'Set Development'!$A$2:$A$9,'Set Development'!E$2:E$9)</f>
        <v>4.2441199367423703</v>
      </c>
      <c r="H3" s="5">
        <f>(4*B3+C3)/_xlfn.XLOOKUP(A3,'Set Development'!$A$2:$A$9,'Set Development'!F$2:F$9)</f>
        <v>3.8670495729744689</v>
      </c>
    </row>
    <row r="4" spans="1:8" x14ac:dyDescent="0.35">
      <c r="A4" t="str">
        <v>Pink</v>
      </c>
      <c r="B4">
        <f>SUMIF(Properties!$B$2:$B$23,$A4,Properties!E$2:E$23)</f>
        <v>300</v>
      </c>
      <c r="C4">
        <f>SUMIF(Properties!$B$2:$B$23,$A4,Properties!F$2:F$23)</f>
        <v>300</v>
      </c>
      <c r="D4" s="5">
        <f>B4/_xlfn.XLOOKUP(A4,'Set Development'!$A$2:$A$9,'Set Development'!B$2:B$9)</f>
        <v>24.248849088654616</v>
      </c>
      <c r="E4" s="5">
        <f>2*B4/_xlfn.XLOOKUP(A4,'Set Development'!$A$2:$A$9,'Set Development'!C$2:C$9)</f>
        <v>11.191776502455976</v>
      </c>
      <c r="F4" s="5">
        <f>3*B4/_xlfn.XLOOKUP(A4,'Set Development'!$A$2:$A$9,'Set Development'!D$2:D$9)</f>
        <v>5.2264149319681774</v>
      </c>
      <c r="G4" s="5">
        <f>4*B4/_xlfn.XLOOKUP(A4,'Set Development'!$A$2:$A$9,'Set Development'!E$2:E$9)</f>
        <v>4.9364618343127855</v>
      </c>
      <c r="H4" s="5">
        <f>(4*B4+C4)/_xlfn.XLOOKUP(A4,'Set Development'!$A$2:$A$9,'Set Development'!F$2:F$9)</f>
        <v>4.9826402236961531</v>
      </c>
    </row>
    <row r="5" spans="1:8" x14ac:dyDescent="0.35">
      <c r="A5" t="str">
        <v>Orange</v>
      </c>
      <c r="B5">
        <f>SUMIF(Properties!$B$2:$B$23,$A5,Properties!E$2:E$23)</f>
        <v>300</v>
      </c>
      <c r="C5">
        <f>SUMIF(Properties!$B$2:$B$23,$A5,Properties!F$2:F$23)</f>
        <v>300</v>
      </c>
      <c r="D5" s="5">
        <f>B5/_xlfn.XLOOKUP(A5,'Set Development'!$A$2:$A$9,'Set Development'!B$2:B$9)</f>
        <v>15.87643964790503</v>
      </c>
      <c r="E5" s="5">
        <f>2*B5/_xlfn.XLOOKUP(A5,'Set Development'!$A$2:$A$9,'Set Development'!C$2:C$9)</f>
        <v>7.8824338582514519</v>
      </c>
      <c r="F5" s="5">
        <f>3*B5/_xlfn.XLOOKUP(A5,'Set Development'!$A$2:$A$9,'Set Development'!D$2:D$9)</f>
        <v>3.9022914750284468</v>
      </c>
      <c r="G5" s="5">
        <f>4*B5/_xlfn.XLOOKUP(A5,'Set Development'!$A$2:$A$9,'Set Development'!E$2:E$9)</f>
        <v>3.7926832343003487</v>
      </c>
      <c r="H5" s="5">
        <f>(4*B5+C5)/_xlfn.XLOOKUP(A5,'Set Development'!$A$2:$A$9,'Set Development'!F$2:F$9)</f>
        <v>3.7298248533189664</v>
      </c>
    </row>
    <row r="6" spans="1:8" x14ac:dyDescent="0.35">
      <c r="A6" t="str">
        <v>Red</v>
      </c>
      <c r="B6">
        <f>SUMIF(Properties!$B$2:$B$23,$A6,Properties!E$2:E$23)</f>
        <v>450</v>
      </c>
      <c r="C6">
        <f>SUMIF(Properties!$B$2:$B$23,$A6,Properties!F$2:F$23)</f>
        <v>450</v>
      </c>
      <c r="D6" s="5">
        <f>B6/_xlfn.XLOOKUP(A6,'Set Development'!$A$2:$A$9,'Set Development'!B$2:B$9)</f>
        <v>18.130401806607093</v>
      </c>
      <c r="E6" s="5">
        <f>2*B6/_xlfn.XLOOKUP(A6,'Set Development'!$A$2:$A$9,'Set Development'!C$2:C$9)</f>
        <v>8.8214541570959604</v>
      </c>
      <c r="F6" s="5">
        <f>3*B6/_xlfn.XLOOKUP(A6,'Set Development'!$A$2:$A$9,'Set Development'!D$2:D$9)</f>
        <v>4.4907450795314183</v>
      </c>
      <c r="G6" s="5">
        <f>4*B6/_xlfn.XLOOKUP(A6,'Set Development'!$A$2:$A$9,'Set Development'!E$2:E$9)</f>
        <v>4.7638030805446778</v>
      </c>
      <c r="H6" s="5">
        <f>(4*B6+C6)/_xlfn.XLOOKUP(A6,'Set Development'!$A$2:$A$9,'Set Development'!F$2:F$9)</f>
        <v>4.9441804578243342</v>
      </c>
    </row>
    <row r="7" spans="1:8" x14ac:dyDescent="0.35">
      <c r="A7" t="str">
        <v>Yellow</v>
      </c>
      <c r="B7">
        <f>SUMIF(Properties!$B$2:$B$23,$A7,Properties!E$2:E$23)</f>
        <v>450</v>
      </c>
      <c r="C7">
        <f>SUMIF(Properties!$B$2:$B$23,$A7,Properties!F$2:F$23)</f>
        <v>450</v>
      </c>
      <c r="D7" s="5">
        <f>B7/_xlfn.XLOOKUP(A7,'Set Development'!$A$2:$A$9,'Set Development'!B$2:B$9)</f>
        <v>16.660597779490619</v>
      </c>
      <c r="E7" s="5">
        <f>2*B7/_xlfn.XLOOKUP(A7,'Set Development'!$A$2:$A$9,'Set Development'!C$2:C$9)</f>
        <v>7.6895066674572092</v>
      </c>
      <c r="F7" s="5">
        <f>3*B7/_xlfn.XLOOKUP(A7,'Set Development'!$A$2:$A$9,'Set Development'!D$2:D$9)</f>
        <v>4.4062033184978171</v>
      </c>
      <c r="G7" s="5">
        <f>4*B7/_xlfn.XLOOKUP(A7,'Set Development'!$A$2:$A$9,'Set Development'!E$2:E$9)</f>
        <v>4.7884591767192877</v>
      </c>
      <c r="H7" s="5">
        <f>(4*B7+C7)/_xlfn.XLOOKUP(A7,'Set Development'!$A$2:$A$9,'Set Development'!F$2:F$9)</f>
        <v>5.0513965565493759</v>
      </c>
    </row>
    <row r="8" spans="1:8" x14ac:dyDescent="0.35">
      <c r="A8" t="str">
        <v>Green</v>
      </c>
      <c r="B8">
        <f>SUMIF(Properties!$B$2:$B$23,$A8,Properties!E$2:E$23)</f>
        <v>600</v>
      </c>
      <c r="C8">
        <f>SUMIF(Properties!$B$2:$B$23,$A8,Properties!F$2:F$23)</f>
        <v>600</v>
      </c>
      <c r="D8" s="5">
        <f>B8/_xlfn.XLOOKUP(A8,'Set Development'!$A$2:$A$9,'Set Development'!B$2:B$9)</f>
        <v>18.393160457661629</v>
      </c>
      <c r="E8" s="5">
        <f>2*B8/_xlfn.XLOOKUP(A8,'Set Development'!$A$2:$A$9,'Set Development'!C$2:C$9)</f>
        <v>8.5920407380196693</v>
      </c>
      <c r="F8" s="5">
        <f>3*B8/_xlfn.XLOOKUP(A8,'Set Development'!$A$2:$A$9,'Set Development'!D$2:D$9)</f>
        <v>5.2211626341511703</v>
      </c>
      <c r="G8" s="5">
        <f>4*B8/_xlfn.XLOOKUP(A8,'Set Development'!$A$2:$A$9,'Set Development'!E$2:E$9)</f>
        <v>5.6712722054640308</v>
      </c>
      <c r="H8" s="5">
        <f>(4*B8+C8)/_xlfn.XLOOKUP(A8,'Set Development'!$A$2:$A$9,'Set Development'!F$2:F$9)</f>
        <v>6.0607320062581769</v>
      </c>
    </row>
    <row r="9" spans="1:8" x14ac:dyDescent="0.35">
      <c r="A9" t="str">
        <v>Dark Blue</v>
      </c>
      <c r="B9">
        <f>SUMIF(Properties!$B$2:$B$23,$A9,Properties!E$2:E$23)</f>
        <v>400</v>
      </c>
      <c r="C9">
        <f>SUMIF(Properties!$B$2:$B$23,$A9,Properties!F$2:F$23)</f>
        <v>400</v>
      </c>
      <c r="D9" s="5">
        <f>B9/_xlfn.XLOOKUP(A9,'Set Development'!$A$2:$A$9,'Set Development'!B$2:B$9)</f>
        <v>15.501087959625007</v>
      </c>
      <c r="E9" s="5">
        <f>2*B9/_xlfn.XLOOKUP(A9,'Set Development'!$A$2:$A$9,'Set Development'!C$2:C$9)</f>
        <v>6.7922337052773871</v>
      </c>
      <c r="F9" s="5">
        <f>3*B9/_xlfn.XLOOKUP(A9,'Set Development'!$A$2:$A$9,'Set Development'!D$2:D$9)</f>
        <v>4.0565372150858963</v>
      </c>
      <c r="G9" s="5">
        <f>4*B9/_xlfn.XLOOKUP(A9,'Set Development'!$A$2:$A$9,'Set Development'!E$2:E$9)</f>
        <v>4.4490857548058624</v>
      </c>
      <c r="H9" s="5">
        <f>(4*B9+C9)/_xlfn.XLOOKUP(A9,'Set Development'!$A$2:$A$9,'Set Development'!F$2:F$9)</f>
        <v>4.7233299449925648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ACC6-335B-434E-9096-9E48497ADB18}">
  <dimension ref="A1:N23"/>
  <sheetViews>
    <sheetView workbookViewId="0"/>
  </sheetViews>
  <sheetFormatPr defaultRowHeight="14.5" x14ac:dyDescent="0.35"/>
  <cols>
    <col min="1" max="1" width="21.81640625" bestFit="1" customWidth="1"/>
    <col min="2" max="2" width="8.81640625" bestFit="1" customWidth="1"/>
    <col min="3" max="3" width="15.7265625" bestFit="1" customWidth="1"/>
    <col min="4" max="4" width="18.7265625" bestFit="1" customWidth="1"/>
    <col min="5" max="8" width="15.08984375" bestFit="1" customWidth="1"/>
    <col min="9" max="9" width="15" customWidth="1"/>
    <col min="10" max="12" width="11.36328125" bestFit="1" customWidth="1"/>
    <col min="13" max="14" width="10.36328125" bestFit="1" customWidth="1"/>
  </cols>
  <sheetData>
    <row r="1" spans="1:14" x14ac:dyDescent="0.35">
      <c r="A1" t="str" cm="1">
        <f t="array" ref="A1:B1">Properties!A1:B1</f>
        <v>Square</v>
      </c>
      <c r="B1" t="str">
        <v>Group</v>
      </c>
      <c r="C1" t="str">
        <f>'Property Per Lap'!D1</f>
        <v>Individual Per Lap</v>
      </c>
      <c r="D1" t="str" cm="1">
        <f t="array" ref="D1:H1">'Property Per Lap'!F1:J1</f>
        <v>1 House Per Lap</v>
      </c>
      <c r="E1" t="str">
        <v>2 Houses Per Lap</v>
      </c>
      <c r="F1" t="str">
        <v>3 Houses Per Lap</v>
      </c>
      <c r="G1" t="str">
        <v>4 Houses Per Lap</v>
      </c>
      <c r="H1" t="str">
        <v>Hotel Per Lap</v>
      </c>
    </row>
    <row r="2" spans="1:14" x14ac:dyDescent="0.35">
      <c r="A2" t="str" cm="1">
        <f t="array" ref="A2:A23">Properties!A2:A23</f>
        <v>Old Kent Road</v>
      </c>
      <c r="B2" t="str">
        <f>_xlfn.XLOOKUP(A2,Sheet1!A$4:A$43,Sheet1!B$4:B$43)</f>
        <v>Brown</v>
      </c>
      <c r="C2" s="5">
        <f>_xlfn.XLOOKUP($A2,'Property Per Lap'!$A$2:$A$23,'Property Per Lap'!D$2:D$23)</f>
        <v>0.22011584381464588</v>
      </c>
      <c r="D2" s="5">
        <f>_xlfn.XLOOKUP($A2,'Property Per Lap'!$A$2:$A$23,'Property Per Lap'!F$2:F$23)-_xlfn.XLOOKUP($A2,'Property Per Lap'!$A$2:$A$23,'Property Per Lap'!E$2:E$23)</f>
        <v>0.66034753144393776</v>
      </c>
      <c r="E2" s="5">
        <f>_xlfn.XLOOKUP($A2,'Property Per Lap'!$A$2:$A$23,'Property Per Lap'!G$2:G$23)-_xlfn.XLOOKUP($A2,'Property Per Lap'!$A$2:$A$23,'Property Per Lap'!F$2:F$23)</f>
        <v>2.2011584381464586</v>
      </c>
      <c r="F2" s="5">
        <f>_xlfn.XLOOKUP($A2,'Property Per Lap'!$A$2:$A$23,'Property Per Lap'!H$2:H$23)-_xlfn.XLOOKUP($A2,'Property Per Lap'!$A$2:$A$23,'Property Per Lap'!G$2:G$23)</f>
        <v>6.6034753144393772</v>
      </c>
      <c r="G2" s="5">
        <f>_xlfn.XLOOKUP($A2,'Property Per Lap'!$A$2:$A$23,'Property Per Lap'!I$2:I$23)-_xlfn.XLOOKUP($A2,'Property Per Lap'!$A$2:$A$23,'Property Per Lap'!H$2:H$23)</f>
        <v>7.7040545335126076</v>
      </c>
      <c r="H2" s="5">
        <f>_xlfn.XLOOKUP($A2,'Property Per Lap'!$A$2:$A$23,'Property Per Lap'!J$2:J$23)-_xlfn.XLOOKUP($A2,'Property Per Lap'!$A$2:$A$23,'Property Per Lap'!I$2:I$23)</f>
        <v>9.9052129716590613</v>
      </c>
      <c r="I2" s="5"/>
      <c r="J2" s="5"/>
      <c r="K2" s="5"/>
      <c r="L2" s="5"/>
      <c r="M2" s="5"/>
      <c r="N2" s="5"/>
    </row>
    <row r="3" spans="1:14" x14ac:dyDescent="0.35">
      <c r="A3" t="str">
        <v>Whitechapel</v>
      </c>
      <c r="B3" t="str">
        <f>_xlfn.XLOOKUP(A3,Sheet1!A$4:A$43,Sheet1!B$4:B$43)</f>
        <v>Brown</v>
      </c>
      <c r="C3" s="5">
        <f>_xlfn.XLOOKUP($A3,'Property Per Lap'!$A$2:$A$23,'Property Per Lap'!D$2:D$23)</f>
        <v>0.44411855002550132</v>
      </c>
      <c r="D3" s="5">
        <f>_xlfn.XLOOKUP($A3,'Property Per Lap'!$A$2:$A$23,'Property Per Lap'!F$2:F$23)-_xlfn.XLOOKUP($A3,'Property Per Lap'!$A$2:$A$23,'Property Per Lap'!E$2:E$23)</f>
        <v>1.3323556500765039</v>
      </c>
      <c r="E3" s="5">
        <f>_xlfn.XLOOKUP($A3,'Property Per Lap'!$A$2:$A$23,'Property Per Lap'!G$2:G$23)-_xlfn.XLOOKUP($A3,'Property Per Lap'!$A$2:$A$23,'Property Per Lap'!F$2:F$23)</f>
        <v>4.4411855002550134</v>
      </c>
      <c r="F3" s="5">
        <f>_xlfn.XLOOKUP($A3,'Property Per Lap'!$A$2:$A$23,'Property Per Lap'!H$2:H$23)-_xlfn.XLOOKUP($A3,'Property Per Lap'!$A$2:$A$23,'Property Per Lap'!G$2:G$23)</f>
        <v>2.2205927501275067</v>
      </c>
      <c r="G3" s="5">
        <f>_xlfn.XLOOKUP($A3,'Property Per Lap'!$A$2:$A$23,'Property Per Lap'!I$2:I$23)-_xlfn.XLOOKUP($A3,'Property Per Lap'!$A$2:$A$23,'Property Per Lap'!H$2:H$23)</f>
        <v>26.64711300153008</v>
      </c>
      <c r="H3" s="5">
        <f>_xlfn.XLOOKUP($A3,'Property Per Lap'!$A$2:$A$23,'Property Per Lap'!J$2:J$23)-_xlfn.XLOOKUP($A3,'Property Per Lap'!$A$2:$A$23,'Property Per Lap'!I$2:I$23)</f>
        <v>14.433852875828791</v>
      </c>
      <c r="I3" s="5"/>
      <c r="J3" s="5"/>
      <c r="K3" s="5"/>
      <c r="L3" s="5"/>
      <c r="M3" s="5"/>
      <c r="N3" s="5"/>
    </row>
    <row r="4" spans="1:14" x14ac:dyDescent="0.35">
      <c r="A4" t="str">
        <v>The Angel, Islington</v>
      </c>
      <c r="B4" t="str">
        <f>_xlfn.XLOOKUP(A4,Sheet1!A$4:A$43,Sheet1!B$4:B$43)</f>
        <v>Light Blue</v>
      </c>
      <c r="C4" s="5">
        <f>_xlfn.XLOOKUP($A4,'Property Per Lap'!$A$2:$A$23,'Property Per Lap'!D$2:D$23)</f>
        <v>0.69023719837379871</v>
      </c>
      <c r="D4" s="5">
        <f>_xlfn.XLOOKUP($A4,'Property Per Lap'!$A$2:$A$23,'Property Per Lap'!F$2:F$23)-_xlfn.XLOOKUP($A4,'Property Per Lap'!$A$2:$A$23,'Property Per Lap'!E$2:E$23)</f>
        <v>2.0707115951213964</v>
      </c>
      <c r="E4" s="5">
        <f>_xlfn.XLOOKUP($A4,'Property Per Lap'!$A$2:$A$23,'Property Per Lap'!G$2:G$23)-_xlfn.XLOOKUP($A4,'Property Per Lap'!$A$2:$A$23,'Property Per Lap'!F$2:F$23)</f>
        <v>6.9023719837379867</v>
      </c>
      <c r="F4" s="5">
        <f>_xlfn.XLOOKUP($A4,'Property Per Lap'!$A$2:$A$23,'Property Per Lap'!H$2:H$23)-_xlfn.XLOOKUP($A4,'Property Per Lap'!$A$2:$A$23,'Property Per Lap'!G$2:G$23)</f>
        <v>20.707115951213964</v>
      </c>
      <c r="G4" s="5">
        <f>_xlfn.XLOOKUP($A4,'Property Per Lap'!$A$2:$A$23,'Property Per Lap'!I$2:I$23)-_xlfn.XLOOKUP($A4,'Property Per Lap'!$A$2:$A$23,'Property Per Lap'!H$2:H$23)</f>
        <v>14.955139298098974</v>
      </c>
      <c r="H4" s="5">
        <f>_xlfn.XLOOKUP($A4,'Property Per Lap'!$A$2:$A$23,'Property Per Lap'!J$2:J$23)-_xlfn.XLOOKUP($A4,'Property Per Lap'!$A$2:$A$23,'Property Per Lap'!I$2:I$23)</f>
        <v>17.255929959344968</v>
      </c>
      <c r="I4" s="5"/>
      <c r="J4" s="5"/>
      <c r="K4" s="5"/>
      <c r="L4" s="5"/>
      <c r="M4" s="5"/>
      <c r="N4" s="5"/>
    </row>
    <row r="5" spans="1:14" x14ac:dyDescent="0.35">
      <c r="A5" t="str">
        <v>Euston</v>
      </c>
      <c r="B5" t="str">
        <f>_xlfn.XLOOKUP(A5,Sheet1!A$4:A$43,Sheet1!B$4:B$43)</f>
        <v>Light Blue</v>
      </c>
      <c r="C5" s="5">
        <f>_xlfn.XLOOKUP($A5,'Property Per Lap'!$A$2:$A$23,'Property Per Lap'!D$2:D$23)</f>
        <v>0.71099154205376014</v>
      </c>
      <c r="D5" s="5">
        <f>_xlfn.XLOOKUP($A5,'Property Per Lap'!$A$2:$A$23,'Property Per Lap'!F$2:F$23)-_xlfn.XLOOKUP($A5,'Property Per Lap'!$A$2:$A$23,'Property Per Lap'!E$2:E$23)</f>
        <v>2.132974626161281</v>
      </c>
      <c r="E5" s="5">
        <f>_xlfn.XLOOKUP($A5,'Property Per Lap'!$A$2:$A$23,'Property Per Lap'!G$2:G$23)-_xlfn.XLOOKUP($A5,'Property Per Lap'!$A$2:$A$23,'Property Per Lap'!F$2:F$23)</f>
        <v>7.1099154205376012</v>
      </c>
      <c r="F5" s="5">
        <f>_xlfn.XLOOKUP($A5,'Property Per Lap'!$A$2:$A$23,'Property Per Lap'!H$2:H$23)-_xlfn.XLOOKUP($A5,'Property Per Lap'!$A$2:$A$23,'Property Per Lap'!G$2:G$23)</f>
        <v>21.329746261612804</v>
      </c>
      <c r="G5" s="5">
        <f>_xlfn.XLOOKUP($A5,'Property Per Lap'!$A$2:$A$23,'Property Per Lap'!I$2:I$23)-_xlfn.XLOOKUP($A5,'Property Per Lap'!$A$2:$A$23,'Property Per Lap'!H$2:H$23)</f>
        <v>15.404816744498138</v>
      </c>
      <c r="H5" s="5">
        <f>_xlfn.XLOOKUP($A5,'Property Per Lap'!$A$2:$A$23,'Property Per Lap'!J$2:J$23)-_xlfn.XLOOKUP($A5,'Property Per Lap'!$A$2:$A$23,'Property Per Lap'!I$2:I$23)</f>
        <v>17.774788551344002</v>
      </c>
      <c r="I5" s="5"/>
      <c r="J5" s="5"/>
      <c r="K5" s="5"/>
      <c r="L5" s="5"/>
      <c r="M5" s="5"/>
      <c r="N5" s="5"/>
    </row>
    <row r="6" spans="1:14" x14ac:dyDescent="0.35">
      <c r="A6" t="str">
        <v>Pentonville Road</v>
      </c>
      <c r="B6" t="str">
        <f>_xlfn.XLOOKUP(A6,Sheet1!A$4:A$43,Sheet1!B$4:B$43)</f>
        <v>Light Blue</v>
      </c>
      <c r="C6" s="5">
        <f>_xlfn.XLOOKUP($A6,'Property Per Lap'!$A$2:$A$23,'Property Per Lap'!D$2:D$23)</f>
        <v>0.93565480592676775</v>
      </c>
      <c r="D6" s="5">
        <f>_xlfn.XLOOKUP($A6,'Property Per Lap'!$A$2:$A$23,'Property Per Lap'!F$2:F$23)-_xlfn.XLOOKUP($A6,'Property Per Lap'!$A$2:$A$23,'Property Per Lap'!E$2:E$23)</f>
        <v>2.806964417780303</v>
      </c>
      <c r="E6" s="5">
        <f>_xlfn.XLOOKUP($A6,'Property Per Lap'!$A$2:$A$23,'Property Per Lap'!G$2:G$23)-_xlfn.XLOOKUP($A6,'Property Per Lap'!$A$2:$A$23,'Property Per Lap'!F$2:F$23)</f>
        <v>7.0174110444507587</v>
      </c>
      <c r="F6" s="5">
        <f>_xlfn.XLOOKUP($A6,'Property Per Lap'!$A$2:$A$23,'Property Per Lap'!H$2:H$23)-_xlfn.XLOOKUP($A6,'Property Per Lap'!$A$2:$A$23,'Property Per Lap'!G$2:G$23)</f>
        <v>23.391370148169191</v>
      </c>
      <c r="G6" s="5">
        <f>_xlfn.XLOOKUP($A6,'Property Per Lap'!$A$2:$A$23,'Property Per Lap'!I$2:I$23)-_xlfn.XLOOKUP($A6,'Property Per Lap'!$A$2:$A$23,'Property Per Lap'!H$2:H$23)</f>
        <v>17.543527611126898</v>
      </c>
      <c r="H6" s="5">
        <f>_xlfn.XLOOKUP($A6,'Property Per Lap'!$A$2:$A$23,'Property Per Lap'!J$2:J$23)-_xlfn.XLOOKUP($A6,'Property Per Lap'!$A$2:$A$23,'Property Per Lap'!I$2:I$23)</f>
        <v>17.543527611126891</v>
      </c>
      <c r="I6" s="5"/>
      <c r="J6" s="5"/>
      <c r="K6" s="5"/>
      <c r="L6" s="5"/>
      <c r="M6" s="5"/>
      <c r="N6" s="5"/>
    </row>
    <row r="7" spans="1:14" x14ac:dyDescent="0.35">
      <c r="A7" t="str">
        <v>Pall Mall</v>
      </c>
      <c r="B7" t="str">
        <f>_xlfn.XLOOKUP(A7,Sheet1!A$4:A$43,Sheet1!B$4:B$43)</f>
        <v>Pink</v>
      </c>
      <c r="C7" s="5">
        <f>_xlfn.XLOOKUP($A7,'Property Per Lap'!$A$2:$A$23,'Property Per Lap'!D$2:D$23)</f>
        <v>1.3870804179333815</v>
      </c>
      <c r="D7" s="5">
        <f>_xlfn.XLOOKUP($A7,'Property Per Lap'!$A$2:$A$23,'Property Per Lap'!F$2:F$23)-_xlfn.XLOOKUP($A7,'Property Per Lap'!$A$2:$A$23,'Property Per Lap'!E$2:E$23)</f>
        <v>4.161241253800144</v>
      </c>
      <c r="E7" s="5">
        <f>_xlfn.XLOOKUP($A7,'Property Per Lap'!$A$2:$A$23,'Property Per Lap'!G$2:G$23)-_xlfn.XLOOKUP($A7,'Property Per Lap'!$A$2:$A$23,'Property Per Lap'!F$2:F$23)</f>
        <v>13.870804179333813</v>
      </c>
      <c r="F7" s="5">
        <f>_xlfn.XLOOKUP($A7,'Property Per Lap'!$A$2:$A$23,'Property Per Lap'!H$2:H$23)-_xlfn.XLOOKUP($A7,'Property Per Lap'!$A$2:$A$23,'Property Per Lap'!G$2:G$23)</f>
        <v>41.61241253800145</v>
      </c>
      <c r="G7" s="5">
        <f>_xlfn.XLOOKUP($A7,'Property Per Lap'!$A$2:$A$23,'Property Per Lap'!I$2:I$23)-_xlfn.XLOOKUP($A7,'Property Per Lap'!$A$2:$A$23,'Property Per Lap'!H$2:H$23)</f>
        <v>24.273907313834179</v>
      </c>
      <c r="H7" s="5">
        <f>_xlfn.XLOOKUP($A7,'Property Per Lap'!$A$2:$A$23,'Property Per Lap'!J$2:J$23)-_xlfn.XLOOKUP($A7,'Property Per Lap'!$A$2:$A$23,'Property Per Lap'!I$2:I$23)</f>
        <v>17.338505224167264</v>
      </c>
      <c r="I7" s="5"/>
      <c r="J7" s="5"/>
      <c r="K7" s="5"/>
      <c r="L7" s="5"/>
      <c r="M7" s="5"/>
      <c r="N7" s="5"/>
    </row>
    <row r="8" spans="1:14" x14ac:dyDescent="0.35">
      <c r="A8" t="str">
        <v>Whitehall</v>
      </c>
      <c r="B8" t="str">
        <f>_xlfn.XLOOKUP(A8,Sheet1!A$4:A$43,Sheet1!B$4:B$43)</f>
        <v>Pink</v>
      </c>
      <c r="C8" s="5">
        <f>_xlfn.XLOOKUP($A8,'Property Per Lap'!$A$2:$A$23,'Property Per Lap'!D$2:D$23)</f>
        <v>1.1990769697447716</v>
      </c>
      <c r="D8" s="5">
        <f>_xlfn.XLOOKUP($A8,'Property Per Lap'!$A$2:$A$23,'Property Per Lap'!F$2:F$23)-_xlfn.XLOOKUP($A8,'Property Per Lap'!$A$2:$A$23,'Property Per Lap'!E$2:E$23)</f>
        <v>3.5972309092343147</v>
      </c>
      <c r="E8" s="5">
        <f>_xlfn.XLOOKUP($A8,'Property Per Lap'!$A$2:$A$23,'Property Per Lap'!G$2:G$23)-_xlfn.XLOOKUP($A8,'Property Per Lap'!$A$2:$A$23,'Property Per Lap'!F$2:F$23)</f>
        <v>11.990769697447714</v>
      </c>
      <c r="F8" s="5">
        <f>_xlfn.XLOOKUP($A8,'Property Per Lap'!$A$2:$A$23,'Property Per Lap'!H$2:H$23)-_xlfn.XLOOKUP($A8,'Property Per Lap'!$A$2:$A$23,'Property Per Lap'!G$2:G$23)</f>
        <v>35.972309092343153</v>
      </c>
      <c r="G8" s="5">
        <f>_xlfn.XLOOKUP($A8,'Property Per Lap'!$A$2:$A$23,'Property Per Lap'!I$2:I$23)-_xlfn.XLOOKUP($A8,'Property Per Lap'!$A$2:$A$23,'Property Per Lap'!H$2:H$23)</f>
        <v>20.983846970533499</v>
      </c>
      <c r="H8" s="5">
        <f>_xlfn.XLOOKUP($A8,'Property Per Lap'!$A$2:$A$23,'Property Per Lap'!J$2:J$23)-_xlfn.XLOOKUP($A8,'Property Per Lap'!$A$2:$A$23,'Property Per Lap'!I$2:I$23)</f>
        <v>14.988462121809647</v>
      </c>
      <c r="I8" s="5"/>
      <c r="J8" s="5"/>
      <c r="K8" s="5"/>
      <c r="L8" s="5"/>
      <c r="M8" s="5"/>
      <c r="N8" s="5"/>
    </row>
    <row r="9" spans="1:14" x14ac:dyDescent="0.35">
      <c r="A9" t="str">
        <v>Northumberland Avenue</v>
      </c>
      <c r="B9" t="str">
        <f>_xlfn.XLOOKUP(A9,Sheet1!A$4:A$43,Sheet1!B$4:B$43)</f>
        <v>Pink</v>
      </c>
      <c r="C9" s="5">
        <f>_xlfn.XLOOKUP($A9,'Property Per Lap'!$A$2:$A$23,'Property Per Lap'!D$2:D$23)</f>
        <v>1.5377496742362748</v>
      </c>
      <c r="D9" s="5">
        <f>_xlfn.XLOOKUP($A9,'Property Per Lap'!$A$2:$A$23,'Property Per Lap'!F$2:F$23)-_xlfn.XLOOKUP($A9,'Property Per Lap'!$A$2:$A$23,'Property Per Lap'!E$2:E$23)</f>
        <v>4.6132490227088248</v>
      </c>
      <c r="E9" s="5">
        <f>_xlfn.XLOOKUP($A9,'Property Per Lap'!$A$2:$A$23,'Property Per Lap'!G$2:G$23)-_xlfn.XLOOKUP($A9,'Property Per Lap'!$A$2:$A$23,'Property Per Lap'!F$2:F$23)</f>
        <v>15.37749674236275</v>
      </c>
      <c r="F9" s="5">
        <f>_xlfn.XLOOKUP($A9,'Property Per Lap'!$A$2:$A$23,'Property Per Lap'!H$2:H$23)-_xlfn.XLOOKUP($A9,'Property Per Lap'!$A$2:$A$23,'Property Per Lap'!G$2:G$23)</f>
        <v>41.006657979633985</v>
      </c>
      <c r="G9" s="5">
        <f>_xlfn.XLOOKUP($A9,'Property Per Lap'!$A$2:$A$23,'Property Per Lap'!I$2:I$23)-_xlfn.XLOOKUP($A9,'Property Per Lap'!$A$2:$A$23,'Property Per Lap'!H$2:H$23)</f>
        <v>25.629161237271248</v>
      </c>
      <c r="H9" s="5">
        <f>_xlfn.XLOOKUP($A9,'Property Per Lap'!$A$2:$A$23,'Property Per Lap'!J$2:J$23)-_xlfn.XLOOKUP($A9,'Property Per Lap'!$A$2:$A$23,'Property Per Lap'!I$2:I$23)</f>
        <v>25.629161237271248</v>
      </c>
      <c r="I9" s="5"/>
      <c r="J9" s="5"/>
      <c r="K9" s="5"/>
      <c r="L9" s="5"/>
      <c r="M9" s="5"/>
      <c r="N9" s="5"/>
    </row>
    <row r="10" spans="1:14" x14ac:dyDescent="0.35">
      <c r="A10" t="str">
        <v>Bow Street</v>
      </c>
      <c r="B10" t="str">
        <f>_xlfn.XLOOKUP(A10,Sheet1!A$4:A$43,Sheet1!B$4:B$43)</f>
        <v>Orange</v>
      </c>
      <c r="C10" s="5">
        <f>_xlfn.XLOOKUP($A10,'Property Per Lap'!$A$2:$A$23,'Property Per Lap'!D$2:D$23)</f>
        <v>1.8908466552262992</v>
      </c>
      <c r="D10" s="5">
        <f>_xlfn.XLOOKUP($A10,'Property Per Lap'!$A$2:$A$23,'Property Per Lap'!F$2:F$23)-_xlfn.XLOOKUP($A10,'Property Per Lap'!$A$2:$A$23,'Property Per Lap'!E$2:E$23)</f>
        <v>5.6725399656788982</v>
      </c>
      <c r="E10" s="5">
        <f>_xlfn.XLOOKUP($A10,'Property Per Lap'!$A$2:$A$23,'Property Per Lap'!G$2:G$23)-_xlfn.XLOOKUP($A10,'Property Per Lap'!$A$2:$A$23,'Property Per Lap'!F$2:F$23)</f>
        <v>17.55786179852992</v>
      </c>
      <c r="F10" s="5">
        <f>_xlfn.XLOOKUP($A10,'Property Per Lap'!$A$2:$A$23,'Property Per Lap'!H$2:H$23)-_xlfn.XLOOKUP($A10,'Property Per Lap'!$A$2:$A$23,'Property Per Lap'!G$2:G$23)</f>
        <v>47.27116638065749</v>
      </c>
      <c r="G10" s="5">
        <f>_xlfn.XLOOKUP($A10,'Property Per Lap'!$A$2:$A$23,'Property Per Lap'!I$2:I$23)-_xlfn.XLOOKUP($A10,'Property Per Lap'!$A$2:$A$23,'Property Per Lap'!H$2:H$23)</f>
        <v>27.012095074661417</v>
      </c>
      <c r="H10" s="5">
        <f>_xlfn.XLOOKUP($A10,'Property Per Lap'!$A$2:$A$23,'Property Per Lap'!J$2:J$23)-_xlfn.XLOOKUP($A10,'Property Per Lap'!$A$2:$A$23,'Property Per Lap'!I$2:I$23)</f>
        <v>27.012095074661403</v>
      </c>
      <c r="I10" s="5"/>
      <c r="J10" s="5"/>
      <c r="K10" s="5"/>
      <c r="L10" s="5"/>
      <c r="M10" s="5"/>
      <c r="N10" s="5"/>
    </row>
    <row r="11" spans="1:14" x14ac:dyDescent="0.35">
      <c r="A11" t="str">
        <v>Marlborough Street</v>
      </c>
      <c r="B11" t="str">
        <f>_xlfn.XLOOKUP(A11,Sheet1!A$4:A$43,Sheet1!B$4:B$43)</f>
        <v>Orange</v>
      </c>
      <c r="C11" s="5">
        <f>_xlfn.XLOOKUP($A11,'Property Per Lap'!$A$2:$A$23,'Property Per Lap'!D$2:D$23)</f>
        <v>2.0470456611583794</v>
      </c>
      <c r="D11" s="5">
        <f>_xlfn.XLOOKUP($A11,'Property Per Lap'!$A$2:$A$23,'Property Per Lap'!F$2:F$23)-_xlfn.XLOOKUP($A11,'Property Per Lap'!$A$2:$A$23,'Property Per Lap'!E$2:E$23)</f>
        <v>6.141136983475139</v>
      </c>
      <c r="E11" s="5">
        <f>_xlfn.XLOOKUP($A11,'Property Per Lap'!$A$2:$A$23,'Property Per Lap'!G$2:G$23)-_xlfn.XLOOKUP($A11,'Property Per Lap'!$A$2:$A$23,'Property Per Lap'!F$2:F$23)</f>
        <v>19.008281139327813</v>
      </c>
      <c r="F11" s="5">
        <f>_xlfn.XLOOKUP($A11,'Property Per Lap'!$A$2:$A$23,'Property Per Lap'!H$2:H$23)-_xlfn.XLOOKUP($A11,'Property Per Lap'!$A$2:$A$23,'Property Per Lap'!G$2:G$23)</f>
        <v>51.176141528959491</v>
      </c>
      <c r="G11" s="5">
        <f>_xlfn.XLOOKUP($A11,'Property Per Lap'!$A$2:$A$23,'Property Per Lap'!I$2:I$23)-_xlfn.XLOOKUP($A11,'Property Per Lap'!$A$2:$A$23,'Property Per Lap'!H$2:H$23)</f>
        <v>29.243509445119699</v>
      </c>
      <c r="H11" s="5">
        <f>_xlfn.XLOOKUP($A11,'Property Per Lap'!$A$2:$A$23,'Property Per Lap'!J$2:J$23)-_xlfn.XLOOKUP($A11,'Property Per Lap'!$A$2:$A$23,'Property Per Lap'!I$2:I$23)</f>
        <v>29.243509445119713</v>
      </c>
      <c r="I11" s="5"/>
      <c r="J11" s="5"/>
      <c r="K11" s="5"/>
      <c r="L11" s="5"/>
      <c r="M11" s="5"/>
      <c r="N11" s="5"/>
    </row>
    <row r="12" spans="1:14" x14ac:dyDescent="0.35">
      <c r="A12" t="str">
        <v>Vine Street</v>
      </c>
      <c r="B12" t="str">
        <f>_xlfn.XLOOKUP(A12,Sheet1!A$4:A$43,Sheet1!B$4:B$43)</f>
        <v>Orange</v>
      </c>
      <c r="C12" s="5">
        <f>_xlfn.XLOOKUP($A12,'Property Per Lap'!$A$2:$A$23,'Property Per Lap'!D$2:D$23)</f>
        <v>2.3607490804095606</v>
      </c>
      <c r="D12" s="5">
        <f>_xlfn.XLOOKUP($A12,'Property Per Lap'!$A$2:$A$23,'Property Per Lap'!F$2:F$23)-_xlfn.XLOOKUP($A12,'Property Per Lap'!$A$2:$A$23,'Property Per Lap'!E$2:E$23)</f>
        <v>7.0822472412286812</v>
      </c>
      <c r="E12" s="5">
        <f>_xlfn.XLOOKUP($A12,'Property Per Lap'!$A$2:$A$23,'Property Per Lap'!G$2:G$23)-_xlfn.XLOOKUP($A12,'Property Per Lap'!$A$2:$A$23,'Property Per Lap'!F$2:F$23)</f>
        <v>20.656554453583652</v>
      </c>
      <c r="F12" s="5">
        <f>_xlfn.XLOOKUP($A12,'Property Per Lap'!$A$2:$A$23,'Property Per Lap'!H$2:H$23)-_xlfn.XLOOKUP($A12,'Property Per Lap'!$A$2:$A$23,'Property Per Lap'!G$2:G$23)</f>
        <v>56.067790659727059</v>
      </c>
      <c r="G12" s="5">
        <f>_xlfn.XLOOKUP($A12,'Property Per Lap'!$A$2:$A$23,'Property Per Lap'!I$2:I$23)-_xlfn.XLOOKUP($A12,'Property Per Lap'!$A$2:$A$23,'Property Per Lap'!H$2:H$23)</f>
        <v>29.509363505119509</v>
      </c>
      <c r="H12" s="5">
        <f>_xlfn.XLOOKUP($A12,'Property Per Lap'!$A$2:$A$23,'Property Per Lap'!J$2:J$23)-_xlfn.XLOOKUP($A12,'Property Per Lap'!$A$2:$A$23,'Property Per Lap'!I$2:I$23)</f>
        <v>29.509363505119509</v>
      </c>
      <c r="I12" s="5"/>
      <c r="J12" s="5"/>
      <c r="K12" s="5"/>
      <c r="L12" s="5"/>
      <c r="M12" s="5"/>
      <c r="N12" s="5"/>
    </row>
    <row r="13" spans="1:14" x14ac:dyDescent="0.35">
      <c r="A13" t="str">
        <v>Strand</v>
      </c>
      <c r="B13" t="str">
        <f>_xlfn.XLOOKUP(A13,Sheet1!A$4:A$43,Sheet1!B$4:B$43)</f>
        <v>Red</v>
      </c>
      <c r="C13" s="5">
        <f>_xlfn.XLOOKUP($A13,'Property Per Lap'!$A$2:$A$23,'Property Per Lap'!D$2:D$23)</f>
        <v>2.4936966807683687</v>
      </c>
      <c r="D13" s="5">
        <f>_xlfn.XLOOKUP($A13,'Property Per Lap'!$A$2:$A$23,'Property Per Lap'!F$2:F$23)-_xlfn.XLOOKUP($A13,'Property Per Lap'!$A$2:$A$23,'Property Per Lap'!E$2:E$23)</f>
        <v>7.481090042305107</v>
      </c>
      <c r="E13" s="5">
        <f>_xlfn.XLOOKUP($A13,'Property Per Lap'!$A$2:$A$23,'Property Per Lap'!G$2:G$23)-_xlfn.XLOOKUP($A13,'Property Per Lap'!$A$2:$A$23,'Property Per Lap'!F$2:F$23)</f>
        <v>22.166192717941058</v>
      </c>
      <c r="F13" s="5">
        <f>_xlfn.XLOOKUP($A13,'Property Per Lap'!$A$2:$A$23,'Property Per Lap'!H$2:H$23)-_xlfn.XLOOKUP($A13,'Property Per Lap'!$A$2:$A$23,'Property Per Lap'!G$2:G$23)</f>
        <v>62.342417019209222</v>
      </c>
      <c r="G13" s="5">
        <f>_xlfn.XLOOKUP($A13,'Property Per Lap'!$A$2:$A$23,'Property Per Lap'!I$2:I$23)-_xlfn.XLOOKUP($A13,'Property Per Lap'!$A$2:$A$23,'Property Per Lap'!H$2:H$23)</f>
        <v>24.244273285248028</v>
      </c>
      <c r="H13" s="5">
        <f>_xlfn.XLOOKUP($A13,'Property Per Lap'!$A$2:$A$23,'Property Per Lap'!J$2:J$23)-_xlfn.XLOOKUP($A13,'Property Per Lap'!$A$2:$A$23,'Property Per Lap'!I$2:I$23)</f>
        <v>24.244273285248013</v>
      </c>
      <c r="I13" s="5"/>
      <c r="J13" s="5"/>
      <c r="K13" s="5"/>
      <c r="L13" s="5"/>
      <c r="M13" s="5"/>
      <c r="N13" s="5"/>
    </row>
    <row r="14" spans="1:14" x14ac:dyDescent="0.35">
      <c r="A14" t="str">
        <v>Fleet Street</v>
      </c>
      <c r="B14" t="str">
        <f>_xlfn.XLOOKUP(A14,Sheet1!A$4:A$43,Sheet1!B$4:B$43)</f>
        <v>Red</v>
      </c>
      <c r="C14" s="5">
        <f>_xlfn.XLOOKUP($A14,'Property Per Lap'!$A$2:$A$23,'Property Per Lap'!D$2:D$23)</f>
        <v>2.4834445009493855</v>
      </c>
      <c r="D14" s="5">
        <f>_xlfn.XLOOKUP($A14,'Property Per Lap'!$A$2:$A$23,'Property Per Lap'!F$2:F$23)-_xlfn.XLOOKUP($A14,'Property Per Lap'!$A$2:$A$23,'Property Per Lap'!E$2:E$23)</f>
        <v>7.4503335028481583</v>
      </c>
      <c r="E14" s="5">
        <f>_xlfn.XLOOKUP($A14,'Property Per Lap'!$A$2:$A$23,'Property Per Lap'!G$2:G$23)-_xlfn.XLOOKUP($A14,'Property Per Lap'!$A$2:$A$23,'Property Per Lap'!F$2:F$23)</f>
        <v>22.075062230661203</v>
      </c>
      <c r="F14" s="5">
        <f>_xlfn.XLOOKUP($A14,'Property Per Lap'!$A$2:$A$23,'Property Per Lap'!H$2:H$23)-_xlfn.XLOOKUP($A14,'Property Per Lap'!$A$2:$A$23,'Property Per Lap'!G$2:G$23)</f>
        <v>62.086112523734641</v>
      </c>
      <c r="G14" s="5">
        <f>_xlfn.XLOOKUP($A14,'Property Per Lap'!$A$2:$A$23,'Property Per Lap'!I$2:I$23)-_xlfn.XLOOKUP($A14,'Property Per Lap'!$A$2:$A$23,'Property Per Lap'!H$2:H$23)</f>
        <v>24.144599314785694</v>
      </c>
      <c r="H14" s="5">
        <f>_xlfn.XLOOKUP($A14,'Property Per Lap'!$A$2:$A$23,'Property Per Lap'!J$2:J$23)-_xlfn.XLOOKUP($A14,'Property Per Lap'!$A$2:$A$23,'Property Per Lap'!I$2:I$23)</f>
        <v>24.144599314785694</v>
      </c>
      <c r="I14" s="5"/>
      <c r="J14" s="5"/>
      <c r="K14" s="5"/>
      <c r="L14" s="5"/>
      <c r="M14" s="5"/>
      <c r="N14" s="5"/>
    </row>
    <row r="15" spans="1:14" x14ac:dyDescent="0.35">
      <c r="A15" t="str">
        <v>Trafalgar Square</v>
      </c>
      <c r="B15" t="str">
        <f>_xlfn.XLOOKUP(A15,Sheet1!A$4:A$43,Sheet1!B$4:B$43)</f>
        <v>Red</v>
      </c>
      <c r="C15" s="5">
        <f>_xlfn.XLOOKUP($A15,'Property Per Lap'!$A$2:$A$23,'Property Per Lap'!D$2:D$23)</f>
        <v>3.2962551610669291</v>
      </c>
      <c r="D15" s="5">
        <f>_xlfn.XLOOKUP($A15,'Property Per Lap'!$A$2:$A$23,'Property Per Lap'!F$2:F$23)-_xlfn.XLOOKUP($A15,'Property Per Lap'!$A$2:$A$23,'Property Per Lap'!E$2:E$23)</f>
        <v>9.8887654832007854</v>
      </c>
      <c r="E15" s="5">
        <f>_xlfn.XLOOKUP($A15,'Property Per Lap'!$A$2:$A$23,'Property Per Lap'!G$2:G$23)-_xlfn.XLOOKUP($A15,'Property Per Lap'!$A$2:$A$23,'Property Per Lap'!F$2:F$23)</f>
        <v>32.962551610669294</v>
      </c>
      <c r="F15" s="5">
        <f>_xlfn.XLOOKUP($A15,'Property Per Lap'!$A$2:$A$23,'Property Per Lap'!H$2:H$23)-_xlfn.XLOOKUP($A15,'Property Per Lap'!$A$2:$A$23,'Property Per Lap'!G$2:G$23)</f>
        <v>74.165741124005905</v>
      </c>
      <c r="G15" s="5">
        <f>_xlfn.XLOOKUP($A15,'Property Per Lap'!$A$2:$A$23,'Property Per Lap'!I$2:I$23)-_xlfn.XLOOKUP($A15,'Property Per Lap'!$A$2:$A$23,'Property Per Lap'!H$2:H$23)</f>
        <v>28.842232659335622</v>
      </c>
      <c r="H15" s="5">
        <f>_xlfn.XLOOKUP($A15,'Property Per Lap'!$A$2:$A$23,'Property Per Lap'!J$2:J$23)-_xlfn.XLOOKUP($A15,'Property Per Lap'!$A$2:$A$23,'Property Per Lap'!I$2:I$23)</f>
        <v>28.842232659335622</v>
      </c>
      <c r="I15" s="5"/>
      <c r="J15" s="5"/>
      <c r="K15" s="5"/>
      <c r="L15" s="5"/>
      <c r="M15" s="5"/>
      <c r="N15" s="5"/>
    </row>
    <row r="16" spans="1:14" x14ac:dyDescent="0.35">
      <c r="A16" t="str">
        <v>Leceister Square</v>
      </c>
      <c r="B16" t="str">
        <f>_xlfn.XLOOKUP(A16,Sheet1!A$4:A$43,Sheet1!B$4:B$43)</f>
        <v>Yellow</v>
      </c>
      <c r="C16" s="5">
        <f>_xlfn.XLOOKUP($A16,'Property Per Lap'!$A$2:$A$23,'Property Per Lap'!D$2:D$23)</f>
        <v>2.9134033087362101</v>
      </c>
      <c r="D16" s="5">
        <f>_xlfn.XLOOKUP($A16,'Property Per Lap'!$A$2:$A$23,'Property Per Lap'!F$2:F$23)-_xlfn.XLOOKUP($A16,'Property Per Lap'!$A$2:$A$23,'Property Per Lap'!E$2:E$23)</f>
        <v>8.7402099262086317</v>
      </c>
      <c r="E16" s="5">
        <f>_xlfn.XLOOKUP($A16,'Property Per Lap'!$A$2:$A$23,'Property Per Lap'!G$2:G$23)-_xlfn.XLOOKUP($A16,'Property Per Lap'!$A$2:$A$23,'Property Per Lap'!F$2:F$23)</f>
        <v>29.134033087362106</v>
      </c>
      <c r="F16" s="5">
        <f>_xlfn.XLOOKUP($A16,'Property Per Lap'!$A$2:$A$23,'Property Per Lap'!H$2:H$23)-_xlfn.XLOOKUP($A16,'Property Per Lap'!$A$2:$A$23,'Property Per Lap'!G$2:G$23)</f>
        <v>62.240888868455407</v>
      </c>
      <c r="G16" s="5">
        <f>_xlfn.XLOOKUP($A16,'Property Per Lap'!$A$2:$A$23,'Property Per Lap'!I$2:I$23)-_xlfn.XLOOKUP($A16,'Property Per Lap'!$A$2:$A$23,'Property Per Lap'!H$2:H$23)</f>
        <v>23.174799046765301</v>
      </c>
      <c r="H16" s="5">
        <f>_xlfn.XLOOKUP($A16,'Property Per Lap'!$A$2:$A$23,'Property Per Lap'!J$2:J$23)-_xlfn.XLOOKUP($A16,'Property Per Lap'!$A$2:$A$23,'Property Per Lap'!I$2:I$23)</f>
        <v>23.174799046765315</v>
      </c>
      <c r="I16" s="5"/>
      <c r="J16" s="5"/>
      <c r="K16" s="5"/>
      <c r="L16" s="5"/>
      <c r="M16" s="5"/>
      <c r="N16" s="5"/>
    </row>
    <row r="17" spans="1:14" x14ac:dyDescent="0.35">
      <c r="A17" t="str">
        <v>Coventry Street</v>
      </c>
      <c r="B17" t="str">
        <f>_xlfn.XLOOKUP(A17,Sheet1!A$4:A$43,Sheet1!B$4:B$43)</f>
        <v>Yellow</v>
      </c>
      <c r="C17" s="5">
        <f>_xlfn.XLOOKUP($A17,'Property Per Lap'!$A$2:$A$23,'Property Per Lap'!D$2:D$23)</f>
        <v>2.9227620440516509</v>
      </c>
      <c r="D17" s="5">
        <f>_xlfn.XLOOKUP($A17,'Property Per Lap'!$A$2:$A$23,'Property Per Lap'!F$2:F$23)-_xlfn.XLOOKUP($A17,'Property Per Lap'!$A$2:$A$23,'Property Per Lap'!E$2:E$23)</f>
        <v>8.7682861321549517</v>
      </c>
      <c r="E17" s="5">
        <f>_xlfn.XLOOKUP($A17,'Property Per Lap'!$A$2:$A$23,'Property Per Lap'!G$2:G$23)-_xlfn.XLOOKUP($A17,'Property Per Lap'!$A$2:$A$23,'Property Per Lap'!F$2:F$23)</f>
        <v>29.22762044051651</v>
      </c>
      <c r="F17" s="5">
        <f>_xlfn.XLOOKUP($A17,'Property Per Lap'!$A$2:$A$23,'Property Per Lap'!H$2:H$23)-_xlfn.XLOOKUP($A17,'Property Per Lap'!$A$2:$A$23,'Property Per Lap'!G$2:G$23)</f>
        <v>62.440825486557998</v>
      </c>
      <c r="G17" s="5">
        <f>_xlfn.XLOOKUP($A17,'Property Per Lap'!$A$2:$A$23,'Property Per Lap'!I$2:I$23)-_xlfn.XLOOKUP($A17,'Property Per Lap'!$A$2:$A$23,'Property Per Lap'!H$2:H$23)</f>
        <v>23.249243532229031</v>
      </c>
      <c r="H17" s="5">
        <f>_xlfn.XLOOKUP($A17,'Property Per Lap'!$A$2:$A$23,'Property Per Lap'!J$2:J$23)-_xlfn.XLOOKUP($A17,'Property Per Lap'!$A$2:$A$23,'Property Per Lap'!I$2:I$23)</f>
        <v>23.249243532229031</v>
      </c>
      <c r="I17" s="5"/>
      <c r="J17" s="5"/>
      <c r="K17" s="5"/>
      <c r="L17" s="5"/>
      <c r="M17" s="5"/>
      <c r="N17" s="5"/>
    </row>
    <row r="18" spans="1:14" x14ac:dyDescent="0.35">
      <c r="A18" t="str">
        <v>Piccadilly</v>
      </c>
      <c r="B18" t="str">
        <f>_xlfn.XLOOKUP(A18,Sheet1!A$4:A$43,Sheet1!B$4:B$43)</f>
        <v>Yellow</v>
      </c>
      <c r="C18" s="5">
        <f>_xlfn.XLOOKUP($A18,'Property Per Lap'!$A$2:$A$23,'Property Per Lap'!D$2:D$23)</f>
        <v>3.1671130400589815</v>
      </c>
      <c r="D18" s="5">
        <f>_xlfn.XLOOKUP($A18,'Property Per Lap'!$A$2:$A$23,'Property Per Lap'!F$2:F$23)-_xlfn.XLOOKUP($A18,'Property Per Lap'!$A$2:$A$23,'Property Per Lap'!E$2:E$23)</f>
        <v>9.5013391201769455</v>
      </c>
      <c r="E18" s="5">
        <f>_xlfn.XLOOKUP($A18,'Property Per Lap'!$A$2:$A$23,'Property Per Lap'!G$2:G$23)-_xlfn.XLOOKUP($A18,'Property Per Lap'!$A$2:$A$23,'Property Per Lap'!F$2:F$23)</f>
        <v>31.671130400589817</v>
      </c>
      <c r="F18" s="5">
        <f>_xlfn.XLOOKUP($A18,'Property Per Lap'!$A$2:$A$23,'Property Per Lap'!H$2:H$23)-_xlfn.XLOOKUP($A18,'Property Per Lap'!$A$2:$A$23,'Property Per Lap'!G$2:G$23)</f>
        <v>64.661891234537535</v>
      </c>
      <c r="G18" s="5">
        <f>_xlfn.XLOOKUP($A18,'Property Per Lap'!$A$2:$A$23,'Property Per Lap'!I$2:I$23)-_xlfn.XLOOKUP($A18,'Property Per Lap'!$A$2:$A$23,'Property Per Lap'!H$2:H$23)</f>
        <v>23.093532583763405</v>
      </c>
      <c r="H18" s="5">
        <f>_xlfn.XLOOKUP($A18,'Property Per Lap'!$A$2:$A$23,'Property Per Lap'!J$2:J$23)-_xlfn.XLOOKUP($A18,'Property Per Lap'!$A$2:$A$23,'Property Per Lap'!I$2:I$23)</f>
        <v>23.09353258376342</v>
      </c>
      <c r="I18" s="5"/>
      <c r="J18" s="5"/>
      <c r="K18" s="5"/>
      <c r="L18" s="5"/>
      <c r="M18" s="5"/>
      <c r="N18" s="5"/>
    </row>
    <row r="19" spans="1:14" x14ac:dyDescent="0.35">
      <c r="A19" t="str">
        <v>Regent Street</v>
      </c>
      <c r="B19" t="str">
        <f>_xlfn.XLOOKUP(A19,Sheet1!A$4:A$43,Sheet1!B$4:B$43)</f>
        <v>Green</v>
      </c>
      <c r="C19" s="5">
        <f>_xlfn.XLOOKUP($A19,'Property Per Lap'!$A$2:$A$23,'Property Per Lap'!D$2:D$23)</f>
        <v>3.458057158590484</v>
      </c>
      <c r="D19" s="5">
        <f>_xlfn.XLOOKUP($A19,'Property Per Lap'!$A$2:$A$23,'Property Per Lap'!F$2:F$23)-_xlfn.XLOOKUP($A19,'Property Per Lap'!$A$2:$A$23,'Property Per Lap'!E$2:E$23)</f>
        <v>10.374171475771449</v>
      </c>
      <c r="E19" s="5">
        <f>_xlfn.XLOOKUP($A19,'Property Per Lap'!$A$2:$A$23,'Property Per Lap'!G$2:G$23)-_xlfn.XLOOKUP($A19,'Property Per Lap'!$A$2:$A$23,'Property Per Lap'!F$2:F$23)</f>
        <v>34.580571585904842</v>
      </c>
      <c r="F19" s="5">
        <f>_xlfn.XLOOKUP($A19,'Property Per Lap'!$A$2:$A$23,'Property Per Lap'!H$2:H$23)-_xlfn.XLOOKUP($A19,'Property Per Lap'!$A$2:$A$23,'Property Per Lap'!G$2:G$23)</f>
        <v>67.831121187736414</v>
      </c>
      <c r="G19" s="5">
        <f>_xlfn.XLOOKUP($A19,'Property Per Lap'!$A$2:$A$23,'Property Per Lap'!I$2:I$23)-_xlfn.XLOOKUP($A19,'Property Per Lap'!$A$2:$A$23,'Property Per Lap'!H$2:H$23)</f>
        <v>26.600439681465261</v>
      </c>
      <c r="H19" s="5">
        <f>_xlfn.XLOOKUP($A19,'Property Per Lap'!$A$2:$A$23,'Property Per Lap'!J$2:J$23)-_xlfn.XLOOKUP($A19,'Property Per Lap'!$A$2:$A$23,'Property Per Lap'!I$2:I$23)</f>
        <v>23.275384721282109</v>
      </c>
      <c r="I19" s="5"/>
      <c r="J19" s="5"/>
      <c r="K19" s="5"/>
      <c r="L19" s="5"/>
      <c r="M19" s="5"/>
      <c r="N19" s="5"/>
    </row>
    <row r="20" spans="1:14" x14ac:dyDescent="0.35">
      <c r="A20" t="str">
        <v>Oxford Street</v>
      </c>
      <c r="B20" t="str">
        <f>_xlfn.XLOOKUP(A20,Sheet1!A$4:A$43,Sheet1!B$4:B$43)</f>
        <v>Green</v>
      </c>
      <c r="C20" s="5">
        <f>_xlfn.XLOOKUP($A20,'Property Per Lap'!$A$2:$A$23,'Property Per Lap'!D$2:D$23)</f>
        <v>3.4375875953678325</v>
      </c>
      <c r="D20" s="5">
        <f>_xlfn.XLOOKUP($A20,'Property Per Lap'!$A$2:$A$23,'Property Per Lap'!F$2:F$23)-_xlfn.XLOOKUP($A20,'Property Per Lap'!$A$2:$A$23,'Property Per Lap'!E$2:E$23)</f>
        <v>10.312762786103498</v>
      </c>
      <c r="E20" s="5">
        <f>_xlfn.XLOOKUP($A20,'Property Per Lap'!$A$2:$A$23,'Property Per Lap'!G$2:G$23)-_xlfn.XLOOKUP($A20,'Property Per Lap'!$A$2:$A$23,'Property Per Lap'!F$2:F$23)</f>
        <v>34.375875953678332</v>
      </c>
      <c r="F20" s="5">
        <f>_xlfn.XLOOKUP($A20,'Property Per Lap'!$A$2:$A$23,'Property Per Lap'!H$2:H$23)-_xlfn.XLOOKUP($A20,'Property Per Lap'!$A$2:$A$23,'Property Per Lap'!G$2:G$23)</f>
        <v>67.429602832215181</v>
      </c>
      <c r="G20" s="5">
        <f>_xlfn.XLOOKUP($A20,'Property Per Lap'!$A$2:$A$23,'Property Per Lap'!I$2:I$23)-_xlfn.XLOOKUP($A20,'Property Per Lap'!$A$2:$A$23,'Property Per Lap'!H$2:H$23)</f>
        <v>26.442981502829497</v>
      </c>
      <c r="H20" s="5">
        <f>_xlfn.XLOOKUP($A20,'Property Per Lap'!$A$2:$A$23,'Property Per Lap'!J$2:J$23)-_xlfn.XLOOKUP($A20,'Property Per Lap'!$A$2:$A$23,'Property Per Lap'!I$2:I$23)</f>
        <v>23.137608814975778</v>
      </c>
      <c r="I20" s="5"/>
      <c r="J20" s="5"/>
      <c r="K20" s="5"/>
      <c r="L20" s="5"/>
      <c r="M20" s="5"/>
      <c r="N20" s="5"/>
    </row>
    <row r="21" spans="1:14" x14ac:dyDescent="0.35">
      <c r="A21" t="str">
        <v>Bond Street</v>
      </c>
      <c r="B21" t="str">
        <f>_xlfn.XLOOKUP(A21,Sheet1!A$4:A$43,Sheet1!B$4:B$43)</f>
        <v>Green</v>
      </c>
      <c r="C21" s="5">
        <f>_xlfn.XLOOKUP($A21,'Property Per Lap'!$A$2:$A$23,'Property Per Lap'!D$2:D$23)</f>
        <v>3.5547748554304803</v>
      </c>
      <c r="D21" s="5">
        <f>_xlfn.XLOOKUP($A21,'Property Per Lap'!$A$2:$A$23,'Property Per Lap'!F$2:F$23)-_xlfn.XLOOKUP($A21,'Property Per Lap'!$A$2:$A$23,'Property Per Lap'!E$2:E$23)</f>
        <v>11.933887014659469</v>
      </c>
      <c r="E21" s="5">
        <f>_xlfn.XLOOKUP($A21,'Property Per Lap'!$A$2:$A$23,'Property Per Lap'!G$2:G$23)-_xlfn.XLOOKUP($A21,'Property Per Lap'!$A$2:$A$23,'Property Per Lap'!F$2:F$23)</f>
        <v>38.086873451040866</v>
      </c>
      <c r="F21" s="5">
        <f>_xlfn.XLOOKUP($A21,'Property Per Lap'!$A$2:$A$23,'Property Per Lap'!H$2:H$23)-_xlfn.XLOOKUP($A21,'Property Per Lap'!$A$2:$A$23,'Property Per Lap'!G$2:G$23)</f>
        <v>69.825934660241572</v>
      </c>
      <c r="G21" s="5">
        <f>_xlfn.XLOOKUP($A21,'Property Per Lap'!$A$2:$A$23,'Property Per Lap'!I$2:I$23)-_xlfn.XLOOKUP($A21,'Property Per Lap'!$A$2:$A$23,'Property Per Lap'!H$2:H$23)</f>
        <v>25.391248967360568</v>
      </c>
      <c r="H21" s="5">
        <f>_xlfn.XLOOKUP($A21,'Property Per Lap'!$A$2:$A$23,'Property Per Lap'!J$2:J$23)-_xlfn.XLOOKUP($A21,'Property Per Lap'!$A$2:$A$23,'Property Per Lap'!I$2:I$23)</f>
        <v>25.391248967360582</v>
      </c>
      <c r="I21" s="5"/>
      <c r="J21" s="5"/>
      <c r="K21" s="5"/>
      <c r="L21" s="5"/>
      <c r="M21" s="5"/>
      <c r="N21" s="5"/>
    </row>
    <row r="22" spans="1:14" x14ac:dyDescent="0.35">
      <c r="A22" t="str">
        <v>Park Lane</v>
      </c>
      <c r="B22" t="str">
        <f>_xlfn.XLOOKUP(A22,Sheet1!A$4:A$43,Sheet1!B$4:B$43)</f>
        <v>Dark Blue</v>
      </c>
      <c r="C22" s="5">
        <f>_xlfn.XLOOKUP($A22,'Property Per Lap'!$A$2:$A$23,'Property Per Lap'!D$2:D$23)</f>
        <v>4.1416510896288603</v>
      </c>
      <c r="D22" s="5">
        <f>_xlfn.XLOOKUP($A22,'Property Per Lap'!$A$2:$A$23,'Property Per Lap'!F$2:F$23)-_xlfn.XLOOKUP($A22,'Property Per Lap'!$A$2:$A$23,'Property Per Lap'!E$2:E$23)</f>
        <v>12.424953268886579</v>
      </c>
      <c r="E22" s="5">
        <f>_xlfn.XLOOKUP($A22,'Property Per Lap'!$A$2:$A$23,'Property Per Lap'!G$2:G$23)-_xlfn.XLOOKUP($A22,'Property Per Lap'!$A$2:$A$23,'Property Per Lap'!F$2:F$23)</f>
        <v>38.458188689410846</v>
      </c>
      <c r="F22" s="5">
        <f>_xlfn.XLOOKUP($A22,'Property Per Lap'!$A$2:$A$23,'Property Per Lap'!H$2:H$23)-_xlfn.XLOOKUP($A22,'Property Per Lap'!$A$2:$A$23,'Property Per Lap'!G$2:G$23)</f>
        <v>70.999732965066187</v>
      </c>
      <c r="G22" s="5">
        <f>_xlfn.XLOOKUP($A22,'Property Per Lap'!$A$2:$A$23,'Property Per Lap'!I$2:I$23)-_xlfn.XLOOKUP($A22,'Property Per Lap'!$A$2:$A$23,'Property Per Lap'!H$2:H$23)</f>
        <v>23.666577655022053</v>
      </c>
      <c r="H22" s="5">
        <f>_xlfn.XLOOKUP($A22,'Property Per Lap'!$A$2:$A$23,'Property Per Lap'!J$2:J$23)-_xlfn.XLOOKUP($A22,'Property Per Lap'!$A$2:$A$23,'Property Per Lap'!I$2:I$23)</f>
        <v>23.666577655022053</v>
      </c>
      <c r="I22" s="5"/>
      <c r="J22" s="5"/>
      <c r="K22" s="5"/>
      <c r="L22" s="5"/>
      <c r="M22" s="5"/>
      <c r="N22" s="5"/>
    </row>
    <row r="23" spans="1:14" x14ac:dyDescent="0.35">
      <c r="A23" t="str">
        <v>Mayfair</v>
      </c>
      <c r="B23" t="str">
        <f>_xlfn.XLOOKUP(A23,Sheet1!A$4:A$43,Sheet1!B$4:B$43)</f>
        <v>Dark Blue</v>
      </c>
      <c r="C23" s="5">
        <f>_xlfn.XLOOKUP($A23,'Property Per Lap'!$A$2:$A$23,'Property Per Lap'!D$2:D$23)</f>
        <v>6.6898435459808931</v>
      </c>
      <c r="D23" s="5">
        <f>_xlfn.XLOOKUP($A23,'Property Per Lap'!$A$2:$A$23,'Property Per Lap'!F$2:F$23)-_xlfn.XLOOKUP($A23,'Property Per Lap'!$A$2:$A$23,'Property Per Lap'!E$2:E$23)</f>
        <v>13.379687091961786</v>
      </c>
      <c r="E23" s="5">
        <f>_xlfn.XLOOKUP($A23,'Property Per Lap'!$A$2:$A$23,'Property Per Lap'!G$2:G$23)-_xlfn.XLOOKUP($A23,'Property Per Lap'!$A$2:$A$23,'Property Per Lap'!F$2:F$23)</f>
        <v>53.518748367847152</v>
      </c>
      <c r="F23" s="5">
        <f>_xlfn.XLOOKUP($A23,'Property Per Lap'!$A$2:$A$23,'Property Per Lap'!H$2:H$23)-_xlfn.XLOOKUP($A23,'Property Per Lap'!$A$2:$A$23,'Property Per Lap'!G$2:G$23)</f>
        <v>107.03749673569429</v>
      </c>
      <c r="G23" s="5">
        <f>_xlfn.XLOOKUP($A23,'Property Per Lap'!$A$2:$A$23,'Property Per Lap'!I$2:I$23)-_xlfn.XLOOKUP($A23,'Property Per Lap'!$A$2:$A$23,'Property Per Lap'!H$2:H$23)</f>
        <v>40.139061275885354</v>
      </c>
      <c r="H23" s="5">
        <f>_xlfn.XLOOKUP($A23,'Property Per Lap'!$A$2:$A$23,'Property Per Lap'!J$2:J$23)-_xlfn.XLOOKUP($A23,'Property Per Lap'!$A$2:$A$23,'Property Per Lap'!I$2:I$23)</f>
        <v>40.139061275885382</v>
      </c>
      <c r="I23" s="5"/>
      <c r="J23" s="5"/>
      <c r="K23" s="5"/>
      <c r="L23" s="5"/>
      <c r="M23" s="5"/>
      <c r="N23" s="5"/>
    </row>
  </sheetData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EAF3-1E22-4B63-8B0D-E805C2982D96}">
  <dimension ref="A1:K23"/>
  <sheetViews>
    <sheetView workbookViewId="0"/>
  </sheetViews>
  <sheetFormatPr defaultRowHeight="14.5" x14ac:dyDescent="0.35"/>
  <cols>
    <col min="1" max="1" width="21.81640625" bestFit="1" customWidth="1"/>
    <col min="2" max="2" width="8.81640625" bestFit="1" customWidth="1"/>
    <col min="3" max="3" width="10.1796875" bestFit="1" customWidth="1"/>
    <col min="4" max="4" width="10.54296875" bestFit="1" customWidth="1"/>
    <col min="5" max="5" width="10.54296875" customWidth="1"/>
    <col min="6" max="6" width="11.6328125" customWidth="1"/>
    <col min="7" max="9" width="11.36328125" bestFit="1" customWidth="1"/>
    <col min="10" max="11" width="10.36328125" bestFit="1" customWidth="1"/>
  </cols>
  <sheetData>
    <row r="1" spans="1:11" x14ac:dyDescent="0.35">
      <c r="A1" t="str" cm="1">
        <f t="array" ref="A1:B1">Properties!A1:B1</f>
        <v>Square</v>
      </c>
      <c r="B1" t="str">
        <v>Group</v>
      </c>
      <c r="C1" t="str" cm="1">
        <f t="array" ref="C1:E1">Properties!D1:F1</f>
        <v>Price</v>
      </c>
      <c r="D1" t="str">
        <v>House Price</v>
      </c>
      <c r="E1" t="str">
        <v>Hotel Price</v>
      </c>
      <c r="F1" t="str" cm="1">
        <f t="array" ref="F1:K1">_xlfn.TEXTBEFORE('Property Difference'!C1:H1," Per Lap")</f>
        <v>Individual</v>
      </c>
      <c r="G1" t="str">
        <v>1 House</v>
      </c>
      <c r="H1" t="str">
        <v>2 Houses</v>
      </c>
      <c r="I1" t="str">
        <v>3 Houses</v>
      </c>
      <c r="J1" t="str">
        <v>4 Houses</v>
      </c>
      <c r="K1" t="str">
        <v>Hotel</v>
      </c>
    </row>
    <row r="2" spans="1:11" x14ac:dyDescent="0.35">
      <c r="A2" t="str" cm="1">
        <f t="array" ref="A2:A23">Properties!A2:A23</f>
        <v>Old Kent Road</v>
      </c>
      <c r="B2" t="str">
        <f>_xlfn.XLOOKUP(A2,Sheet1!A$4:A$43,Sheet1!B$4:B$43)</f>
        <v>Brown</v>
      </c>
      <c r="C2">
        <f>_xlfn.XLOOKUP(A2,Sheet1!A$4:A$43,Sheet1!H$4:H$43)</f>
        <v>60</v>
      </c>
      <c r="D2">
        <f>_xlfn.XLOOKUP(A2,Properties!A$2:A$23,Properties!E$2:E$23)</f>
        <v>50</v>
      </c>
      <c r="E2">
        <f>_xlfn.XLOOKUP(A2,Properties!A$2:A$23,Properties!F$2:F$23)</f>
        <v>50</v>
      </c>
      <c r="F2" s="5" cm="1">
        <f t="array" ref="F2:F23">C2:C23/'Property Difference'!C2:C23</f>
        <v>272.58374027143867</v>
      </c>
      <c r="G2" s="5" cm="1">
        <f t="array" ref="G2:J23">D2:D23/'Property Difference'!D2:G23</f>
        <v>75.71770563095518</v>
      </c>
      <c r="H2" s="5">
        <v>22.715311689286562</v>
      </c>
      <c r="I2" s="5">
        <v>7.5717705630955185</v>
      </c>
      <c r="J2" s="5">
        <v>6.4900890540818725</v>
      </c>
      <c r="K2" s="5" cm="1">
        <f t="array" ref="K2:K23">E2:E23/'Property Difference'!H2:H23</f>
        <v>5.0478470420636814</v>
      </c>
    </row>
    <row r="3" spans="1:11" x14ac:dyDescent="0.35">
      <c r="A3" t="str">
        <v>Whitechapel</v>
      </c>
      <c r="B3" t="str">
        <f>_xlfn.XLOOKUP(A3,Sheet1!A$4:A$43,Sheet1!B$4:B$43)</f>
        <v>Brown</v>
      </c>
      <c r="C3">
        <f>_xlfn.XLOOKUP(A3,Sheet1!A$4:A$43,Sheet1!H$4:H$43)</f>
        <v>60</v>
      </c>
      <c r="D3">
        <f>_xlfn.XLOOKUP(A3,Properties!A$2:A$23,Properties!E$2:E$23)</f>
        <v>50</v>
      </c>
      <c r="E3">
        <f>_xlfn.XLOOKUP(A3,Properties!A$2:A$23,Properties!F$2:F$23)</f>
        <v>50</v>
      </c>
      <c r="F3" s="5">
        <v>135.09906306898191</v>
      </c>
      <c r="G3" s="5">
        <v>37.527517519161641</v>
      </c>
      <c r="H3" s="5">
        <v>11.258255255748493</v>
      </c>
      <c r="I3" s="5">
        <v>22.516510511496985</v>
      </c>
      <c r="J3" s="5">
        <v>1.876375875958082</v>
      </c>
      <c r="K3" s="5">
        <v>3.464078540230306</v>
      </c>
    </row>
    <row r="4" spans="1:11" x14ac:dyDescent="0.35">
      <c r="A4" t="str">
        <v>The Angel, Islington</v>
      </c>
      <c r="B4" t="str">
        <f>_xlfn.XLOOKUP(A4,Sheet1!A$4:A$43,Sheet1!B$4:B$43)</f>
        <v>Light Blue</v>
      </c>
      <c r="C4">
        <f>_xlfn.XLOOKUP(A4,Sheet1!A$4:A$43,Sheet1!H$4:H$43)</f>
        <v>100</v>
      </c>
      <c r="D4">
        <f>_xlfn.XLOOKUP(A4,Properties!A$2:A$23,Properties!E$2:E$23)</f>
        <v>50</v>
      </c>
      <c r="E4">
        <f>_xlfn.XLOOKUP(A4,Properties!A$2:A$23,Properties!F$2:F$23)</f>
        <v>50</v>
      </c>
      <c r="F4" s="5">
        <v>144.87773222828378</v>
      </c>
      <c r="G4" s="5">
        <v>24.14628870471396</v>
      </c>
      <c r="H4" s="5">
        <v>7.2438866114141893</v>
      </c>
      <c r="I4" s="5">
        <v>2.4146288704713958</v>
      </c>
      <c r="J4" s="5">
        <v>3.3433322821911635</v>
      </c>
      <c r="K4" s="5">
        <v>2.8975546445656755</v>
      </c>
    </row>
    <row r="5" spans="1:11" x14ac:dyDescent="0.35">
      <c r="A5" t="str">
        <v>Euston</v>
      </c>
      <c r="B5" t="str">
        <f>_xlfn.XLOOKUP(A5,Sheet1!A$4:A$43,Sheet1!B$4:B$43)</f>
        <v>Light Blue</v>
      </c>
      <c r="C5">
        <f>_xlfn.XLOOKUP(A5,Sheet1!A$4:A$43,Sheet1!H$4:H$43)</f>
        <v>100</v>
      </c>
      <c r="D5">
        <f>_xlfn.XLOOKUP(A5,Properties!A$2:A$23,Properties!E$2:E$23)</f>
        <v>50</v>
      </c>
      <c r="E5">
        <f>_xlfn.XLOOKUP(A5,Properties!A$2:A$23,Properties!F$2:F$23)</f>
        <v>50</v>
      </c>
      <c r="F5" s="5">
        <v>140.64864922463269</v>
      </c>
      <c r="G5" s="5">
        <v>23.441441537438777</v>
      </c>
      <c r="H5" s="5">
        <v>7.0324324612316351</v>
      </c>
      <c r="I5" s="5">
        <v>2.3441441537438785</v>
      </c>
      <c r="J5" s="5">
        <v>3.2457380590299851</v>
      </c>
      <c r="K5" s="5">
        <v>2.8129729844926543</v>
      </c>
    </row>
    <row r="6" spans="1:11" x14ac:dyDescent="0.35">
      <c r="A6" t="str">
        <v>Pentonville Road</v>
      </c>
      <c r="B6" t="str">
        <f>_xlfn.XLOOKUP(A6,Sheet1!A$4:A$43,Sheet1!B$4:B$43)</f>
        <v>Light Blue</v>
      </c>
      <c r="C6">
        <f>_xlfn.XLOOKUP(A6,Sheet1!A$4:A$43,Sheet1!H$4:H$43)</f>
        <v>120</v>
      </c>
      <c r="D6">
        <f>_xlfn.XLOOKUP(A6,Properties!A$2:A$23,Properties!E$2:E$23)</f>
        <v>50</v>
      </c>
      <c r="E6">
        <f>_xlfn.XLOOKUP(A6,Properties!A$2:A$23,Properties!F$2:F$23)</f>
        <v>50</v>
      </c>
      <c r="F6" s="5">
        <v>128.2524273266996</v>
      </c>
      <c r="G6" s="5">
        <v>17.812837128708278</v>
      </c>
      <c r="H6" s="5">
        <v>7.1251348514833106</v>
      </c>
      <c r="I6" s="5">
        <v>2.1375404554449937</v>
      </c>
      <c r="J6" s="5">
        <v>2.8500539405933241</v>
      </c>
      <c r="K6" s="5">
        <v>2.8500539405933254</v>
      </c>
    </row>
    <row r="7" spans="1:11" x14ac:dyDescent="0.35">
      <c r="A7" t="str">
        <v>Pall Mall</v>
      </c>
      <c r="B7" t="str">
        <f>_xlfn.XLOOKUP(A7,Sheet1!A$4:A$43,Sheet1!B$4:B$43)</f>
        <v>Pink</v>
      </c>
      <c r="C7">
        <f>_xlfn.XLOOKUP(A7,Sheet1!A$4:A$43,Sheet1!H$4:H$43)</f>
        <v>140</v>
      </c>
      <c r="D7">
        <f>_xlfn.XLOOKUP(A7,Properties!A$2:A$23,Properties!E$2:E$23)</f>
        <v>100</v>
      </c>
      <c r="E7">
        <f>_xlfn.XLOOKUP(A7,Properties!A$2:A$23,Properties!F$2:F$23)</f>
        <v>100</v>
      </c>
      <c r="F7" s="5">
        <v>100.93142271346224</v>
      </c>
      <c r="G7" s="5">
        <v>24.031291122252917</v>
      </c>
      <c r="H7" s="5">
        <v>7.2093873366758752</v>
      </c>
      <c r="I7" s="5">
        <v>2.4031291122252911</v>
      </c>
      <c r="J7" s="5">
        <v>4.1196499066719277</v>
      </c>
      <c r="K7" s="5">
        <v>5.7675098693407012</v>
      </c>
    </row>
    <row r="8" spans="1:11" x14ac:dyDescent="0.35">
      <c r="A8" t="str">
        <v>Whitehall</v>
      </c>
      <c r="B8" t="str">
        <f>_xlfn.XLOOKUP(A8,Sheet1!A$4:A$43,Sheet1!B$4:B$43)</f>
        <v>Pink</v>
      </c>
      <c r="C8">
        <f>_xlfn.XLOOKUP(A8,Sheet1!A$4:A$43,Sheet1!H$4:H$43)</f>
        <v>140</v>
      </c>
      <c r="D8">
        <f>_xlfn.XLOOKUP(A8,Properties!A$2:A$23,Properties!E$2:E$23)</f>
        <v>100</v>
      </c>
      <c r="E8">
        <f>_xlfn.XLOOKUP(A8,Properties!A$2:A$23,Properties!F$2:F$23)</f>
        <v>100</v>
      </c>
      <c r="F8" s="5">
        <v>116.75647479894437</v>
      </c>
      <c r="G8" s="5">
        <v>27.799160666415325</v>
      </c>
      <c r="H8" s="5">
        <v>8.3397481999245997</v>
      </c>
      <c r="I8" s="5">
        <v>2.7799160666415323</v>
      </c>
      <c r="J8" s="5">
        <v>4.7655703999569141</v>
      </c>
      <c r="K8" s="5">
        <v>6.6717985599396767</v>
      </c>
    </row>
    <row r="9" spans="1:11" x14ac:dyDescent="0.35">
      <c r="A9" t="str">
        <v>Northumberland Avenue</v>
      </c>
      <c r="B9" t="str">
        <f>_xlfn.XLOOKUP(A9,Sheet1!A$4:A$43,Sheet1!B$4:B$43)</f>
        <v>Pink</v>
      </c>
      <c r="C9">
        <f>_xlfn.XLOOKUP(A9,Sheet1!A$4:A$43,Sheet1!H$4:H$43)</f>
        <v>160</v>
      </c>
      <c r="D9">
        <f>_xlfn.XLOOKUP(A9,Properties!A$2:A$23,Properties!E$2:E$23)</f>
        <v>100</v>
      </c>
      <c r="E9">
        <f>_xlfn.XLOOKUP(A9,Properties!A$2:A$23,Properties!F$2:F$23)</f>
        <v>100</v>
      </c>
      <c r="F9" s="5">
        <v>104.04814429856029</v>
      </c>
      <c r="G9" s="5">
        <v>21.676696728866727</v>
      </c>
      <c r="H9" s="5">
        <v>6.5030090186600171</v>
      </c>
      <c r="I9" s="5">
        <v>2.4386283819975074</v>
      </c>
      <c r="J9" s="5">
        <v>3.9018054111960105</v>
      </c>
      <c r="K9" s="5">
        <v>3.9018054111960105</v>
      </c>
    </row>
    <row r="10" spans="1:11" x14ac:dyDescent="0.35">
      <c r="A10" t="str">
        <v>Bow Street</v>
      </c>
      <c r="B10" t="str">
        <f>_xlfn.XLOOKUP(A10,Sheet1!A$4:A$43,Sheet1!B$4:B$43)</f>
        <v>Orange</v>
      </c>
      <c r="C10">
        <f>_xlfn.XLOOKUP(A10,Sheet1!A$4:A$43,Sheet1!H$4:H$43)</f>
        <v>180</v>
      </c>
      <c r="D10">
        <f>_xlfn.XLOOKUP(A10,Properties!A$2:A$23,Properties!E$2:E$23)</f>
        <v>100</v>
      </c>
      <c r="E10">
        <f>_xlfn.XLOOKUP(A10,Properties!A$2:A$23,Properties!F$2:F$23)</f>
        <v>100</v>
      </c>
      <c r="F10" s="5">
        <v>95.195450938594135</v>
      </c>
      <c r="G10" s="5">
        <v>17.628787210850767</v>
      </c>
      <c r="H10" s="5">
        <v>5.6954543296594791</v>
      </c>
      <c r="I10" s="5">
        <v>2.1154544653020917</v>
      </c>
      <c r="J10" s="5">
        <v>3.7020453142786613</v>
      </c>
      <c r="K10" s="5">
        <v>3.7020453142786631</v>
      </c>
    </row>
    <row r="11" spans="1:11" x14ac:dyDescent="0.35">
      <c r="A11" t="str">
        <v>Marlborough Street</v>
      </c>
      <c r="B11" t="str">
        <f>_xlfn.XLOOKUP(A11,Sheet1!A$4:A$43,Sheet1!B$4:B$43)</f>
        <v>Orange</v>
      </c>
      <c r="C11">
        <f>_xlfn.XLOOKUP(A11,Sheet1!A$4:A$43,Sheet1!H$4:H$43)</f>
        <v>180</v>
      </c>
      <c r="D11">
        <f>_xlfn.XLOOKUP(A11,Properties!A$2:A$23,Properties!E$2:E$23)</f>
        <v>100</v>
      </c>
      <c r="E11">
        <f>_xlfn.XLOOKUP(A11,Properties!A$2:A$23,Properties!F$2:F$23)</f>
        <v>100</v>
      </c>
      <c r="F11" s="5">
        <v>87.931599873615838</v>
      </c>
      <c r="G11" s="5">
        <v>16.283629606225151</v>
      </c>
      <c r="H11" s="5">
        <v>5.2608649497035103</v>
      </c>
      <c r="I11" s="5">
        <v>1.9540355527470183</v>
      </c>
      <c r="J11" s="5">
        <v>3.4195622173072833</v>
      </c>
      <c r="K11" s="5">
        <v>3.4195622173072815</v>
      </c>
    </row>
    <row r="12" spans="1:11" x14ac:dyDescent="0.35">
      <c r="A12" t="str">
        <v>Vine Street</v>
      </c>
      <c r="B12" t="str">
        <f>_xlfn.XLOOKUP(A12,Sheet1!A$4:A$43,Sheet1!B$4:B$43)</f>
        <v>Orange</v>
      </c>
      <c r="C12">
        <f>_xlfn.XLOOKUP(A12,Sheet1!A$4:A$43,Sheet1!H$4:H$43)</f>
        <v>200</v>
      </c>
      <c r="D12">
        <f>_xlfn.XLOOKUP(A12,Properties!A$2:A$23,Properties!E$2:E$23)</f>
        <v>100</v>
      </c>
      <c r="E12">
        <f>_xlfn.XLOOKUP(A12,Properties!A$2:A$23,Properties!F$2:F$23)</f>
        <v>100</v>
      </c>
      <c r="F12" s="5">
        <v>84.718872352712083</v>
      </c>
      <c r="G12" s="5">
        <v>14.119812058785348</v>
      </c>
      <c r="H12" s="5">
        <v>4.841078420154977</v>
      </c>
      <c r="I12" s="5">
        <v>1.7835552074255177</v>
      </c>
      <c r="J12" s="5">
        <v>3.3887548941084833</v>
      </c>
      <c r="K12" s="5">
        <v>3.3887548941084833</v>
      </c>
    </row>
    <row r="13" spans="1:11" x14ac:dyDescent="0.35">
      <c r="A13" t="str">
        <v>Strand</v>
      </c>
      <c r="B13" t="str">
        <f>_xlfn.XLOOKUP(A13,Sheet1!A$4:A$43,Sheet1!B$4:B$43)</f>
        <v>Red</v>
      </c>
      <c r="C13">
        <f>_xlfn.XLOOKUP(A13,Sheet1!A$4:A$43,Sheet1!H$4:H$43)</f>
        <v>220</v>
      </c>
      <c r="D13">
        <f>_xlfn.XLOOKUP(A13,Properties!A$2:A$23,Properties!E$2:E$23)</f>
        <v>150</v>
      </c>
      <c r="E13">
        <f>_xlfn.XLOOKUP(A13,Properties!A$2:A$23,Properties!F$2:F$23)</f>
        <v>150</v>
      </c>
      <c r="F13" s="5">
        <v>88.222437675223858</v>
      </c>
      <c r="G13" s="5">
        <v>20.050554017096328</v>
      </c>
      <c r="H13" s="5">
        <v>6.7670619807700101</v>
      </c>
      <c r="I13" s="5">
        <v>2.4060664820515596</v>
      </c>
      <c r="J13" s="5">
        <v>6.1870280967040108</v>
      </c>
      <c r="K13" s="5">
        <v>6.1870280967040143</v>
      </c>
    </row>
    <row r="14" spans="1:11" x14ac:dyDescent="0.35">
      <c r="A14" t="str">
        <v>Fleet Street</v>
      </c>
      <c r="B14" t="str">
        <f>_xlfn.XLOOKUP(A14,Sheet1!A$4:A$43,Sheet1!B$4:B$43)</f>
        <v>Red</v>
      </c>
      <c r="C14">
        <f>_xlfn.XLOOKUP(A14,Sheet1!A$4:A$43,Sheet1!H$4:H$43)</f>
        <v>220</v>
      </c>
      <c r="D14">
        <f>_xlfn.XLOOKUP(A14,Properties!A$2:A$23,Properties!E$2:E$23)</f>
        <v>150</v>
      </c>
      <c r="E14">
        <f>_xlfn.XLOOKUP(A14,Properties!A$2:A$23,Properties!F$2:F$23)</f>
        <v>150</v>
      </c>
      <c r="F14" s="5">
        <v>88.586638403192467</v>
      </c>
      <c r="G14" s="5">
        <v>20.133326909816468</v>
      </c>
      <c r="H14" s="5">
        <v>6.7949978320630597</v>
      </c>
      <c r="I14" s="5">
        <v>2.4159992291779764</v>
      </c>
      <c r="J14" s="5">
        <v>6.2125694464576533</v>
      </c>
      <c r="K14" s="5">
        <v>6.2125694464576533</v>
      </c>
    </row>
    <row r="15" spans="1:11" x14ac:dyDescent="0.35">
      <c r="A15" t="str">
        <v>Trafalgar Square</v>
      </c>
      <c r="B15" t="str">
        <f>_xlfn.XLOOKUP(A15,Sheet1!A$4:A$43,Sheet1!B$4:B$43)</f>
        <v>Red</v>
      </c>
      <c r="C15">
        <f>_xlfn.XLOOKUP(A15,Sheet1!A$4:A$43,Sheet1!H$4:H$43)</f>
        <v>240</v>
      </c>
      <c r="D15">
        <f>_xlfn.XLOOKUP(A15,Properties!A$2:A$23,Properties!E$2:E$23)</f>
        <v>150</v>
      </c>
      <c r="E15">
        <f>_xlfn.XLOOKUP(A15,Properties!A$2:A$23,Properties!F$2:F$23)</f>
        <v>150</v>
      </c>
      <c r="F15" s="5">
        <v>72.809897375273891</v>
      </c>
      <c r="G15" s="5">
        <v>15.168728619848729</v>
      </c>
      <c r="H15" s="5">
        <v>4.5506185859546173</v>
      </c>
      <c r="I15" s="5">
        <v>2.0224971493131636</v>
      </c>
      <c r="J15" s="5">
        <v>5.2007069553767078</v>
      </c>
      <c r="K15" s="5">
        <v>5.2007069553767078</v>
      </c>
    </row>
    <row r="16" spans="1:11" x14ac:dyDescent="0.35">
      <c r="A16" t="str">
        <v>Leceister Square</v>
      </c>
      <c r="B16" t="str">
        <f>_xlfn.XLOOKUP(A16,Sheet1!A$4:A$43,Sheet1!B$4:B$43)</f>
        <v>Yellow</v>
      </c>
      <c r="C16">
        <f>_xlfn.XLOOKUP(A16,Sheet1!A$4:A$43,Sheet1!H$4:H$43)</f>
        <v>260</v>
      </c>
      <c r="D16">
        <f>_xlfn.XLOOKUP(A16,Properties!A$2:A$23,Properties!E$2:E$23)</f>
        <v>150</v>
      </c>
      <c r="E16">
        <f>_xlfn.XLOOKUP(A16,Properties!A$2:A$23,Properties!F$2:F$23)</f>
        <v>150</v>
      </c>
      <c r="F16" s="5">
        <v>89.242707736466471</v>
      </c>
      <c r="G16" s="5">
        <v>17.162059180089702</v>
      </c>
      <c r="H16" s="5">
        <v>5.1486177540269109</v>
      </c>
      <c r="I16" s="5">
        <v>2.4099912891189796</v>
      </c>
      <c r="J16" s="5">
        <v>6.4725480336338341</v>
      </c>
      <c r="K16" s="5">
        <v>6.4725480336338297</v>
      </c>
    </row>
    <row r="17" spans="1:11" x14ac:dyDescent="0.35">
      <c r="A17" t="str">
        <v>Coventry Street</v>
      </c>
      <c r="B17" t="str">
        <f>_xlfn.XLOOKUP(A17,Sheet1!A$4:A$43,Sheet1!B$4:B$43)</f>
        <v>Yellow</v>
      </c>
      <c r="C17">
        <f>_xlfn.XLOOKUP(A17,Sheet1!A$4:A$43,Sheet1!H$4:H$43)</f>
        <v>260</v>
      </c>
      <c r="D17">
        <f>_xlfn.XLOOKUP(A17,Properties!A$2:A$23,Properties!E$2:E$23)</f>
        <v>150</v>
      </c>
      <c r="E17">
        <f>_xlfn.XLOOKUP(A17,Properties!A$2:A$23,Properties!F$2:F$23)</f>
        <v>150</v>
      </c>
      <c r="F17" s="5">
        <v>88.95695102143091</v>
      </c>
      <c r="G17" s="5">
        <v>17.107105965659791</v>
      </c>
      <c r="H17" s="5">
        <v>5.1321317896979366</v>
      </c>
      <c r="I17" s="5">
        <v>2.4022744547522259</v>
      </c>
      <c r="J17" s="5">
        <v>6.4518228213345523</v>
      </c>
      <c r="K17" s="5">
        <v>6.4518228213345523</v>
      </c>
    </row>
    <row r="18" spans="1:11" x14ac:dyDescent="0.35">
      <c r="A18" t="str">
        <v>Piccadilly</v>
      </c>
      <c r="B18" t="str">
        <f>_xlfn.XLOOKUP(A18,Sheet1!A$4:A$43,Sheet1!B$4:B$43)</f>
        <v>Yellow</v>
      </c>
      <c r="C18">
        <f>_xlfn.XLOOKUP(A18,Sheet1!A$4:A$43,Sheet1!H$4:H$43)</f>
        <v>280</v>
      </c>
      <c r="D18">
        <f>_xlfn.XLOOKUP(A18,Properties!A$2:A$23,Properties!E$2:E$23)</f>
        <v>150</v>
      </c>
      <c r="E18">
        <f>_xlfn.XLOOKUP(A18,Properties!A$2:A$23,Properties!F$2:F$23)</f>
        <v>150</v>
      </c>
      <c r="F18" s="5">
        <v>88.408590555007635</v>
      </c>
      <c r="G18" s="5">
        <v>15.787248313394219</v>
      </c>
      <c r="H18" s="5">
        <v>4.7361744940182664</v>
      </c>
      <c r="I18" s="5">
        <v>2.3197589358456816</v>
      </c>
      <c r="J18" s="5">
        <v>6.4953250203679085</v>
      </c>
      <c r="K18" s="5">
        <v>6.4953250203679049</v>
      </c>
    </row>
    <row r="19" spans="1:11" x14ac:dyDescent="0.35">
      <c r="A19" t="str">
        <v>Regent Street</v>
      </c>
      <c r="B19" t="str">
        <f>_xlfn.XLOOKUP(A19,Sheet1!A$4:A$43,Sheet1!B$4:B$43)</f>
        <v>Green</v>
      </c>
      <c r="C19">
        <f>_xlfn.XLOOKUP(A19,Sheet1!A$4:A$43,Sheet1!H$4:H$43)</f>
        <v>300</v>
      </c>
      <c r="D19">
        <f>_xlfn.XLOOKUP(A19,Properties!A$2:A$23,Properties!E$2:E$23)</f>
        <v>200</v>
      </c>
      <c r="E19">
        <f>_xlfn.XLOOKUP(A19,Properties!A$2:A$23,Properties!F$2:F$23)</f>
        <v>200</v>
      </c>
      <c r="F19" s="5">
        <v>86.753915924941225</v>
      </c>
      <c r="G19" s="5">
        <v>19.278647983320276</v>
      </c>
      <c r="H19" s="5">
        <v>5.7835943949960811</v>
      </c>
      <c r="I19" s="5">
        <v>2.9484991033313359</v>
      </c>
      <c r="J19" s="5">
        <v>7.5186727134949063</v>
      </c>
      <c r="K19" s="5">
        <v>8.5927688154227475</v>
      </c>
    </row>
    <row r="20" spans="1:11" x14ac:dyDescent="0.35">
      <c r="A20" t="str">
        <v>Oxford Street</v>
      </c>
      <c r="B20" t="str">
        <f>_xlfn.XLOOKUP(A20,Sheet1!A$4:A$43,Sheet1!B$4:B$43)</f>
        <v>Green</v>
      </c>
      <c r="C20">
        <f>_xlfn.XLOOKUP(A20,Sheet1!A$4:A$43,Sheet1!H$4:H$43)</f>
        <v>300</v>
      </c>
      <c r="D20">
        <f>_xlfn.XLOOKUP(A20,Properties!A$2:A$23,Properties!E$2:E$23)</f>
        <v>200</v>
      </c>
      <c r="E20">
        <f>_xlfn.XLOOKUP(A20,Properties!A$2:A$23,Properties!F$2:F$23)</f>
        <v>200</v>
      </c>
      <c r="F20" s="5">
        <v>87.270503420553297</v>
      </c>
      <c r="G20" s="5">
        <v>19.393445204567399</v>
      </c>
      <c r="H20" s="5">
        <v>5.8180335613702185</v>
      </c>
      <c r="I20" s="5">
        <v>2.9660563254044257</v>
      </c>
      <c r="J20" s="5">
        <v>7.5634436297812808</v>
      </c>
      <c r="K20" s="5">
        <v>8.643935576892904</v>
      </c>
    </row>
    <row r="21" spans="1:11" x14ac:dyDescent="0.35">
      <c r="A21" t="str">
        <v>Bond Street</v>
      </c>
      <c r="B21" t="str">
        <f>_xlfn.XLOOKUP(A21,Sheet1!A$4:A$43,Sheet1!B$4:B$43)</f>
        <v>Green</v>
      </c>
      <c r="C21">
        <f>_xlfn.XLOOKUP(A21,Sheet1!A$4:A$43,Sheet1!H$4:H$43)</f>
        <v>320</v>
      </c>
      <c r="D21">
        <f>_xlfn.XLOOKUP(A21,Properties!A$2:A$23,Properties!E$2:E$23)</f>
        <v>200</v>
      </c>
      <c r="E21">
        <f>_xlfn.XLOOKUP(A21,Properties!A$2:A$23,Properties!F$2:F$23)</f>
        <v>200</v>
      </c>
      <c r="F21" s="5">
        <v>90.019765811933055</v>
      </c>
      <c r="G21" s="5">
        <v>16.758998954349238</v>
      </c>
      <c r="H21" s="5">
        <v>5.2511530056960938</v>
      </c>
      <c r="I21" s="5">
        <v>2.8642652758342337</v>
      </c>
      <c r="J21" s="5">
        <v>7.8767295085441438</v>
      </c>
      <c r="K21" s="5">
        <v>7.8767295085441393</v>
      </c>
    </row>
    <row r="22" spans="1:11" x14ac:dyDescent="0.35">
      <c r="A22" t="str">
        <v>Park Lane</v>
      </c>
      <c r="B22" t="str">
        <f>_xlfn.XLOOKUP(A22,Sheet1!A$4:A$43,Sheet1!B$4:B$43)</f>
        <v>Dark Blue</v>
      </c>
      <c r="C22">
        <f>_xlfn.XLOOKUP(A22,Sheet1!A$4:A$43,Sheet1!H$4:H$43)</f>
        <v>350</v>
      </c>
      <c r="D22">
        <f>_xlfn.XLOOKUP(A22,Properties!A$2:A$23,Properties!E$2:E$23)</f>
        <v>200</v>
      </c>
      <c r="E22">
        <f>_xlfn.XLOOKUP(A22,Properties!A$2:A$23,Properties!F$2:F$23)</f>
        <v>200</v>
      </c>
      <c r="F22" s="5">
        <v>84.507360090384637</v>
      </c>
      <c r="G22" s="5">
        <v>16.096640017216124</v>
      </c>
      <c r="H22" s="5">
        <v>5.2004529286390548</v>
      </c>
      <c r="I22" s="5">
        <v>2.816912003012821</v>
      </c>
      <c r="J22" s="5">
        <v>8.4507360090384669</v>
      </c>
      <c r="K22" s="5">
        <v>8.4507360090384669</v>
      </c>
    </row>
    <row r="23" spans="1:11" x14ac:dyDescent="0.35">
      <c r="A23" t="str">
        <v>Mayfair</v>
      </c>
      <c r="B23" t="str">
        <f>_xlfn.XLOOKUP(A23,Sheet1!A$4:A$43,Sheet1!B$4:B$43)</f>
        <v>Dark Blue</v>
      </c>
      <c r="C23">
        <f>_xlfn.XLOOKUP(A23,Sheet1!A$4:A$43,Sheet1!H$4:H$43)</f>
        <v>400</v>
      </c>
      <c r="D23">
        <f>_xlfn.XLOOKUP(A23,Properties!A$2:A$23,Properties!E$2:E$23)</f>
        <v>200</v>
      </c>
      <c r="E23">
        <f>_xlfn.XLOOKUP(A23,Properties!A$2:A$23,Properties!F$2:F$23)</f>
        <v>200</v>
      </c>
      <c r="F23" s="5">
        <v>59.792130750249157</v>
      </c>
      <c r="G23" s="5">
        <v>14.948032687562289</v>
      </c>
      <c r="H23" s="5">
        <v>3.7370081718905714</v>
      </c>
      <c r="I23" s="5">
        <v>1.8685040859452862</v>
      </c>
      <c r="J23" s="5">
        <v>4.9826775625207631</v>
      </c>
      <c r="K23" s="5">
        <v>4.9826775625207596</v>
      </c>
    </row>
  </sheetData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5335-C55E-4B51-8A51-6930BBBFA449}">
  <dimension ref="A1:K9"/>
  <sheetViews>
    <sheetView workbookViewId="0"/>
  </sheetViews>
  <sheetFormatPr defaultRowHeight="14.5" x14ac:dyDescent="0.35"/>
  <cols>
    <col min="2" max="2" width="14.1796875" bestFit="1" customWidth="1"/>
    <col min="3" max="5" width="15" bestFit="1" customWidth="1"/>
    <col min="6" max="6" width="11.81640625" bestFit="1" customWidth="1"/>
  </cols>
  <sheetData>
    <row r="1" spans="1:11" x14ac:dyDescent="0.35">
      <c r="A1" t="s">
        <v>54</v>
      </c>
      <c r="B1" t="str" cm="1">
        <f t="array" ref="B1:F1">Sets!C1:G1</f>
        <v>1 House Per Lap</v>
      </c>
      <c r="C1" t="str">
        <v>2 Houses Per Lap</v>
      </c>
      <c r="D1" t="str">
        <v>3 Houses Per Lap</v>
      </c>
      <c r="E1" t="str">
        <v>4 Houses Per Lap</v>
      </c>
      <c r="F1" t="str">
        <v>Hotel Per Lap</v>
      </c>
    </row>
    <row r="2" spans="1:11" x14ac:dyDescent="0.35">
      <c r="A2" t="str" cm="1">
        <f t="array" ref="A2:A9">Sets!A2:A9</f>
        <v>Brown</v>
      </c>
      <c r="B2" s="5">
        <f>_xlfn.XLOOKUP($A2,Sets!$A$2:$A$9,Sets!C$2:C$9)-_xlfn.XLOOKUP($A2,Sets!$A$2:$A$9,Sets!B$2:B$9)</f>
        <v>1.9927031815204419</v>
      </c>
      <c r="C2" s="5">
        <f>_xlfn.XLOOKUP($A2,Sets!$A$2:$A$9,Sets!D$2:D$9)-_xlfn.XLOOKUP($A2,Sets!$A$2:$A$9,Sets!C$2:C$9)</f>
        <v>6.6423439384014715</v>
      </c>
      <c r="D2" s="5">
        <f>_xlfn.XLOOKUP($A2,Sets!$A$2:$A$9,Sets!E$2:E$9)-_xlfn.XLOOKUP($A2,Sets!$A$2:$A$9,Sets!D$2:D$9)</f>
        <v>8.8240680645668839</v>
      </c>
      <c r="E2" s="5">
        <f>_xlfn.XLOOKUP($A2,Sets!$A$2:$A$9,Sets!F$2:F$9)-_xlfn.XLOOKUP($A2,Sets!$A$2:$A$9,Sets!E$2:E$9)</f>
        <v>34.351167535042691</v>
      </c>
      <c r="F2" s="5">
        <f>_xlfn.XLOOKUP($A2,Sets!$A$2:$A$9,Sets!G$2:G$9)-_xlfn.XLOOKUP($A2,Sets!$A$2:$A$9,Sets!F$2:F$9)</f>
        <v>24.339065847487845</v>
      </c>
      <c r="G2" s="5"/>
      <c r="H2" s="5"/>
      <c r="I2" s="5"/>
      <c r="J2" s="5"/>
      <c r="K2" s="5"/>
    </row>
    <row r="3" spans="1:11" x14ac:dyDescent="0.35">
      <c r="A3" t="str">
        <v>Light Blue</v>
      </c>
      <c r="B3" s="5">
        <f>_xlfn.XLOOKUP($A3,Sets!$A$2:$A$9,Sets!C$2:C$9)-_xlfn.XLOOKUP($A3,Sets!$A$2:$A$9,Sets!B$2:B$9)</f>
        <v>7.0106506390629804</v>
      </c>
      <c r="C3" s="5">
        <f>_xlfn.XLOOKUP($A3,Sets!$A$2:$A$9,Sets!D$2:D$9)-_xlfn.XLOOKUP($A3,Sets!$A$2:$A$9,Sets!C$2:C$9)</f>
        <v>21.02969844872635</v>
      </c>
      <c r="D3" s="5">
        <f>_xlfn.XLOOKUP($A3,Sets!$A$2:$A$9,Sets!E$2:E$9)-_xlfn.XLOOKUP($A3,Sets!$A$2:$A$9,Sets!D$2:D$9)</f>
        <v>65.428232360995949</v>
      </c>
      <c r="E3" s="5">
        <f>_xlfn.XLOOKUP($A3,Sets!$A$2:$A$9,Sets!F$2:F$9)-_xlfn.XLOOKUP($A3,Sets!$A$2:$A$9,Sets!E$2:E$9)</f>
        <v>47.90348365372401</v>
      </c>
      <c r="F3" s="5">
        <f>_xlfn.XLOOKUP($A3,Sets!$A$2:$A$9,Sets!G$2:G$9)-_xlfn.XLOOKUP($A3,Sets!$A$2:$A$9,Sets!F$2:F$9)</f>
        <v>52.574246121815861</v>
      </c>
      <c r="G3" s="5"/>
      <c r="H3" s="5"/>
      <c r="I3" s="5"/>
      <c r="J3" s="5"/>
      <c r="K3" s="5"/>
    </row>
    <row r="4" spans="1:11" x14ac:dyDescent="0.35">
      <c r="A4" t="str">
        <v>Pink</v>
      </c>
      <c r="B4" s="5">
        <f>_xlfn.XLOOKUP($A4,Sets!$A$2:$A$9,Sets!C$2:C$9)-_xlfn.XLOOKUP($A4,Sets!$A$2:$A$9,Sets!B$2:B$9)</f>
        <v>12.371721185743283</v>
      </c>
      <c r="C4" s="5">
        <f>_xlfn.XLOOKUP($A4,Sets!$A$2:$A$9,Sets!D$2:D$9)-_xlfn.XLOOKUP($A4,Sets!$A$2:$A$9,Sets!C$2:C$9)</f>
        <v>41.239070619144272</v>
      </c>
      <c r="D4" s="5">
        <f>_xlfn.XLOOKUP($A4,Sets!$A$2:$A$9,Sets!E$2:E$9)-_xlfn.XLOOKUP($A4,Sets!$A$2:$A$9,Sets!D$2:D$9)</f>
        <v>118.59137960997857</v>
      </c>
      <c r="E4" s="5">
        <f>_xlfn.XLOOKUP($A4,Sets!$A$2:$A$9,Sets!F$2:F$9)-_xlfn.XLOOKUP($A4,Sets!$A$2:$A$9,Sets!E$2:E$9)</f>
        <v>70.88691552163894</v>
      </c>
      <c r="F4" s="5">
        <f>_xlfn.XLOOKUP($A4,Sets!$A$2:$A$9,Sets!G$2:G$9)-_xlfn.XLOOKUP($A4,Sets!$A$2:$A$9,Sets!F$2:F$9)</f>
        <v>57.956128583248159</v>
      </c>
      <c r="G4" s="5"/>
      <c r="H4" s="5"/>
      <c r="I4" s="5"/>
      <c r="J4" s="5"/>
      <c r="K4" s="5"/>
    </row>
    <row r="5" spans="1:11" x14ac:dyDescent="0.35">
      <c r="A5" t="str">
        <v>Orange</v>
      </c>
      <c r="B5" s="5">
        <f>_xlfn.XLOOKUP($A5,Sets!$A$2:$A$9,Sets!C$2:C$9)-_xlfn.XLOOKUP($A5,Sets!$A$2:$A$9,Sets!B$2:B$9)</f>
        <v>18.895924190382722</v>
      </c>
      <c r="C5" s="5">
        <f>_xlfn.XLOOKUP($A5,Sets!$A$2:$A$9,Sets!D$2:D$9)-_xlfn.XLOOKUP($A5,Sets!$A$2:$A$9,Sets!C$2:C$9)</f>
        <v>57.222697391441379</v>
      </c>
      <c r="D5" s="5">
        <f>_xlfn.XLOOKUP($A5,Sets!$A$2:$A$9,Sets!E$2:E$9)-_xlfn.XLOOKUP($A5,Sets!$A$2:$A$9,Sets!D$2:D$9)</f>
        <v>154.51509856934405</v>
      </c>
      <c r="E5" s="5">
        <f>_xlfn.XLOOKUP($A5,Sets!$A$2:$A$9,Sets!F$2:F$9)-_xlfn.XLOOKUP($A5,Sets!$A$2:$A$9,Sets!E$2:E$9)</f>
        <v>85.764968024900639</v>
      </c>
      <c r="F5" s="5">
        <f>_xlfn.XLOOKUP($A5,Sets!$A$2:$A$9,Sets!G$2:G$9)-_xlfn.XLOOKUP($A5,Sets!$A$2:$A$9,Sets!F$2:F$9)</f>
        <v>85.764968024900611</v>
      </c>
      <c r="G5" s="5"/>
      <c r="H5" s="5"/>
      <c r="I5" s="5"/>
      <c r="J5" s="5"/>
      <c r="K5" s="5"/>
    </row>
    <row r="6" spans="1:11" x14ac:dyDescent="0.35">
      <c r="A6" t="str">
        <v>Red</v>
      </c>
      <c r="B6" s="5">
        <f>_xlfn.XLOOKUP($A6,Sets!$A$2:$A$9,Sets!C$2:C$9)-_xlfn.XLOOKUP($A6,Sets!$A$2:$A$9,Sets!B$2:B$9)</f>
        <v>24.820189028354058</v>
      </c>
      <c r="C6" s="5">
        <f>_xlfn.XLOOKUP($A6,Sets!$A$2:$A$9,Sets!D$2:D$9)-_xlfn.XLOOKUP($A6,Sets!$A$2:$A$9,Sets!C$2:C$9)</f>
        <v>77.203806559271555</v>
      </c>
      <c r="D6" s="5">
        <f>_xlfn.XLOOKUP($A6,Sets!$A$2:$A$9,Sets!E$2:E$9)-_xlfn.XLOOKUP($A6,Sets!$A$2:$A$9,Sets!D$2:D$9)</f>
        <v>198.59427066694974</v>
      </c>
      <c r="E6" s="5">
        <f>_xlfn.XLOOKUP($A6,Sets!$A$2:$A$9,Sets!F$2:F$9)-_xlfn.XLOOKUP($A6,Sets!$A$2:$A$9,Sets!E$2:E$9)</f>
        <v>77.231105259369315</v>
      </c>
      <c r="F6" s="5">
        <f>_xlfn.XLOOKUP($A6,Sets!$A$2:$A$9,Sets!G$2:G$9)-_xlfn.XLOOKUP($A6,Sets!$A$2:$A$9,Sets!F$2:F$9)</f>
        <v>77.231105259369372</v>
      </c>
      <c r="G6" s="5"/>
      <c r="H6" s="5"/>
      <c r="I6" s="5"/>
      <c r="J6" s="5"/>
      <c r="K6" s="5"/>
    </row>
    <row r="7" spans="1:11" x14ac:dyDescent="0.35">
      <c r="A7" t="str">
        <v>Yellow</v>
      </c>
      <c r="B7" s="5">
        <f>_xlfn.XLOOKUP($A7,Sets!$A$2:$A$9,Sets!C$2:C$9)-_xlfn.XLOOKUP($A7,Sets!$A$2:$A$9,Sets!B$2:B$9)</f>
        <v>27.009835178540534</v>
      </c>
      <c r="C7" s="5">
        <f>_xlfn.XLOOKUP($A7,Sets!$A$2:$A$9,Sets!D$2:D$9)-_xlfn.XLOOKUP($A7,Sets!$A$2:$A$9,Sets!C$2:C$9)</f>
        <v>90.032783928468419</v>
      </c>
      <c r="D7" s="5">
        <f>_xlfn.XLOOKUP($A7,Sets!$A$2:$A$9,Sets!E$2:E$9)-_xlfn.XLOOKUP($A7,Sets!$A$2:$A$9,Sets!D$2:D$9)</f>
        <v>189.34360558955098</v>
      </c>
      <c r="E7" s="5">
        <f>_xlfn.XLOOKUP($A7,Sets!$A$2:$A$9,Sets!F$2:F$9)-_xlfn.XLOOKUP($A7,Sets!$A$2:$A$9,Sets!E$2:E$9)</f>
        <v>69.517575162757737</v>
      </c>
      <c r="F7" s="5">
        <f>_xlfn.XLOOKUP($A7,Sets!$A$2:$A$9,Sets!G$2:G$9)-_xlfn.XLOOKUP($A7,Sets!$A$2:$A$9,Sets!F$2:F$9)</f>
        <v>69.517575162757794</v>
      </c>
      <c r="G7" s="5"/>
      <c r="H7" s="5"/>
      <c r="I7" s="5"/>
      <c r="J7" s="5"/>
      <c r="K7" s="5"/>
    </row>
    <row r="8" spans="1:11" x14ac:dyDescent="0.35">
      <c r="A8" t="str">
        <v>Green</v>
      </c>
      <c r="B8" s="5">
        <f>_xlfn.XLOOKUP($A8,Sets!$A$2:$A$9,Sets!C$2:C$9)-_xlfn.XLOOKUP($A8,Sets!$A$2:$A$9,Sets!B$2:B$9)</f>
        <v>32.620821276534414</v>
      </c>
      <c r="C8" s="5">
        <f>_xlfn.XLOOKUP($A8,Sets!$A$2:$A$9,Sets!D$2:D$9)-_xlfn.XLOOKUP($A8,Sets!$A$2:$A$9,Sets!C$2:C$9)</f>
        <v>107.04332099062404</v>
      </c>
      <c r="D8" s="5">
        <f>_xlfn.XLOOKUP($A8,Sets!$A$2:$A$9,Sets!E$2:E$9)-_xlfn.XLOOKUP($A8,Sets!$A$2:$A$9,Sets!D$2:D$9)</f>
        <v>205.08665868019315</v>
      </c>
      <c r="E8" s="5">
        <f>_xlfn.XLOOKUP($A8,Sets!$A$2:$A$9,Sets!F$2:F$9)-_xlfn.XLOOKUP($A8,Sets!$A$2:$A$9,Sets!E$2:E$9)</f>
        <v>78.434670151655325</v>
      </c>
      <c r="F8" s="5">
        <f>_xlfn.XLOOKUP($A8,Sets!$A$2:$A$9,Sets!G$2:G$9)-_xlfn.XLOOKUP($A8,Sets!$A$2:$A$9,Sets!F$2:F$9)</f>
        <v>71.804242503618411</v>
      </c>
      <c r="G8" s="5"/>
      <c r="H8" s="5"/>
      <c r="I8" s="5"/>
      <c r="J8" s="5"/>
      <c r="K8" s="5"/>
    </row>
    <row r="9" spans="1:11" x14ac:dyDescent="0.35">
      <c r="A9" t="str">
        <v>Dark Blue</v>
      </c>
      <c r="B9" s="5">
        <f>_xlfn.XLOOKUP($A9,Sets!$A$2:$A$9,Sets!C$2:C$9)-_xlfn.XLOOKUP($A9,Sets!$A$2:$A$9,Sets!B$2:B$9)</f>
        <v>25.80464036084836</v>
      </c>
      <c r="C9" s="5">
        <f>_xlfn.XLOOKUP($A9,Sets!$A$2:$A$9,Sets!D$2:D$9)-_xlfn.XLOOKUP($A9,Sets!$A$2:$A$9,Sets!C$2:C$9)</f>
        <v>91.976937057258013</v>
      </c>
      <c r="D9" s="5">
        <f>_xlfn.XLOOKUP($A9,Sets!$A$2:$A$9,Sets!E$2:E$9)-_xlfn.XLOOKUP($A9,Sets!$A$2:$A$9,Sets!D$2:D$9)</f>
        <v>178.03722970076046</v>
      </c>
      <c r="E9" s="5">
        <f>_xlfn.XLOOKUP($A9,Sets!$A$2:$A$9,Sets!F$2:F$9)-_xlfn.XLOOKUP($A9,Sets!$A$2:$A$9,Sets!E$2:E$9)</f>
        <v>63.805638930907378</v>
      </c>
      <c r="F9" s="5">
        <f>_xlfn.XLOOKUP($A9,Sets!$A$2:$A$9,Sets!G$2:G$9)-_xlfn.XLOOKUP($A9,Sets!$A$2:$A$9,Sets!F$2:F$9)</f>
        <v>63.805638930907435</v>
      </c>
      <c r="G9" s="5"/>
      <c r="H9" s="5"/>
      <c r="I9" s="5"/>
      <c r="J9" s="5"/>
      <c r="K9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DCAA-BBA0-4136-A605-0A729BA2D63A}">
  <dimension ref="A1:H9"/>
  <sheetViews>
    <sheetView workbookViewId="0"/>
  </sheetViews>
  <sheetFormatPr defaultRowHeight="14.5" x14ac:dyDescent="0.35"/>
  <cols>
    <col min="2" max="2" width="10.1796875" bestFit="1" customWidth="1"/>
    <col min="3" max="3" width="9.36328125" bestFit="1" customWidth="1"/>
  </cols>
  <sheetData>
    <row r="1" spans="1:8" x14ac:dyDescent="0.35">
      <c r="A1" t="s">
        <v>54</v>
      </c>
      <c r="B1" t="s">
        <v>96</v>
      </c>
      <c r="C1" t="s">
        <v>97</v>
      </c>
      <c r="D1" t="str" cm="1">
        <f t="array" ref="D1:H1">_xlfn.TEXTBEFORE(_xlfn.ANCHORARRAY('Set Difference'!B1)," Per Lap")</f>
        <v>1 House</v>
      </c>
      <c r="E1" t="str">
        <v>2 Houses</v>
      </c>
      <c r="F1" t="str">
        <v>3 Houses</v>
      </c>
      <c r="G1" t="str">
        <v>4 Houses</v>
      </c>
      <c r="H1" t="str">
        <v>Hotel</v>
      </c>
    </row>
    <row r="2" spans="1:8" x14ac:dyDescent="0.35">
      <c r="A2" t="str" cm="1">
        <f t="array" ref="A2:A9">Sets!A2:A9</f>
        <v>Brown</v>
      </c>
      <c r="B2">
        <f>SUMIF(Properties!$B$2:$B$23,$A2,Properties!E$2:E$23)</f>
        <v>100</v>
      </c>
      <c r="C2">
        <f>SUMIF(Properties!$B$2:$B$23,$A2,Properties!F$2:F$23)</f>
        <v>100</v>
      </c>
      <c r="D2" s="5">
        <f>B2/_xlfn.XLOOKUP(A2,'Set Difference'!$A$2:$A$9,'Set Difference'!B$2:B$9)</f>
        <v>50.183088443558127</v>
      </c>
      <c r="E2" s="5">
        <f>B2/_xlfn.XLOOKUP(A2,'Set Difference'!$A$2:$A$9,'Set Difference'!C$2:C$9)</f>
        <v>15.054926533067441</v>
      </c>
      <c r="F2" s="5">
        <f>B2/_xlfn.XLOOKUP(A2,'Set Difference'!$A$2:$A$9,'Set Difference'!D$2:D$9)</f>
        <v>11.332641505968295</v>
      </c>
      <c r="G2" s="5">
        <f>B2/_xlfn.XLOOKUP(A2,'Set Difference'!$A$2:$A$9,'Set Difference'!E$2:E$9)</f>
        <v>2.9111092045994331</v>
      </c>
      <c r="H2" s="5">
        <f>C2/_xlfn.XLOOKUP(A2,'Set Difference'!A$2:A$9,'Set Difference'!F$2:F$9)</f>
        <v>4.1086211207371175</v>
      </c>
    </row>
    <row r="3" spans="1:8" x14ac:dyDescent="0.35">
      <c r="A3" t="str">
        <v>Light Blue</v>
      </c>
      <c r="B3">
        <f>SUMIF(Properties!$B$2:$B$23,$A3,Properties!E$2:E$23)</f>
        <v>150</v>
      </c>
      <c r="C3">
        <f>SUMIF(Properties!$B$2:$B$23,$A3,Properties!F$2:F$23)</f>
        <v>150</v>
      </c>
      <c r="D3" s="5">
        <f>B3/_xlfn.XLOOKUP(A3,'Set Difference'!$A$2:$A$9,'Set Difference'!B$2:B$9)</f>
        <v>21.396016963704881</v>
      </c>
      <c r="E3" s="5">
        <f>B3/_xlfn.XLOOKUP(A3,'Set Difference'!$A$2:$A$9,'Set Difference'!C$2:C$9)</f>
        <v>7.13276989519004</v>
      </c>
      <c r="F3" s="5">
        <f>B3/_xlfn.XLOOKUP(A3,'Set Difference'!$A$2:$A$9,'Set Difference'!D$2:D$9)</f>
        <v>2.2925882999923477</v>
      </c>
      <c r="G3" s="5">
        <f>B3/_xlfn.XLOOKUP(A3,'Set Difference'!$A$2:$A$9,'Set Difference'!E$2:E$9)</f>
        <v>3.1312962765775598</v>
      </c>
      <c r="H3" s="5">
        <f>C3/_xlfn.XLOOKUP(A3,'Set Difference'!A$2:A$9,'Set Difference'!F$2:F$9)</f>
        <v>2.8531079580760168</v>
      </c>
    </row>
    <row r="4" spans="1:8" x14ac:dyDescent="0.35">
      <c r="A4" t="str">
        <v>Pink</v>
      </c>
      <c r="B4">
        <f>SUMIF(Properties!$B$2:$B$23,$A4,Properties!E$2:E$23)</f>
        <v>300</v>
      </c>
      <c r="C4">
        <f>SUMIF(Properties!$B$2:$B$23,$A4,Properties!F$2:F$23)</f>
        <v>300</v>
      </c>
      <c r="D4" s="5">
        <f>B4/_xlfn.XLOOKUP(A4,'Set Difference'!$A$2:$A$9,'Set Difference'!B$2:B$9)</f>
        <v>24.248849088654616</v>
      </c>
      <c r="E4" s="5">
        <f>B4/_xlfn.XLOOKUP(A4,'Set Difference'!$A$2:$A$9,'Set Difference'!C$2:C$9)</f>
        <v>7.2746547265963857</v>
      </c>
      <c r="F4" s="5">
        <f>B4/_xlfn.XLOOKUP(A4,'Set Difference'!$A$2:$A$9,'Set Difference'!D$2:D$9)</f>
        <v>2.5296948309956018</v>
      </c>
      <c r="G4" s="5">
        <f>B4/_xlfn.XLOOKUP(A4,'Set Difference'!$A$2:$A$9,'Set Difference'!E$2:E$9)</f>
        <v>4.2320927323805195</v>
      </c>
      <c r="H4" s="5">
        <f>C4/_xlfn.XLOOKUP(A4,'Set Difference'!A$2:A$9,'Set Difference'!F$2:F$9)</f>
        <v>5.1763291878455986</v>
      </c>
    </row>
    <row r="5" spans="1:8" x14ac:dyDescent="0.35">
      <c r="A5" t="str">
        <v>Orange</v>
      </c>
      <c r="B5">
        <f>SUMIF(Properties!$B$2:$B$23,$A5,Properties!E$2:E$23)</f>
        <v>300</v>
      </c>
      <c r="C5">
        <f>SUMIF(Properties!$B$2:$B$23,$A5,Properties!F$2:F$23)</f>
        <v>300</v>
      </c>
      <c r="D5" s="5">
        <f>B5/_xlfn.XLOOKUP(A5,'Set Difference'!$A$2:$A$9,'Set Difference'!B$2:B$9)</f>
        <v>15.87643964790503</v>
      </c>
      <c r="E5" s="5">
        <f>B5/_xlfn.XLOOKUP(A5,'Set Difference'!$A$2:$A$9,'Set Difference'!C$2:C$9)</f>
        <v>5.2426749118064135</v>
      </c>
      <c r="F5" s="5">
        <f>B5/_xlfn.XLOOKUP(A5,'Set Difference'!$A$2:$A$9,'Set Difference'!D$2:D$9)</f>
        <v>1.9415578333619257</v>
      </c>
      <c r="G5" s="5">
        <f>B5/_xlfn.XLOOKUP(A5,'Set Difference'!$A$2:$A$9,'Set Difference'!E$2:E$9)</f>
        <v>3.4979316952919435</v>
      </c>
      <c r="H5" s="5">
        <f>C5/_xlfn.XLOOKUP(A5,'Set Difference'!A$2:A$9,'Set Difference'!F$2:F$9)</f>
        <v>3.4979316952919444</v>
      </c>
    </row>
    <row r="6" spans="1:8" x14ac:dyDescent="0.35">
      <c r="A6" t="str">
        <v>Red</v>
      </c>
      <c r="B6">
        <f>SUMIF(Properties!$B$2:$B$23,$A6,Properties!E$2:E$23)</f>
        <v>450</v>
      </c>
      <c r="C6">
        <f>SUMIF(Properties!$B$2:$B$23,$A6,Properties!F$2:F$23)</f>
        <v>450</v>
      </c>
      <c r="D6" s="5">
        <f>B6/_xlfn.XLOOKUP(A6,'Set Difference'!$A$2:$A$9,'Set Difference'!B$2:B$9)</f>
        <v>18.130401806607093</v>
      </c>
      <c r="E6" s="5">
        <f>B6/_xlfn.XLOOKUP(A6,'Set Difference'!$A$2:$A$9,'Set Difference'!C$2:C$9)</f>
        <v>5.8287281424980284</v>
      </c>
      <c r="F6" s="5">
        <f>B6/_xlfn.XLOOKUP(A6,'Set Difference'!$A$2:$A$9,'Set Difference'!D$2:D$9)</f>
        <v>2.2659263960069995</v>
      </c>
      <c r="G6" s="5">
        <f>B6/_xlfn.XLOOKUP(A6,'Set Difference'!$A$2:$A$9,'Set Difference'!E$2:E$9)</f>
        <v>5.8266678754465726</v>
      </c>
      <c r="H6" s="5">
        <f>C6/_xlfn.XLOOKUP(A6,'Set Difference'!A$2:A$9,'Set Difference'!F$2:F$9)</f>
        <v>5.8266678754465682</v>
      </c>
    </row>
    <row r="7" spans="1:8" x14ac:dyDescent="0.35">
      <c r="A7" t="str">
        <v>Yellow</v>
      </c>
      <c r="B7">
        <f>SUMIF(Properties!$B$2:$B$23,$A7,Properties!E$2:E$23)</f>
        <v>450</v>
      </c>
      <c r="C7">
        <f>SUMIF(Properties!$B$2:$B$23,$A7,Properties!F$2:F$23)</f>
        <v>450</v>
      </c>
      <c r="D7" s="5">
        <f>B7/_xlfn.XLOOKUP(A7,'Set Difference'!$A$2:$A$9,'Set Difference'!B$2:B$9)</f>
        <v>16.660597779490619</v>
      </c>
      <c r="E7" s="5">
        <f>B7/_xlfn.XLOOKUP(A7,'Set Difference'!$A$2:$A$9,'Set Difference'!C$2:C$9)</f>
        <v>4.9981793338471867</v>
      </c>
      <c r="F7" s="5">
        <f>B7/_xlfn.XLOOKUP(A7,'Set Difference'!$A$2:$A$9,'Set Difference'!D$2:D$9)</f>
        <v>2.3766316195302952</v>
      </c>
      <c r="G7" s="5">
        <f>B7/_xlfn.XLOOKUP(A7,'Set Difference'!$A$2:$A$9,'Set Difference'!E$2:E$9)</f>
        <v>6.4731832050591427</v>
      </c>
      <c r="H7" s="5">
        <f>C7/_xlfn.XLOOKUP(A7,'Set Difference'!A$2:A$9,'Set Difference'!F$2:F$9)</f>
        <v>6.4731832050591374</v>
      </c>
    </row>
    <row r="8" spans="1:8" x14ac:dyDescent="0.35">
      <c r="A8" t="str">
        <v>Green</v>
      </c>
      <c r="B8">
        <f>SUMIF(Properties!$B$2:$B$23,$A8,Properties!E$2:E$23)</f>
        <v>600</v>
      </c>
      <c r="C8">
        <f>SUMIF(Properties!$B$2:$B$23,$A8,Properties!F$2:F$23)</f>
        <v>600</v>
      </c>
      <c r="D8" s="5">
        <f>B8/_xlfn.XLOOKUP(A8,'Set Difference'!$A$2:$A$9,'Set Difference'!B$2:B$9)</f>
        <v>18.393160457661629</v>
      </c>
      <c r="E8" s="5">
        <f>B8/_xlfn.XLOOKUP(A8,'Set Difference'!$A$2:$A$9,'Set Difference'!C$2:C$9)</f>
        <v>5.6052072604562992</v>
      </c>
      <c r="F8" s="5">
        <f>B8/_xlfn.XLOOKUP(A8,'Set Difference'!$A$2:$A$9,'Set Difference'!D$2:D$9)</f>
        <v>2.9255925463958361</v>
      </c>
      <c r="G8" s="5">
        <f>B8/_xlfn.XLOOKUP(A8,'Set Difference'!$A$2:$A$9,'Set Difference'!E$2:E$9)</f>
        <v>7.6496783736055187</v>
      </c>
      <c r="H8" s="5">
        <f>C8/_xlfn.XLOOKUP(A8,'Set Difference'!A$2:A$9,'Set Difference'!F$2:F$9)</f>
        <v>8.3560522203094667</v>
      </c>
    </row>
    <row r="9" spans="1:8" x14ac:dyDescent="0.35">
      <c r="A9" t="str">
        <v>Dark Blue</v>
      </c>
      <c r="B9">
        <f>SUMIF(Properties!$B$2:$B$23,$A9,Properties!E$2:E$23)</f>
        <v>400</v>
      </c>
      <c r="C9">
        <f>SUMIF(Properties!$B$2:$B$23,$A9,Properties!F$2:F$23)</f>
        <v>400</v>
      </c>
      <c r="D9" s="5">
        <f>B9/_xlfn.XLOOKUP(A9,'Set Difference'!$A$2:$A$9,'Set Difference'!B$2:B$9)</f>
        <v>15.501087959625007</v>
      </c>
      <c r="E9" s="5">
        <f>B9/_xlfn.XLOOKUP(A9,'Set Difference'!$A$2:$A$9,'Set Difference'!C$2:C$9)</f>
        <v>4.3489162913849775</v>
      </c>
      <c r="F9" s="5">
        <f>B9/_xlfn.XLOOKUP(A9,'Set Difference'!$A$2:$A$9,'Set Difference'!D$2:D$9)</f>
        <v>2.246721096886914</v>
      </c>
      <c r="G9" s="5">
        <f>B9/_xlfn.XLOOKUP(A9,'Set Difference'!$A$2:$A$9,'Set Difference'!E$2:E$9)</f>
        <v>6.2690383906843143</v>
      </c>
      <c r="H9" s="5">
        <f>C9/_xlfn.XLOOKUP(A9,'Set Difference'!A$2:A$9,'Set Difference'!F$2:F$9)</f>
        <v>6.2690383906843081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7</vt:i4>
      </vt:variant>
    </vt:vector>
  </HeadingPairs>
  <TitlesOfParts>
    <vt:vector size="24" baseType="lpstr">
      <vt:lpstr>Sheet1</vt:lpstr>
      <vt:lpstr>Properties</vt:lpstr>
      <vt:lpstr>Property Per Lap</vt:lpstr>
      <vt:lpstr>Sets</vt:lpstr>
      <vt:lpstr>Utilities</vt:lpstr>
      <vt:lpstr>Utilities Return</vt:lpstr>
      <vt:lpstr>Stations</vt:lpstr>
      <vt:lpstr>Station Return</vt:lpstr>
      <vt:lpstr>Jail And Cards</vt:lpstr>
      <vt:lpstr>Property Development</vt:lpstr>
      <vt:lpstr>Property Return Development</vt:lpstr>
      <vt:lpstr>Set Development</vt:lpstr>
      <vt:lpstr>Set Return Development</vt:lpstr>
      <vt:lpstr>Property Difference</vt:lpstr>
      <vt:lpstr>Property Return Difference</vt:lpstr>
      <vt:lpstr>Set Difference</vt:lpstr>
      <vt:lpstr>Set Return Difference</vt:lpstr>
      <vt:lpstr>Individual Rent Per Lap</vt:lpstr>
      <vt:lpstr>Set Rent Per Lap</vt:lpstr>
      <vt:lpstr>Individual Laps To Return</vt:lpstr>
      <vt:lpstr>Set Laps To Return</vt:lpstr>
      <vt:lpstr>Set Laps To Return (Difference)</vt:lpstr>
      <vt:lpstr>Times Landed</vt:lpstr>
      <vt:lpstr>Relative Land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Cooper</dc:creator>
  <cp:lastModifiedBy>Aaron Cooper</cp:lastModifiedBy>
  <cp:lastPrinted>2023-09-18T08:19:11Z</cp:lastPrinted>
  <dcterms:created xsi:type="dcterms:W3CDTF">2023-08-21T10:41:12Z</dcterms:created>
  <dcterms:modified xsi:type="dcterms:W3CDTF">2023-09-23T18:58:51Z</dcterms:modified>
</cp:coreProperties>
</file>