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80" yWindow="120" windowWidth="25500" windowHeight="14760" firstSheet="1" activeTab="2"/>
  </bookViews>
  <sheets>
    <sheet name="Sheet1" sheetId="1" r:id="rId1"/>
    <sheet name="Barbuda lob fishery parameters" sheetId="3" r:id="rId2"/>
    <sheet name="Fishing costs and est. density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18" i="4"/>
  <c r="B19" i="4"/>
  <c r="C16" i="4"/>
  <c r="B18" i="4"/>
  <c r="C22" i="3"/>
  <c r="B24" i="3"/>
  <c r="B30" i="3"/>
  <c r="C24" i="4"/>
  <c r="D24" i="4"/>
  <c r="D25" i="4"/>
  <c r="D26" i="4"/>
  <c r="B6" i="4"/>
  <c r="B22" i="3"/>
  <c r="B23" i="3"/>
  <c r="B25" i="3"/>
  <c r="B26" i="3"/>
  <c r="B27" i="3"/>
  <c r="B28" i="3"/>
  <c r="B29" i="3"/>
  <c r="B31" i="3"/>
  <c r="B6" i="3"/>
  <c r="C2" i="1"/>
  <c r="D36" i="1"/>
  <c r="B15" i="3"/>
  <c r="C38" i="1"/>
  <c r="B38" i="1"/>
  <c r="D38" i="1"/>
  <c r="B16" i="3"/>
  <c r="B9" i="3"/>
  <c r="B22" i="1"/>
  <c r="B20" i="1"/>
  <c r="F2" i="1"/>
  <c r="D20" i="1"/>
  <c r="B17" i="1"/>
  <c r="I19" i="1"/>
  <c r="H8" i="1"/>
  <c r="G21" i="1"/>
  <c r="H15" i="1"/>
  <c r="H14" i="1"/>
  <c r="E6" i="1"/>
  <c r="E15" i="1"/>
  <c r="B7" i="1"/>
  <c r="C15" i="1"/>
  <c r="B14" i="1"/>
</calcChain>
</file>

<file path=xl/sharedStrings.xml><?xml version="1.0" encoding="utf-8"?>
<sst xmlns="http://schemas.openxmlformats.org/spreadsheetml/2006/main" count="140" uniqueCount="112">
  <si>
    <t>Parameter</t>
  </si>
  <si>
    <t>Reference</t>
  </si>
  <si>
    <t>K</t>
  </si>
  <si>
    <t>r</t>
  </si>
  <si>
    <t>Value of lobster</t>
  </si>
  <si>
    <t>Area of fishery</t>
  </si>
  <si>
    <t>Average landings per trip</t>
  </si>
  <si>
    <t>License Fee</t>
  </si>
  <si>
    <t>Illegal Fishing Fine</t>
  </si>
  <si>
    <t>Turks and Caicos Lobster Fishery</t>
  </si>
  <si>
    <t>Number of Fishers</t>
  </si>
  <si>
    <t>Number of fishers</t>
  </si>
  <si>
    <t>Average distance traveled</t>
  </si>
  <si>
    <t>$13.15 $/kg</t>
  </si>
  <si>
    <t>429 kg</t>
  </si>
  <si>
    <t>$2896 per year</t>
  </si>
  <si>
    <t>Estimated profit from 1 trip</t>
  </si>
  <si>
    <t>Enforcement</t>
  </si>
  <si>
    <t>Fuel: 5489 liters @$39.39/liter labor costs: $5792-8,688. Miss.=2500</t>
  </si>
  <si>
    <t>Variable Cost of effort (per 1 day trip)</t>
  </si>
  <si>
    <t>Fixed cost for effort</t>
  </si>
  <si>
    <t>Break down of costs for 14 day trip</t>
  </si>
  <si>
    <t>Jamaica Industrial Lobster Fishery</t>
  </si>
  <si>
    <t>licensing system, dockside monitoring, observers</t>
  </si>
  <si>
    <t>Relationship between biomass and number of dives</t>
  </si>
  <si>
    <t>Tax on landings</t>
  </si>
  <si>
    <t>Illegal fishing fine*</t>
  </si>
  <si>
    <t>K (kgs)</t>
  </si>
  <si>
    <t>Cost of effort ($ per day trip)</t>
  </si>
  <si>
    <t>Average landings per trip (kg)</t>
  </si>
  <si>
    <r>
      <t>Area of fishery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</si>
  <si>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Value of lobster ($/kg)</t>
  </si>
  <si>
    <t>Fixed annual cost</t>
  </si>
  <si>
    <t>Variable cost</t>
  </si>
  <si>
    <t>Number of trips</t>
  </si>
  <si>
    <t>Number of days per trip</t>
  </si>
  <si>
    <t>Cuba Spiny Lobster Fishery</t>
  </si>
  <si>
    <t>Processing Cost ($/ton of lobster</t>
  </si>
  <si>
    <t>ratio of cost per  poun</t>
  </si>
  <si>
    <t>Barbuda Example</t>
  </si>
  <si>
    <t>Area of fishery (km2)</t>
  </si>
  <si>
    <t>Fixed cost</t>
  </si>
  <si>
    <t>13,000-72,000</t>
  </si>
  <si>
    <t>Horsfield and Archibald 2006</t>
  </si>
  <si>
    <t>Horsfield et al. 2013</t>
  </si>
  <si>
    <t># of fishing vessels I n2011</t>
  </si>
  <si>
    <t>price</t>
  </si>
  <si>
    <t>26.40/kg</t>
  </si>
  <si>
    <t>Luckhuurst</t>
  </si>
  <si>
    <t>average landings per trip</t>
  </si>
  <si>
    <t>63/kg</t>
  </si>
  <si>
    <t>Used ratio of carrying capacity to fishery area from Morris 2010</t>
  </si>
  <si>
    <t>Horsfield 2001</t>
  </si>
  <si>
    <t>Fuel</t>
  </si>
  <si>
    <t>Lubricant</t>
  </si>
  <si>
    <t>Ice</t>
  </si>
  <si>
    <t>Food</t>
  </si>
  <si>
    <t>Bait</t>
  </si>
  <si>
    <t>Hull mainteneance</t>
  </si>
  <si>
    <t>Engine maintenance</t>
  </si>
  <si>
    <t>Annual Insurance</t>
  </si>
  <si>
    <t>Crew Wages</t>
  </si>
  <si>
    <t>Trap replacement/repair</t>
  </si>
  <si>
    <t>Annual Docking Fee</t>
  </si>
  <si>
    <t>$ Per Trip</t>
  </si>
  <si>
    <t>Total Fishing Cost</t>
  </si>
  <si>
    <t>Capital Costs*</t>
  </si>
  <si>
    <t>References</t>
  </si>
  <si>
    <t>Morris 2010</t>
  </si>
  <si>
    <t>Average number of trips per year per vessel</t>
  </si>
  <si>
    <t>Value</t>
  </si>
  <si>
    <t>Cost of Fishing ($/trip)</t>
  </si>
  <si>
    <t>Value of lobster landings ($/kg)</t>
  </si>
  <si>
    <t>Number of vessels in fishery (2011)</t>
  </si>
  <si>
    <t>9.64,-0.003,.00004</t>
  </si>
  <si>
    <t>Sala et al. 2013</t>
  </si>
  <si>
    <t>Variable Model Parameter</t>
  </si>
  <si>
    <t>Starting Level of stock</t>
  </si>
  <si>
    <t>Starting Value or Range of values</t>
  </si>
  <si>
    <t>Social Acceptance Parameter</t>
  </si>
  <si>
    <t>Fishery</t>
  </si>
  <si>
    <t>Jamaica Spiny Lobster Fishery</t>
  </si>
  <si>
    <t>Turks and Caicos Spiny Fishery</t>
  </si>
  <si>
    <t>Flordia</t>
  </si>
  <si>
    <t>Cuba</t>
  </si>
  <si>
    <t>Munoz-Nunius</t>
  </si>
  <si>
    <t>Brazil</t>
  </si>
  <si>
    <t>0.1, 0.5, 0.9</t>
  </si>
  <si>
    <t>.05, 10, 20</t>
  </si>
  <si>
    <t>Cost of fishing license ($/year)*</t>
  </si>
  <si>
    <t>0, .5, 1</t>
  </si>
  <si>
    <t>*Actual current value in Barbuda</t>
  </si>
  <si>
    <t>SeaSketch.org</t>
  </si>
  <si>
    <t>Morris 2010;Munoz-Nunius 2009</t>
  </si>
  <si>
    <t>Enforcement Level</t>
  </si>
  <si>
    <t>Detectability</t>
  </si>
  <si>
    <t>Cost ($) (for t=1)</t>
  </si>
  <si>
    <t>Cost ($) (for t&gt;1)</t>
  </si>
  <si>
    <t>Enforcement Parameters</t>
  </si>
  <si>
    <t>see cost breakdown sheet</t>
  </si>
  <si>
    <t>Average Fishing Costs for Lobster Fishermen in Barbuda (estimated annually by Horsfeld 2001)</t>
  </si>
  <si>
    <t>$/ Year</t>
  </si>
  <si>
    <t>Average</t>
  </si>
  <si>
    <t>Cllerveaux et al. 2002</t>
  </si>
  <si>
    <t>Area (km^2)</t>
  </si>
  <si>
    <r>
      <t>Estimated carrying capacity (</t>
    </r>
    <r>
      <rPr>
        <b/>
        <i/>
        <sz val="11"/>
        <color theme="1"/>
        <rFont val="Calibri"/>
        <scheme val="minor"/>
      </rPr>
      <t>K</t>
    </r>
    <r>
      <rPr>
        <b/>
        <sz val="11"/>
        <color theme="1"/>
        <rFont val="Calibri"/>
        <family val="2"/>
        <scheme val="minor"/>
      </rPr>
      <t>) (kg)</t>
    </r>
  </si>
  <si>
    <r>
      <t xml:space="preserve">Density at </t>
    </r>
    <r>
      <rPr>
        <b/>
        <i/>
        <sz val="11"/>
        <color theme="1"/>
        <rFont val="Calibri"/>
        <scheme val="minor"/>
      </rPr>
      <t>K</t>
    </r>
  </si>
  <si>
    <t>*Capital costs are based on assuming a 5% depreciation value and 15% interest rate on the total cost of vessel and gears ($14,820.74) as used in Morris 2010</t>
  </si>
  <si>
    <t>Fishing Costs</t>
  </si>
  <si>
    <r>
      <t>Calculated by assuming average lobster density at carrying capacity that have been estimated in 2 other Caribbean Spiny Lobster  (300 kg/km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). See est. density sheet</t>
    </r>
  </si>
  <si>
    <t>Fixed Model Parameters</t>
  </si>
  <si>
    <t>Variable Fishing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</si>
</sst>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222222"/>
      <name val="Arial"/>
      <family val="2"/>
    </font>
    <font>
      <b/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0" fontId="0" fillId="2" borderId="0" xfId="0" applyFill="1"/>
    <xf numFmtId="0" fontId="1" fillId="0" borderId="0" xfId="0" applyFont="1"/>
    <xf numFmtId="0" fontId="3" fillId="0" borderId="0" xfId="0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3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Fill="1"/>
    <xf numFmtId="0" fontId="1" fillId="0" borderId="0" xfId="0" applyFont="1" applyAlignment="1">
      <alignment wrapText="1"/>
    </xf>
    <xf numFmtId="0" fontId="0" fillId="0" borderId="0" xfId="0" applyFont="1" applyFill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1" fontId="1" fillId="0" borderId="0" xfId="0" applyNumberFormat="1" applyFont="1"/>
    <xf numFmtId="0" fontId="8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'Barbuda lob fishery parameters'!$A$22:$A$31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'Barbuda lob fishery parameters'!$D$22:$D$31</c:f>
              <c:numCache>
                <c:formatCode>General</c:formatCode>
                <c:ptCount val="10"/>
                <c:pt idx="0">
                  <c:v>0.25</c:v>
                </c:pt>
                <c:pt idx="1">
                  <c:v>0.43</c:v>
                </c:pt>
                <c:pt idx="2">
                  <c:v>0.47</c:v>
                </c:pt>
                <c:pt idx="3">
                  <c:v>0.55</c:v>
                </c:pt>
                <c:pt idx="4">
                  <c:v>0.58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0.72</c:v>
                </c:pt>
                <c:pt idx="9">
                  <c:v>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276280"/>
        <c:axId val="2036294392"/>
      </c:scatterChart>
      <c:valAx>
        <c:axId val="203627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6294392"/>
        <c:crosses val="autoZero"/>
        <c:crossBetween val="midCat"/>
      </c:valAx>
      <c:valAx>
        <c:axId val="203629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27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5</xdr:row>
      <xdr:rowOff>425450</xdr:rowOff>
    </xdr:from>
    <xdr:to>
      <xdr:col>10</xdr:col>
      <xdr:colOff>228600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8" workbookViewId="0">
      <selection activeCell="A33" sqref="A33:D35"/>
    </sheetView>
  </sheetViews>
  <sheetFormatPr baseColWidth="10" defaultColWidth="8.83203125" defaultRowHeight="14" x14ac:dyDescent="0"/>
  <cols>
    <col min="1" max="1" width="34" customWidth="1"/>
    <col min="2" max="2" width="63.83203125" customWidth="1"/>
    <col min="3" max="3" width="59.6640625" customWidth="1"/>
    <col min="4" max="4" width="32" customWidth="1"/>
    <col min="5" max="5" width="21.5" customWidth="1"/>
    <col min="7" max="7" width="33.5" customWidth="1"/>
    <col min="8" max="8" width="28" customWidth="1"/>
  </cols>
  <sheetData>
    <row r="1" spans="1:8">
      <c r="A1" s="30" t="s">
        <v>22</v>
      </c>
      <c r="B1" s="30"/>
      <c r="C1" s="8"/>
      <c r="D1" s="30" t="s">
        <v>9</v>
      </c>
      <c r="E1" s="30"/>
      <c r="G1" t="s">
        <v>36</v>
      </c>
    </row>
    <row r="2" spans="1:8">
      <c r="A2" s="8" t="s">
        <v>0</v>
      </c>
      <c r="B2" s="8" t="s">
        <v>1</v>
      </c>
      <c r="C2" s="26">
        <f>B4/B3</f>
        <v>138.09577114427861</v>
      </c>
      <c r="D2" s="8" t="s">
        <v>0</v>
      </c>
      <c r="E2" s="8" t="s">
        <v>1</v>
      </c>
      <c r="F2">
        <f>E3/E4</f>
        <v>1.4210809266234701E-3</v>
      </c>
    </row>
    <row r="3" spans="1:8" ht="16">
      <c r="A3" t="s">
        <v>5</v>
      </c>
      <c r="B3" s="1">
        <v>8040</v>
      </c>
      <c r="D3" t="s">
        <v>30</v>
      </c>
      <c r="E3" s="3">
        <v>6500</v>
      </c>
      <c r="G3" t="s">
        <v>30</v>
      </c>
      <c r="H3">
        <v>20850</v>
      </c>
    </row>
    <row r="4" spans="1:8">
      <c r="A4" t="s">
        <v>2</v>
      </c>
      <c r="B4" s="11">
        <v>1110290</v>
      </c>
      <c r="D4" t="s">
        <v>27</v>
      </c>
      <c r="E4" s="3">
        <v>4573983</v>
      </c>
      <c r="G4" t="s">
        <v>27</v>
      </c>
    </row>
    <row r="5" spans="1:8">
      <c r="A5" t="s">
        <v>3</v>
      </c>
      <c r="B5" s="1">
        <v>0.79869999999999997</v>
      </c>
      <c r="D5" t="s">
        <v>3</v>
      </c>
      <c r="E5" s="3">
        <v>0.33500000000000002</v>
      </c>
      <c r="G5" t="s">
        <v>3</v>
      </c>
    </row>
    <row r="6" spans="1:8">
      <c r="A6" t="s">
        <v>4</v>
      </c>
      <c r="B6" s="1" t="s">
        <v>13</v>
      </c>
      <c r="D6" t="s">
        <v>31</v>
      </c>
      <c r="E6" s="3">
        <f>4.3*2.2</f>
        <v>9.4600000000000009</v>
      </c>
      <c r="G6" t="s">
        <v>31</v>
      </c>
      <c r="H6">
        <v>12.32</v>
      </c>
    </row>
    <row r="7" spans="1:8">
      <c r="A7" t="s">
        <v>20</v>
      </c>
      <c r="B7" s="1">
        <f>17376+11584+5000</f>
        <v>33960</v>
      </c>
      <c r="E7" s="3"/>
    </row>
    <row r="8" spans="1:8">
      <c r="A8" t="s">
        <v>19</v>
      </c>
      <c r="B8" s="4">
        <v>843.07</v>
      </c>
      <c r="D8" t="s">
        <v>28</v>
      </c>
      <c r="E8" s="3">
        <v>683.4</v>
      </c>
      <c r="G8" t="s">
        <v>28</v>
      </c>
      <c r="H8">
        <f>144+171</f>
        <v>315</v>
      </c>
    </row>
    <row r="9" spans="1:8">
      <c r="A9" t="s">
        <v>6</v>
      </c>
      <c r="B9" s="1" t="s">
        <v>14</v>
      </c>
      <c r="D9" t="s">
        <v>29</v>
      </c>
      <c r="E9" s="3">
        <v>58</v>
      </c>
      <c r="G9" t="s">
        <v>37</v>
      </c>
      <c r="H9">
        <v>687</v>
      </c>
    </row>
    <row r="10" spans="1:8">
      <c r="A10" t="s">
        <v>7</v>
      </c>
      <c r="B10" s="1" t="s">
        <v>15</v>
      </c>
      <c r="D10" t="s">
        <v>7</v>
      </c>
      <c r="G10" t="s">
        <v>29</v>
      </c>
    </row>
    <row r="11" spans="1:8">
      <c r="A11" s="7" t="s">
        <v>8</v>
      </c>
      <c r="B11" s="5">
        <v>1000</v>
      </c>
      <c r="D11" t="s">
        <v>8</v>
      </c>
      <c r="G11" t="s">
        <v>7</v>
      </c>
    </row>
    <row r="12" spans="1:8">
      <c r="A12" t="s">
        <v>10</v>
      </c>
      <c r="B12" s="1">
        <v>6</v>
      </c>
      <c r="D12" t="s">
        <v>11</v>
      </c>
      <c r="G12" t="s">
        <v>8</v>
      </c>
    </row>
    <row r="13" spans="1:8">
      <c r="A13" t="s">
        <v>12</v>
      </c>
      <c r="B13" s="1">
        <v>320</v>
      </c>
      <c r="D13" t="s">
        <v>12</v>
      </c>
      <c r="G13" t="s">
        <v>11</v>
      </c>
      <c r="H13">
        <v>117</v>
      </c>
    </row>
    <row r="14" spans="1:8" ht="24.75" customHeight="1">
      <c r="A14" t="s">
        <v>16</v>
      </c>
      <c r="B14">
        <f>(13.15*429)-843.07</f>
        <v>4798.2800000000007</v>
      </c>
      <c r="G14" t="s">
        <v>12</v>
      </c>
      <c r="H14">
        <f>13795-6485-958</f>
        <v>6352</v>
      </c>
    </row>
    <row r="15" spans="1:8" ht="27.75" customHeight="1">
      <c r="A15" t="s">
        <v>17</v>
      </c>
      <c r="B15" s="6" t="s">
        <v>23</v>
      </c>
      <c r="C15">
        <f>5489*0.57</f>
        <v>3128.7299999999996</v>
      </c>
      <c r="E15">
        <f>E9*E6</f>
        <v>548.68000000000006</v>
      </c>
      <c r="G15" t="s">
        <v>32</v>
      </c>
      <c r="H15">
        <f>5747+193+3124+2027+175</f>
        <v>11266</v>
      </c>
    </row>
    <row r="16" spans="1:8" ht="36.75" customHeight="1">
      <c r="A16" t="s">
        <v>21</v>
      </c>
      <c r="B16" t="s">
        <v>18</v>
      </c>
      <c r="G16" t="s">
        <v>33</v>
      </c>
      <c r="H16">
        <v>91.17</v>
      </c>
    </row>
    <row r="17" spans="1:9">
      <c r="B17">
        <f>13.15/843</f>
        <v>1.5599051008303678E-2</v>
      </c>
      <c r="G17" t="s">
        <v>34</v>
      </c>
      <c r="H17">
        <v>1.42</v>
      </c>
    </row>
    <row r="18" spans="1:9">
      <c r="A18" s="8" t="s">
        <v>39</v>
      </c>
      <c r="G18" t="s">
        <v>35</v>
      </c>
    </row>
    <row r="19" spans="1:9">
      <c r="A19" t="s">
        <v>40</v>
      </c>
      <c r="B19" s="9">
        <v>886.24</v>
      </c>
      <c r="H19" t="s">
        <v>38</v>
      </c>
      <c r="I19">
        <f>12/315</f>
        <v>3.8095238095238099E-2</v>
      </c>
    </row>
    <row r="20" spans="1:9">
      <c r="A20" t="s">
        <v>2</v>
      </c>
      <c r="B20" s="10">
        <f>B19*B4/B3</f>
        <v>122385.99621890548</v>
      </c>
      <c r="C20" t="s">
        <v>51</v>
      </c>
      <c r="D20">
        <f>B3/B4</f>
        <v>7.2413513586540457E-3</v>
      </c>
    </row>
    <row r="21" spans="1:9">
      <c r="A21" s="7" t="s">
        <v>3</v>
      </c>
      <c r="G21">
        <f>24840/173</f>
        <v>143.58381502890174</v>
      </c>
    </row>
    <row r="22" spans="1:9">
      <c r="A22" t="s">
        <v>4</v>
      </c>
      <c r="B22">
        <f>0.5/5</f>
        <v>0.1</v>
      </c>
    </row>
    <row r="23" spans="1:9">
      <c r="A23" t="s">
        <v>45</v>
      </c>
      <c r="B23">
        <v>34</v>
      </c>
      <c r="C23" t="s">
        <v>44</v>
      </c>
    </row>
    <row r="24" spans="1:9">
      <c r="A24" t="s">
        <v>41</v>
      </c>
      <c r="B24" t="s">
        <v>42</v>
      </c>
      <c r="C24" t="s">
        <v>43</v>
      </c>
    </row>
    <row r="25" spans="1:9">
      <c r="A25" t="s">
        <v>46</v>
      </c>
      <c r="B25" t="s">
        <v>47</v>
      </c>
      <c r="C25" t="s">
        <v>48</v>
      </c>
    </row>
    <row r="26" spans="1:9">
      <c r="A26" t="s">
        <v>49</v>
      </c>
      <c r="B26" t="s">
        <v>50</v>
      </c>
    </row>
    <row r="33" spans="1:6">
      <c r="E33" t="s">
        <v>1</v>
      </c>
      <c r="F33" t="s">
        <v>3</v>
      </c>
    </row>
    <row r="34" spans="1:6">
      <c r="F34">
        <v>0.76</v>
      </c>
    </row>
    <row r="35" spans="1:6">
      <c r="F35">
        <v>0.76</v>
      </c>
    </row>
    <row r="36" spans="1:6">
      <c r="A36" t="s">
        <v>83</v>
      </c>
      <c r="C36">
        <v>27111630</v>
      </c>
      <c r="D36" s="10">
        <f>AVERAGE('Fishing costs and est. density'!D24:D25)</f>
        <v>300.17973172598545</v>
      </c>
    </row>
    <row r="37" spans="1:6">
      <c r="A37" t="s">
        <v>84</v>
      </c>
      <c r="B37">
        <v>53146</v>
      </c>
      <c r="E37" t="s">
        <v>85</v>
      </c>
    </row>
    <row r="38" spans="1:6">
      <c r="A38" t="s">
        <v>86</v>
      </c>
      <c r="B38">
        <f>23088/0.276</f>
        <v>83652.173913043473</v>
      </c>
      <c r="C38">
        <f>6624262/0.435</f>
        <v>15228188.505747126</v>
      </c>
      <c r="D38">
        <f>C38/B38</f>
        <v>182.04175448658208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34" sqref="C34"/>
    </sheetView>
  </sheetViews>
  <sheetFormatPr baseColWidth="10" defaultColWidth="8.83203125" defaultRowHeight="14" x14ac:dyDescent="0"/>
  <cols>
    <col min="1" max="1" width="34.5" customWidth="1"/>
    <col min="2" max="2" width="17" customWidth="1"/>
    <col min="3" max="3" width="32.83203125" customWidth="1"/>
    <col min="4" max="4" width="48.6640625" customWidth="1"/>
    <col min="5" max="5" width="17" customWidth="1"/>
  </cols>
  <sheetData>
    <row r="1" spans="1:4">
      <c r="A1" s="8" t="s">
        <v>39</v>
      </c>
      <c r="B1" s="15" t="s">
        <v>70</v>
      </c>
      <c r="C1" s="15"/>
      <c r="D1" s="15" t="s">
        <v>67</v>
      </c>
    </row>
    <row r="2" spans="1:4" ht="16">
      <c r="A2" t="s">
        <v>30</v>
      </c>
      <c r="B2" s="23">
        <v>886.24</v>
      </c>
      <c r="C2" s="23"/>
      <c r="D2" s="10" t="s">
        <v>92</v>
      </c>
    </row>
    <row r="3" spans="1:4" ht="16" customHeight="1">
      <c r="A3" t="s">
        <v>73</v>
      </c>
      <c r="B3" s="23">
        <v>34</v>
      </c>
      <c r="C3" s="23"/>
      <c r="D3" s="10" t="s">
        <v>44</v>
      </c>
    </row>
    <row r="4" spans="1:4" ht="17" customHeight="1">
      <c r="A4" s="19" t="s">
        <v>69</v>
      </c>
      <c r="B4" s="23">
        <v>120</v>
      </c>
      <c r="C4" s="23"/>
      <c r="D4" s="10" t="s">
        <v>52</v>
      </c>
    </row>
    <row r="5" spans="1:4" ht="20" customHeight="1">
      <c r="A5" s="21" t="s">
        <v>110</v>
      </c>
      <c r="B5" s="23"/>
      <c r="C5" s="23"/>
      <c r="D5" s="10"/>
    </row>
    <row r="6" spans="1:4" ht="50" customHeight="1">
      <c r="A6" s="13" t="s">
        <v>2</v>
      </c>
      <c r="B6" s="11">
        <f>300*B2</f>
        <v>265872</v>
      </c>
      <c r="C6" s="11"/>
      <c r="D6" s="6" t="s">
        <v>109</v>
      </c>
    </row>
    <row r="7" spans="1:4">
      <c r="A7" s="20" t="s">
        <v>3</v>
      </c>
      <c r="B7" s="2">
        <v>0.79786999999999997</v>
      </c>
      <c r="C7" s="2"/>
      <c r="D7" t="s">
        <v>93</v>
      </c>
    </row>
    <row r="8" spans="1:4">
      <c r="A8" s="22" t="s">
        <v>71</v>
      </c>
      <c r="B8" s="23">
        <v>122.49</v>
      </c>
      <c r="C8" s="23"/>
      <c r="D8" s="10" t="s">
        <v>99</v>
      </c>
    </row>
    <row r="9" spans="1:4">
      <c r="A9" t="s">
        <v>72</v>
      </c>
      <c r="B9" s="2">
        <f>AVERAGE(3.7,4.44)*2.2</f>
        <v>8.9540000000000006</v>
      </c>
      <c r="C9" s="2"/>
      <c r="D9" t="s">
        <v>52</v>
      </c>
    </row>
    <row r="10" spans="1:4" ht="28">
      <c r="A10" s="19" t="s">
        <v>24</v>
      </c>
      <c r="B10" s="2" t="s">
        <v>74</v>
      </c>
      <c r="C10" s="2"/>
      <c r="D10" t="s">
        <v>75</v>
      </c>
    </row>
    <row r="11" spans="1:4">
      <c r="A11" s="19"/>
      <c r="B11" s="2"/>
      <c r="C11" s="2"/>
    </row>
    <row r="12" spans="1:4" ht="29" customHeight="1">
      <c r="A12" s="8" t="s">
        <v>76</v>
      </c>
      <c r="B12" s="29" t="s">
        <v>78</v>
      </c>
      <c r="C12" s="15"/>
    </row>
    <row r="13" spans="1:4">
      <c r="A13" t="s">
        <v>77</v>
      </c>
      <c r="B13" s="2" t="s">
        <v>87</v>
      </c>
      <c r="C13" s="2"/>
    </row>
    <row r="14" spans="1:4">
      <c r="A14" t="s">
        <v>25</v>
      </c>
      <c r="B14" s="2" t="s">
        <v>88</v>
      </c>
      <c r="C14" s="2"/>
    </row>
    <row r="15" spans="1:4">
      <c r="A15" t="s">
        <v>89</v>
      </c>
      <c r="B15" s="24">
        <f>50/2.7</f>
        <v>18.518518518518519</v>
      </c>
      <c r="C15" s="24"/>
    </row>
    <row r="16" spans="1:4">
      <c r="A16" t="s">
        <v>26</v>
      </c>
      <c r="B16" s="24">
        <f>200/2.7</f>
        <v>74.074074074074076</v>
      </c>
      <c r="C16" s="24"/>
    </row>
    <row r="17" spans="1:5">
      <c r="A17" t="s">
        <v>79</v>
      </c>
      <c r="B17" s="2" t="s">
        <v>90</v>
      </c>
      <c r="C17" s="2"/>
    </row>
    <row r="18" spans="1:5">
      <c r="A18" s="14" t="s">
        <v>91</v>
      </c>
      <c r="B18" s="25"/>
      <c r="C18" s="25"/>
    </row>
    <row r="19" spans="1:5">
      <c r="A19" s="8"/>
      <c r="B19" s="25"/>
      <c r="C19" s="25"/>
    </row>
    <row r="20" spans="1:5">
      <c r="A20" s="8" t="s">
        <v>98</v>
      </c>
      <c r="B20" s="12"/>
      <c r="C20" s="12"/>
    </row>
    <row r="21" spans="1:5">
      <c r="A21" s="27" t="s">
        <v>94</v>
      </c>
      <c r="B21" s="8" t="s">
        <v>96</v>
      </c>
      <c r="C21" s="8" t="s">
        <v>97</v>
      </c>
      <c r="D21" s="15" t="s">
        <v>95</v>
      </c>
      <c r="E21" s="8"/>
    </row>
    <row r="22" spans="1:5">
      <c r="A22">
        <v>0.1</v>
      </c>
      <c r="B22">
        <f>60000+A22*(27+120)</f>
        <v>60014.7</v>
      </c>
      <c r="C22">
        <f>B22 -60000</f>
        <v>14.69999999999709</v>
      </c>
      <c r="D22" s="2">
        <v>0.25</v>
      </c>
    </row>
    <row r="23" spans="1:5">
      <c r="A23">
        <v>0.2</v>
      </c>
      <c r="B23">
        <f t="shared" ref="B23:B31" si="0">60000+A23*(27+120)</f>
        <v>60029.4</v>
      </c>
      <c r="C23">
        <v>40</v>
      </c>
      <c r="D23" s="2">
        <v>0.43</v>
      </c>
    </row>
    <row r="24" spans="1:5">
      <c r="A24">
        <v>0.3</v>
      </c>
      <c r="B24">
        <f>60000+A24*(27+120)</f>
        <v>60044.1</v>
      </c>
      <c r="C24">
        <v>60</v>
      </c>
      <c r="D24" s="2">
        <v>0.47</v>
      </c>
    </row>
    <row r="25" spans="1:5">
      <c r="A25">
        <v>0.4</v>
      </c>
      <c r="B25">
        <f t="shared" si="0"/>
        <v>60058.8</v>
      </c>
      <c r="C25">
        <v>80</v>
      </c>
      <c r="D25" s="2">
        <v>0.55000000000000004</v>
      </c>
    </row>
    <row r="26" spans="1:5">
      <c r="A26">
        <v>0.5</v>
      </c>
      <c r="B26">
        <f t="shared" si="0"/>
        <v>60073.5</v>
      </c>
      <c r="C26">
        <v>100</v>
      </c>
      <c r="D26" s="2">
        <v>0.57999999999999996</v>
      </c>
    </row>
    <row r="27" spans="1:5">
      <c r="A27">
        <v>0.6</v>
      </c>
      <c r="B27">
        <f t="shared" si="0"/>
        <v>60088.2</v>
      </c>
      <c r="C27">
        <v>120</v>
      </c>
      <c r="D27" s="2">
        <v>0.6</v>
      </c>
    </row>
    <row r="28" spans="1:5">
      <c r="A28">
        <v>0.7</v>
      </c>
      <c r="B28">
        <f t="shared" si="0"/>
        <v>60102.9</v>
      </c>
      <c r="C28">
        <v>140</v>
      </c>
      <c r="D28" s="2">
        <v>0.65</v>
      </c>
    </row>
    <row r="29" spans="1:5">
      <c r="A29">
        <v>0.8</v>
      </c>
      <c r="B29">
        <f t="shared" si="0"/>
        <v>60117.599999999999</v>
      </c>
      <c r="C29">
        <v>160</v>
      </c>
      <c r="D29" s="2">
        <v>0.7</v>
      </c>
    </row>
    <row r="30" spans="1:5">
      <c r="A30">
        <v>0.9</v>
      </c>
      <c r="B30">
        <f>60000+A30*(27+120)</f>
        <v>60132.3</v>
      </c>
      <c r="C30">
        <v>180</v>
      </c>
      <c r="D30" s="2">
        <v>0.72</v>
      </c>
    </row>
    <row r="31" spans="1:5">
      <c r="A31">
        <v>1</v>
      </c>
      <c r="B31">
        <f t="shared" si="0"/>
        <v>60147</v>
      </c>
      <c r="C31">
        <v>200</v>
      </c>
      <c r="D31" s="2">
        <v>0.75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G31" sqref="G31"/>
    </sheetView>
  </sheetViews>
  <sheetFormatPr baseColWidth="10" defaultColWidth="8.83203125" defaultRowHeight="14" x14ac:dyDescent="0"/>
  <cols>
    <col min="1" max="1" width="28.83203125" customWidth="1"/>
    <col min="2" max="2" width="14.1640625" customWidth="1"/>
    <col min="3" max="3" width="34" customWidth="1"/>
    <col min="4" max="4" width="18" customWidth="1"/>
    <col min="5" max="5" width="19.33203125" customWidth="1"/>
  </cols>
  <sheetData>
    <row r="1" spans="1:4">
      <c r="A1" s="8" t="s">
        <v>100</v>
      </c>
      <c r="B1" s="8"/>
      <c r="C1" s="8"/>
      <c r="D1" s="8"/>
    </row>
    <row r="2" spans="1:4">
      <c r="A2" s="8"/>
      <c r="B2" s="8"/>
      <c r="C2" s="8"/>
      <c r="D2" s="8"/>
    </row>
    <row r="3" spans="1:4" ht="15" thickBot="1">
      <c r="A3" s="28" t="s">
        <v>108</v>
      </c>
      <c r="B3" s="28" t="s">
        <v>101</v>
      </c>
      <c r="C3" s="28" t="s">
        <v>64</v>
      </c>
    </row>
    <row r="4" spans="1:4" ht="15" thickTop="1">
      <c r="A4" t="s">
        <v>53</v>
      </c>
      <c r="B4" s="16">
        <v>2796.2962962962961</v>
      </c>
      <c r="C4" s="16">
        <v>23.302469135802468</v>
      </c>
    </row>
    <row r="5" spans="1:4">
      <c r="A5" t="s">
        <v>54</v>
      </c>
      <c r="B5" s="16">
        <v>479.25925925925924</v>
      </c>
      <c r="C5" s="16">
        <v>3.9938271604938271</v>
      </c>
    </row>
    <row r="6" spans="1:4">
      <c r="A6" t="s">
        <v>55</v>
      </c>
      <c r="B6" s="16">
        <f>12*120</f>
        <v>1440</v>
      </c>
      <c r="C6" s="16">
        <v>12</v>
      </c>
    </row>
    <row r="7" spans="1:4">
      <c r="A7" t="s">
        <v>56</v>
      </c>
      <c r="B7" s="16">
        <v>248.88888888888889</v>
      </c>
      <c r="C7" s="16">
        <v>2.074074074074074</v>
      </c>
    </row>
    <row r="8" spans="1:4">
      <c r="A8" t="s">
        <v>57</v>
      </c>
      <c r="B8" s="16">
        <v>1528.8888888888887</v>
      </c>
      <c r="C8" s="16">
        <v>12.740740740740739</v>
      </c>
    </row>
    <row r="9" spans="1:4">
      <c r="A9" t="s">
        <v>58</v>
      </c>
      <c r="B9" s="16">
        <v>327.77777777777777</v>
      </c>
      <c r="C9" s="16">
        <v>2.7314814814814814</v>
      </c>
      <c r="D9" s="16"/>
    </row>
    <row r="10" spans="1:4">
      <c r="A10" t="s">
        <v>59</v>
      </c>
      <c r="B10" s="16">
        <v>163.33333333333331</v>
      </c>
      <c r="C10" s="16">
        <v>1.3611111111111109</v>
      </c>
    </row>
    <row r="11" spans="1:4">
      <c r="A11" t="s">
        <v>62</v>
      </c>
      <c r="B11" s="16">
        <v>3157.4074074074074</v>
      </c>
      <c r="C11" s="16">
        <v>26.311728395061728</v>
      </c>
    </row>
    <row r="12" spans="1:4">
      <c r="A12" s="14" t="s">
        <v>63</v>
      </c>
      <c r="B12" s="17">
        <v>88.888888888888886</v>
      </c>
      <c r="C12" s="17">
        <v>0.7407407407407407</v>
      </c>
    </row>
    <row r="13" spans="1:4" ht="16.5" customHeight="1">
      <c r="A13" t="s">
        <v>60</v>
      </c>
      <c r="B13" s="16">
        <v>185.18518518518516</v>
      </c>
      <c r="C13" s="16">
        <v>1.5432098765432096</v>
      </c>
    </row>
    <row r="14" spans="1:4">
      <c r="A14" s="14" t="s">
        <v>61</v>
      </c>
      <c r="B14" s="16">
        <v>1318.5185185185185</v>
      </c>
      <c r="C14" s="16">
        <v>10.987654320987653</v>
      </c>
    </row>
    <row r="15" spans="1:4">
      <c r="A15" s="8"/>
      <c r="B15" s="16"/>
      <c r="C15" s="16"/>
    </row>
    <row r="16" spans="1:4">
      <c r="A16" s="8" t="s">
        <v>66</v>
      </c>
      <c r="B16" s="17">
        <v>2964.1481481481401</v>
      </c>
      <c r="C16" s="16">
        <f>B16/120</f>
        <v>24.701234567901167</v>
      </c>
    </row>
    <row r="17" spans="1:8">
      <c r="A17" s="8"/>
      <c r="B17" s="17"/>
      <c r="C17" s="16"/>
    </row>
    <row r="18" spans="1:8" ht="13.5" customHeight="1">
      <c r="A18" s="8" t="s">
        <v>65</v>
      </c>
      <c r="B18" s="18">
        <f>SUM(B4:B16)</f>
        <v>14698.592592592582</v>
      </c>
      <c r="C18" s="18">
        <f>SUM(C4:C16)</f>
        <v>122.48827160493822</v>
      </c>
    </row>
    <row r="19" spans="1:8" ht="13.5" customHeight="1">
      <c r="A19" s="8" t="s">
        <v>111</v>
      </c>
      <c r="B19" s="18">
        <f>SUM(B4:B14)</f>
        <v>11734.444444444442</v>
      </c>
      <c r="C19" s="18">
        <f>SUM(C4:C14)</f>
        <v>97.787037037037052</v>
      </c>
    </row>
    <row r="20" spans="1:8">
      <c r="A20" s="14" t="s">
        <v>107</v>
      </c>
      <c r="B20" s="14"/>
      <c r="C20" s="14"/>
      <c r="D20" s="14"/>
      <c r="E20" s="14"/>
      <c r="F20" s="14"/>
      <c r="G20" s="14"/>
      <c r="H20" s="14"/>
    </row>
    <row r="23" spans="1:8">
      <c r="A23" s="15" t="s">
        <v>80</v>
      </c>
      <c r="B23" s="15" t="s">
        <v>104</v>
      </c>
      <c r="C23" s="15" t="s">
        <v>105</v>
      </c>
      <c r="D23" s="15" t="s">
        <v>106</v>
      </c>
      <c r="E23" s="15" t="s">
        <v>1</v>
      </c>
    </row>
    <row r="24" spans="1:8">
      <c r="A24" t="s">
        <v>81</v>
      </c>
      <c r="B24">
        <v>8040</v>
      </c>
      <c r="C24" s="10">
        <f>Sheet1!B4</f>
        <v>1110290</v>
      </c>
      <c r="D24" s="10">
        <f>C24/B24</f>
        <v>138.09577114427861</v>
      </c>
      <c r="E24" t="s">
        <v>68</v>
      </c>
    </row>
    <row r="25" spans="1:8">
      <c r="A25" t="s">
        <v>82</v>
      </c>
      <c r="B25">
        <v>6500</v>
      </c>
      <c r="C25">
        <v>3004714</v>
      </c>
      <c r="D25" s="10">
        <f>C25/B25</f>
        <v>462.26369230769228</v>
      </c>
      <c r="E25" t="s">
        <v>103</v>
      </c>
    </row>
    <row r="26" spans="1:8">
      <c r="C26" s="8" t="s">
        <v>102</v>
      </c>
      <c r="D26" s="26">
        <f>AVERAGE(D24:D25)</f>
        <v>300.17973172598545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Barbuda lob fishery parameters</vt:lpstr>
      <vt:lpstr>Fishing costs and est. 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Lennon Thomas</dc:creator>
  <cp:lastModifiedBy>Gavin McDonald</cp:lastModifiedBy>
  <dcterms:created xsi:type="dcterms:W3CDTF">2014-12-10T18:55:53Z</dcterms:created>
  <dcterms:modified xsi:type="dcterms:W3CDTF">2014-12-15T17:10:56Z</dcterms:modified>
</cp:coreProperties>
</file>