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me\Desktop\New folder\"/>
    </mc:Choice>
  </mc:AlternateContent>
  <xr:revisionPtr revIDLastSave="0" documentId="13_ncr:1_{FF1FC2D0-E621-4376-88D3-C9719DDFCC69}" xr6:coauthVersionLast="47" xr6:coauthVersionMax="47" xr10:uidLastSave="{00000000-0000-0000-0000-000000000000}"/>
  <bookViews>
    <workbookView minimized="1" xWindow="2364" yWindow="696" windowWidth="17280" windowHeight="8880" activeTab="6" xr2:uid="{4BDC2C04-96F0-4BFD-B3F4-78EB68A942A7}"/>
  </bookViews>
  <sheets>
    <sheet name="Sheet1" sheetId="1" r:id="rId1"/>
    <sheet name="Sheet3" sheetId="6" r:id="rId2"/>
    <sheet name="Sheet2" sheetId="5" r:id="rId3"/>
    <sheet name="W Load" sheetId="2" r:id="rId4"/>
    <sheet name="NO Load" sheetId="3" r:id="rId5"/>
    <sheet name="Sheet4" sheetId="4" r:id="rId6"/>
    <sheet name="Sheet5" sheetId="7" r:id="rId7"/>
  </sheets>
  <definedNames>
    <definedName name="_xlnm._FilterDatabase" localSheetId="6" hidden="1">Sheet5!$B$1:$N$20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7" l="1"/>
  <c r="G24" i="7"/>
  <c r="H24" i="7" s="1"/>
  <c r="I24" i="7" s="1"/>
  <c r="H18" i="7"/>
  <c r="H17" i="7"/>
  <c r="D7" i="7"/>
  <c r="K8" i="7"/>
  <c r="N2" i="7" s="1"/>
  <c r="N7" i="7" s="1"/>
  <c r="E5" i="7"/>
  <c r="I9" i="7" s="1"/>
  <c r="D5" i="7"/>
  <c r="H9" i="7" s="1"/>
  <c r="C3" i="7"/>
  <c r="C5" i="7" s="1"/>
  <c r="F18" i="7" l="1"/>
  <c r="G18" i="7" s="1"/>
  <c r="F17" i="7"/>
  <c r="G17" i="7" s="1"/>
  <c r="M2" i="7"/>
  <c r="M7" i="7" s="1"/>
  <c r="M4" i="7"/>
  <c r="N4" i="7"/>
  <c r="M5" i="7"/>
  <c r="N5" i="7"/>
  <c r="M6" i="7"/>
  <c r="N6" i="7"/>
  <c r="H11" i="7"/>
  <c r="K8" i="4"/>
  <c r="K7" i="4"/>
  <c r="J18" i="1"/>
  <c r="J16" i="1"/>
  <c r="J15" i="1"/>
  <c r="J14" i="1"/>
  <c r="J13" i="1"/>
  <c r="J12" i="1"/>
  <c r="J11" i="1"/>
  <c r="J10" i="1"/>
  <c r="J8" i="1"/>
  <c r="J7" i="1"/>
  <c r="J9" i="1"/>
  <c r="J6" i="1"/>
  <c r="J5" i="1"/>
  <c r="I9" i="4"/>
  <c r="I8" i="4"/>
  <c r="G9" i="4"/>
  <c r="G8" i="4"/>
  <c r="I15" i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4" i="1"/>
  <c r="N8" i="7" l="1"/>
  <c r="M8" i="7"/>
  <c r="O19" i="4"/>
  <c r="N12" i="4"/>
  <c r="N10" i="4"/>
  <c r="N11" i="4"/>
  <c r="O16" i="4" l="1"/>
  <c r="O10" i="4"/>
  <c r="O11" i="4"/>
  <c r="O17" i="4"/>
  <c r="O18" i="4"/>
  <c r="O12" i="4"/>
  <c r="P10" i="4" l="1"/>
  <c r="P12" i="4"/>
  <c r="P11" i="4"/>
</calcChain>
</file>

<file path=xl/sharedStrings.xml><?xml version="1.0" encoding="utf-8"?>
<sst xmlns="http://schemas.openxmlformats.org/spreadsheetml/2006/main" count="107" uniqueCount="84">
  <si>
    <t>Period</t>
  </si>
  <si>
    <t>Overall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</si>
  <si>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</si>
  <si>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</si>
  <si>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</si>
  <si>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</si>
  <si>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</si>
  <si>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</si>
  <si>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</si>
  <si>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</si>
  <si>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</si>
  <si>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</si>
  <si>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</si>
  <si>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</si>
  <si>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Winter</t>
  </si>
  <si>
    <t>Spring</t>
  </si>
  <si>
    <t>Summer</t>
  </si>
  <si>
    <t>Autumn</t>
  </si>
  <si>
    <t>Total (%)</t>
  </si>
  <si>
    <t>Morning (%)</t>
  </si>
  <si>
    <t>Afternoon (%)</t>
  </si>
  <si>
    <t>Sun Hours</t>
  </si>
  <si>
    <t>Daily Average Sun Time</t>
  </si>
  <si>
    <t>Hour</t>
  </si>
  <si>
    <t>Tracker with Load</t>
  </si>
  <si>
    <t>A</t>
  </si>
  <si>
    <t>V</t>
  </si>
  <si>
    <t>Power</t>
  </si>
  <si>
    <t>Fixed with Load</t>
  </si>
  <si>
    <t>Average Power</t>
  </si>
  <si>
    <t>Tracker with No Load</t>
  </si>
  <si>
    <t>Fixed with No Load</t>
  </si>
  <si>
    <t xml:space="preserve">Average Power </t>
  </si>
  <si>
    <t>DAST(Seconds)</t>
  </si>
  <si>
    <t>Avarage sun in one day</t>
  </si>
  <si>
    <t xml:space="preserve">Reserched </t>
  </si>
  <si>
    <t>mass of water</t>
  </si>
  <si>
    <t>enedg</t>
  </si>
  <si>
    <t>j/s</t>
  </si>
  <si>
    <t xml:space="preserve">Ammount of energy absorbed </t>
  </si>
  <si>
    <t>MONTH</t>
  </si>
  <si>
    <t>RH VAL.</t>
  </si>
  <si>
    <t>RH/100</t>
  </si>
  <si>
    <t>ln(RH/100)</t>
  </si>
  <si>
    <t>NUMER</t>
  </si>
  <si>
    <t>DENOM.</t>
  </si>
  <si>
    <t>DEW PT.</t>
  </si>
  <si>
    <t>MEDIAN</t>
  </si>
  <si>
    <t>w/m2</t>
  </si>
  <si>
    <t>Solar Irridance on Surface(w/m^2)</t>
  </si>
  <si>
    <t>Enegy Received in 1 hr(KJ/m2)</t>
  </si>
  <si>
    <t>Actual absorbed in 1hr</t>
  </si>
  <si>
    <t>Specific Heat of water(KJ/KgC)</t>
  </si>
  <si>
    <t>Sea water in Kg</t>
  </si>
  <si>
    <t>Increase in Solar Radition(%)</t>
  </si>
  <si>
    <t>Considering 5% Loss</t>
  </si>
  <si>
    <t>Four Layer Desalinator</t>
  </si>
  <si>
    <t>Average Water in KG</t>
  </si>
  <si>
    <t>With 0% Loss</t>
  </si>
  <si>
    <t>Min Sea Water(L)</t>
  </si>
  <si>
    <t>Max Sea Water(L)</t>
  </si>
  <si>
    <t>LAYER 1</t>
  </si>
  <si>
    <t>LAYER 2</t>
  </si>
  <si>
    <t>LAYER 3</t>
  </si>
  <si>
    <t>LAYER 4</t>
  </si>
  <si>
    <t>Distribution Factor</t>
  </si>
  <si>
    <t>Proportions</t>
  </si>
  <si>
    <t>Total</t>
  </si>
  <si>
    <t>Volume of sea water per Layer (L)</t>
  </si>
  <si>
    <t>Absorbtion Rate (jo V BOLTE ISKO)</t>
  </si>
  <si>
    <t>For (1.435 Kg)</t>
  </si>
  <si>
    <t>For (2.1525 Kg)</t>
  </si>
  <si>
    <t>Total Heat Required (KJ)</t>
  </si>
  <si>
    <t>Average Heat Required (KJ)</t>
  </si>
  <si>
    <t>Latent Heat of Vaporization(KJ/Kg)</t>
  </si>
  <si>
    <t>Density(KG/L)</t>
  </si>
  <si>
    <t xml:space="preserve">Efficiency Increase (%) </t>
  </si>
  <si>
    <t>New ammount of avg water (Kg)</t>
  </si>
  <si>
    <t>New Absorbed Energy (KJ)</t>
  </si>
  <si>
    <t>Volume of water required</t>
  </si>
  <si>
    <t>Heat Required</t>
  </si>
  <si>
    <t>Area Req</t>
  </si>
  <si>
    <t>Diameter of Fresnel lens</t>
  </si>
  <si>
    <t>volum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</si>
</sst>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3" fillId="4" borderId="2" applyNumberFormat="0" applyFont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25">
    <xf numFmtId="0" fontId="0" fillId="0" borderId="0" xfId="0"/>
    <xf numFmtId="20" fontId="0" fillId="0" borderId="0" xfId="0" applyNumberFormat="1"/>
    <xf numFmtId="9" fontId="0" fillId="0" borderId="0" xfId="0" applyNumberFormat="1"/>
    <xf numFmtId="0" fontId="2" fillId="0" borderId="0" xfId="0" applyFont="1"/>
    <xf numFmtId="0" fontId="4" fillId="2" borderId="1" xfId="1" applyAlignment="1">
      <alignment horizontal="center"/>
    </xf>
    <xf numFmtId="0" fontId="3" fillId="6" borderId="0" xfId="5"/>
    <xf numFmtId="0" fontId="0" fillId="4" borderId="2" xfId="3" applyFont="1"/>
    <xf numFmtId="0" fontId="3" fillId="7" borderId="0" xfId="6"/>
    <xf numFmtId="0" fontId="3" fillId="8" borderId="0" xfId="7"/>
    <xf numFmtId="0" fontId="3" fillId="9" borderId="0" xfId="8"/>
    <xf numFmtId="0" fontId="3" fillId="10" borderId="0" xfId="9"/>
    <xf numFmtId="0" fontId="4" fillId="2" borderId="1" xfId="1"/>
    <xf numFmtId="0" fontId="0" fillId="0" borderId="0" xfId="0" applyAlignment="1">
      <alignment horizontal="center"/>
    </xf>
    <xf numFmtId="0" fontId="5" fillId="3" borderId="3" xfId="2" applyBorder="1" applyAlignment="1">
      <alignment horizontal="center"/>
    </xf>
    <xf numFmtId="0" fontId="5" fillId="3" borderId="5" xfId="2" applyBorder="1" applyAlignment="1">
      <alignment horizontal="center"/>
    </xf>
    <xf numFmtId="0" fontId="4" fillId="2" borderId="3" xfId="1" applyBorder="1" applyAlignment="1">
      <alignment horizontal="center"/>
    </xf>
    <xf numFmtId="0" fontId="4" fillId="2" borderId="4" xfId="1" applyBorder="1" applyAlignment="1">
      <alignment horizontal="center"/>
    </xf>
    <xf numFmtId="0" fontId="4" fillId="2" borderId="5" xfId="1" applyBorder="1" applyAlignment="1">
      <alignment horizontal="center"/>
    </xf>
    <xf numFmtId="0" fontId="3" fillId="5" borderId="0" xfId="4" applyAlignment="1">
      <alignment horizontal="center"/>
    </xf>
    <xf numFmtId="166" fontId="0" fillId="0" borderId="0" xfId="0" applyNumberFormat="1"/>
    <xf numFmtId="2" fontId="0" fillId="0" borderId="0" xfId="0" applyNumberFormat="1"/>
    <xf numFmtId="2" fontId="3" fillId="9" borderId="0" xfId="8" applyNumberFormat="1"/>
    <xf numFmtId="2" fontId="3" fillId="10" borderId="0" xfId="9" applyNumberFormat="1"/>
    <xf numFmtId="2" fontId="0" fillId="0" borderId="0" xfId="0" applyNumberFormat="1" applyAlignment="1">
      <alignment horizontal="center"/>
    </xf>
    <xf numFmtId="0" fontId="3" fillId="8" borderId="0" xfId="7" applyAlignment="1"/>
  </cellXfs>
  <cellStyles count="10">
    <cellStyle name="20% - Accent1" xfId="4" builtinId="30"/>
    <cellStyle name="20% - Accent2" xfId="6" builtinId="34"/>
    <cellStyle name="40% - Accent1" xfId="5" builtinId="31"/>
    <cellStyle name="40% - Accent6" xfId="8" builtinId="51"/>
    <cellStyle name="60% - Accent4" xfId="7" builtinId="44"/>
    <cellStyle name="60% - Accent6" xfId="9" builtinId="52"/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E3D8-AAB0-410E-953A-84C2283B6EC9}">
  <dimension ref="A3:J21"/>
  <sheetViews>
    <sheetView workbookViewId="0">
      <selection activeCell="K20" sqref="K20"/>
    </sheetView>
  </sheetViews>
  <sheetFormatPr defaultRowHeight="14.4" x14ac:dyDescent="0.3"/>
  <cols>
    <col min="3" max="3" width="17.21875" customWidth="1"/>
    <col min="6" max="6" width="25.109375" customWidth="1"/>
    <col min="7" max="7" width="23.109375" customWidth="1"/>
    <col min="8" max="8" width="13.77734375" customWidth="1"/>
    <col min="9" max="9" width="29.44140625" customWidth="1"/>
  </cols>
  <sheetData>
    <row r="3" spans="1:10" x14ac:dyDescent="0.3">
      <c r="A3" t="s">
        <v>0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22</v>
      </c>
      <c r="I3" t="s">
        <v>33</v>
      </c>
    </row>
    <row r="4" spans="1:10" x14ac:dyDescent="0.3">
      <c r="A4" t="s">
        <v>1</v>
      </c>
      <c r="B4">
        <v>95</v>
      </c>
      <c r="C4">
        <v>96</v>
      </c>
      <c r="D4">
        <v>94</v>
      </c>
      <c r="E4">
        <v>4211</v>
      </c>
      <c r="F4" s="1">
        <v>0.48055555555555557</v>
      </c>
      <c r="G4">
        <v>11</v>
      </c>
      <c r="H4">
        <v>32</v>
      </c>
      <c r="I4">
        <f>G4*3600+H4*60</f>
        <v>41520</v>
      </c>
    </row>
    <row r="5" spans="1:10" x14ac:dyDescent="0.3">
      <c r="A5" t="s">
        <v>2</v>
      </c>
      <c r="B5">
        <v>93</v>
      </c>
      <c r="C5">
        <v>91</v>
      </c>
      <c r="D5">
        <v>95</v>
      </c>
      <c r="E5">
        <v>295</v>
      </c>
      <c r="F5" s="1">
        <v>0.39652777777777776</v>
      </c>
      <c r="G5">
        <v>9</v>
      </c>
      <c r="H5">
        <v>31</v>
      </c>
      <c r="I5">
        <f t="shared" ref="I5:I21" si="0">G5*3600+H5*60</f>
        <v>34260</v>
      </c>
      <c r="J5">
        <f>I5/31</f>
        <v>1105.1612903225807</v>
      </c>
    </row>
    <row r="6" spans="1:10" x14ac:dyDescent="0.3">
      <c r="A6" t="s">
        <v>3</v>
      </c>
      <c r="B6">
        <v>94</v>
      </c>
      <c r="C6">
        <v>92</v>
      </c>
      <c r="D6">
        <v>95</v>
      </c>
      <c r="E6">
        <v>288</v>
      </c>
      <c r="F6" s="1">
        <v>0.4284722222222222</v>
      </c>
      <c r="G6">
        <v>10</v>
      </c>
      <c r="H6">
        <v>17</v>
      </c>
      <c r="I6">
        <f t="shared" si="0"/>
        <v>37020</v>
      </c>
      <c r="J6">
        <f>I6/28</f>
        <v>1322.1428571428571</v>
      </c>
    </row>
    <row r="7" spans="1:10" x14ac:dyDescent="0.3">
      <c r="A7" t="s">
        <v>4</v>
      </c>
      <c r="B7">
        <v>95</v>
      </c>
      <c r="C7">
        <v>96</v>
      </c>
      <c r="D7">
        <v>94</v>
      </c>
      <c r="E7">
        <v>351</v>
      </c>
      <c r="F7" s="1">
        <v>0.47152777777777777</v>
      </c>
      <c r="G7">
        <v>11</v>
      </c>
      <c r="H7">
        <v>19</v>
      </c>
      <c r="I7">
        <f t="shared" si="0"/>
        <v>40740</v>
      </c>
      <c r="J7">
        <f t="shared" ref="J7" si="1">I7/31</f>
        <v>1314.1935483870968</v>
      </c>
    </row>
    <row r="8" spans="1:10" x14ac:dyDescent="0.3">
      <c r="A8" t="s">
        <v>5</v>
      </c>
      <c r="B8">
        <v>95</v>
      </c>
      <c r="C8">
        <v>98</v>
      </c>
      <c r="D8">
        <v>93</v>
      </c>
      <c r="E8">
        <v>371</v>
      </c>
      <c r="F8" s="1">
        <v>0.51527777777777772</v>
      </c>
      <c r="G8">
        <v>12</v>
      </c>
      <c r="H8">
        <v>22</v>
      </c>
      <c r="I8">
        <f t="shared" si="0"/>
        <v>44520</v>
      </c>
      <c r="J8">
        <f>I8/30</f>
        <v>1484</v>
      </c>
    </row>
    <row r="9" spans="1:10" x14ac:dyDescent="0.3">
      <c r="A9" t="s">
        <v>6</v>
      </c>
      <c r="B9">
        <v>96</v>
      </c>
      <c r="C9">
        <v>99</v>
      </c>
      <c r="D9">
        <v>93</v>
      </c>
      <c r="E9">
        <v>413</v>
      </c>
      <c r="F9" s="1">
        <v>0.55486111111111114</v>
      </c>
      <c r="G9">
        <v>13</v>
      </c>
      <c r="H9">
        <v>19</v>
      </c>
      <c r="I9">
        <f t="shared" si="0"/>
        <v>47940</v>
      </c>
      <c r="J9">
        <f t="shared" ref="J9" si="2">I9/31</f>
        <v>1546.4516129032259</v>
      </c>
    </row>
    <row r="10" spans="1:10" x14ac:dyDescent="0.3">
      <c r="A10" t="s">
        <v>7</v>
      </c>
      <c r="B10">
        <v>96</v>
      </c>
      <c r="C10">
        <v>98</v>
      </c>
      <c r="D10">
        <v>94</v>
      </c>
      <c r="E10">
        <v>413</v>
      </c>
      <c r="F10" s="1">
        <v>0.57361111111111107</v>
      </c>
      <c r="G10">
        <v>13</v>
      </c>
      <c r="H10">
        <v>46</v>
      </c>
      <c r="I10">
        <f t="shared" si="0"/>
        <v>49560</v>
      </c>
      <c r="J10">
        <f>I10/30</f>
        <v>1652</v>
      </c>
    </row>
    <row r="11" spans="1:10" x14ac:dyDescent="0.3">
      <c r="A11" t="s">
        <v>8</v>
      </c>
      <c r="B11">
        <v>96</v>
      </c>
      <c r="C11">
        <v>99</v>
      </c>
      <c r="D11">
        <v>94</v>
      </c>
      <c r="E11">
        <v>420</v>
      </c>
      <c r="F11" s="1">
        <v>0.56458333333333333</v>
      </c>
      <c r="G11">
        <v>13</v>
      </c>
      <c r="H11">
        <v>33</v>
      </c>
      <c r="I11">
        <f t="shared" si="0"/>
        <v>48780</v>
      </c>
      <c r="J11">
        <f>I11/31</f>
        <v>1573.5483870967741</v>
      </c>
    </row>
    <row r="12" spans="1:10" x14ac:dyDescent="0.3">
      <c r="A12" t="s">
        <v>9</v>
      </c>
      <c r="B12">
        <v>95</v>
      </c>
      <c r="C12">
        <v>98</v>
      </c>
      <c r="D12">
        <v>93</v>
      </c>
      <c r="E12">
        <v>395</v>
      </c>
      <c r="F12" s="1">
        <v>0.53125</v>
      </c>
      <c r="G12">
        <v>12</v>
      </c>
      <c r="H12">
        <v>45</v>
      </c>
      <c r="I12">
        <f t="shared" si="0"/>
        <v>45900</v>
      </c>
      <c r="J12">
        <f>I12/31</f>
        <v>1480.6451612903227</v>
      </c>
    </row>
    <row r="13" spans="1:10" x14ac:dyDescent="0.3">
      <c r="A13" t="s">
        <v>10</v>
      </c>
      <c r="B13">
        <v>95</v>
      </c>
      <c r="C13">
        <v>97</v>
      </c>
      <c r="D13">
        <v>93</v>
      </c>
      <c r="E13">
        <v>353</v>
      </c>
      <c r="F13" s="1">
        <v>0.49027777777777776</v>
      </c>
      <c r="G13">
        <v>11</v>
      </c>
      <c r="H13">
        <v>46</v>
      </c>
      <c r="I13">
        <f t="shared" si="0"/>
        <v>42360</v>
      </c>
      <c r="J13">
        <f>I13/30</f>
        <v>1412</v>
      </c>
    </row>
    <row r="14" spans="1:10" x14ac:dyDescent="0.3">
      <c r="A14" t="s">
        <v>11</v>
      </c>
      <c r="B14">
        <v>94</v>
      </c>
      <c r="C14">
        <v>94</v>
      </c>
      <c r="D14">
        <v>94</v>
      </c>
      <c r="E14">
        <v>330</v>
      </c>
      <c r="F14" s="1">
        <v>0.44374999999999998</v>
      </c>
      <c r="G14">
        <v>10</v>
      </c>
      <c r="H14">
        <v>39</v>
      </c>
      <c r="I14">
        <f t="shared" si="0"/>
        <v>38340</v>
      </c>
      <c r="J14">
        <f>I14/31</f>
        <v>1236.7741935483871</v>
      </c>
    </row>
    <row r="15" spans="1:10" ht="13.8" customHeight="1" x14ac:dyDescent="0.3">
      <c r="A15" t="s">
        <v>12</v>
      </c>
      <c r="B15">
        <v>93</v>
      </c>
      <c r="C15">
        <v>92</v>
      </c>
      <c r="D15">
        <v>95</v>
      </c>
      <c r="E15">
        <v>292</v>
      </c>
      <c r="F15" s="1">
        <v>0.40555555555555556</v>
      </c>
      <c r="G15">
        <v>9</v>
      </c>
      <c r="H15">
        <v>44</v>
      </c>
      <c r="I15">
        <f t="shared" si="0"/>
        <v>35040</v>
      </c>
      <c r="J15">
        <f>I15/30</f>
        <v>1168</v>
      </c>
    </row>
    <row r="16" spans="1:10" x14ac:dyDescent="0.3">
      <c r="A16" t="s">
        <v>13</v>
      </c>
      <c r="B16">
        <v>93</v>
      </c>
      <c r="C16">
        <v>91</v>
      </c>
      <c r="D16">
        <v>95</v>
      </c>
      <c r="E16">
        <v>289</v>
      </c>
      <c r="F16" s="1">
        <v>0.38819444444444445</v>
      </c>
      <c r="G16">
        <v>9</v>
      </c>
      <c r="H16">
        <v>19</v>
      </c>
      <c r="I16">
        <f t="shared" si="0"/>
        <v>33540</v>
      </c>
      <c r="J16">
        <f>I16/31</f>
        <v>1081.9354838709678</v>
      </c>
    </row>
    <row r="17" spans="1:10" x14ac:dyDescent="0.3">
      <c r="F17" s="1"/>
    </row>
    <row r="18" spans="1:10" x14ac:dyDescent="0.3">
      <c r="A18" t="s">
        <v>14</v>
      </c>
      <c r="B18">
        <v>93</v>
      </c>
      <c r="C18">
        <v>91</v>
      </c>
      <c r="D18">
        <v>95</v>
      </c>
      <c r="E18">
        <v>872</v>
      </c>
      <c r="F18" s="1">
        <v>0.40347222222222223</v>
      </c>
      <c r="G18">
        <v>9</v>
      </c>
      <c r="H18">
        <v>41</v>
      </c>
      <c r="I18">
        <f t="shared" si="0"/>
        <v>34860</v>
      </c>
      <c r="J18">
        <f>AVERAGE(J5:J16)</f>
        <v>1364.7377112135175</v>
      </c>
    </row>
    <row r="19" spans="1:10" x14ac:dyDescent="0.3">
      <c r="A19" t="s">
        <v>15</v>
      </c>
      <c r="B19">
        <v>95</v>
      </c>
      <c r="C19">
        <v>98</v>
      </c>
      <c r="D19">
        <v>93</v>
      </c>
      <c r="E19">
        <v>1136</v>
      </c>
      <c r="F19" s="1">
        <v>0.51458333333333328</v>
      </c>
      <c r="G19">
        <v>12</v>
      </c>
      <c r="H19">
        <v>21</v>
      </c>
      <c r="I19">
        <f t="shared" si="0"/>
        <v>44460</v>
      </c>
    </row>
    <row r="20" spans="1:10" x14ac:dyDescent="0.3">
      <c r="A20" t="s">
        <v>16</v>
      </c>
      <c r="B20">
        <v>96</v>
      </c>
      <c r="C20">
        <v>98</v>
      </c>
      <c r="D20">
        <v>94</v>
      </c>
      <c r="E20">
        <v>1228</v>
      </c>
      <c r="F20" s="1">
        <v>0.55625000000000002</v>
      </c>
      <c r="G20">
        <v>13</v>
      </c>
      <c r="H20">
        <v>21</v>
      </c>
      <c r="I20">
        <f t="shared" si="0"/>
        <v>48060</v>
      </c>
    </row>
    <row r="21" spans="1:10" x14ac:dyDescent="0.3">
      <c r="A21" t="s">
        <v>17</v>
      </c>
      <c r="B21">
        <v>94</v>
      </c>
      <c r="C21">
        <v>94</v>
      </c>
      <c r="D21">
        <v>94</v>
      </c>
      <c r="E21">
        <v>975</v>
      </c>
      <c r="F21" s="1">
        <v>0.4465277777777778</v>
      </c>
      <c r="G21">
        <v>10</v>
      </c>
      <c r="H21">
        <v>43</v>
      </c>
      <c r="I21">
        <f t="shared" si="0"/>
        <v>38580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8026-9DBA-4B7A-9EDD-BBBD73642D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D944-730E-4C08-9ED6-2A137FFCBCC6}">
  <dimension ref="C5:J18"/>
  <sheetViews>
    <sheetView workbookViewId="0">
      <selection activeCell="I22" sqref="I22"/>
    </sheetView>
  </sheetViews>
  <sheetFormatPr defaultRowHeight="14.4" x14ac:dyDescent="0.3"/>
  <sheetData>
    <row r="5" spans="3:9" x14ac:dyDescent="0.3">
      <c r="C5" s="3" t="s">
        <v>40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</row>
    <row r="6" spans="3:9" x14ac:dyDescent="0.3">
      <c r="C6" t="s">
        <v>2</v>
      </c>
      <c r="D6">
        <v>15.5</v>
      </c>
      <c r="E6">
        <v>0.155</v>
      </c>
      <c r="F6">
        <v>-1.8643301623777262</v>
      </c>
      <c r="G6">
        <v>-282.48081542893124</v>
      </c>
      <c r="H6">
        <v>19.534330162377728</v>
      </c>
      <c r="I6">
        <v>14.46073722932036</v>
      </c>
    </row>
    <row r="7" spans="3:9" x14ac:dyDescent="0.3">
      <c r="C7" t="s">
        <v>3</v>
      </c>
      <c r="D7">
        <v>12.34</v>
      </c>
      <c r="E7">
        <v>0.1234</v>
      </c>
      <c r="F7">
        <v>-2.0923241678641875</v>
      </c>
      <c r="G7">
        <v>-334.23681153392505</v>
      </c>
      <c r="H7">
        <v>19.76232416786419</v>
      </c>
      <c r="I7">
        <v>16.91282911336069</v>
      </c>
    </row>
    <row r="8" spans="3:9" x14ac:dyDescent="0.3">
      <c r="C8" t="s">
        <v>4</v>
      </c>
      <c r="D8">
        <v>11.3</v>
      </c>
      <c r="E8">
        <v>0.113</v>
      </c>
      <c r="F8">
        <v>-2.1803674606380024</v>
      </c>
      <c r="G8">
        <v>-354.30378253486077</v>
      </c>
      <c r="H8">
        <v>19.850367460638005</v>
      </c>
      <c r="I8">
        <v>17.848726641329048</v>
      </c>
    </row>
    <row r="9" spans="3:9" x14ac:dyDescent="0.3">
      <c r="C9" t="s">
        <v>5</v>
      </c>
      <c r="D9">
        <v>6.04</v>
      </c>
      <c r="E9">
        <v>6.0400000000000002E-2</v>
      </c>
      <c r="F9">
        <v>-2.8067661745153556</v>
      </c>
      <c r="G9">
        <v>-498.0944046797681</v>
      </c>
      <c r="H9">
        <v>20.476766174515358</v>
      </c>
      <c r="I9">
        <v>24.324856788162105</v>
      </c>
    </row>
    <row r="10" spans="3:9" x14ac:dyDescent="0.3">
      <c r="C10" t="s">
        <v>6</v>
      </c>
      <c r="D10">
        <v>6.56</v>
      </c>
      <c r="E10">
        <v>6.5599999999999992E-2</v>
      </c>
      <c r="F10">
        <v>-2.724179583492135</v>
      </c>
      <c r="G10">
        <v>-479.05052290065612</v>
      </c>
      <c r="H10">
        <v>20.394179583492136</v>
      </c>
      <c r="I10">
        <v>23.489570685570445</v>
      </c>
    </row>
    <row r="11" spans="3:9" x14ac:dyDescent="0.3">
      <c r="C11" t="s">
        <v>7</v>
      </c>
      <c r="D11">
        <v>5.98</v>
      </c>
      <c r="E11">
        <v>5.9800000000000006E-2</v>
      </c>
      <c r="F11">
        <v>-2.8167496185012251</v>
      </c>
      <c r="G11">
        <v>-500.39798382095188</v>
      </c>
      <c r="H11">
        <v>20.486749618501229</v>
      </c>
      <c r="I11">
        <v>24.425445380025103</v>
      </c>
    </row>
    <row r="12" spans="3:9" x14ac:dyDescent="0.3">
      <c r="C12" t="s">
        <v>8</v>
      </c>
      <c r="D12">
        <v>7.03</v>
      </c>
      <c r="E12">
        <v>7.0300000000000001E-2</v>
      </c>
      <c r="F12">
        <v>-2.6549834806138737</v>
      </c>
      <c r="G12">
        <v>-463.11187637281569</v>
      </c>
      <c r="H12">
        <v>20.324983480613874</v>
      </c>
      <c r="I12">
        <v>22.785350689929729</v>
      </c>
    </row>
    <row r="13" spans="3:9" x14ac:dyDescent="0.3">
      <c r="C13" t="s">
        <v>9</v>
      </c>
      <c r="D13">
        <v>9.1999999999999993</v>
      </c>
      <c r="E13">
        <v>9.1999999999999998E-2</v>
      </c>
      <c r="F13">
        <v>-2.3859667023360229</v>
      </c>
      <c r="G13">
        <v>-401.31747457899672</v>
      </c>
      <c r="H13">
        <v>20.055966702336026</v>
      </c>
      <c r="I13">
        <v>20.009879380795599</v>
      </c>
    </row>
    <row r="14" spans="3:9" x14ac:dyDescent="0.3">
      <c r="C14" t="s">
        <v>10</v>
      </c>
      <c r="D14">
        <v>9.39</v>
      </c>
      <c r="E14">
        <v>9.3900000000000011E-2</v>
      </c>
      <c r="F14">
        <v>-2.365524893167394</v>
      </c>
      <c r="G14">
        <v>-396.63418145435571</v>
      </c>
      <c r="H14">
        <v>20.035524893167395</v>
      </c>
      <c r="I14">
        <v>19.796545564404838</v>
      </c>
    </row>
    <row r="15" spans="3:9" x14ac:dyDescent="0.3">
      <c r="C15" t="s">
        <v>11</v>
      </c>
      <c r="D15">
        <v>12.03</v>
      </c>
      <c r="E15">
        <v>0.12029999999999999</v>
      </c>
      <c r="F15">
        <v>-2.1177666563591382</v>
      </c>
      <c r="G15">
        <v>-340.03137792559539</v>
      </c>
      <c r="H15">
        <v>19.787766656359139</v>
      </c>
      <c r="I15">
        <v>17.183918924792884</v>
      </c>
    </row>
    <row r="16" spans="3:9" x14ac:dyDescent="0.3">
      <c r="C16" t="s">
        <v>12</v>
      </c>
      <c r="D16">
        <v>15.02</v>
      </c>
      <c r="E16">
        <v>0.1502</v>
      </c>
      <c r="F16">
        <v>-1.8957875399722506</v>
      </c>
      <c r="G16">
        <v>-289.60263101480575</v>
      </c>
      <c r="H16">
        <v>19.565787539972252</v>
      </c>
      <c r="I16">
        <v>14.801480922920032</v>
      </c>
    </row>
    <row r="17" spans="3:10" x14ac:dyDescent="0.3">
      <c r="C17" t="s">
        <v>13</v>
      </c>
      <c r="D17">
        <v>14.8</v>
      </c>
      <c r="E17">
        <v>0.14800000000000002</v>
      </c>
      <c r="F17">
        <v>-1.9105430055406618</v>
      </c>
      <c r="G17">
        <v>-292.94541528931506</v>
      </c>
      <c r="H17">
        <v>19.580543005540662</v>
      </c>
      <c r="I17">
        <v>14.961046545359899</v>
      </c>
    </row>
    <row r="18" spans="3:10" x14ac:dyDescent="0.3">
      <c r="G18" s="3"/>
      <c r="I18" s="3" t="s">
        <v>47</v>
      </c>
      <c r="J18">
        <v>18.822636102866944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A443-9A6A-4F79-A24B-B09994434102}">
  <dimension ref="A3:I19"/>
  <sheetViews>
    <sheetView workbookViewId="0">
      <selection activeCell="I21" sqref="A3:I21"/>
    </sheetView>
  </sheetViews>
  <sheetFormatPr defaultRowHeight="14.4" x14ac:dyDescent="0.3"/>
  <sheetData>
    <row r="3" spans="1:9" x14ac:dyDescent="0.3">
      <c r="A3" t="s">
        <v>23</v>
      </c>
      <c r="C3" s="12" t="s">
        <v>24</v>
      </c>
      <c r="D3" s="12"/>
      <c r="E3" s="12"/>
      <c r="G3" s="12" t="s">
        <v>28</v>
      </c>
      <c r="H3" s="12"/>
      <c r="I3" s="12"/>
    </row>
    <row r="4" spans="1:9" x14ac:dyDescent="0.3">
      <c r="C4" t="s">
        <v>25</v>
      </c>
      <c r="D4" t="s">
        <v>26</v>
      </c>
      <c r="E4" t="s">
        <v>27</v>
      </c>
      <c r="G4" t="s">
        <v>25</v>
      </c>
      <c r="H4" t="s">
        <v>26</v>
      </c>
      <c r="I4" t="s">
        <v>27</v>
      </c>
    </row>
    <row r="5" spans="1:9" x14ac:dyDescent="0.3">
      <c r="A5">
        <v>5</v>
      </c>
      <c r="C5">
        <v>1.8</v>
      </c>
      <c r="D5">
        <v>18.11</v>
      </c>
      <c r="E5">
        <v>32.597999999999999</v>
      </c>
      <c r="G5">
        <v>0.8</v>
      </c>
      <c r="H5">
        <v>17.86</v>
      </c>
      <c r="I5">
        <v>14.288</v>
      </c>
    </row>
    <row r="6" spans="1:9" x14ac:dyDescent="0.3">
      <c r="A6">
        <v>6</v>
      </c>
      <c r="C6">
        <v>2.23</v>
      </c>
      <c r="D6">
        <v>19.3</v>
      </c>
      <c r="E6">
        <v>43.039000000000001</v>
      </c>
      <c r="G6">
        <v>1.1000000000000001</v>
      </c>
      <c r="H6">
        <v>18.43</v>
      </c>
      <c r="I6">
        <v>20.273</v>
      </c>
    </row>
    <row r="7" spans="1:9" x14ac:dyDescent="0.3">
      <c r="A7">
        <v>7</v>
      </c>
      <c r="C7">
        <v>2.5099999999999998</v>
      </c>
      <c r="D7">
        <v>19.68</v>
      </c>
      <c r="E7">
        <v>49.396999999999998</v>
      </c>
      <c r="G7">
        <v>1.9</v>
      </c>
      <c r="H7">
        <v>18.899999999999999</v>
      </c>
      <c r="I7">
        <v>35.909999999999997</v>
      </c>
    </row>
    <row r="8" spans="1:9" x14ac:dyDescent="0.3">
      <c r="A8">
        <v>8</v>
      </c>
      <c r="C8">
        <v>2.74</v>
      </c>
      <c r="D8">
        <v>20.02</v>
      </c>
      <c r="E8">
        <v>54.854999999999997</v>
      </c>
      <c r="G8">
        <v>2.12</v>
      </c>
      <c r="H8">
        <v>19.5</v>
      </c>
      <c r="I8">
        <v>41.34</v>
      </c>
    </row>
    <row r="9" spans="1:9" x14ac:dyDescent="0.3">
      <c r="A9">
        <v>9</v>
      </c>
      <c r="C9">
        <v>2.86</v>
      </c>
      <c r="D9">
        <v>21.05</v>
      </c>
      <c r="E9">
        <v>60.203000000000003</v>
      </c>
      <c r="G9">
        <v>2.2000000000000002</v>
      </c>
      <c r="H9">
        <v>19.899999999999999</v>
      </c>
      <c r="I9">
        <v>43.78</v>
      </c>
    </row>
    <row r="10" spans="1:9" x14ac:dyDescent="0.3">
      <c r="A10">
        <v>10</v>
      </c>
      <c r="C10">
        <v>2.96</v>
      </c>
      <c r="D10">
        <v>20.9</v>
      </c>
      <c r="E10">
        <v>61.863999999999997</v>
      </c>
      <c r="G10">
        <v>2.8</v>
      </c>
      <c r="H10">
        <v>20.3</v>
      </c>
      <c r="I10">
        <v>56.84</v>
      </c>
    </row>
    <row r="11" spans="1:9" x14ac:dyDescent="0.3">
      <c r="A11">
        <v>11</v>
      </c>
      <c r="C11">
        <v>3</v>
      </c>
      <c r="D11">
        <v>20.399999999999999</v>
      </c>
      <c r="E11">
        <v>61.2</v>
      </c>
      <c r="G11">
        <v>3</v>
      </c>
      <c r="H11">
        <v>20.43</v>
      </c>
      <c r="I11">
        <v>61.29</v>
      </c>
    </row>
    <row r="12" spans="1:9" x14ac:dyDescent="0.3">
      <c r="A12">
        <v>12</v>
      </c>
      <c r="C12">
        <v>3.01</v>
      </c>
      <c r="D12">
        <v>20.34</v>
      </c>
      <c r="E12">
        <v>61.222999999999999</v>
      </c>
      <c r="G12">
        <v>2.9</v>
      </c>
      <c r="H12">
        <v>20.399999999999999</v>
      </c>
      <c r="I12">
        <v>59.420999999999999</v>
      </c>
    </row>
    <row r="13" spans="1:9" x14ac:dyDescent="0.3">
      <c r="A13">
        <v>13</v>
      </c>
      <c r="C13">
        <v>2.92</v>
      </c>
      <c r="D13">
        <v>20.100000000000001</v>
      </c>
      <c r="E13">
        <v>58.692</v>
      </c>
      <c r="G13">
        <v>2.87</v>
      </c>
      <c r="H13">
        <v>20.100000000000001</v>
      </c>
      <c r="I13">
        <v>57.686999999999998</v>
      </c>
    </row>
    <row r="14" spans="1:9" x14ac:dyDescent="0.3">
      <c r="A14">
        <v>14</v>
      </c>
      <c r="C14">
        <v>2.9</v>
      </c>
      <c r="D14">
        <v>18.88</v>
      </c>
      <c r="E14">
        <v>54.752000000000002</v>
      </c>
      <c r="G14">
        <v>2.31</v>
      </c>
      <c r="H14">
        <v>19.8</v>
      </c>
      <c r="I14">
        <v>45.738</v>
      </c>
    </row>
    <row r="15" spans="1:9" x14ac:dyDescent="0.3">
      <c r="A15">
        <v>15</v>
      </c>
      <c r="C15">
        <v>2.86</v>
      </c>
      <c r="D15">
        <v>18.350000000000001</v>
      </c>
      <c r="E15">
        <v>52.481000000000002</v>
      </c>
      <c r="G15">
        <v>2.1</v>
      </c>
      <c r="H15">
        <v>19.100000000000001</v>
      </c>
      <c r="I15">
        <v>40.11</v>
      </c>
    </row>
    <row r="16" spans="1:9" x14ac:dyDescent="0.3">
      <c r="A16">
        <v>16</v>
      </c>
      <c r="C16">
        <v>2.71</v>
      </c>
      <c r="D16">
        <v>15.01</v>
      </c>
      <c r="E16">
        <v>40.677</v>
      </c>
      <c r="G16">
        <v>1.7</v>
      </c>
      <c r="H16">
        <v>14.6</v>
      </c>
      <c r="I16">
        <v>24.82</v>
      </c>
    </row>
    <row r="17" spans="1:9" x14ac:dyDescent="0.3">
      <c r="A17">
        <v>17</v>
      </c>
      <c r="C17">
        <v>2.0099999999999998</v>
      </c>
      <c r="D17">
        <v>10.1</v>
      </c>
      <c r="E17">
        <v>20.300999999999998</v>
      </c>
      <c r="G17">
        <v>0.06</v>
      </c>
      <c r="H17">
        <v>8.69</v>
      </c>
      <c r="I17">
        <v>0.52139999999999997</v>
      </c>
    </row>
    <row r="18" spans="1:9" x14ac:dyDescent="0.3">
      <c r="A18">
        <v>18</v>
      </c>
      <c r="C18">
        <v>1.89</v>
      </c>
      <c r="D18">
        <v>9.1999999999999993</v>
      </c>
      <c r="E18">
        <v>17.388000000000002</v>
      </c>
      <c r="G18">
        <v>0</v>
      </c>
      <c r="H18">
        <v>0</v>
      </c>
      <c r="I18">
        <v>0</v>
      </c>
    </row>
    <row r="19" spans="1:9" x14ac:dyDescent="0.3">
      <c r="A19" s="12" t="s">
        <v>29</v>
      </c>
      <c r="B19" s="12"/>
      <c r="C19" s="12"/>
      <c r="D19" s="12"/>
      <c r="E19">
        <v>47.762</v>
      </c>
      <c r="F19" s="12"/>
      <c r="G19" s="12"/>
      <c r="H19" s="12"/>
      <c r="I19">
        <v>35.857999999999997</v>
      </c>
    </row>
  </sheetData>
  <mergeCells count="4">
    <mergeCell ref="C3:E3"/>
    <mergeCell ref="G3:I3"/>
    <mergeCell ref="A19:D19"/>
    <mergeCell ref="F19:H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5588-B8D7-413C-BAC0-021F3C96797F}">
  <dimension ref="A3:I19"/>
  <sheetViews>
    <sheetView workbookViewId="0">
      <selection activeCell="G22" sqref="G22"/>
    </sheetView>
  </sheetViews>
  <sheetFormatPr defaultRowHeight="14.4" x14ac:dyDescent="0.3"/>
  <sheetData>
    <row r="3" spans="1:9" x14ac:dyDescent="0.3">
      <c r="A3" t="s">
        <v>23</v>
      </c>
      <c r="C3" s="12" t="s">
        <v>30</v>
      </c>
      <c r="D3" s="12"/>
      <c r="E3" s="12"/>
      <c r="G3" s="12" t="s">
        <v>31</v>
      </c>
      <c r="H3" s="12"/>
      <c r="I3" s="12"/>
    </row>
    <row r="4" spans="1:9" x14ac:dyDescent="0.3">
      <c r="C4" t="s">
        <v>25</v>
      </c>
      <c r="D4" t="s">
        <v>26</v>
      </c>
      <c r="E4" t="s">
        <v>27</v>
      </c>
      <c r="G4" t="s">
        <v>25</v>
      </c>
      <c r="H4" t="s">
        <v>26</v>
      </c>
      <c r="I4" t="s">
        <v>27</v>
      </c>
    </row>
    <row r="5" spans="1:9" x14ac:dyDescent="0.3">
      <c r="A5">
        <v>5</v>
      </c>
      <c r="C5">
        <v>2.1</v>
      </c>
      <c r="D5">
        <v>19.3</v>
      </c>
      <c r="E5">
        <v>40.53</v>
      </c>
      <c r="G5">
        <v>0.8</v>
      </c>
      <c r="H5">
        <v>18</v>
      </c>
      <c r="I5">
        <v>14.4</v>
      </c>
    </row>
    <row r="6" spans="1:9" x14ac:dyDescent="0.3">
      <c r="A6">
        <v>6</v>
      </c>
      <c r="C6">
        <v>2.23</v>
      </c>
      <c r="D6">
        <v>20.94</v>
      </c>
      <c r="E6">
        <v>46.695999999999998</v>
      </c>
      <c r="G6">
        <v>1.1000000000000001</v>
      </c>
      <c r="H6">
        <v>18.649999999999999</v>
      </c>
      <c r="I6">
        <v>20.515000000000001</v>
      </c>
    </row>
    <row r="7" spans="1:9" x14ac:dyDescent="0.3">
      <c r="A7">
        <v>7</v>
      </c>
      <c r="C7">
        <v>2.68</v>
      </c>
      <c r="D7">
        <v>20.63</v>
      </c>
      <c r="E7">
        <v>55.288400000000003</v>
      </c>
      <c r="G7">
        <v>1.9</v>
      </c>
      <c r="H7">
        <v>19.8</v>
      </c>
      <c r="I7">
        <v>37.619999999999997</v>
      </c>
    </row>
    <row r="8" spans="1:9" x14ac:dyDescent="0.3">
      <c r="A8">
        <v>8</v>
      </c>
      <c r="C8">
        <v>2.87</v>
      </c>
      <c r="D8">
        <v>20.94</v>
      </c>
      <c r="E8">
        <v>60.097999999999999</v>
      </c>
      <c r="G8">
        <v>2.12</v>
      </c>
      <c r="H8">
        <v>20.04</v>
      </c>
      <c r="I8">
        <v>42.284999999999997</v>
      </c>
    </row>
    <row r="9" spans="1:9" x14ac:dyDescent="0.3">
      <c r="A9">
        <v>9</v>
      </c>
      <c r="C9">
        <v>2.95</v>
      </c>
      <c r="D9">
        <v>21.34</v>
      </c>
      <c r="E9">
        <v>62.953000000000003</v>
      </c>
      <c r="G9">
        <v>2.2000000000000002</v>
      </c>
      <c r="H9">
        <v>21.01</v>
      </c>
      <c r="I9">
        <v>46.22</v>
      </c>
    </row>
    <row r="10" spans="1:9" x14ac:dyDescent="0.3">
      <c r="A10">
        <v>10</v>
      </c>
      <c r="C10">
        <v>3.1</v>
      </c>
      <c r="D10">
        <v>21.98</v>
      </c>
      <c r="E10">
        <v>68.14</v>
      </c>
      <c r="G10">
        <v>2.8</v>
      </c>
      <c r="H10">
        <v>21.75</v>
      </c>
      <c r="I10">
        <v>60.9</v>
      </c>
    </row>
    <row r="11" spans="1:9" x14ac:dyDescent="0.3">
      <c r="A11">
        <v>11</v>
      </c>
      <c r="C11">
        <v>3.14</v>
      </c>
      <c r="D11">
        <v>22</v>
      </c>
      <c r="E11">
        <v>69.08</v>
      </c>
      <c r="G11">
        <v>3</v>
      </c>
      <c r="H11">
        <v>21.6</v>
      </c>
      <c r="I11">
        <v>64.8</v>
      </c>
    </row>
    <row r="12" spans="1:9" x14ac:dyDescent="0.3">
      <c r="A12">
        <v>12</v>
      </c>
      <c r="C12">
        <v>3.15</v>
      </c>
      <c r="D12">
        <v>22.01</v>
      </c>
      <c r="E12">
        <v>69.331999999999994</v>
      </c>
      <c r="G12">
        <v>2</v>
      </c>
      <c r="H12">
        <v>20.45</v>
      </c>
      <c r="I12">
        <v>59.305</v>
      </c>
    </row>
    <row r="13" spans="1:9" x14ac:dyDescent="0.3">
      <c r="A13">
        <v>13</v>
      </c>
      <c r="C13">
        <v>3.09</v>
      </c>
      <c r="D13">
        <v>22.2</v>
      </c>
      <c r="E13">
        <v>68.597999999999999</v>
      </c>
      <c r="G13">
        <v>2.87</v>
      </c>
      <c r="H13">
        <v>20.350000000000001</v>
      </c>
      <c r="I13">
        <v>58.404499999999999</v>
      </c>
    </row>
    <row r="14" spans="1:9" x14ac:dyDescent="0.3">
      <c r="A14">
        <v>14</v>
      </c>
      <c r="C14">
        <v>2.91</v>
      </c>
      <c r="D14">
        <v>21.21</v>
      </c>
      <c r="E14">
        <v>61.7211</v>
      </c>
      <c r="G14">
        <v>2.31</v>
      </c>
      <c r="H14">
        <v>20.2</v>
      </c>
      <c r="I14">
        <v>46.661999999999999</v>
      </c>
    </row>
    <row r="15" spans="1:9" x14ac:dyDescent="0.3">
      <c r="A15">
        <v>15</v>
      </c>
      <c r="C15">
        <v>2.86</v>
      </c>
      <c r="D15">
        <v>21</v>
      </c>
      <c r="E15">
        <v>60.06</v>
      </c>
      <c r="G15">
        <v>2.1</v>
      </c>
      <c r="H15">
        <v>19.600000000000001</v>
      </c>
      <c r="I15">
        <v>41.16</v>
      </c>
    </row>
    <row r="16" spans="1:9" x14ac:dyDescent="0.3">
      <c r="A16">
        <v>16</v>
      </c>
      <c r="C16">
        <v>2.5099999999999998</v>
      </c>
      <c r="D16">
        <v>19.350000000000001</v>
      </c>
      <c r="E16">
        <v>48.5685</v>
      </c>
      <c r="G16">
        <v>1.7</v>
      </c>
      <c r="H16">
        <v>6.5</v>
      </c>
      <c r="I16">
        <v>28.05</v>
      </c>
    </row>
    <row r="17" spans="1:9" x14ac:dyDescent="0.3">
      <c r="A17">
        <v>17</v>
      </c>
      <c r="C17">
        <v>1.81</v>
      </c>
      <c r="D17">
        <v>18.010000000000002</v>
      </c>
      <c r="E17">
        <v>32.597999999999999</v>
      </c>
      <c r="G17">
        <v>0.06</v>
      </c>
      <c r="H17">
        <v>9.7799999999999994</v>
      </c>
      <c r="I17">
        <v>0.58679999999999999</v>
      </c>
    </row>
    <row r="18" spans="1:9" x14ac:dyDescent="0.3">
      <c r="A18">
        <v>18</v>
      </c>
      <c r="C18">
        <v>1.62</v>
      </c>
      <c r="D18">
        <v>16.02</v>
      </c>
      <c r="E18">
        <v>25.952000000000002</v>
      </c>
      <c r="G18">
        <v>0</v>
      </c>
      <c r="H18">
        <v>0</v>
      </c>
      <c r="I18">
        <v>0</v>
      </c>
    </row>
    <row r="19" spans="1:9" x14ac:dyDescent="0.3">
      <c r="A19" s="12" t="s">
        <v>32</v>
      </c>
      <c r="B19" s="12"/>
      <c r="C19" s="12"/>
      <c r="D19" s="12"/>
      <c r="E19">
        <v>49.085999999999999</v>
      </c>
      <c r="I19">
        <v>37.222000000000001</v>
      </c>
    </row>
  </sheetData>
  <mergeCells count="3">
    <mergeCell ref="C3:E3"/>
    <mergeCell ref="G3:I3"/>
    <mergeCell ref="A19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0C9A-D743-47A0-94E7-E0AA17ED6FCB}">
  <dimension ref="B2:P19"/>
  <sheetViews>
    <sheetView workbookViewId="0">
      <selection activeCell="P14" sqref="P14"/>
    </sheetView>
  </sheetViews>
  <sheetFormatPr defaultRowHeight="14.4" x14ac:dyDescent="0.3"/>
  <sheetData>
    <row r="2" spans="2:16" x14ac:dyDescent="0.3">
      <c r="B2" t="s">
        <v>34</v>
      </c>
      <c r="E2" t="s">
        <v>35</v>
      </c>
    </row>
    <row r="3" spans="2:16" x14ac:dyDescent="0.3">
      <c r="B3">
        <v>1360</v>
      </c>
      <c r="E3">
        <v>0.96</v>
      </c>
    </row>
    <row r="4" spans="2:16" x14ac:dyDescent="0.3">
      <c r="B4" t="s">
        <v>48</v>
      </c>
    </row>
    <row r="6" spans="2:16" x14ac:dyDescent="0.3">
      <c r="C6">
        <v>4000</v>
      </c>
      <c r="D6">
        <v>6000</v>
      </c>
    </row>
    <row r="7" spans="2:16" x14ac:dyDescent="0.3">
      <c r="I7" t="s">
        <v>37</v>
      </c>
      <c r="K7">
        <f>(1360)*0.95</f>
        <v>1292</v>
      </c>
      <c r="L7" t="s">
        <v>38</v>
      </c>
    </row>
    <row r="8" spans="2:16" x14ac:dyDescent="0.3">
      <c r="E8" t="s">
        <v>36</v>
      </c>
      <c r="G8">
        <f>C6/1.025</f>
        <v>3902.4390243902444</v>
      </c>
      <c r="I8">
        <f>4.184*G8*80</f>
        <v>1306224.3902439026</v>
      </c>
      <c r="K8">
        <f>K7*3600</f>
        <v>4651200</v>
      </c>
    </row>
    <row r="9" spans="2:16" x14ac:dyDescent="0.3">
      <c r="G9">
        <f>D6/1.025</f>
        <v>5853.6585365853662</v>
      </c>
      <c r="I9">
        <f>4.184*G9*80</f>
        <v>1959336.585365854</v>
      </c>
    </row>
    <row r="10" spans="2:16" x14ac:dyDescent="0.3">
      <c r="N10">
        <f>Sheet5!M4*1.025</f>
        <v>1.3876923076923076</v>
      </c>
      <c r="O10">
        <f>4.168*N10*80</f>
        <v>462.71212307692304</v>
      </c>
      <c r="P10">
        <f>O10+O16</f>
        <v>776.33058461538462</v>
      </c>
    </row>
    <row r="11" spans="2:16" x14ac:dyDescent="0.3">
      <c r="N11">
        <f>Sheet5!M5*1.025</f>
        <v>1.1353846153846154</v>
      </c>
      <c r="O11">
        <f t="shared" ref="O11:O12" si="0">4.168*N11*80</f>
        <v>378.58264615384621</v>
      </c>
      <c r="P11">
        <f t="shared" ref="P11:P12" si="1">O11+O17</f>
        <v>635.17956923076929</v>
      </c>
    </row>
    <row r="12" spans="2:16" x14ac:dyDescent="0.3">
      <c r="N12">
        <f>Sheet5!M6*1.025</f>
        <v>0.88307692307692309</v>
      </c>
      <c r="O12">
        <f t="shared" si="0"/>
        <v>294.45316923076922</v>
      </c>
      <c r="P12">
        <f t="shared" si="1"/>
        <v>494.02855384615384</v>
      </c>
    </row>
    <row r="15" spans="2:16" x14ac:dyDescent="0.3">
      <c r="F15" t="s">
        <v>39</v>
      </c>
      <c r="I15" s="2">
        <v>0.2</v>
      </c>
    </row>
    <row r="16" spans="2:16" x14ac:dyDescent="0.3">
      <c r="O16">
        <f>226*N10</f>
        <v>313.61846153846153</v>
      </c>
    </row>
    <row r="17" spans="15:15" x14ac:dyDescent="0.3">
      <c r="O17">
        <f t="shared" ref="O17:O19" si="2">226*N11</f>
        <v>256.59692307692308</v>
      </c>
    </row>
    <row r="18" spans="15:15" x14ac:dyDescent="0.3">
      <c r="O18">
        <f t="shared" si="2"/>
        <v>199.57538461538462</v>
      </c>
    </row>
    <row r="19" spans="15:15" x14ac:dyDescent="0.3">
      <c r="O19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B3E1-B6D3-4B16-A468-105E0D0645D2}">
  <dimension ref="B1:N24"/>
  <sheetViews>
    <sheetView tabSelected="1" topLeftCell="C1" workbookViewId="0">
      <selection activeCell="J24" sqref="J24"/>
    </sheetView>
  </sheetViews>
  <sheetFormatPr defaultRowHeight="14.4" x14ac:dyDescent="0.3"/>
  <cols>
    <col min="2" max="2" width="30.44140625" customWidth="1"/>
    <col min="3" max="3" width="25.5546875" customWidth="1"/>
    <col min="4" max="4" width="16.77734375" customWidth="1"/>
    <col min="5" max="5" width="23.77734375" customWidth="1"/>
    <col min="7" max="7" width="19.6640625" customWidth="1"/>
    <col min="8" max="8" width="30.21875" customWidth="1"/>
    <col min="9" max="9" width="16.44140625" customWidth="1"/>
    <col min="10" max="10" width="12.5546875" customWidth="1"/>
    <col min="11" max="11" width="11.21875" customWidth="1"/>
    <col min="12" max="12" width="17.109375" customWidth="1"/>
  </cols>
  <sheetData>
    <row r="1" spans="2:14" x14ac:dyDescent="0.3">
      <c r="M1" s="18" t="s">
        <v>65</v>
      </c>
      <c r="N1" s="18"/>
    </row>
    <row r="2" spans="2:14" x14ac:dyDescent="0.3">
      <c r="B2" s="7" t="s">
        <v>49</v>
      </c>
      <c r="C2" s="7" t="s">
        <v>50</v>
      </c>
      <c r="D2" s="7" t="s">
        <v>59</v>
      </c>
      <c r="E2" s="7" t="s">
        <v>60</v>
      </c>
      <c r="J2" s="13" t="s">
        <v>56</v>
      </c>
      <c r="K2" s="14"/>
      <c r="M2" s="19">
        <f>4/K8</f>
        <v>0.61538461538461542</v>
      </c>
      <c r="N2" s="19">
        <f>6/K8</f>
        <v>0.92307692307692313</v>
      </c>
    </row>
    <row r="3" spans="2:14" x14ac:dyDescent="0.3">
      <c r="B3">
        <v>1360</v>
      </c>
      <c r="C3">
        <f>B3*3600/1000</f>
        <v>4896</v>
      </c>
      <c r="D3">
        <v>1.4</v>
      </c>
      <c r="E3">
        <v>2.1</v>
      </c>
      <c r="K3" s="4" t="s">
        <v>66</v>
      </c>
      <c r="L3" s="15" t="s">
        <v>68</v>
      </c>
      <c r="M3" s="16"/>
      <c r="N3" s="17"/>
    </row>
    <row r="4" spans="2:14" x14ac:dyDescent="0.3">
      <c r="B4" t="s">
        <v>69</v>
      </c>
      <c r="C4">
        <v>0.95</v>
      </c>
      <c r="D4" s="12" t="s">
        <v>53</v>
      </c>
      <c r="E4" s="12"/>
      <c r="J4" s="5" t="s">
        <v>61</v>
      </c>
      <c r="K4">
        <v>2.2000000000000002</v>
      </c>
      <c r="M4" s="19">
        <f>$M2*K4</f>
        <v>1.3538461538461539</v>
      </c>
      <c r="N4" s="19">
        <f>$N2*K4</f>
        <v>2.0307692307692311</v>
      </c>
    </row>
    <row r="5" spans="2:14" x14ac:dyDescent="0.3">
      <c r="B5" t="s">
        <v>51</v>
      </c>
      <c r="C5">
        <f>C3*C4</f>
        <v>4651.2</v>
      </c>
      <c r="D5" s="20">
        <f>D3*C10</f>
        <v>1.4349999999999998</v>
      </c>
      <c r="E5" s="20">
        <f>E3*C10</f>
        <v>2.1524999999999999</v>
      </c>
      <c r="J5" s="5" t="s">
        <v>62</v>
      </c>
      <c r="K5">
        <v>1.8</v>
      </c>
      <c r="M5" s="19">
        <f>$M2*K5</f>
        <v>1.1076923076923078</v>
      </c>
      <c r="N5" s="19">
        <f>$N2*K5</f>
        <v>1.6615384615384616</v>
      </c>
    </row>
    <row r="6" spans="2:14" x14ac:dyDescent="0.3">
      <c r="D6" s="12" t="s">
        <v>57</v>
      </c>
      <c r="E6" s="12"/>
      <c r="J6" s="5" t="s">
        <v>63</v>
      </c>
      <c r="K6">
        <v>1.4</v>
      </c>
      <c r="M6" s="19">
        <f>$M2*K6</f>
        <v>0.86153846153846159</v>
      </c>
      <c r="N6" s="19">
        <f>$N2*K6</f>
        <v>1.2923076923076924</v>
      </c>
    </row>
    <row r="7" spans="2:14" x14ac:dyDescent="0.3">
      <c r="D7" s="23">
        <f>AVERAGE(D5:E5)</f>
        <v>1.7937499999999997</v>
      </c>
      <c r="E7" s="23"/>
      <c r="H7" s="12" t="s">
        <v>72</v>
      </c>
      <c r="I7" s="12"/>
      <c r="J7" s="5" t="s">
        <v>64</v>
      </c>
      <c r="K7">
        <v>1.1000000000000001</v>
      </c>
      <c r="M7" s="19">
        <f>$M2*K7</f>
        <v>0.67692307692307696</v>
      </c>
      <c r="N7" s="19">
        <f>$N2*K7</f>
        <v>1.0153846153846156</v>
      </c>
    </row>
    <row r="8" spans="2:14" x14ac:dyDescent="0.3">
      <c r="H8" t="s">
        <v>70</v>
      </c>
      <c r="I8" t="s">
        <v>71</v>
      </c>
      <c r="J8" s="6" t="s">
        <v>67</v>
      </c>
      <c r="K8" s="6">
        <f>K6+K5+K4+K7</f>
        <v>6.5</v>
      </c>
      <c r="L8" s="6"/>
      <c r="M8" s="6">
        <f>SUM(M4:M7)</f>
        <v>4</v>
      </c>
      <c r="N8" s="6">
        <f>SUM(N4:N7)</f>
        <v>6</v>
      </c>
    </row>
    <row r="9" spans="2:14" x14ac:dyDescent="0.3">
      <c r="H9" s="20">
        <f>D5*C11*80+C12*D5</f>
        <v>3721.5863999999992</v>
      </c>
      <c r="I9" s="20">
        <f>E5*C11*80+C12*E5</f>
        <v>5582.3795999999993</v>
      </c>
    </row>
    <row r="10" spans="2:14" x14ac:dyDescent="0.3">
      <c r="B10" t="s">
        <v>75</v>
      </c>
      <c r="C10">
        <v>1.0249999999999999</v>
      </c>
      <c r="H10" s="12" t="s">
        <v>73</v>
      </c>
      <c r="I10" s="12"/>
    </row>
    <row r="11" spans="2:14" x14ac:dyDescent="0.3">
      <c r="B11" t="s">
        <v>52</v>
      </c>
      <c r="C11">
        <v>4.1680000000000001</v>
      </c>
      <c r="H11" s="23">
        <f>(H9+I9)/2</f>
        <v>4651.9829999999993</v>
      </c>
      <c r="I11" s="23"/>
    </row>
    <row r="12" spans="2:14" x14ac:dyDescent="0.3">
      <c r="B12" t="s">
        <v>74</v>
      </c>
      <c r="C12">
        <v>2260</v>
      </c>
    </row>
    <row r="16" spans="2:14" x14ac:dyDescent="0.3">
      <c r="F16" s="24" t="s">
        <v>78</v>
      </c>
      <c r="G16" s="8" t="s">
        <v>77</v>
      </c>
      <c r="H16" s="9" t="s">
        <v>76</v>
      </c>
    </row>
    <row r="17" spans="2:10" x14ac:dyDescent="0.3">
      <c r="B17" t="s">
        <v>54</v>
      </c>
      <c r="C17">
        <v>20</v>
      </c>
      <c r="E17" s="11" t="s">
        <v>55</v>
      </c>
      <c r="F17">
        <f>C5*1.15</f>
        <v>5348.8799999999992</v>
      </c>
      <c r="G17" s="20">
        <f>F17/(2260+80*C11)</f>
        <v>2.06246529705719</v>
      </c>
      <c r="H17" s="21">
        <f>(2-1.8)/1.8*100</f>
        <v>11.111111111111107</v>
      </c>
    </row>
    <row r="18" spans="2:10" x14ac:dyDescent="0.3">
      <c r="E18" s="11" t="s">
        <v>58</v>
      </c>
      <c r="F18">
        <f>C5*1.2</f>
        <v>5581.44</v>
      </c>
      <c r="G18" s="20">
        <f>F18/(2260+80*C11)</f>
        <v>2.1521377012770682</v>
      </c>
      <c r="H18" s="22">
        <f>(2.15-1.8)/1.8*100</f>
        <v>19.444444444444436</v>
      </c>
    </row>
    <row r="20" spans="2:10" x14ac:dyDescent="0.3">
      <c r="G20" s="10"/>
    </row>
    <row r="23" spans="2:10" x14ac:dyDescent="0.3">
      <c r="F23" t="s">
        <v>83</v>
      </c>
      <c r="G23" t="s">
        <v>79</v>
      </c>
      <c r="H23" t="s">
        <v>80</v>
      </c>
      <c r="I23" t="s">
        <v>81</v>
      </c>
      <c r="J23" t="s">
        <v>82</v>
      </c>
    </row>
    <row r="24" spans="2:10" x14ac:dyDescent="0.3">
      <c r="F24">
        <v>5</v>
      </c>
      <c r="G24">
        <f>(F24*2.2)/6.5</f>
        <v>1.6923076923076923</v>
      </c>
      <c r="H24">
        <f>(G24*1.025)*(C11*80+C12)</f>
        <v>4498.6209230769227</v>
      </c>
      <c r="I24">
        <f>H24/C5</f>
        <v>0.96719576089545123</v>
      </c>
      <c r="J24">
        <f>SQRT((((((F24*2.2)/6.5)*1.025)*(4.168*80+2260))/4651.2)/3.14)*2</f>
        <v>1.1099984282398072</v>
      </c>
    </row>
  </sheetData>
  <mergeCells count="9">
    <mergeCell ref="J2:K2"/>
    <mergeCell ref="L3:N3"/>
    <mergeCell ref="M1:N1"/>
    <mergeCell ref="D4:E4"/>
    <mergeCell ref="D6:E6"/>
    <mergeCell ref="D7:E7"/>
    <mergeCell ref="H7:I7"/>
    <mergeCell ref="H10:I10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W Load</vt:lpstr>
      <vt:lpstr>NO Load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Tanuja Bansal</dc:creator>
  <cp:lastModifiedBy>Its Blitz</cp:lastModifiedBy>
  <dcterms:created xsi:type="dcterms:W3CDTF">2024-05-04T19:38:55Z</dcterms:created>
  <dcterms:modified xsi:type="dcterms:W3CDTF">2024-05-10T15:42:19Z</dcterms:modified>
</cp:coreProperties>
</file>