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Yearly Savings" sheetId="2" state="visible" r:id="rId3"/>
    <sheet name="Yearly Values &amp; Costs" sheetId="3" state="visible" r:id="rId4"/>
    <sheet name="Portfolio Value Summary" sheetId="4" state="visible" r:id="rId5"/>
    <sheet name="Value Constants" sheetId="5" state="visible" r:id="rId6"/>
    <sheet name="Portfolio Cost Summary" sheetId="6" state="visible" r:id="rId7"/>
    <sheet name="Team Hourly Burn" sheetId="7" state="visible" r:id="rId8"/>
    <sheet name="Sensitivity Analysis Variables" sheetId="8" state="visible" r:id="rId9"/>
    <sheet name="Sensitity Analysis Constants" sheetId="9" state="visible" r:id="rId10"/>
    <sheet name="Sensitity Analysis Dropdowns" sheetId="10" state="visible" r:id="rId11"/>
    <sheet name="ValCnst(Legacy-&gt;Containerized)" sheetId="11" state="visible" r:id="rId12"/>
    <sheet name="CostCnst(Legacy-&gt;Containerized)" sheetId="12" state="visible" r:id="rId13"/>
    <sheet name="CostOpts(Legacy-&gt;Containerized)" sheetId="13" state="visible" r:id="rId14"/>
    <sheet name="CostCnst(Containerized-&gt;Cloud)" sheetId="14" state="visible" r:id="rId15"/>
    <sheet name="Cost Constants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<sst xmlns="http://schemas.openxmlformats.org/spreadsheetml/2006/main" count="328" uniqueCount="192">
  <si>
    <t xml:space="preserve">Driver</t>
  </si>
  <si>
    <t xml:space="preserve">Sensitivity Analysis Option</t>
  </si>
  <si>
    <t xml:space="preserve">Value</t>
  </si>
  <si>
    <t xml:space="preserve">Cost</t>
  </si>
  <si>
    <t xml:space="preserve">{d.numberOfTeams}</t>
  </si>
  <si>
    <t xml:space="preserve">{d.employeesVsContractors}</t>
  </si>
  <si>
    <t xml:space="preserve">{d.teamMigrationExperience}</t>
  </si>
  <si>
    <t xml:space="preserve">{d.shadowAppDepsChance}</t>
  </si>
  <si>
    <t xml:space="preserve">{d.avgCostGovDataBreach}</t>
  </si>
  <si>
    <t xml:space="preserve">{d.avgOnlineUsersPerApp}</t>
  </si>
  <si>
    <t xml:space="preserve">{d.avgLegacyOutageLength}</t>
  </si>
  <si>
    <t xml:space="preserve">{d.avgDistruptionHourlyValue}</t>
  </si>
  <si>
    <t xml:space="preserve">{d.avgYearlyNewFeatureHours}</t>
  </si>
  <si>
    <t xml:space="preserve">Number of Teams</t>
  </si>
  <si>
    <t xml:space="preserve">This is how much money we're going to free up:</t>
  </si>
  <si>
    <t xml:space="preserve">Year</t>
  </si>
  <si>
    <t xml:space="preserve">Savings</t>
  </si>
  <si>
    <t xml:space="preserve">Difference</t>
  </si>
  <si>
    <t xml:space="preserve">Type</t>
  </si>
  <si>
    <t xml:space="preserve">Item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</si>
  <si>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</si>
  <si>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</si>
  <si>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</si>
  <si>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</si>
  <si>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</si>
  <si>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Total 5 Years</t>
  </si>
  <si>
    <t xml:space="preserve">Baseline Legacy</t>
  </si>
  <si>
    <t xml:space="preserve">Security Breach Risk Costs</t>
  </si>
  <si>
    <t xml:space="preserve">Outage Costs</t>
  </si>
  <si>
    <t xml:space="preserve">Total Team Effort Per Year</t>
  </si>
  <si>
    <t xml:space="preserve">Cost of Adding New Features </t>
  </si>
  <si>
    <t xml:space="preserve">Cost of Deployment</t>
  </si>
  <si>
    <t xml:space="preserve">Cost of Maintenance</t>
  </si>
  <si>
    <t xml:space="preserve">Disaster Recovery</t>
  </si>
  <si>
    <t xml:space="preserve">Legacy to Containerized Conversions</t>
  </si>
  <si>
    <t xml:space="preserve">Reduction In Security Breach Costs</t>
  </si>
  <si>
    <t xml:space="preserve">Reduction in Project Design Costs (Agility/Pivots)</t>
  </si>
  <si>
    <t xml:space="preserve">Reduction in Build &amp; Deployment Costs (DevOps, CI/CD)</t>
  </si>
  <si>
    <t xml:space="preserve">Reduction in Upgrade, Maintenance, and Management Costs</t>
  </si>
  <si>
    <t xml:space="preserve">Reduction in Provisioning Costs From Peak-Based to On-Demand (Autoscale Down)</t>
  </si>
  <si>
    <t xml:space="preserve">Access to Surge resources (Autoscale Up)</t>
  </si>
  <si>
    <t xml:space="preserve">Increased Retention/Lower Hiring Costs</t>
  </si>
  <si>
    <t xml:space="preserve">Ability to Deploy on Demand</t>
  </si>
  <si>
    <t xml:space="preserve">Containerized to Cloud Conversions</t>
  </si>
  <si>
    <t xml:space="preserve">Reduction in Outage Costs</t>
  </si>
  <si>
    <t xml:space="preserve">Access to commodity Cloud Services instead of self-built, self-deployed</t>
  </si>
  <si>
    <t xml:space="preserve">Uncapped Autoscaling</t>
  </si>
  <si>
    <t xml:space="preserve">Total</t>
  </si>
  <si>
    <t xml:space="preserve">Units</t>
  </si>
  <si>
    <t xml:space="preserve">Source</t>
  </si>
  <si>
    <t xml:space="preserve">Ministry Data Clerk FTE Hourly Rate</t>
  </si>
  <si>
    <t xml:space="preserve">$</t>
  </si>
  <si>
    <t xml:space="preserve">https://www2.gov.bc.ca/gov/content/careers-myhr/all-employees/pay-benefits/salaries/salarylookuptool/grids#bcgeu , grid level 18 yr 3</t>
  </si>
  <si>
    <t xml:space="preserve">Government vs Private Industry Data Breach Cost Multiplier</t>
  </si>
  <si>
    <t xml:space="preserve">https://portswigger.net/daily-swig/the-latest-government-data-breaches</t>
  </si>
  <si>
    <t xml:space="preserve">CAD / USD</t>
  </si>
  <si>
    <t xml:space="preserve">As of May 5 2020 at https://www1.oanda.com/currency/converter/</t>
  </si>
  <si>
    <t xml:space="preserve">Average Canadian Private Industry Data Breach Cost [Lower Bound]</t>
  </si>
  <si>
    <t xml:space="preserve">$ USD</t>
  </si>
  <si>
    <t xml:space="preserve">2017 data, less likely as costs trending upwards over time https://www.crownrms.com/en-us/article/probability-of-data-breaches-increases-</t>
  </si>
  <si>
    <t xml:space="preserve">Average Canadian Gov Data Breach Cost [Lower Bound]</t>
  </si>
  <si>
    <t xml:space="preserve">Average Canadian Private Industry Data Breach Cost [Upper Bound]</t>
  </si>
  <si>
    <t xml:space="preserve">https://digitalguardian.com/blog/whats-cost-data-breach-2019</t>
  </si>
  <si>
    <t xml:space="preserve">Average Canadian Gov Data Breach Cost [Upper Bound]</t>
  </si>
  <si>
    <t xml:space="preserve">Percentage of Firms Experiencing Data Breaches</t>
  </si>
  <si>
    <t xml:space="preserve">2017 data, global security survey, Subscription Research</t>
  </si>
  <si>
    <t xml:space="preserve">Percentage of Breaches in Public Sector</t>
  </si>
  <si>
    <t xml:space="preserve">Likelihood of a Gov Data Breach per Legacy App</t>
  </si>
  <si>
    <t xml:space="preserve">Note that only have to report affected w/ material breaches, reals amounts much higher, https://www.priv.gc.ca/en/blog/20191031/</t>
  </si>
  <si>
    <t xml:space="preserve">Public facing</t>
  </si>
  <si>
    <t xml:space="preserve">Surveyed the NRM IRS database of 1776 Project Records, determining of 430 unique production URLs, 177 were active and public facing</t>
  </si>
  <si>
    <t xml:space="preserve">Likelihood of Legacy Project having Community Approved Security Automation</t>
  </si>
  <si>
    <t xml:space="preserve">Estimate conv w/Jeff Card, difference in NRS, NRPP apps</t>
  </si>
  <si>
    <t xml:space="preserve">Likelihood of Containerized Project Having Community Approved Security Automation</t>
  </si>
  <si>
    <t xml:space="preserve">OpenShift Community provides a path of least resistance to develop a project quickly that includes automation around security</t>
  </si>
  <si>
    <t xml:space="preserve">Likelihood of Cloud Project Having Community Approved Security Automation</t>
  </si>
  <si>
    <t xml:space="preserve">Cloud hosted apps will have to pass a gauntlet of automated and staff reviews in order to meet definition of good</t>
  </si>
  <si>
    <t xml:space="preserve">Likelihood of a zero day exploit unknown to Community Approved Security Automation </t>
  </si>
  <si>
    <t xml:space="preserve">Unsubstantiated guess</t>
  </si>
  <si>
    <t xml:space="preserve">Average per application service disruption tech staff affected</t>
  </si>
  <si>
    <t xml:space="preserve">persons</t>
  </si>
  <si>
    <t xml:space="preserve">20 minutes to notify and communicate for one staff member + (20 minutes to rectify x 2 staff)</t>
  </si>
  <si>
    <t xml:space="preserve">Average per application service disruption business staff affected</t>
  </si>
  <si>
    <t xml:space="preserve">Assume average staff user base of 30, cannot access for an hour</t>
  </si>
  <si>
    <t xml:space="preserve">Downtime reduction from Moving to Cloud</t>
  </si>
  <si>
    <t xml:space="preserve">Reduction in project design savings moving to Containerized</t>
  </si>
  <si>
    <t xml:space="preserve">Economic Impact of Red Hat container adoption program &amp; Open Innovation Labs​ 2018</t>
  </si>
  <si>
    <t xml:space="preserve">Reduction in application build and deployment cycle cost</t>
  </si>
  <si>
    <t xml:space="preserve">Reduction in cost due to improved efficiencies in application upgrades, maintenance, and management</t>
  </si>
  <si>
    <t xml:space="preserve">Lower change failure rate due to CI/CD</t>
  </si>
  <si>
    <t xml:space="preserve">https://puppet.com/resources/report/2016-state-devops-report/​</t>
  </si>
  <si>
    <t xml:space="preserve">Faster failure recovery rate due to CI/CD</t>
  </si>
  <si>
    <t xml:space="preserve">Percentage of Work Dedicated to DevOps</t>
  </si>
  <si>
    <t xml:space="preserve">Division of effort per experience on OpenShift platform teams</t>
  </si>
  <si>
    <t xml:space="preserve">Percentage of Work Dedicated to Maintenance</t>
  </si>
  <si>
    <t xml:space="preserve">Percentage of Work Dedicated to New Features</t>
  </si>
  <si>
    <t xml:space="preserve">Average Disaster Recovery Time for Businesses Running on Non-Cloud Infrastructure</t>
  </si>
  <si>
    <t xml:space="preserve">hours</t>
  </si>
  <si>
    <t xml:space="preserve">https://www.effective-software.com/blog/5-financial-benefits-of-moving-to-the-cloud</t>
  </si>
  <si>
    <t xml:space="preserve">Average Disaster Recovery Time for Businesses Running on Cloud Infrastructure</t>
  </si>
  <si>
    <t xml:space="preserve">Likelihood of a Design Event Earthquake in BC</t>
  </si>
  <si>
    <t xml:space="preserve">chance/year</t>
  </si>
  <si>
    <t xml:space="preserve">https://www.egbc.ca/getmedia/4278c069-0374-4cc2-9e73-2b454a0f978a/SEABC-Eathquake-Fact-Sheet.pdf.aspx</t>
  </si>
  <si>
    <t xml:space="preserve">Likelihood of one of Disaster Recover level datacenter events</t>
  </si>
  <si>
    <t xml:space="preserve">ransomware, fire, virus, network, storm, workforce stoppages, terrorist attacks, vandalism, flooding, cyberattack - https://invenioit.com/continuity/4-real-life-business-continuity-examples/</t>
  </si>
  <si>
    <t xml:space="preserve">Retention Multiplier Due to Switch from Waterfall to Agile</t>
  </si>
  <si>
    <t xml:space="preserve">https://www.researchgate.net/publication/221592515_Comparative_Analysis_of_Job_Satisfaction_in_Agile_and_Non-agile_Software_Development_Teams</t>
  </si>
  <si>
    <t xml:space="preserve">Tech Sector Turnover Rate</t>
  </si>
  <si>
    <t xml:space="preserve">https://www.informationweek.com/strategic-cio/team-building-and-staffing/whats-driving-the-tech-sectors-extreme-turnover-rate/a/d-id/1334920</t>
  </si>
  <si>
    <t xml:space="preserve">Average Time to Fill a Role in IT Recruiting</t>
  </si>
  <si>
    <t xml:space="preserve">days</t>
  </si>
  <si>
    <t xml:space="preserve">Time to Create a New Posting</t>
  </si>
  <si>
    <t xml:space="preserve">Staff Involved in Creating Posting</t>
  </si>
  <si>
    <t xml:space="preserve">staff</t>
  </si>
  <si>
    <t xml:space="preserve">1 Senior Technology Staff Member, 1 Ministry HR Staff Member, 1 Public Service Staff Member (PSA)</t>
  </si>
  <si>
    <t xml:space="preserve">Time to Review Applicants (Initial Submissions) by PSA/HR</t>
  </si>
  <si>
    <t xml:space="preserve">Assume average 50 submissions</t>
  </si>
  <si>
    <t xml:space="preserve">Time to Review Filtered Applicants</t>
  </si>
  <si>
    <t xml:space="preserve">Assume 20 applications pass initial screening</t>
  </si>
  <si>
    <t xml:space="preserve">Creation of Candidate Test</t>
  </si>
  <si>
    <t xml:space="preserve">Assume taking previous tests and modifying them so as not to reuse exact questions/tasks</t>
  </si>
  <si>
    <t xml:space="preserve">Application of Candidate Test including Review</t>
  </si>
  <si>
    <t xml:space="preserve">Code Challenge over the course of a week including weekend</t>
  </si>
  <si>
    <t xml:space="preserve">Candidate in Person Interviews</t>
  </si>
  <si>
    <t xml:space="preserve">Assume 3 to 5 finalists</t>
  </si>
  <si>
    <t xml:space="preserve">Number of Staff on Interview Panel</t>
  </si>
  <si>
    <t xml:space="preserve">Post Selection Activities (Records Management, Feedback Calls, Announcements)</t>
  </si>
  <si>
    <t xml:space="preserve">Onboarding New Staff Member</t>
  </si>
  <si>
    <t xml:space="preserve">Introductions, equipment, forms, keycards, facilities tour.  Other specific training left to the Project Team</t>
  </si>
  <si>
    <t xml:space="preserve">Average Cost of Turnover as a Percentage of Employee Salary</t>
  </si>
  <si>
    <t xml:space="preserve">https://blogs.oracle.com/smb/4-sure-fire-ways-oracle-hcm-cloud-boosts-productivity</t>
  </si>
  <si>
    <t xml:space="preserve">Improved Technologist Retention factor due to working on modern technologies</t>
  </si>
  <si>
    <t xml:space="preserve">?</t>
  </si>
  <si>
    <t xml:space="preserve">Delay Factor due to half-year conversion time</t>
  </si>
  <si>
    <t xml:space="preserve">Assume it takes 6 months for the conversion work to be done and for any values &amp; savings to take effect</t>
  </si>
  <si>
    <t xml:space="preserve">Hourly Rate</t>
  </si>
  <si>
    <t xml:space="preserve">Selection</t>
  </si>
  <si>
    <t xml:space="preserve">Settings</t>
  </si>
  <si>
    <t xml:space="preserve">Constant</t>
  </si>
  <si>
    <t xml:space="preserve">assuming a form of migration patterns</t>
  </si>
  <si>
    <t xml:space="preserve">open to discuss</t>
  </si>
  <si>
    <t xml:space="preserve">List</t>
  </si>
  <si>
    <t xml:space="preserve">Low</t>
  </si>
  <si>
    <t xml:space="preserve">Medium</t>
  </si>
  <si>
    <t xml:space="preserve">High</t>
  </si>
  <si>
    <t xml:space="preserve">Ratio of Employees vs Contractors</t>
  </si>
  <si>
    <t xml:space="preserve">10% Employees</t>
  </si>
  <si>
    <t xml:space="preserve">50% Employees</t>
  </si>
  <si>
    <t xml:space="preserve">90% Employees</t>
  </si>
  <si>
    <t xml:space="preserve">Experience of Teams with BC Gov Migrations</t>
  </si>
  <si>
    <t xml:space="preserve">Figuring it out from Scratch</t>
  </si>
  <si>
    <t xml:space="preserve">Following Best Practice Documents</t>
  </si>
  <si>
    <t xml:space="preserve">Trained by Working on Previous Teams</t>
  </si>
  <si>
    <t xml:space="preserve">Likelihood of Shadow App Dependencies</t>
  </si>
  <si>
    <t xml:space="preserve">Average Cost of Gov Data Breach</t>
  </si>
  <si>
    <t xml:space="preserve">Low (2017 data)</t>
  </si>
  <si>
    <t xml:space="preserve">High (2019 Data)</t>
  </si>
  <si>
    <t xml:space="preserve">Average Currently Online Public Users per Application</t>
  </si>
  <si>
    <t xml:space="preserve">Average Legacy System Outage Length</t>
  </si>
  <si>
    <t xml:space="preserve">3 hours</t>
  </si>
  <si>
    <t xml:space="preserve">10 hours</t>
  </si>
  <si>
    <t xml:space="preserve">100 hours</t>
  </si>
  <si>
    <t xml:space="preserve">Public User Service Disruption Hourly Value</t>
  </si>
  <si>
    <t xml:space="preserve">Average Yearly Project Hours on New Features</t>
  </si>
  <si>
    <t xml:space="preserve">Low (3000)</t>
  </si>
  <si>
    <t xml:space="preserve">Medium (7500)</t>
  </si>
  <si>
    <t xml:space="preserve">High (12000)</t>
  </si>
  <si>
    <t xml:space="preserve">Area of Effort</t>
  </si>
  <si>
    <t xml:space="preserve">Effort Savings (Hours)</t>
  </si>
  <si>
    <t xml:space="preserve">Effort Esitimate (Hours)</t>
  </si>
  <si>
    <t xml:space="preserve">Data Changes</t>
  </si>
  <si>
    <t xml:space="preserve">PI Changes</t>
  </si>
  <si>
    <t xml:space="preserve">Technical Changes</t>
  </si>
  <si>
    <t xml:space="preserve">Deployment Changes</t>
  </si>
  <si>
    <t xml:space="preserve">Architectural Changes</t>
  </si>
  <si>
    <t xml:space="preserve">Optional Item</t>
  </si>
  <si>
    <t xml:space="preserve">Shadow App components</t>
  </si>
  <si>
    <t xml:space="preserve">Effort Esitimate</t>
  </si>
  <si>
    <t xml:space="preserve">Hours per FTE Week</t>
  </si>
  <si>
    <t xml:space="preserve">Hours</t>
  </si>
  <si>
    <t xml:space="preserve">Team Size</t>
  </si>
  <si>
    <t xml:space="preserve">Persons</t>
  </si>
  <si>
    <t xml:space="preserve">IS21 Hourly Rate</t>
  </si>
  <si>
    <t xml:space="preserve">https://www2.gov.bc.ca/gov/content/careers-myhr/all-employees/pay-benefits/salaries/salarylookuptool/tma/information-systems, yr3</t>
  </si>
  <si>
    <t xml:space="preserve">Tempoarary Market Adjustment IS24 &amp; IS28</t>
  </si>
  <si>
    <t xml:space="preserve">%</t>
  </si>
  <si>
    <t xml:space="preserve">IS24 Hourly Rate</t>
  </si>
  <si>
    <t xml:space="preserve">IS27 Hourly Rate</t>
  </si>
  <si>
    <t xml:space="preserve">FTE Hourly Rate</t>
  </si>
  <si>
    <t xml:space="preserve">1 lead IS27, 2 IS24s, 3 IS21s</t>
  </si>
  <si>
    <t xml:space="preserve">Contractor Hourly Rate</t>
  </si>
  <si>
    <t xml:space="preserve">1 Engagement Manager/Principle Investigator, 2 Senior FS Devs, 3 Junior FS Devs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</si>
</sst>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General"/>
    <numFmt numFmtId="166" formatCode="\$#,##0"/>
    <numFmt numFmtId="167" formatCode="_(\$* #,##0_);_(\$* \(#,##0\);_(\$* \-??_);_(@_)"/>
    <numFmt numFmtId="168" formatCode="_(\$* #,##0.00_);_(\$* \(#,##0.00\);_(\$* \-??_);_(@_)"/>
    <numFmt numFmtId="169" formatCode="0%"/>
    <numFmt numFmtId="170" formatCode="0"/>
    <numFmt numFmtId="171" formatCode="0.00"/>
    <numFmt numFmtId="172" formatCode="_(* #,##0.00_);_(* \(#,##0.00\);_(* \-??_);_(@_)"/>
    <numFmt numFmtId="173" formatCode="_(* #,##0_);_(* \(#,##0\);_(* \-??_);_(@_)"/>
    <numFmt numFmtId="174" formatCode="0.0%"/>
    <numFmt numFmtId="175" formatCode="\$#,##0_);[RED]&quot;($&quot;#,##0\)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9"/>
      <color rgb="FF40404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DEEBF7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Porfolio Values &amp; Costs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'Yearly Values &amp; Costs'!$B$1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b0f0"/>
            </a:solidFill>
            <a:ln w="28440">
              <a:solidFill>
                <a:srgbClr val="00b0f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'Yearly Values &amp; Costs'!$B$2:$B$6</c:f>
              <c:numCache>
                <c:formatCode>General</c:formatCode>
                <c:ptCount val="5"/>
                <c:pt idx="0">
                  <c:v>4337144.61321143</c:v>
                </c:pt>
                <c:pt idx="1">
                  <c:v>10120004.0974933</c:v>
                </c:pt>
                <c:pt idx="2">
                  <c:v>21685723.0660571</c:v>
                </c:pt>
                <c:pt idx="3">
                  <c:v>44817161.0031847</c:v>
                </c:pt>
                <c:pt idx="4">
                  <c:v>82405747.6510171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'Yearly Values &amp; Costs'!$C$1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'Yearly Values &amp; Costs'!$C$2:$C$6</c:f>
              <c:numCache>
                <c:formatCode>General</c:formatCode>
                <c:ptCount val="5"/>
                <c:pt idx="0">
                  <c:v>762394.60556976</c:v>
                </c:pt>
                <c:pt idx="1">
                  <c:v>1524789.21113952</c:v>
                </c:pt>
                <c:pt idx="2">
                  <c:v>3049578.42227904</c:v>
                </c:pt>
                <c:pt idx="3">
                  <c:v>6099156.84455808</c:v>
                </c:pt>
                <c:pt idx="4">
                  <c:v>6099156.84455808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717074"/>
        <c:axId val="58368356"/>
      </c:lineChart>
      <c:catAx>
        <c:axId val="897170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Porfolio 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368356"/>
        <c:crosses val="autoZero"/>
        <c:auto val="1"/>
        <c:lblAlgn val="ctr"/>
        <c:lblOffset val="100"/>
        <c:noMultiLvlLbl val="0"/>
      </c:catAx>
      <c:valAx>
        <c:axId val="583683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\$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717074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67103764587049"/>
          <c:y val="0.0617104623190883"/>
          <c:w val="0.119725942428106"/>
          <c:h val="0.16903290260670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Portfolio Yearly Savings</a:t>
            </a:r>
          </a:p>
        </c:rich>
      </c:tx>
      <c:layout>
        <c:manualLayout>
          <c:xMode val="edge"/>
          <c:yMode val="edge"/>
          <c:x val="0.351561068002688"/>
          <c:y val="0.0371933526773938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'Yearly Savings'!$A$1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'Yearly Savings'!$A$2:$A$6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'Yearly Savings'!$B$1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Lbls>
            <c:numFmt formatCode="_(\$* #,##0_);_(\$* \(#,##0\);_(\$* \-??_);_(@_)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'Yearly Savings'!$B$2:$B$6</c:f>
              <c:numCache>
                <c:formatCode>General</c:formatCode>
                <c:ptCount val="5"/>
                <c:pt idx="0">
                  <c:v>3574750.00764166</c:v>
                </c:pt>
                <c:pt idx="1">
                  <c:v>8595214.88635381</c:v>
                </c:pt>
                <c:pt idx="2">
                  <c:v>18636144.6437781</c:v>
                </c:pt>
                <c:pt idx="3">
                  <c:v>38718004.1586266</c:v>
                </c:pt>
                <c:pt idx="4">
                  <c:v>76306590.806459</c:v>
                </c:pt>
              </c:numCache>
            </c:numRef>
          </c:val>
        </c:ser>
        <c:gapWidth val="219"/>
        <c:overlap val="-27"/>
        <c:axId val="96650780"/>
        <c:axId val="70421451"/>
      </c:barChart>
      <c:catAx>
        <c:axId val="966507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421451"/>
        <c:crosses val="autoZero"/>
        <c:auto val="1"/>
        <c:lblAlgn val="ctr"/>
        <c:lblOffset val="100"/>
        <c:noMultiLvlLbl val="0"/>
      </c:catAx>
      <c:valAx>
        <c:axId val="704214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65078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6633907262174"/>
          <c:y val="0.144304826480023"/>
          <c:w val="0.0955255337881493"/>
          <c:h val="0.15625109361329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105840</xdr:colOff>
      <xdr:row>1</xdr:row>
      <xdr:rowOff>31680</xdr:rowOff>
    </xdr:from>
    <xdr:to>
      <xdr:col>11</xdr:col>
      <xdr:colOff>63000</xdr:colOff>
      <xdr:row>22</xdr:row>
      <xdr:rowOff>177480</xdr:rowOff>
    </xdr:to>
    <xdr:graphicFrame>
      <xdr:nvGraphicFramePr>
        <xdr:cNvPr id="0" name="Chart 1"/>
        <xdr:cNvGraphicFramePr/>
      </xdr:nvGraphicFramePr>
      <xdr:xfrm>
        <a:off x="7913520" y="231480"/>
        <a:ext cx="5918040" cy="434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142920</xdr:colOff>
      <xdr:row>26</xdr:row>
      <xdr:rowOff>25560</xdr:rowOff>
    </xdr:from>
    <xdr:to>
      <xdr:col>11</xdr:col>
      <xdr:colOff>73800</xdr:colOff>
      <xdr:row>39</xdr:row>
      <xdr:rowOff>154440</xdr:rowOff>
    </xdr:to>
    <xdr:graphicFrame>
      <xdr:nvGraphicFramePr>
        <xdr:cNvPr id="1" name="Chart 2"/>
        <xdr:cNvGraphicFramePr/>
      </xdr:nvGraphicFramePr>
      <xdr:xfrm>
        <a:off x="7950600" y="5226120"/>
        <a:ext cx="5891760" cy="272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0" activeCellId="0" sqref="C10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6.87"/>
    <col collapsed="false" customWidth="true" hidden="false" outlineLevel="0" max="2" min="2" style="0" width="42.62"/>
    <col collapsed="false" customWidth="true" hidden="false" outlineLevel="0" max="3" min="3" style="0" width="40.38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.75" hidden="false" customHeight="false" outlineLevel="0" collapsed="false">
      <c r="A2" s="1" t="s">
        <v>3</v>
      </c>
      <c r="B2" s="1" t="str">
        <f aca="false">'Sensitity Analysis Dropdowns'!$A$2</f>
        <v>Number of Teams</v>
      </c>
      <c r="C2" s="1" t="s">
        <v>4</v>
      </c>
    </row>
    <row r="3" customFormat="false" ht="15.75" hidden="false" customHeight="false" outlineLevel="0" collapsed="false">
      <c r="A3" s="1" t="s">
        <v>3</v>
      </c>
      <c r="B3" s="1" t="str">
        <f aca="false">'Sensitity Analysis Dropdowns'!$A$5</f>
        <v>Ratio of Employees vs Contractors</v>
      </c>
      <c r="C3" s="1" t="s">
        <v>5</v>
      </c>
    </row>
    <row r="4" customFormat="false" ht="15.75" hidden="false" customHeight="false" outlineLevel="0" collapsed="false">
      <c r="A4" s="1" t="s">
        <v>3</v>
      </c>
      <c r="B4" s="1" t="str">
        <f aca="false">'Sensitity Analysis Dropdowns'!$A$8</f>
        <v>Experience of Teams with BC Gov Migrations</v>
      </c>
      <c r="C4" s="1" t="s">
        <v>6</v>
      </c>
    </row>
    <row r="5" customFormat="false" ht="15.75" hidden="false" customHeight="false" outlineLevel="0" collapsed="false">
      <c r="A5" s="1" t="s">
        <v>3</v>
      </c>
      <c r="B5" s="1" t="str">
        <f aca="false">'Sensitity Analysis Dropdowns'!$A$11</f>
        <v>Likelihood of Shadow App Dependencies</v>
      </c>
      <c r="C5" s="1" t="s">
        <v>7</v>
      </c>
    </row>
    <row r="6" customFormat="false" ht="15.75" hidden="false" customHeight="false" outlineLevel="0" collapsed="false">
      <c r="A6" s="2" t="s">
        <v>2</v>
      </c>
      <c r="B6" s="2" t="str">
        <f aca="false">'Sensitity Analysis Dropdowns'!$A$14</f>
        <v>Average Cost of Gov Data Breach</v>
      </c>
      <c r="C6" s="2" t="s">
        <v>8</v>
      </c>
    </row>
    <row r="7" customFormat="false" ht="15.75" hidden="false" customHeight="false" outlineLevel="0" collapsed="false">
      <c r="A7" s="2" t="s">
        <v>2</v>
      </c>
      <c r="B7" s="2" t="str">
        <f aca="false">'Sensitity Analysis Dropdowns'!$A$17</f>
        <v>Average Currently Online Public Users per Application</v>
      </c>
      <c r="C7" s="2" t="s">
        <v>9</v>
      </c>
    </row>
    <row r="8" customFormat="false" ht="15.75" hidden="false" customHeight="false" outlineLevel="0" collapsed="false">
      <c r="A8" s="2" t="s">
        <v>2</v>
      </c>
      <c r="B8" s="2" t="str">
        <f aca="false">'Sensitity Analysis Dropdowns'!$A$20</f>
        <v>Average Legacy System Outage Length</v>
      </c>
      <c r="C8" s="2" t="s">
        <v>10</v>
      </c>
    </row>
    <row r="9" customFormat="false" ht="15.75" hidden="false" customHeight="false" outlineLevel="0" collapsed="false">
      <c r="A9" s="2" t="s">
        <v>2</v>
      </c>
      <c r="B9" s="2" t="str">
        <f aca="false">'Sensitity Analysis Dropdowns'!$A$23</f>
        <v>Public User Service Disruption Hourly Value</v>
      </c>
      <c r="C9" s="2" t="s">
        <v>11</v>
      </c>
    </row>
    <row r="10" customFormat="false" ht="15.75" hidden="false" customHeight="false" outlineLevel="0" collapsed="false">
      <c r="A10" s="2" t="s">
        <v>2</v>
      </c>
      <c r="B10" s="2" t="str">
        <f aca="false">'Sensitity Analysis Dropdowns'!$A$26</f>
        <v>Average Yearly Project Hours on New Features</v>
      </c>
      <c r="C10" s="2" t="s">
        <v>12</v>
      </c>
    </row>
    <row r="11" customFormat="false" ht="15.75" hidden="false" customHeight="false" outlineLevel="0" collapsed="false">
      <c r="A11" s="3" t="s">
        <v>13</v>
      </c>
      <c r="B11" s="4" t="n">
        <f aca="false">'Sensitivity Analysis Variables'!C3</f>
        <v>4</v>
      </c>
      <c r="C11" s="4" t="n">
        <f aca="false">'Sensitivity Analysis Variables'!D3</f>
        <v>8</v>
      </c>
      <c r="D11" s="4" t="n">
        <f aca="false">'Sensitivity Analysis Variables'!E3</f>
        <v>16</v>
      </c>
      <c r="E11" s="4" t="n">
        <f aca="false">'Sensitivity Analysis Variables'!F3</f>
        <v>32</v>
      </c>
      <c r="F11" s="4" t="n">
        <f aca="false">'Sensitivity Analysis Variables'!G3</f>
        <v>64</v>
      </c>
    </row>
    <row r="12" customFormat="false" ht="15.75" hidden="false" customHeight="false" outlineLevel="0" collapsed="false">
      <c r="A12" s="5" t="s">
        <v>14</v>
      </c>
      <c r="B12" s="5"/>
      <c r="C12" s="5"/>
      <c r="D12" s="5"/>
    </row>
    <row r="13" customFormat="false" ht="15.75" hidden="false" customHeight="false" outlineLevel="0" collapsed="false">
      <c r="A13" s="6"/>
    </row>
  </sheetData>
  <dataValidations count="1">
    <dataValidation allowBlank="true" operator="between" showDropDown="false" showErrorMessage="true" showInputMessage="true" sqref="C2:C1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0" activeCellId="0" sqref="B20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55.5"/>
  </cols>
  <sheetData>
    <row r="1" customFormat="false" ht="15.75" hidden="false" customHeight="false" outlineLevel="0" collapsed="false">
      <c r="A1" s="0" t="s">
        <v>141</v>
      </c>
      <c r="B1" s="0" t="s">
        <v>2</v>
      </c>
    </row>
    <row r="2" customFormat="false" ht="15.75" hidden="false" customHeight="false" outlineLevel="0" collapsed="false">
      <c r="A2" s="0" t="s">
        <v>13</v>
      </c>
      <c r="B2" s="0" t="s">
        <v>142</v>
      </c>
    </row>
    <row r="3" customFormat="false" ht="15.75" hidden="false" customHeight="false" outlineLevel="0" collapsed="false">
      <c r="A3" s="0" t="s">
        <v>13</v>
      </c>
      <c r="B3" s="0" t="s">
        <v>143</v>
      </c>
    </row>
    <row r="4" customFormat="false" ht="15.75" hidden="false" customHeight="false" outlineLevel="0" collapsed="false">
      <c r="A4" s="0" t="s">
        <v>13</v>
      </c>
      <c r="B4" s="0" t="s">
        <v>144</v>
      </c>
    </row>
    <row r="5" customFormat="false" ht="15.75" hidden="false" customHeight="false" outlineLevel="0" collapsed="false">
      <c r="A5" s="0" t="s">
        <v>145</v>
      </c>
      <c r="B5" s="0" t="s">
        <v>146</v>
      </c>
    </row>
    <row r="6" customFormat="false" ht="15.75" hidden="false" customHeight="false" outlineLevel="0" collapsed="false">
      <c r="A6" s="0" t="s">
        <v>145</v>
      </c>
      <c r="B6" s="0" t="s">
        <v>147</v>
      </c>
    </row>
    <row r="7" customFormat="false" ht="15.75" hidden="false" customHeight="false" outlineLevel="0" collapsed="false">
      <c r="A7" s="0" t="s">
        <v>145</v>
      </c>
      <c r="B7" s="0" t="s">
        <v>148</v>
      </c>
    </row>
    <row r="8" customFormat="false" ht="15.75" hidden="false" customHeight="false" outlineLevel="0" collapsed="false">
      <c r="A8" s="0" t="s">
        <v>149</v>
      </c>
      <c r="B8" s="0" t="s">
        <v>150</v>
      </c>
    </row>
    <row r="9" customFormat="false" ht="15.75" hidden="false" customHeight="false" outlineLevel="0" collapsed="false">
      <c r="A9" s="0" t="s">
        <v>149</v>
      </c>
      <c r="B9" s="0" t="s">
        <v>151</v>
      </c>
    </row>
    <row r="10" customFormat="false" ht="15.75" hidden="false" customHeight="false" outlineLevel="0" collapsed="false">
      <c r="A10" s="0" t="s">
        <v>149</v>
      </c>
      <c r="B10" s="0" t="s">
        <v>152</v>
      </c>
    </row>
    <row r="11" customFormat="false" ht="15.75" hidden="false" customHeight="false" outlineLevel="0" collapsed="false">
      <c r="A11" s="0" t="s">
        <v>153</v>
      </c>
      <c r="B11" s="0" t="s">
        <v>142</v>
      </c>
    </row>
    <row r="12" customFormat="false" ht="15.75" hidden="false" customHeight="false" outlineLevel="0" collapsed="false">
      <c r="A12" s="0" t="s">
        <v>153</v>
      </c>
      <c r="B12" s="0" t="s">
        <v>143</v>
      </c>
    </row>
    <row r="13" customFormat="false" ht="15.75" hidden="false" customHeight="false" outlineLevel="0" collapsed="false">
      <c r="A13" s="0" t="s">
        <v>153</v>
      </c>
      <c r="B13" s="0" t="s">
        <v>144</v>
      </c>
    </row>
    <row r="14" customFormat="false" ht="15.75" hidden="false" customHeight="false" outlineLevel="0" collapsed="false">
      <c r="A14" s="0" t="s">
        <v>154</v>
      </c>
      <c r="B14" s="0" t="s">
        <v>155</v>
      </c>
    </row>
    <row r="15" customFormat="false" ht="15.75" hidden="false" customHeight="false" outlineLevel="0" collapsed="false">
      <c r="A15" s="0" t="s">
        <v>154</v>
      </c>
      <c r="B15" s="0" t="s">
        <v>143</v>
      </c>
    </row>
    <row r="16" customFormat="false" ht="15.75" hidden="false" customHeight="false" outlineLevel="0" collapsed="false">
      <c r="A16" s="0" t="s">
        <v>154</v>
      </c>
      <c r="B16" s="0" t="s">
        <v>156</v>
      </c>
    </row>
    <row r="17" customFormat="false" ht="15.75" hidden="false" customHeight="false" outlineLevel="0" collapsed="false">
      <c r="A17" s="0" t="s">
        <v>157</v>
      </c>
      <c r="B17" s="0" t="n">
        <v>5</v>
      </c>
    </row>
    <row r="18" customFormat="false" ht="15.75" hidden="false" customHeight="false" outlineLevel="0" collapsed="false">
      <c r="A18" s="0" t="s">
        <v>157</v>
      </c>
      <c r="B18" s="0" t="n">
        <v>20</v>
      </c>
    </row>
    <row r="19" customFormat="false" ht="15.75" hidden="false" customHeight="false" outlineLevel="0" collapsed="false">
      <c r="A19" s="0" t="s">
        <v>157</v>
      </c>
      <c r="B19" s="0" t="n">
        <v>100</v>
      </c>
    </row>
    <row r="20" customFormat="false" ht="15.75" hidden="false" customHeight="false" outlineLevel="0" collapsed="false">
      <c r="A20" s="0" t="s">
        <v>158</v>
      </c>
      <c r="B20" s="0" t="s">
        <v>159</v>
      </c>
    </row>
    <row r="21" customFormat="false" ht="15.75" hidden="false" customHeight="false" outlineLevel="0" collapsed="false">
      <c r="A21" s="0" t="s">
        <v>158</v>
      </c>
      <c r="B21" s="0" t="s">
        <v>160</v>
      </c>
    </row>
    <row r="22" customFormat="false" ht="15.75" hidden="false" customHeight="false" outlineLevel="0" collapsed="false">
      <c r="A22" s="0" t="s">
        <v>158</v>
      </c>
      <c r="B22" s="0" t="s">
        <v>161</v>
      </c>
    </row>
    <row r="23" customFormat="false" ht="15.75" hidden="false" customHeight="false" outlineLevel="0" collapsed="false">
      <c r="A23" s="0" t="s">
        <v>162</v>
      </c>
      <c r="B23" s="23" t="n">
        <v>10</v>
      </c>
    </row>
    <row r="24" customFormat="false" ht="15.75" hidden="false" customHeight="false" outlineLevel="0" collapsed="false">
      <c r="A24" s="0" t="s">
        <v>162</v>
      </c>
      <c r="B24" s="23" t="n">
        <v>20</v>
      </c>
    </row>
    <row r="25" customFormat="false" ht="15.75" hidden="false" customHeight="false" outlineLevel="0" collapsed="false">
      <c r="A25" s="0" t="s">
        <v>162</v>
      </c>
      <c r="B25" s="23" t="n">
        <v>30</v>
      </c>
    </row>
    <row r="26" customFormat="false" ht="15.75" hidden="false" customHeight="false" outlineLevel="0" collapsed="false">
      <c r="A26" s="0" t="s">
        <v>163</v>
      </c>
      <c r="B26" s="0" t="s">
        <v>164</v>
      </c>
    </row>
    <row r="27" customFormat="false" ht="15.75" hidden="false" customHeight="false" outlineLevel="0" collapsed="false">
      <c r="A27" s="0" t="s">
        <v>163</v>
      </c>
      <c r="B27" s="0" t="s">
        <v>165</v>
      </c>
    </row>
    <row r="28" customFormat="false" ht="15.75" hidden="false" customHeight="false" outlineLevel="0" collapsed="false">
      <c r="A28" s="0" t="s">
        <v>163</v>
      </c>
      <c r="B28" s="0" t="s">
        <v>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EEBF7"/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46.5"/>
    <col collapsed="false" customWidth="true" hidden="false" outlineLevel="0" max="2" min="2" style="0" width="19.13"/>
  </cols>
  <sheetData>
    <row r="1" customFormat="false" ht="15.75" hidden="false" customHeight="false" outlineLevel="0" collapsed="false">
      <c r="A1" s="0" t="s">
        <v>167</v>
      </c>
      <c r="B1" s="0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2CC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8" activeCellId="0" sqref="B8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19.13"/>
    <col collapsed="false" customWidth="true" hidden="false" outlineLevel="0" max="2" min="2" style="0" width="20.87"/>
  </cols>
  <sheetData>
    <row r="1" customFormat="false" ht="15.75" hidden="false" customHeight="false" outlineLevel="0" collapsed="false">
      <c r="A1" s="0" t="s">
        <v>167</v>
      </c>
      <c r="B1" s="0" t="s">
        <v>169</v>
      </c>
    </row>
    <row r="2" customFormat="false" ht="15.75" hidden="false" customHeight="false" outlineLevel="0" collapsed="false">
      <c r="A2" s="0" t="s">
        <v>170</v>
      </c>
      <c r="B2" s="0" t="n">
        <v>280</v>
      </c>
    </row>
    <row r="3" customFormat="false" ht="15.75" hidden="false" customHeight="false" outlineLevel="0" collapsed="false">
      <c r="A3" s="0" t="s">
        <v>171</v>
      </c>
      <c r="B3" s="0" t="n">
        <v>0</v>
      </c>
    </row>
    <row r="4" customFormat="false" ht="15.75" hidden="false" customHeight="false" outlineLevel="0" collapsed="false">
      <c r="A4" s="0" t="s">
        <v>172</v>
      </c>
      <c r="B4" s="0" t="n">
        <v>351</v>
      </c>
    </row>
    <row r="5" customFormat="false" ht="15.75" hidden="false" customHeight="false" outlineLevel="0" collapsed="false">
      <c r="A5" s="0" t="s">
        <v>173</v>
      </c>
      <c r="B5" s="0" t="n">
        <v>55</v>
      </c>
    </row>
    <row r="6" customFormat="false" ht="15.75" hidden="false" customHeight="false" outlineLevel="0" collapsed="false">
      <c r="A6" s="0" t="s">
        <v>174</v>
      </c>
      <c r="B6" s="0" t="n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2CC"/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22.13"/>
    <col collapsed="false" customWidth="true" hidden="false" outlineLevel="0" max="2" min="2" style="0" width="20.87"/>
  </cols>
  <sheetData>
    <row r="1" customFormat="false" ht="15.75" hidden="false" customHeight="false" outlineLevel="0" collapsed="false">
      <c r="A1" s="0" t="s">
        <v>175</v>
      </c>
      <c r="B1" s="0" t="s">
        <v>169</v>
      </c>
    </row>
    <row r="2" customFormat="false" ht="15.75" hidden="false" customHeight="false" outlineLevel="0" collapsed="false">
      <c r="A2" s="0" t="s">
        <v>176</v>
      </c>
      <c r="B2" s="0" t="n">
        <f aca="false">'Cost Constants'!$B$2 * 4 * 6</f>
        <v>900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2CC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8" activeCellId="0" sqref="F18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19.13"/>
    <col collapsed="false" customWidth="true" hidden="false" outlineLevel="0" max="2" min="2" style="0" width="14.13"/>
  </cols>
  <sheetData>
    <row r="1" customFormat="false" ht="15.75" hidden="false" customHeight="false" outlineLevel="0" collapsed="false">
      <c r="A1" s="0" t="s">
        <v>167</v>
      </c>
      <c r="B1" s="0" t="s">
        <v>177</v>
      </c>
    </row>
    <row r="2" customFormat="false" ht="15.75" hidden="false" customHeight="false" outlineLevel="0" collapsed="false">
      <c r="A2" s="0" t="s">
        <v>170</v>
      </c>
      <c r="B2" s="0" t="n">
        <v>250</v>
      </c>
    </row>
    <row r="3" customFormat="false" ht="15.75" hidden="false" customHeight="false" outlineLevel="0" collapsed="false">
      <c r="A3" s="0" t="s">
        <v>171</v>
      </c>
      <c r="B3" s="0" t="n">
        <v>250</v>
      </c>
    </row>
    <row r="4" customFormat="false" ht="15.75" hidden="false" customHeight="false" outlineLevel="0" collapsed="false">
      <c r="A4" s="0" t="s">
        <v>172</v>
      </c>
      <c r="B4" s="0" t="n">
        <v>70</v>
      </c>
    </row>
    <row r="5" customFormat="false" ht="15.75" hidden="false" customHeight="false" outlineLevel="0" collapsed="false">
      <c r="A5" s="0" t="s">
        <v>173</v>
      </c>
      <c r="B5" s="0" t="n">
        <v>70</v>
      </c>
    </row>
    <row r="6" customFormat="false" ht="15.75" hidden="false" customHeight="false" outlineLevel="0" collapsed="false">
      <c r="A6" s="0" t="s">
        <v>174</v>
      </c>
      <c r="B6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2CC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4" activeCellId="0" sqref="D4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38"/>
  </cols>
  <sheetData>
    <row r="1" customFormat="false" ht="15.75" hidden="false" customHeight="false" outlineLevel="0" collapsed="false">
      <c r="A1" s="0" t="s">
        <v>19</v>
      </c>
      <c r="B1" s="0" t="s">
        <v>2</v>
      </c>
      <c r="C1" s="0" t="s">
        <v>48</v>
      </c>
      <c r="D1" s="0" t="s">
        <v>49</v>
      </c>
    </row>
    <row r="2" customFormat="false" ht="15.75" hidden="false" customHeight="false" outlineLevel="0" collapsed="false">
      <c r="A2" s="0" t="s">
        <v>178</v>
      </c>
      <c r="B2" s="0" t="n">
        <v>37.5</v>
      </c>
      <c r="C2" s="0" t="s">
        <v>179</v>
      </c>
    </row>
    <row r="3" customFormat="false" ht="15.75" hidden="false" customHeight="false" outlineLevel="0" collapsed="false">
      <c r="A3" s="0" t="s">
        <v>180</v>
      </c>
      <c r="B3" s="0" t="n">
        <v>6</v>
      </c>
      <c r="C3" s="0" t="s">
        <v>181</v>
      </c>
    </row>
    <row r="4" customFormat="false" ht="15.75" hidden="false" customHeight="false" outlineLevel="0" collapsed="false">
      <c r="A4" s="0" t="s">
        <v>182</v>
      </c>
      <c r="B4" s="12" t="n">
        <v>34.6973</v>
      </c>
      <c r="C4" s="0" t="s">
        <v>51</v>
      </c>
      <c r="D4" s="0" t="s">
        <v>183</v>
      </c>
    </row>
    <row r="5" customFormat="false" ht="15.75" hidden="false" customHeight="false" outlineLevel="0" collapsed="false">
      <c r="A5" s="0" t="s">
        <v>184</v>
      </c>
      <c r="B5" s="24" t="n">
        <v>0.066</v>
      </c>
      <c r="C5" s="0" t="s">
        <v>185</v>
      </c>
    </row>
    <row r="6" customFormat="false" ht="15.75" hidden="false" customHeight="false" outlineLevel="0" collapsed="false">
      <c r="A6" s="0" t="s">
        <v>186</v>
      </c>
      <c r="B6" s="12" t="n">
        <f aca="false">(1+$B$5)*37.9013</f>
        <v>40.4027858</v>
      </c>
      <c r="C6" s="0" t="s">
        <v>51</v>
      </c>
      <c r="D6" s="0" t="s">
        <v>183</v>
      </c>
    </row>
    <row r="7" customFormat="false" ht="15.75" hidden="false" customHeight="false" outlineLevel="0" collapsed="false">
      <c r="A7" s="0" t="s">
        <v>187</v>
      </c>
      <c r="B7" s="12" t="n">
        <f aca="false">(1+$B$5)*41.4369</f>
        <v>44.1717354</v>
      </c>
      <c r="C7" s="0" t="s">
        <v>51</v>
      </c>
      <c r="D7" s="0" t="s">
        <v>183</v>
      </c>
    </row>
    <row r="8" customFormat="false" ht="15.75" hidden="false" customHeight="false" outlineLevel="0" collapsed="false">
      <c r="A8" s="0" t="s">
        <v>188</v>
      </c>
      <c r="B8" s="12" t="n">
        <f aca="false">($B$7+(2*$B$6)+(3*$B$4))/6</f>
        <v>38.1782011666667</v>
      </c>
      <c r="C8" s="0" t="s">
        <v>51</v>
      </c>
      <c r="D8" s="0" t="s">
        <v>189</v>
      </c>
    </row>
    <row r="9" customFormat="false" ht="15.75" hidden="false" customHeight="false" outlineLevel="0" collapsed="false">
      <c r="A9" s="0" t="s">
        <v>190</v>
      </c>
      <c r="B9" s="12" t="n">
        <f aca="false">(120+(2*100)+(3*90))/6</f>
        <v>98.3333333333333</v>
      </c>
      <c r="C9" s="0" t="s">
        <v>51</v>
      </c>
      <c r="D9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2F0D9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9921875" defaultRowHeight="15.75" zeroHeight="false" outlineLevelRow="0" outlineLevelCol="0"/>
  <cols>
    <col collapsed="false" customWidth="true" hidden="false" outlineLevel="0" max="2" min="2" style="0" width="14.51"/>
  </cols>
  <sheetData>
    <row r="1" customFormat="false" ht="15.75" hidden="false" customHeight="false" outlineLevel="0" collapsed="false">
      <c r="A1" s="7" t="s">
        <v>15</v>
      </c>
      <c r="B1" s="7" t="s">
        <v>16</v>
      </c>
    </row>
    <row r="2" customFormat="false" ht="15.75" hidden="false" customHeight="false" outlineLevel="0" collapsed="false">
      <c r="A2" s="7" t="n">
        <v>1</v>
      </c>
      <c r="B2" s="8" t="n">
        <f aca="false">'Yearly Values &amp; Costs'!B2-'Yearly Values &amp; Costs'!C2</f>
        <v>3574750.00764166</v>
      </c>
    </row>
    <row r="3" customFormat="false" ht="15.75" hidden="false" customHeight="false" outlineLevel="0" collapsed="false">
      <c r="A3" s="7" t="n">
        <v>2</v>
      </c>
      <c r="B3" s="8" t="n">
        <f aca="false">'Yearly Values &amp; Costs'!B3-'Yearly Values &amp; Costs'!C3</f>
        <v>8595214.88635381</v>
      </c>
    </row>
    <row r="4" customFormat="false" ht="15.75" hidden="false" customHeight="false" outlineLevel="0" collapsed="false">
      <c r="A4" s="7" t="n">
        <v>3</v>
      </c>
      <c r="B4" s="8" t="n">
        <f aca="false">'Yearly Values &amp; Costs'!B4-'Yearly Values &amp; Costs'!C4</f>
        <v>18636144.6437781</v>
      </c>
    </row>
    <row r="5" customFormat="false" ht="15.75" hidden="false" customHeight="false" outlineLevel="0" collapsed="false">
      <c r="A5" s="7" t="n">
        <v>4</v>
      </c>
      <c r="B5" s="8" t="n">
        <f aca="false">'Yearly Values &amp; Costs'!B5-'Yearly Values &amp; Costs'!C5</f>
        <v>38718004.1586266</v>
      </c>
    </row>
    <row r="6" customFormat="false" ht="15.75" hidden="false" customHeight="false" outlineLevel="0" collapsed="false">
      <c r="A6" s="7" t="n">
        <v>5</v>
      </c>
      <c r="B6" s="8" t="n">
        <f aca="false">'Yearly Values &amp; Costs'!B6-'Yearly Values &amp; Costs'!C6</f>
        <v>76306590.806459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2F0D9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6" activeCellId="0" sqref="D6"/>
    </sheetView>
  </sheetViews>
  <sheetFormatPr defaultColWidth="10.9921875" defaultRowHeight="15.7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5.87"/>
    <col collapsed="false" customWidth="true" hidden="false" outlineLevel="0" max="4" min="4" style="0" width="11.5"/>
  </cols>
  <sheetData>
    <row r="1" customFormat="false" ht="15.75" hidden="false" customHeight="false" outlineLevel="0" collapsed="false">
      <c r="A1" s="0" t="s">
        <v>15</v>
      </c>
      <c r="B1" s="0" t="s">
        <v>2</v>
      </c>
      <c r="C1" s="0" t="s">
        <v>3</v>
      </c>
      <c r="D1" s="0" t="s">
        <v>17</v>
      </c>
    </row>
    <row r="2" customFormat="false" ht="15.75" hidden="false" customHeight="false" outlineLevel="0" collapsed="false">
      <c r="A2" s="0" t="n">
        <v>1</v>
      </c>
      <c r="B2" s="9" t="n">
        <f aca="false">'Portfolio Value Summary'!$C$23</f>
        <v>4337144.61321143</v>
      </c>
      <c r="C2" s="9" t="n">
        <f aca="false">'Portfolio Cost Summary'!$C$13</f>
        <v>762394.60556976</v>
      </c>
      <c r="D2" s="10" t="n">
        <f aca="false">B2-C2</f>
        <v>3574750.00764166</v>
      </c>
    </row>
    <row r="3" customFormat="false" ht="15.75" hidden="false" customHeight="false" outlineLevel="0" collapsed="false">
      <c r="A3" s="0" t="n">
        <v>2</v>
      </c>
      <c r="B3" s="9" t="n">
        <f aca="false">'Portfolio Value Summary'!$D$23</f>
        <v>10120004.0974933</v>
      </c>
      <c r="C3" s="9" t="n">
        <f aca="false">'Portfolio Cost Summary'!$D$13</f>
        <v>1524789.21113952</v>
      </c>
      <c r="D3" s="10" t="n">
        <f aca="false">B3-C3</f>
        <v>8595214.88635381</v>
      </c>
    </row>
    <row r="4" customFormat="false" ht="15.75" hidden="false" customHeight="false" outlineLevel="0" collapsed="false">
      <c r="A4" s="0" t="n">
        <v>3</v>
      </c>
      <c r="B4" s="9" t="n">
        <f aca="false">'Portfolio Value Summary'!$E$23</f>
        <v>21685723.0660571</v>
      </c>
      <c r="C4" s="9" t="n">
        <f aca="false">'Portfolio Cost Summary'!$E$13</f>
        <v>3049578.42227904</v>
      </c>
      <c r="D4" s="10" t="n">
        <f aca="false">B4-C4</f>
        <v>18636144.6437781</v>
      </c>
    </row>
    <row r="5" customFormat="false" ht="15.75" hidden="false" customHeight="false" outlineLevel="0" collapsed="false">
      <c r="A5" s="0" t="n">
        <v>4</v>
      </c>
      <c r="B5" s="9" t="n">
        <f aca="false">'Portfolio Value Summary'!$F$23</f>
        <v>44817161.0031847</v>
      </c>
      <c r="C5" s="9" t="n">
        <f aca="false">'Portfolio Cost Summary'!$F$13</f>
        <v>6099156.84455808</v>
      </c>
      <c r="D5" s="10" t="n">
        <f aca="false">B5-C5</f>
        <v>38718004.1586266</v>
      </c>
    </row>
    <row r="6" customFormat="false" ht="15.75" hidden="false" customHeight="false" outlineLevel="0" collapsed="false">
      <c r="A6" s="0" t="n">
        <v>5</v>
      </c>
      <c r="B6" s="9" t="n">
        <f aca="false">'Portfolio Value Summary'!$G$23</f>
        <v>82405747.6510171</v>
      </c>
      <c r="C6" s="9" t="n">
        <f aca="false">'Portfolio Cost Summary'!$G$13</f>
        <v>6099156.84455808</v>
      </c>
      <c r="D6" s="10" t="n">
        <f aca="false">B6-C6</f>
        <v>76306590.806459</v>
      </c>
    </row>
    <row r="7" customFormat="false" ht="15.75" hidden="false" customHeight="false" outlineLevel="0" collapsed="false">
      <c r="A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EEBF7"/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G24" activeCellId="0" sqref="G24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31.13"/>
    <col collapsed="false" customWidth="true" hidden="false" outlineLevel="0" max="2" min="2" style="0" width="70.62"/>
    <col collapsed="false" customWidth="true" hidden="false" outlineLevel="0" max="3" min="3" style="0" width="17.62"/>
    <col collapsed="false" customWidth="true" hidden="false" outlineLevel="0" max="6" min="4" style="0" width="11.13"/>
    <col collapsed="false" customWidth="true" hidden="false" outlineLevel="0" max="7" min="7" style="0" width="11.87"/>
    <col collapsed="false" customWidth="true" hidden="false" outlineLevel="0" max="8" min="8" style="0" width="11.62"/>
  </cols>
  <sheetData>
    <row r="1" customFormat="false" ht="15.75" hidden="false" customHeight="false" outlineLevel="0" collapsed="false">
      <c r="A1" s="0" t="s">
        <v>18</v>
      </c>
      <c r="B1" s="0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25</v>
      </c>
    </row>
    <row r="2" customFormat="false" ht="15.75" hidden="false" customHeight="false" outlineLevel="0" collapsed="false">
      <c r="A2" s="0" t="s">
        <v>26</v>
      </c>
      <c r="B2" s="0" t="s">
        <v>27</v>
      </c>
      <c r="C2" s="12" t="n">
        <f aca="false">('Sensitivity Analysis Variables'!C$3*'Sensitivity Analysis Variables'!$C$7*'Value Constants'!$B$11*'Value Constants'!$B$12*(1-'Value Constants'!$B$13))</f>
        <v>222673.410107324</v>
      </c>
      <c r="D2" s="12" t="n">
        <f aca="false">('Sensitivity Analysis Variables'!D$3*'Sensitivity Analysis Variables'!$C$7*'Value Constants'!$B$11*'Value Constants'!$B$12*(1-'Value Constants'!$B$13))</f>
        <v>445346.820214648</v>
      </c>
      <c r="E2" s="12" t="n">
        <f aca="false">('Sensitivity Analysis Variables'!E$3*'Sensitivity Analysis Variables'!$C$7*'Value Constants'!$B$11*'Value Constants'!$B$12*(1-'Value Constants'!$B$13))</f>
        <v>890693.640429295</v>
      </c>
      <c r="F2" s="12" t="n">
        <f aca="false">('Sensitivity Analysis Variables'!F$3*'Sensitivity Analysis Variables'!$C$7*'Value Constants'!$B$11*'Value Constants'!$B$12*(1-'Value Constants'!$B$13))</f>
        <v>1781387.28085859</v>
      </c>
      <c r="G2" s="12" t="n">
        <f aca="false">('Sensitivity Analysis Variables'!G$3*'Sensitivity Analysis Variables'!$C$7*'Value Constants'!$B$11*'Value Constants'!$B$12*(1-'Value Constants'!$B$13))</f>
        <v>3562774.56171718</v>
      </c>
      <c r="H2" s="12" t="n">
        <f aca="false">SUM(C2:G2)</f>
        <v>6902875.71332704</v>
      </c>
    </row>
    <row r="3" customFormat="false" ht="15.75" hidden="false" customHeight="false" outlineLevel="0" collapsed="false">
      <c r="A3" s="0" t="s">
        <v>26</v>
      </c>
      <c r="B3" s="0" t="s">
        <v>28</v>
      </c>
      <c r="C3" s="12" t="n">
        <f aca="false">(('Value Constants'!$B$17*'Team Hourly Burn'!$B$2)+('Value Constants'!$B$18*'Cost Constants'!$B$4)+('Sensitivity Analysis Variables'!$C$8*'Sensitivity Analysis Variables'!$C$10))*'Sensitivity Analysis Variables'!$C$9*'Sensitivity Analysis Variables'!C$3</f>
        <v>1634045.08575333</v>
      </c>
      <c r="D3" s="12" t="n">
        <f aca="false">(('Value Constants'!$B$17*'Team Hourly Burn'!$B$2)+('Value Constants'!$B$18*'Cost Constants'!$B$4)+('Sensitivity Analysis Variables'!$C$8*'Sensitivity Analysis Variables'!$C$10))*'Sensitivity Analysis Variables'!$C$9*'Sensitivity Analysis Variables'!D$3</f>
        <v>3268090.17150667</v>
      </c>
      <c r="E3" s="12" t="n">
        <f aca="false">(('Value Constants'!$B$17*'Team Hourly Burn'!$B$2)+('Value Constants'!$B$18*'Cost Constants'!$B$4)+('Sensitivity Analysis Variables'!$C$8*'Sensitivity Analysis Variables'!$C$10))*'Sensitivity Analysis Variables'!$C$9*'Sensitivity Analysis Variables'!E$3</f>
        <v>6536180.34301333</v>
      </c>
      <c r="F3" s="12" t="n">
        <f aca="false">(('Value Constants'!$B$17*'Team Hourly Burn'!$B$2)+('Value Constants'!$B$18*'Cost Constants'!$B$4)+('Sensitivity Analysis Variables'!$C$8*'Sensitivity Analysis Variables'!$C$10))*'Sensitivity Analysis Variables'!$C$9*'Sensitivity Analysis Variables'!F$3</f>
        <v>13072360.6860267</v>
      </c>
      <c r="G3" s="12" t="n">
        <f aca="false">(('Value Constants'!$B$17*'Team Hourly Burn'!$B$2)+('Value Constants'!$B$18*'Cost Constants'!$B$4)+('Sensitivity Analysis Variables'!$C$8*'Sensitivity Analysis Variables'!$C$10))*'Sensitivity Analysis Variables'!$C$9*'Sensitivity Analysis Variables'!G$3</f>
        <v>26144721.3720533</v>
      </c>
      <c r="H3" s="12" t="n">
        <f aca="false">SUM(C3:G3)</f>
        <v>50655397.6583533</v>
      </c>
    </row>
    <row r="4" customFormat="false" ht="15.75" hidden="false" customHeight="false" outlineLevel="0" collapsed="false">
      <c r="A4" s="0" t="s">
        <v>26</v>
      </c>
      <c r="B4" s="0" t="s">
        <v>29</v>
      </c>
      <c r="C4" s="12" t="n">
        <f aca="false">('Sensitivity Analysis Variables'!$C$11*'Team Hourly Burn'!$B$2)*'Sensitivity Analysis Variables'!C$3</f>
        <v>2121298.2904</v>
      </c>
      <c r="D4" s="12" t="n">
        <f aca="false">('Sensitivity Analysis Variables'!$C$11*'Team Hourly Burn'!$B$2)*'Sensitivity Analysis Variables'!D$3</f>
        <v>4242596.5808</v>
      </c>
      <c r="E4" s="12" t="n">
        <f aca="false">('Sensitivity Analysis Variables'!$C$11*'Team Hourly Burn'!$B$2)*'Sensitivity Analysis Variables'!E$3</f>
        <v>8485193.1616</v>
      </c>
      <c r="F4" s="12" t="n">
        <f aca="false">('Sensitivity Analysis Variables'!$C$11*'Team Hourly Burn'!$B$2)*'Sensitivity Analysis Variables'!F$3</f>
        <v>16970386.3232</v>
      </c>
      <c r="G4" s="12" t="n">
        <f aca="false">('Sensitivity Analysis Variables'!$C$11*'Team Hourly Burn'!$B$2)*'Sensitivity Analysis Variables'!G$3</f>
        <v>33940772.6464</v>
      </c>
      <c r="H4" s="12" t="n">
        <f aca="false">SUM(C4:G4)</f>
        <v>65760247.0024</v>
      </c>
    </row>
    <row r="5" customFormat="false" ht="15.75" hidden="false" customHeight="false" outlineLevel="0" collapsed="false">
      <c r="A5" s="0" t="s">
        <v>26</v>
      </c>
      <c r="B5" s="0" t="s">
        <v>30</v>
      </c>
      <c r="C5" s="12" t="n">
        <f aca="false">C$4*'Value Constants'!$B$27</f>
        <v>1060649.1452</v>
      </c>
      <c r="D5" s="12" t="n">
        <f aca="false">D$4*'Value Constants'!$B$27</f>
        <v>2121298.2904</v>
      </c>
      <c r="E5" s="12" t="n">
        <f aca="false">E$4*'Value Constants'!$B$27</f>
        <v>4242596.5808</v>
      </c>
      <c r="F5" s="12" t="n">
        <f aca="false">F$4*'Value Constants'!$B$27</f>
        <v>8485193.1616</v>
      </c>
      <c r="G5" s="12" t="n">
        <f aca="false">G$4*'Value Constants'!$B$27</f>
        <v>16970386.3232</v>
      </c>
      <c r="H5" s="12" t="n">
        <f aca="false">SUM(C5:G5)</f>
        <v>32880123.5012</v>
      </c>
    </row>
    <row r="6" customFormat="false" ht="15.75" hidden="false" customHeight="false" outlineLevel="0" collapsed="false">
      <c r="A6" s="0" t="s">
        <v>26</v>
      </c>
      <c r="B6" s="0" t="s">
        <v>31</v>
      </c>
      <c r="C6" s="12" t="n">
        <f aca="false">C$4*'Value Constants'!$B$25</f>
        <v>636389.48712</v>
      </c>
      <c r="D6" s="12" t="n">
        <f aca="false">D$4*'Value Constants'!$B$25</f>
        <v>1272778.97424</v>
      </c>
      <c r="E6" s="12" t="n">
        <f aca="false">E$4*'Value Constants'!$B$25</f>
        <v>2545557.94848</v>
      </c>
      <c r="F6" s="12" t="n">
        <f aca="false">F$4*'Value Constants'!$B$25</f>
        <v>5091115.89696</v>
      </c>
      <c r="G6" s="12" t="n">
        <f aca="false">G$4*'Value Constants'!$B$25</f>
        <v>10182231.79392</v>
      </c>
      <c r="H6" s="12" t="n">
        <f aca="false">SUM(C6:G6)</f>
        <v>19728074.10072</v>
      </c>
    </row>
    <row r="7" customFormat="false" ht="15.75" hidden="false" customHeight="false" outlineLevel="0" collapsed="false">
      <c r="A7" s="0" t="s">
        <v>26</v>
      </c>
      <c r="B7" s="0" t="s">
        <v>32</v>
      </c>
      <c r="C7" s="12" t="n">
        <f aca="false">C$4*'Value Constants'!$B$26</f>
        <v>424259.65808</v>
      </c>
      <c r="D7" s="12" t="n">
        <f aca="false">D$4*'Value Constants'!$B$26</f>
        <v>848519.31616</v>
      </c>
      <c r="E7" s="12" t="n">
        <f aca="false">E$4*'Value Constants'!$B$26</f>
        <v>1697038.63232</v>
      </c>
      <c r="F7" s="12" t="n">
        <f aca="false">F$4*'Value Constants'!$B$26</f>
        <v>3394077.26464</v>
      </c>
      <c r="G7" s="12" t="n">
        <f aca="false">G$4*'Value Constants'!$B$26</f>
        <v>6788154.52928</v>
      </c>
      <c r="H7" s="12" t="n">
        <f aca="false">SUM(C7:G7)</f>
        <v>13152049.40048</v>
      </c>
    </row>
    <row r="8" customFormat="false" ht="15.75" hidden="false" customHeight="false" outlineLevel="0" collapsed="false">
      <c r="A8" s="0" t="s">
        <v>26</v>
      </c>
      <c r="B8" s="0" t="s">
        <v>33</v>
      </c>
      <c r="C8" s="12" t="n">
        <f aca="false">(('Value Constants'!$B$17*'Team Hourly Burn'!$B$2)+('Value Constants'!$B$18*'Cost Constants'!$B$4)+('Sensitivity Analysis Variables'!$C$8*'Sensitivity Analysis Variables'!$C$10))*'Value Constants'!$B$28*'Sensitivity Analysis Variables'!C$3*(SUM('Value Constants'!$B$30,'Value Constants'!$B$31))</f>
        <v>13125.1783049601</v>
      </c>
      <c r="D8" s="12" t="n">
        <f aca="false">(('Value Constants'!$B$17*'Team Hourly Burn'!$B$2)+('Value Constants'!$B$18*'Cost Constants'!$B$4)+('Sensitivity Analysis Variables'!$C$8*'Sensitivity Analysis Variables'!$C$10))*'Value Constants'!$B$28*'Sensitivity Analysis Variables'!D$3*(SUM('Value Constants'!$B$30,'Value Constants'!$B$31))</f>
        <v>26250.3566099202</v>
      </c>
      <c r="E8" s="12" t="n">
        <f aca="false">(('Value Constants'!$B$17*'Team Hourly Burn'!$B$2)+('Value Constants'!$B$18*'Cost Constants'!$B$4)+('Sensitivity Analysis Variables'!$C$8*'Sensitivity Analysis Variables'!$C$10))*'Value Constants'!$B$28*'Sensitivity Analysis Variables'!E$3*(SUM('Value Constants'!$B$30,'Value Constants'!$B$31))</f>
        <v>52500.7132198404</v>
      </c>
      <c r="F8" s="12" t="n">
        <f aca="false">(('Value Constants'!$B$17*'Team Hourly Burn'!$B$2)+('Value Constants'!$B$18*'Cost Constants'!$B$4)+('Sensitivity Analysis Variables'!$C$8*'Sensitivity Analysis Variables'!$C$10))*'Value Constants'!$B$28*'Sensitivity Analysis Variables'!F$3*(SUM('Value Constants'!$B$30,'Value Constants'!$B$31))</f>
        <v>105001.426439681</v>
      </c>
      <c r="G8" s="12" t="n">
        <f aca="false">(('Value Constants'!$B$17*'Team Hourly Burn'!$B$2)+('Value Constants'!$B$18*'Cost Constants'!$B$4)+('Sensitivity Analysis Variables'!$C$8*'Sensitivity Analysis Variables'!$C$10))*'Value Constants'!$B$28*'Sensitivity Analysis Variables'!G$3*(SUM('Value Constants'!$B$30,'Value Constants'!$B$31))</f>
        <v>210002.852879362</v>
      </c>
      <c r="H8" s="12" t="n">
        <f aca="false">SUM(C8:G8)</f>
        <v>406880.527453763</v>
      </c>
    </row>
    <row r="9" customFormat="false" ht="15.75" hidden="false" customHeight="false" outlineLevel="0" collapsed="false">
      <c r="A9" s="0" t="s">
        <v>34</v>
      </c>
      <c r="B9" s="0" t="s">
        <v>35</v>
      </c>
      <c r="C9" s="12" t="n">
        <f aca="false">(C$2*('Value Constants'!$B$14-'Value Constants'!$B$13-'Value Constants'!$B$16))/'Value Constants'!$B$47</f>
        <v>50101.5172741479</v>
      </c>
      <c r="D9" s="12" t="n">
        <f aca="false">C$9+((D$2*('Value Constants'!$B$14-'Value Constants'!$B$13-'Value Constants'!$B$16))/'Value Constants'!$B$47)</f>
        <v>150304.551822444</v>
      </c>
      <c r="E9" s="12" t="n">
        <f aca="false">D$9+((E$2*('Value Constants'!$B$14-'Value Constants'!$B$13-'Value Constants'!$B$16))/'Value Constants'!$B$47)</f>
        <v>350710.620919035</v>
      </c>
      <c r="F9" s="12" t="n">
        <f aca="false">E$9+((F$2*('Value Constants'!$B$14-'Value Constants'!$B$13-'Value Constants'!$B$16))/'Value Constants'!$B$47)</f>
        <v>751522.759112218</v>
      </c>
      <c r="G9" s="12" t="n">
        <f aca="false">F$9+((G$2*('Value Constants'!$B$14-'Value Constants'!$B$13-'Value Constants'!$B$16))/'Value Constants'!$B$47)</f>
        <v>1553147.03549858</v>
      </c>
      <c r="H9" s="12" t="n">
        <f aca="false">SUM(C9:G9)</f>
        <v>2855786.48462643</v>
      </c>
    </row>
    <row r="10" customFormat="false" ht="15.75" hidden="false" customHeight="false" outlineLevel="0" collapsed="false">
      <c r="A10" s="0" t="s">
        <v>34</v>
      </c>
      <c r="B10" s="0" t="s">
        <v>36</v>
      </c>
      <c r="C10" s="12" t="n">
        <f aca="false">(C$5*'Value Constants'!$B$20)/'Value Constants'!$B$47</f>
        <v>424259.65808</v>
      </c>
      <c r="D10" s="12" t="n">
        <f aca="false">C$10+((D$5*'Value Constants'!$B$20)/'Value Constants'!$B$47)</f>
        <v>1272778.97424</v>
      </c>
      <c r="E10" s="12" t="n">
        <f aca="false">D$10+((E$5*'Value Constants'!$B$20)/'Value Constants'!$B$47)</f>
        <v>2969817.60656</v>
      </c>
      <c r="F10" s="12" t="n">
        <f aca="false">E$10+((F$5*'Value Constants'!$B$20)/'Value Constants'!$B$47)</f>
        <v>6363894.8712</v>
      </c>
      <c r="G10" s="12" t="n">
        <f aca="false">F$10+((G$5*'Value Constants'!$B$20)/'Value Constants'!$B$47)</f>
        <v>13152049.40048</v>
      </c>
      <c r="H10" s="12" t="n">
        <f aca="false">SUM(C10:G10)</f>
        <v>24182800.51056</v>
      </c>
    </row>
    <row r="11" customFormat="false" ht="15.75" hidden="false" customHeight="false" outlineLevel="0" collapsed="false">
      <c r="A11" s="0" t="s">
        <v>34</v>
      </c>
      <c r="B11" s="0" t="s">
        <v>37</v>
      </c>
      <c r="C11" s="12" t="n">
        <f aca="false">(C$6*'Value Constants'!$B$21)/'Value Constants'!$B$47</f>
        <v>190916.846136</v>
      </c>
      <c r="D11" s="12" t="n">
        <f aca="false">C$11+((D$6*'Value Constants'!$B$21)/'Value Constants'!$B$47)</f>
        <v>572750.538408</v>
      </c>
      <c r="E11" s="12" t="n">
        <f aca="false">D$11+((E$6*'Value Constants'!$B$21)/'Value Constants'!$B$47)</f>
        <v>1336417.922952</v>
      </c>
      <c r="F11" s="12" t="n">
        <f aca="false">E$11+((F$6*'Value Constants'!$B$21)/'Value Constants'!$B$47)</f>
        <v>2863752.69204</v>
      </c>
      <c r="G11" s="12" t="n">
        <f aca="false">F$11+((G$6*'Value Constants'!$B$21)/'Value Constants'!$B$47)</f>
        <v>5918422.230216</v>
      </c>
      <c r="H11" s="12" t="n">
        <f aca="false">SUM(C11:G11)</f>
        <v>10882260.229752</v>
      </c>
    </row>
    <row r="12" customFormat="false" ht="15.75" hidden="false" customHeight="false" outlineLevel="0" collapsed="false">
      <c r="A12" s="0" t="s">
        <v>34</v>
      </c>
      <c r="B12" s="0" t="s">
        <v>38</v>
      </c>
      <c r="C12" s="12" t="n">
        <f aca="false">(C$7*'Value Constants'!$B$22)/'Value Constants'!$B$47</f>
        <v>106064.91452</v>
      </c>
      <c r="D12" s="12" t="n">
        <f aca="false">C$12+((D$7*'Value Constants'!$B$22)/'Value Constants'!$B$47)</f>
        <v>318194.74356</v>
      </c>
      <c r="E12" s="12" t="n">
        <f aca="false">D$12+((E$7*'Value Constants'!$B$22)/'Value Constants'!$B$47)</f>
        <v>742454.40164</v>
      </c>
      <c r="F12" s="12" t="n">
        <f aca="false">E$12+((F$7*'Value Constants'!$B$22)/'Value Constants'!$B$47)</f>
        <v>1590973.7178</v>
      </c>
      <c r="G12" s="12" t="n">
        <f aca="false">F$12+((G$7*'Value Constants'!$B$22)/'Value Constants'!$B$47)</f>
        <v>3288012.35012</v>
      </c>
      <c r="H12" s="12" t="n">
        <f aca="false">SUM(C12:G12)</f>
        <v>6045700.12764</v>
      </c>
    </row>
    <row r="13" customFormat="false" ht="15.75" hidden="false" customHeight="false" outlineLevel="0" collapsed="false">
      <c r="A13" s="0" t="s">
        <v>34</v>
      </c>
      <c r="B13" s="0" t="s">
        <v>39</v>
      </c>
      <c r="C13" s="12"/>
      <c r="D13" s="12"/>
      <c r="E13" s="12"/>
      <c r="F13" s="12"/>
      <c r="G13" s="12"/>
      <c r="H13" s="12" t="n">
        <f aca="false">SUM(C13:G13)</f>
        <v>0</v>
      </c>
    </row>
    <row r="14" customFormat="false" ht="15.75" hidden="false" customHeight="false" outlineLevel="0" collapsed="false">
      <c r="A14" s="0" t="s">
        <v>34</v>
      </c>
      <c r="B14" s="0" t="s">
        <v>40</v>
      </c>
      <c r="C14" s="12"/>
      <c r="D14" s="12"/>
      <c r="E14" s="12"/>
      <c r="F14" s="12"/>
      <c r="G14" s="12"/>
      <c r="H14" s="12" t="n">
        <f aca="false">SUM(C14:G14)</f>
        <v>0</v>
      </c>
    </row>
    <row r="15" customFormat="false" ht="15.75" hidden="false" customHeight="false" outlineLevel="0" collapsed="false">
      <c r="A15" s="0" t="s">
        <v>34</v>
      </c>
      <c r="B15" s="0" t="s">
        <v>41</v>
      </c>
      <c r="C15" s="12"/>
      <c r="D15" s="12"/>
      <c r="E15" s="12"/>
      <c r="F15" s="12"/>
      <c r="G15" s="12"/>
      <c r="H15" s="12" t="n">
        <f aca="false">SUM(C15:G15)</f>
        <v>0</v>
      </c>
    </row>
    <row r="16" customFormat="false" ht="15.75" hidden="false" customHeight="false" outlineLevel="0" collapsed="false">
      <c r="A16" s="0" t="s">
        <v>34</v>
      </c>
      <c r="B16" s="0" t="s">
        <v>42</v>
      </c>
      <c r="C16" s="12"/>
      <c r="D16" s="12"/>
      <c r="E16" s="12"/>
      <c r="F16" s="12"/>
      <c r="G16" s="12"/>
      <c r="H16" s="12" t="n">
        <f aca="false">SUM(C16:G16)</f>
        <v>0</v>
      </c>
    </row>
    <row r="17" customFormat="false" ht="15.75" hidden="false" customHeight="false" outlineLevel="0" collapsed="false">
      <c r="A17" s="0" t="s">
        <v>43</v>
      </c>
      <c r="B17" s="0" t="s">
        <v>35</v>
      </c>
      <c r="C17" s="12" t="n">
        <f aca="false">(C$2*('Value Constants'!$B$15-'Value Constants'!$B$13-'Value Constants'!$B$16))/'Value Constants'!$B$47</f>
        <v>81275.7946891732</v>
      </c>
      <c r="D17" s="12" t="n">
        <f aca="false">C$17+((D$2*('Value Constants'!$B$15-'Value Constants'!$B$13-'Value Constants'!$B$16))/'Value Constants'!$B$47)</f>
        <v>243827.38406752</v>
      </c>
      <c r="E17" s="12" t="n">
        <f aca="false">D$17+((E$2*('Value Constants'!$B$15-'Value Constants'!$B$13-'Value Constants'!$B$16))/'Value Constants'!$B$47)</f>
        <v>568930.562824212</v>
      </c>
      <c r="F17" s="12" t="n">
        <f aca="false">E$17+((F$2*('Value Constants'!$B$15-'Value Constants'!$B$13-'Value Constants'!$B$16))/'Value Constants'!$B$47)</f>
        <v>1219136.9203376</v>
      </c>
      <c r="G17" s="12" t="n">
        <f aca="false">F$17+((G$2*('Value Constants'!$B$15-'Value Constants'!$B$13-'Value Constants'!$B$16))/'Value Constants'!$B$47)</f>
        <v>2519549.63536437</v>
      </c>
      <c r="H17" s="12" t="n">
        <f aca="false">SUM(C17:G17)</f>
        <v>4632720.29728287</v>
      </c>
    </row>
    <row r="18" customFormat="false" ht="15.75" hidden="false" customHeight="false" outlineLevel="0" collapsed="false">
      <c r="A18" s="0" t="s">
        <v>43</v>
      </c>
      <c r="B18" s="0" t="s">
        <v>44</v>
      </c>
      <c r="C18" s="12" t="n">
        <f aca="false">('Portfolio Value Summary'!C$3*'Value Constants'!$B$19)/'Value Constants'!$B$47</f>
        <v>588256.2308712</v>
      </c>
      <c r="D18" s="12" t="n">
        <f aca="false">C$18+(('Portfolio Value Summary'!D$3*'Value Constants'!$B$19)/'Value Constants'!$B$47)</f>
        <v>1764768.6926136</v>
      </c>
      <c r="E18" s="12" t="n">
        <f aca="false">D$18+(('Portfolio Value Summary'!E$3*'Value Constants'!$B$19)/'Value Constants'!$B$47)</f>
        <v>4117793.6160984</v>
      </c>
      <c r="F18" s="12" t="n">
        <f aca="false">E$18+(('Portfolio Value Summary'!F$3*'Value Constants'!$B$19)/'Value Constants'!$B$47)</f>
        <v>8823843.463068</v>
      </c>
      <c r="G18" s="12" t="n">
        <f aca="false">F$18+(('Portfolio Value Summary'!G$3*'Value Constants'!$B$19)/'Value Constants'!$B$47)</f>
        <v>18235943.1570072</v>
      </c>
      <c r="H18" s="12" t="n">
        <f aca="false">SUM(C18:G18)</f>
        <v>33530605.1596584</v>
      </c>
    </row>
    <row r="19" customFormat="false" ht="15.75" hidden="false" customHeight="false" outlineLevel="0" collapsed="false">
      <c r="A19" s="0" t="s">
        <v>43</v>
      </c>
      <c r="B19" s="0" t="s">
        <v>33</v>
      </c>
      <c r="C19" s="12" t="n">
        <f aca="false">((1-('Value Constants'!$B$29/'Value Constants'!$B$28))*'Portfolio Value Summary'!C$8)/'Value Constants'!$B$47</f>
        <v>4839.90949995404</v>
      </c>
      <c r="D19" s="12" t="n">
        <f aca="false">C$19+(((1-('Value Constants'!$B$29/'Value Constants'!$B$28))*'Portfolio Value Summary'!D$8)/'Value Constants'!$B$47)</f>
        <v>14519.7284998621</v>
      </c>
      <c r="E19" s="12" t="n">
        <f aca="false">D$19+(((1-('Value Constants'!$B$29/'Value Constants'!$B$28))*'Portfolio Value Summary'!E$8)/'Value Constants'!$B$47)</f>
        <v>33879.3664996783</v>
      </c>
      <c r="F19" s="12" t="n">
        <f aca="false">E$19+(((1-('Value Constants'!$B$29/'Value Constants'!$B$28))*'Portfolio Value Summary'!F$8)/'Value Constants'!$B$47)</f>
        <v>72598.6424993106</v>
      </c>
      <c r="G19" s="12" t="n">
        <f aca="false">F$19+(((1-('Value Constants'!$B$29/'Value Constants'!$B$28))*'Portfolio Value Summary'!G$8)/'Value Constants'!$B$47)</f>
        <v>150037.194498575</v>
      </c>
      <c r="H19" s="12" t="n">
        <f aca="false">SUM(C19:G19)</f>
        <v>275874.84149738</v>
      </c>
    </row>
    <row r="20" customFormat="false" ht="15.75" hidden="false" customHeight="false" outlineLevel="0" collapsed="false">
      <c r="A20" s="0" t="s">
        <v>43</v>
      </c>
      <c r="B20" s="0" t="s">
        <v>45</v>
      </c>
      <c r="C20" s="12"/>
      <c r="D20" s="12"/>
      <c r="E20" s="12"/>
      <c r="F20" s="12"/>
      <c r="G20" s="12"/>
      <c r="H20" s="12" t="n">
        <f aca="false">SUM(C20:G20)</f>
        <v>0</v>
      </c>
    </row>
    <row r="21" customFormat="false" ht="15.75" hidden="false" customHeight="false" outlineLevel="0" collapsed="false">
      <c r="A21" s="0" t="s">
        <v>43</v>
      </c>
      <c r="B21" s="0" t="s">
        <v>46</v>
      </c>
      <c r="C21" s="12"/>
      <c r="D21" s="12"/>
      <c r="E21" s="12"/>
      <c r="F21" s="12"/>
      <c r="G21" s="12"/>
      <c r="H21" s="12" t="n">
        <f aca="false">SUM(C21:G21)</f>
        <v>0</v>
      </c>
    </row>
    <row r="22" customFormat="false" ht="15.75" hidden="false" customHeight="false" outlineLevel="0" collapsed="false">
      <c r="A22" s="0" t="s">
        <v>43</v>
      </c>
      <c r="B22" s="0" t="s">
        <v>41</v>
      </c>
      <c r="C22" s="12"/>
      <c r="D22" s="12"/>
      <c r="E22" s="12"/>
      <c r="F22" s="12"/>
      <c r="G22" s="12"/>
      <c r="H22" s="12" t="n">
        <f aca="false">SUM(C22:G22)</f>
        <v>0</v>
      </c>
    </row>
    <row r="23" customFormat="false" ht="15.75" hidden="false" customHeight="false" outlineLevel="0" collapsed="false">
      <c r="A23" s="0" t="s">
        <v>47</v>
      </c>
      <c r="B23" s="12" t="n">
        <f aca="false">SUM(C9:C21)</f>
        <v>1445714.87107047</v>
      </c>
      <c r="C23" s="12" t="n">
        <f aca="false">SUM(D9:D21)</f>
        <v>4337144.61321143</v>
      </c>
      <c r="D23" s="12" t="n">
        <f aca="false">SUM(E9:E21)</f>
        <v>10120004.0974933</v>
      </c>
      <c r="E23" s="12" t="n">
        <f aca="false">SUM(F9:F21)</f>
        <v>21685723.0660571</v>
      </c>
      <c r="F23" s="12" t="n">
        <f aca="false">SUM(G9:G21)</f>
        <v>44817161.0031847</v>
      </c>
      <c r="G23" s="12" t="n">
        <f aca="false">SUM(H9:H21)</f>
        <v>82405747.6510171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EEBF7"/>
    <pageSetUpPr fitToPage="false"/>
  </sheetPr>
  <dimension ref="A1:D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8" activePane="bottomRight" state="frozen"/>
      <selection pane="topLeft" activeCell="A1" activeCellId="0" sqref="A1"/>
      <selection pane="topRight" activeCell="B1" activeCellId="0" sqref="B1"/>
      <selection pane="bottomLeft" activeCell="A28" activeCellId="0" sqref="A28"/>
      <selection pane="bottomRight" activeCell="B47" activeCellId="0" sqref="B47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72.38"/>
    <col collapsed="false" customWidth="true" hidden="false" outlineLevel="0" max="2" min="2" style="0" width="13"/>
  </cols>
  <sheetData>
    <row r="1" customFormat="false" ht="15.75" hidden="false" customHeight="false" outlineLevel="0" collapsed="false">
      <c r="A1" s="0" t="s">
        <v>19</v>
      </c>
      <c r="B1" s="0" t="s">
        <v>2</v>
      </c>
      <c r="C1" s="0" t="s">
        <v>48</v>
      </c>
      <c r="D1" s="0" t="s">
        <v>49</v>
      </c>
    </row>
    <row r="2" customFormat="false" ht="15.75" hidden="false" customHeight="false" outlineLevel="0" collapsed="false">
      <c r="A2" s="0" t="s">
        <v>50</v>
      </c>
      <c r="B2" s="12" t="n">
        <v>31.8281</v>
      </c>
      <c r="C2" s="0" t="s">
        <v>51</v>
      </c>
      <c r="D2" s="0" t="s">
        <v>52</v>
      </c>
    </row>
    <row r="3" customFormat="false" ht="15.75" hidden="false" customHeight="false" outlineLevel="0" collapsed="false">
      <c r="A3" s="0" t="s">
        <v>53</v>
      </c>
      <c r="B3" s="13" t="n">
        <f aca="false">2.3/7.9</f>
        <v>0.291139240506329</v>
      </c>
      <c r="C3" s="0" t="s">
        <v>54</v>
      </c>
    </row>
    <row r="4" customFormat="false" ht="15.75" hidden="false" customHeight="false" outlineLevel="0" collapsed="false">
      <c r="A4" s="0" t="s">
        <v>55</v>
      </c>
      <c r="B4" s="13" t="n">
        <v>1.40923</v>
      </c>
      <c r="C4" s="0" t="s">
        <v>56</v>
      </c>
    </row>
    <row r="5" customFormat="false" ht="15.75" hidden="false" customHeight="false" outlineLevel="0" collapsed="false">
      <c r="A5" s="0" t="s">
        <v>57</v>
      </c>
      <c r="B5" s="14" t="n">
        <v>1460000</v>
      </c>
      <c r="C5" s="0" t="s">
        <v>58</v>
      </c>
      <c r="D5" s="0" t="s">
        <v>59</v>
      </c>
    </row>
    <row r="6" customFormat="false" ht="15.75" hidden="false" customHeight="false" outlineLevel="0" collapsed="false">
      <c r="A6" s="0" t="s">
        <v>60</v>
      </c>
      <c r="B6" s="14" t="n">
        <f aca="false">B5/B4</f>
        <v>1036026.76639016</v>
      </c>
      <c r="C6" s="0" t="s">
        <v>51</v>
      </c>
    </row>
    <row r="7" customFormat="false" ht="15.75" hidden="false" customHeight="false" outlineLevel="0" collapsed="false">
      <c r="A7" s="0" t="s">
        <v>61</v>
      </c>
      <c r="B7" s="14" t="n">
        <v>4440000</v>
      </c>
      <c r="C7" s="0" t="s">
        <v>58</v>
      </c>
      <c r="D7" s="0" t="s">
        <v>62</v>
      </c>
    </row>
    <row r="8" customFormat="false" ht="15.75" hidden="false" customHeight="false" outlineLevel="0" collapsed="false">
      <c r="A8" s="0" t="s">
        <v>63</v>
      </c>
      <c r="B8" s="14" t="n">
        <f aca="false">B7*B3*B4</f>
        <v>1821652.75443038</v>
      </c>
      <c r="C8" s="0" t="s">
        <v>51</v>
      </c>
    </row>
    <row r="9" customFormat="false" ht="15.75" hidden="false" customHeight="false" outlineLevel="0" collapsed="false">
      <c r="A9" s="0" t="s">
        <v>64</v>
      </c>
      <c r="B9" s="15" t="n">
        <v>0.58</v>
      </c>
      <c r="C9" s="0" t="s">
        <v>65</v>
      </c>
    </row>
    <row r="10" customFormat="false" ht="15.75" hidden="false" customHeight="false" outlineLevel="0" collapsed="false">
      <c r="A10" s="0" t="s">
        <v>66</v>
      </c>
      <c r="B10" s="15" t="n">
        <v>0.16</v>
      </c>
      <c r="C10" s="0" t="s">
        <v>54</v>
      </c>
    </row>
    <row r="11" customFormat="false" ht="15.75" hidden="false" customHeight="false" outlineLevel="0" collapsed="false">
      <c r="A11" s="0" t="s">
        <v>67</v>
      </c>
      <c r="B11" s="15" t="n">
        <f aca="false">B9*B10</f>
        <v>0.0928</v>
      </c>
      <c r="C11" s="0" t="s">
        <v>68</v>
      </c>
    </row>
    <row r="12" customFormat="false" ht="15.75" hidden="false" customHeight="false" outlineLevel="0" collapsed="false">
      <c r="A12" s="0" t="s">
        <v>69</v>
      </c>
      <c r="B12" s="15" t="n">
        <f aca="false">177/430</f>
        <v>0.411627906976744</v>
      </c>
      <c r="C12" s="0" t="s">
        <v>70</v>
      </c>
    </row>
    <row r="13" customFormat="false" ht="15.75" hidden="false" customHeight="false" outlineLevel="0" collapsed="false">
      <c r="A13" s="0" t="s">
        <v>71</v>
      </c>
      <c r="B13" s="15" t="n">
        <v>0.2</v>
      </c>
      <c r="C13" s="0" t="s">
        <v>72</v>
      </c>
    </row>
    <row r="14" customFormat="false" ht="15.75" hidden="false" customHeight="false" outlineLevel="0" collapsed="false">
      <c r="A14" s="0" t="s">
        <v>73</v>
      </c>
      <c r="B14" s="11" t="n">
        <v>0.7</v>
      </c>
      <c r="C14" s="0" t="s">
        <v>74</v>
      </c>
    </row>
    <row r="15" customFormat="false" ht="15.75" hidden="false" customHeight="false" outlineLevel="0" collapsed="false">
      <c r="A15" s="0" t="s">
        <v>75</v>
      </c>
      <c r="B15" s="11" t="n">
        <v>0.98</v>
      </c>
      <c r="C15" s="0" t="s">
        <v>76</v>
      </c>
    </row>
    <row r="16" customFormat="false" ht="15.75" hidden="false" customHeight="false" outlineLevel="0" collapsed="false">
      <c r="A16" s="0" t="s">
        <v>77</v>
      </c>
      <c r="B16" s="11" t="n">
        <v>0.05</v>
      </c>
      <c r="C16" s="0" t="s">
        <v>78</v>
      </c>
    </row>
    <row r="17" customFormat="false" ht="15.75" hidden="false" customHeight="false" outlineLevel="0" collapsed="false">
      <c r="A17" s="0" t="s">
        <v>79</v>
      </c>
      <c r="B17" s="16" t="n">
        <v>1</v>
      </c>
      <c r="C17" s="0" t="s">
        <v>80</v>
      </c>
      <c r="D17" s="0" t="s">
        <v>81</v>
      </c>
    </row>
    <row r="18" customFormat="false" ht="15.75" hidden="false" customHeight="false" outlineLevel="0" collapsed="false">
      <c r="A18" s="0" t="s">
        <v>82</v>
      </c>
      <c r="B18" s="16" t="n">
        <f aca="false">30</f>
        <v>30</v>
      </c>
      <c r="C18" s="0" t="s">
        <v>80</v>
      </c>
      <c r="D18" s="0" t="s">
        <v>83</v>
      </c>
    </row>
    <row r="19" customFormat="false" ht="15.75" hidden="false" customHeight="false" outlineLevel="0" collapsed="false">
      <c r="A19" s="0" t="s">
        <v>84</v>
      </c>
      <c r="B19" s="11" t="n">
        <v>0.72</v>
      </c>
      <c r="C19" s="0" t="s">
        <v>65</v>
      </c>
    </row>
    <row r="20" customFormat="false" ht="15.75" hidden="false" customHeight="false" outlineLevel="0" collapsed="false">
      <c r="A20" s="0" t="s">
        <v>85</v>
      </c>
      <c r="B20" s="11" t="n">
        <v>0.8</v>
      </c>
      <c r="C20" s="0" t="s">
        <v>86</v>
      </c>
    </row>
    <row r="21" customFormat="false" ht="15.75" hidden="false" customHeight="false" outlineLevel="0" collapsed="false">
      <c r="A21" s="0" t="s">
        <v>87</v>
      </c>
      <c r="B21" s="11" t="n">
        <v>0.6</v>
      </c>
      <c r="C21" s="0" t="s">
        <v>86</v>
      </c>
    </row>
    <row r="22" customFormat="false" ht="15.75" hidden="false" customHeight="false" outlineLevel="0" collapsed="false">
      <c r="A22" s="0" t="s">
        <v>88</v>
      </c>
      <c r="B22" s="11" t="n">
        <v>0.5</v>
      </c>
      <c r="C22" s="0" t="s">
        <v>86</v>
      </c>
    </row>
    <row r="23" customFormat="false" ht="15.75" hidden="false" customHeight="false" outlineLevel="0" collapsed="false">
      <c r="A23" s="0" t="s">
        <v>89</v>
      </c>
      <c r="B23" s="16" t="n">
        <v>3</v>
      </c>
      <c r="C23" s="0" t="s">
        <v>90</v>
      </c>
    </row>
    <row r="24" customFormat="false" ht="15.75" hidden="false" customHeight="false" outlineLevel="0" collapsed="false">
      <c r="A24" s="0" t="s">
        <v>91</v>
      </c>
      <c r="B24" s="16" t="n">
        <v>24</v>
      </c>
      <c r="C24" s="0" t="s">
        <v>90</v>
      </c>
    </row>
    <row r="25" customFormat="false" ht="15.75" hidden="false" customHeight="false" outlineLevel="0" collapsed="false">
      <c r="A25" s="0" t="s">
        <v>92</v>
      </c>
      <c r="B25" s="11" t="n">
        <v>0.3</v>
      </c>
      <c r="C25" s="0" t="s">
        <v>93</v>
      </c>
    </row>
    <row r="26" customFormat="false" ht="15.75" hidden="false" customHeight="false" outlineLevel="0" collapsed="false">
      <c r="A26" s="0" t="s">
        <v>94</v>
      </c>
      <c r="B26" s="11" t="n">
        <v>0.2</v>
      </c>
      <c r="C26" s="0" t="s">
        <v>93</v>
      </c>
    </row>
    <row r="27" customFormat="false" ht="15.75" hidden="false" customHeight="false" outlineLevel="0" collapsed="false">
      <c r="A27" s="0" t="s">
        <v>95</v>
      </c>
      <c r="B27" s="11" t="n">
        <v>0.5</v>
      </c>
      <c r="C27" s="0" t="s">
        <v>93</v>
      </c>
    </row>
    <row r="28" customFormat="false" ht="15.75" hidden="false" customHeight="false" outlineLevel="0" collapsed="false">
      <c r="A28" s="0" t="s">
        <v>96</v>
      </c>
      <c r="B28" s="16" t="n">
        <v>8</v>
      </c>
      <c r="C28" s="0" t="s">
        <v>97</v>
      </c>
      <c r="D28" s="0" t="s">
        <v>98</v>
      </c>
    </row>
    <row r="29" customFormat="false" ht="15.75" hidden="false" customHeight="false" outlineLevel="0" collapsed="false">
      <c r="A29" s="0" t="s">
        <v>99</v>
      </c>
      <c r="B29" s="16" t="n">
        <v>2.1</v>
      </c>
      <c r="C29" s="0" t="s">
        <v>97</v>
      </c>
      <c r="D29" s="0" t="s">
        <v>98</v>
      </c>
    </row>
    <row r="30" customFormat="false" ht="15.75" hidden="false" customHeight="false" outlineLevel="0" collapsed="false">
      <c r="A30" s="0" t="s">
        <v>100</v>
      </c>
      <c r="B30" s="0" t="n">
        <f aca="false">1/2475</f>
        <v>0.000404040404040404</v>
      </c>
      <c r="C30" s="0" t="s">
        <v>101</v>
      </c>
      <c r="D30" s="0" t="s">
        <v>102</v>
      </c>
    </row>
    <row r="31" customFormat="false" ht="15.75" hidden="false" customHeight="false" outlineLevel="0" collapsed="false">
      <c r="A31" s="0" t="s">
        <v>103</v>
      </c>
      <c r="B31" s="16" t="n">
        <f aca="false">1/10</f>
        <v>0.1</v>
      </c>
      <c r="C31" s="0" t="s">
        <v>101</v>
      </c>
      <c r="D31" s="0" t="s">
        <v>104</v>
      </c>
    </row>
    <row r="32" customFormat="false" ht="15.75" hidden="false" customHeight="false" outlineLevel="0" collapsed="false">
      <c r="A32" s="0" t="s">
        <v>105</v>
      </c>
      <c r="B32" s="16" t="n">
        <v>2</v>
      </c>
      <c r="C32" s="0" t="s">
        <v>106</v>
      </c>
    </row>
    <row r="33" customFormat="false" ht="15.75" hidden="false" customHeight="false" outlineLevel="0" collapsed="false">
      <c r="A33" s="0" t="s">
        <v>107</v>
      </c>
      <c r="B33" s="17" t="n">
        <v>0.132</v>
      </c>
      <c r="C33" s="0" t="s">
        <v>108</v>
      </c>
    </row>
    <row r="34" customFormat="false" ht="15.75" hidden="false" customHeight="false" outlineLevel="0" collapsed="false">
      <c r="A34" s="0" t="s">
        <v>109</v>
      </c>
      <c r="B34" s="16" t="n">
        <v>51</v>
      </c>
      <c r="C34" s="0" t="s">
        <v>110</v>
      </c>
      <c r="D34" s="0" t="s">
        <v>108</v>
      </c>
    </row>
    <row r="35" customFormat="false" ht="15.75" hidden="false" customHeight="false" outlineLevel="0" collapsed="false">
      <c r="A35" s="0" t="s">
        <v>111</v>
      </c>
      <c r="B35" s="16" t="n">
        <v>2</v>
      </c>
      <c r="C35" s="0" t="s">
        <v>97</v>
      </c>
    </row>
    <row r="36" customFormat="false" ht="15.75" hidden="false" customHeight="false" outlineLevel="0" collapsed="false">
      <c r="A36" s="0" t="s">
        <v>112</v>
      </c>
      <c r="B36" s="16" t="n">
        <v>3</v>
      </c>
      <c r="C36" s="0" t="s">
        <v>113</v>
      </c>
      <c r="D36" s="0" t="s">
        <v>114</v>
      </c>
    </row>
    <row r="37" customFormat="false" ht="15.75" hidden="false" customHeight="false" outlineLevel="0" collapsed="false">
      <c r="A37" s="0" t="s">
        <v>115</v>
      </c>
      <c r="B37" s="16" t="n">
        <v>1</v>
      </c>
      <c r="C37" s="0" t="s">
        <v>97</v>
      </c>
      <c r="D37" s="0" t="s">
        <v>116</v>
      </c>
    </row>
    <row r="38" customFormat="false" ht="15.75" hidden="false" customHeight="false" outlineLevel="0" collapsed="false">
      <c r="A38" s="0" t="s">
        <v>117</v>
      </c>
      <c r="B38" s="16" t="n">
        <v>1</v>
      </c>
      <c r="C38" s="0" t="s">
        <v>97</v>
      </c>
      <c r="D38" s="0" t="s">
        <v>118</v>
      </c>
    </row>
    <row r="39" customFormat="false" ht="15.75" hidden="false" customHeight="false" outlineLevel="0" collapsed="false">
      <c r="A39" s="0" t="s">
        <v>119</v>
      </c>
      <c r="B39" s="16" t="n">
        <v>5</v>
      </c>
      <c r="C39" s="0" t="s">
        <v>97</v>
      </c>
      <c r="D39" s="0" t="s">
        <v>120</v>
      </c>
    </row>
    <row r="40" customFormat="false" ht="15.75" hidden="false" customHeight="false" outlineLevel="0" collapsed="false">
      <c r="A40" s="0" t="s">
        <v>121</v>
      </c>
      <c r="B40" s="16" t="n">
        <v>5</v>
      </c>
      <c r="C40" s="0" t="s">
        <v>97</v>
      </c>
      <c r="D40" s="0" t="s">
        <v>122</v>
      </c>
    </row>
    <row r="41" customFormat="false" ht="15.75" hidden="false" customHeight="false" outlineLevel="0" collapsed="false">
      <c r="A41" s="0" t="s">
        <v>123</v>
      </c>
      <c r="B41" s="16" t="n">
        <v>3</v>
      </c>
      <c r="C41" s="0" t="s">
        <v>97</v>
      </c>
      <c r="D41" s="0" t="s">
        <v>124</v>
      </c>
    </row>
    <row r="42" customFormat="false" ht="15.75" hidden="false" customHeight="false" outlineLevel="0" collapsed="false">
      <c r="A42" s="0" t="s">
        <v>125</v>
      </c>
      <c r="B42" s="16" t="n">
        <v>3</v>
      </c>
      <c r="C42" s="0" t="s">
        <v>113</v>
      </c>
    </row>
    <row r="43" customFormat="false" ht="15.75" hidden="false" customHeight="false" outlineLevel="0" collapsed="false">
      <c r="A43" s="0" t="s">
        <v>126</v>
      </c>
      <c r="B43" s="16" t="n">
        <v>2</v>
      </c>
      <c r="C43" s="0" t="s">
        <v>97</v>
      </c>
    </row>
    <row r="44" customFormat="false" ht="15.75" hidden="false" customHeight="false" outlineLevel="0" collapsed="false">
      <c r="A44" s="0" t="s">
        <v>127</v>
      </c>
      <c r="B44" s="16" t="n">
        <v>3</v>
      </c>
      <c r="C44" s="0" t="s">
        <v>97</v>
      </c>
      <c r="D44" s="0" t="s">
        <v>128</v>
      </c>
    </row>
    <row r="45" customFormat="false" ht="15.75" hidden="false" customHeight="false" outlineLevel="0" collapsed="false">
      <c r="A45" s="0" t="s">
        <v>129</v>
      </c>
      <c r="B45" s="11" t="n">
        <v>0.21</v>
      </c>
      <c r="C45" s="0" t="s">
        <v>130</v>
      </c>
    </row>
    <row r="46" customFormat="false" ht="15.75" hidden="false" customHeight="false" outlineLevel="0" collapsed="false">
      <c r="A46" s="0" t="s">
        <v>131</v>
      </c>
      <c r="B46" s="0" t="s">
        <v>132</v>
      </c>
    </row>
    <row r="47" customFormat="false" ht="15.75" hidden="false" customHeight="false" outlineLevel="0" collapsed="false">
      <c r="A47" s="0" t="s">
        <v>133</v>
      </c>
      <c r="B47" s="0" t="n">
        <v>2</v>
      </c>
      <c r="C47" s="0" t="s">
        <v>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2CC"/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8" activeCellId="0" sqref="A8"/>
    </sheetView>
  </sheetViews>
  <sheetFormatPr defaultColWidth="10.9921875" defaultRowHeight="15.75" zeroHeight="false" outlineLevelRow="0" outlineLevelCol="0"/>
  <cols>
    <col collapsed="false" customWidth="true" hidden="false" outlineLevel="0" max="2" min="1" style="0" width="31.13"/>
    <col collapsed="false" customWidth="true" hidden="false" outlineLevel="0" max="3" min="3" style="9" width="11.5"/>
    <col collapsed="false" customWidth="true" hidden="false" outlineLevel="0" max="5" min="4" style="9" width="10.87"/>
    <col collapsed="false" customWidth="true" hidden="false" outlineLevel="0" max="7" min="6" style="9" width="11.5"/>
    <col collapsed="false" customWidth="true" hidden="false" outlineLevel="0" max="8" min="8" style="9" width="11.87"/>
  </cols>
  <sheetData>
    <row r="1" customFormat="false" ht="15.75" hidden="false" customHeight="false" outlineLevel="0" collapsed="false">
      <c r="A1" s="0" t="s">
        <v>18</v>
      </c>
      <c r="B1" s="0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25</v>
      </c>
    </row>
    <row r="2" customFormat="false" ht="15.75" hidden="false" customHeight="false" outlineLevel="0" collapsed="false">
      <c r="A2" s="0" t="s">
        <v>34</v>
      </c>
      <c r="B2" s="0" t="str">
        <f aca="false">'CostCnst(Legacy-&gt;Containerized)'!A2</f>
        <v>Data Changes</v>
      </c>
      <c r="C2" s="9" t="n">
        <f aca="false">'CostCnst(Legacy-&gt;Containerized)'!$B2*'Sensitivity Analysis Variables'!C$3*'Sensitivity Analysis Variables'!$C$5*'Sensitivity Analysis Variables'!$C$6*'Team Hourly Burn'!$B$2</f>
        <v>44547.2640984</v>
      </c>
      <c r="D2" s="9" t="n">
        <f aca="false">'CostCnst(Legacy-&gt;Containerized)'!$B2*'Sensitivity Analysis Variables'!D$3*'Sensitivity Analysis Variables'!$C$5*'Sensitivity Analysis Variables'!$C$6*'Team Hourly Burn'!$B$2</f>
        <v>89094.5281968</v>
      </c>
      <c r="E2" s="9" t="n">
        <f aca="false">'CostCnst(Legacy-&gt;Containerized)'!$B2*'Sensitivity Analysis Variables'!E$3*'Sensitivity Analysis Variables'!$C$5*'Sensitivity Analysis Variables'!$C$6*'Team Hourly Burn'!$B$2</f>
        <v>178189.0563936</v>
      </c>
      <c r="F2" s="9" t="n">
        <f aca="false">'CostCnst(Legacy-&gt;Containerized)'!$B2*'Sensitivity Analysis Variables'!F$3*'Sensitivity Analysis Variables'!$C$5*'Sensitivity Analysis Variables'!$C$6*'Team Hourly Burn'!$B$2</f>
        <v>356378.1127872</v>
      </c>
      <c r="G2" s="9" t="n">
        <f aca="false">'CostCnst(Legacy-&gt;Containerized)'!$B2*'Sensitivity Analysis Variables'!G$3*'Sensitivity Analysis Variables'!$C$5*'Sensitivity Analysis Variables'!$C$6*'Team Hourly Burn'!$B$2</f>
        <v>712756.2255744</v>
      </c>
      <c r="H2" s="9" t="n">
        <f aca="false">SUM(C2:G2)</f>
        <v>1380965.1870504</v>
      </c>
    </row>
    <row r="3" customFormat="false" ht="15.75" hidden="false" customHeight="false" outlineLevel="0" collapsed="false">
      <c r="A3" s="0" t="s">
        <v>34</v>
      </c>
      <c r="B3" s="0" t="str">
        <f aca="false">'CostCnst(Legacy-&gt;Containerized)'!A3</f>
        <v>PI Changes</v>
      </c>
      <c r="C3" s="9" t="n">
        <f aca="false">'CostCnst(Legacy-&gt;Containerized)'!$B3*'Sensitivity Analysis Variables'!C$3*'Sensitivity Analysis Variables'!$C$5*'Sensitivity Analysis Variables'!$C$6*'Team Hourly Burn'!$B$2</f>
        <v>0</v>
      </c>
      <c r="D3" s="9" t="n">
        <f aca="false">'CostCnst(Legacy-&gt;Containerized)'!$B3*'Sensitivity Analysis Variables'!D$3*'Sensitivity Analysis Variables'!$C$5*'Sensitivity Analysis Variables'!$C$6*'Team Hourly Burn'!$B$2</f>
        <v>0</v>
      </c>
      <c r="E3" s="9" t="n">
        <f aca="false">'CostCnst(Legacy-&gt;Containerized)'!$B3*'Sensitivity Analysis Variables'!E$3*'Sensitivity Analysis Variables'!$C$5*'Sensitivity Analysis Variables'!$C$6*'Team Hourly Burn'!$B$2</f>
        <v>0</v>
      </c>
      <c r="F3" s="9" t="n">
        <f aca="false">'CostCnst(Legacy-&gt;Containerized)'!$B3*'Sensitivity Analysis Variables'!F$3*'Sensitivity Analysis Variables'!$C$5*'Sensitivity Analysis Variables'!$C$6*'Team Hourly Burn'!$B$2</f>
        <v>0</v>
      </c>
      <c r="G3" s="9" t="n">
        <f aca="false">'CostCnst(Legacy-&gt;Containerized)'!$B3*'Sensitivity Analysis Variables'!G$3*'Sensitivity Analysis Variables'!$C$5*'Sensitivity Analysis Variables'!$C$6*'Team Hourly Burn'!$B$2</f>
        <v>0</v>
      </c>
      <c r="H3" s="9" t="n">
        <f aca="false">SUM(C3:G3)</f>
        <v>0</v>
      </c>
    </row>
    <row r="4" customFormat="false" ht="15.75" hidden="false" customHeight="false" outlineLevel="0" collapsed="false">
      <c r="A4" s="0" t="s">
        <v>34</v>
      </c>
      <c r="B4" s="0" t="str">
        <f aca="false">'CostCnst(Legacy-&gt;Containerized)'!A4</f>
        <v>Technical Changes</v>
      </c>
      <c r="C4" s="9" t="n">
        <f aca="false">'CostCnst(Legacy-&gt;Containerized)'!$B4*'Sensitivity Analysis Variables'!C$3*'Sensitivity Analysis Variables'!$C$5*'Sensitivity Analysis Variables'!$C$6*'Team Hourly Burn'!$B$2</f>
        <v>55843.17749478</v>
      </c>
      <c r="D4" s="9" t="n">
        <f aca="false">'CostCnst(Legacy-&gt;Containerized)'!$B4*'Sensitivity Analysis Variables'!D$3*'Sensitivity Analysis Variables'!$C$5*'Sensitivity Analysis Variables'!$C$6*'Team Hourly Burn'!$B$2</f>
        <v>111686.35498956</v>
      </c>
      <c r="E4" s="9" t="n">
        <f aca="false">'CostCnst(Legacy-&gt;Containerized)'!$B4*'Sensitivity Analysis Variables'!E$3*'Sensitivity Analysis Variables'!$C$5*'Sensitivity Analysis Variables'!$C$6*'Team Hourly Burn'!$B$2</f>
        <v>223372.70997912</v>
      </c>
      <c r="F4" s="9" t="n">
        <f aca="false">'CostCnst(Legacy-&gt;Containerized)'!$B4*'Sensitivity Analysis Variables'!F$3*'Sensitivity Analysis Variables'!$C$5*'Sensitivity Analysis Variables'!$C$6*'Team Hourly Burn'!$B$2</f>
        <v>446745.41995824</v>
      </c>
      <c r="G4" s="9" t="n">
        <f aca="false">'CostCnst(Legacy-&gt;Containerized)'!$B4*'Sensitivity Analysis Variables'!G$3*'Sensitivity Analysis Variables'!$C$5*'Sensitivity Analysis Variables'!$C$6*'Team Hourly Burn'!$B$2</f>
        <v>893490.83991648</v>
      </c>
      <c r="H4" s="9" t="n">
        <f aca="false">SUM(C4:G4)</f>
        <v>1731138.50233818</v>
      </c>
    </row>
    <row r="5" customFormat="false" ht="15.75" hidden="false" customHeight="false" outlineLevel="0" collapsed="false">
      <c r="A5" s="0" t="s">
        <v>34</v>
      </c>
      <c r="B5" s="0" t="str">
        <f aca="false">'CostCnst(Legacy-&gt;Containerized)'!A5</f>
        <v>Deployment Changes</v>
      </c>
      <c r="C5" s="9" t="n">
        <f aca="false">'CostCnst(Legacy-&gt;Containerized)'!$B5*'Sensitivity Analysis Variables'!C$3*'Sensitivity Analysis Variables'!$C$5*'Sensitivity Analysis Variables'!$C$6*'Team Hourly Burn'!$B$2</f>
        <v>8750.3554479</v>
      </c>
      <c r="D5" s="9" t="n">
        <f aca="false">'CostCnst(Legacy-&gt;Containerized)'!$B5*'Sensitivity Analysis Variables'!D$3*'Sensitivity Analysis Variables'!$C$5*'Sensitivity Analysis Variables'!$C$6*'Team Hourly Burn'!$B$2</f>
        <v>17500.7108958</v>
      </c>
      <c r="E5" s="9" t="n">
        <f aca="false">'CostCnst(Legacy-&gt;Containerized)'!$B5*'Sensitivity Analysis Variables'!E$3*'Sensitivity Analysis Variables'!$C$5*'Sensitivity Analysis Variables'!$C$6*'Team Hourly Burn'!$B$2</f>
        <v>35001.4217916</v>
      </c>
      <c r="F5" s="9" t="n">
        <f aca="false">'CostCnst(Legacy-&gt;Containerized)'!$B5*'Sensitivity Analysis Variables'!F$3*'Sensitivity Analysis Variables'!$C$5*'Sensitivity Analysis Variables'!$C$6*'Team Hourly Burn'!$B$2</f>
        <v>70002.8435832</v>
      </c>
      <c r="G5" s="9" t="n">
        <f aca="false">'CostCnst(Legacy-&gt;Containerized)'!$B5*'Sensitivity Analysis Variables'!G$3*'Sensitivity Analysis Variables'!$C$5*'Sensitivity Analysis Variables'!$C$6*'Team Hourly Burn'!$B$2</f>
        <v>140005.6871664</v>
      </c>
      <c r="H5" s="9" t="n">
        <f aca="false">SUM(C5:G5)</f>
        <v>271261.0188849</v>
      </c>
    </row>
    <row r="6" customFormat="false" ht="15.75" hidden="false" customHeight="false" outlineLevel="0" collapsed="false">
      <c r="A6" s="0" t="s">
        <v>34</v>
      </c>
      <c r="B6" s="0" t="str">
        <f aca="false">'CostCnst(Legacy-&gt;Containerized)'!A6</f>
        <v>Architectural Changes</v>
      </c>
      <c r="C6" s="9" t="n">
        <f aca="false">'CostCnst(Legacy-&gt;Containerized)'!$B6*'Sensitivity Analysis Variables'!C$3*'Sensitivity Analysis Variables'!$C$5*'Sensitivity Analysis Variables'!$C$6*'Team Hourly Burn'!$B$2</f>
        <v>11136.8160246</v>
      </c>
      <c r="D6" s="9" t="n">
        <f aca="false">'CostCnst(Legacy-&gt;Containerized)'!$B6*'Sensitivity Analysis Variables'!D$3*'Sensitivity Analysis Variables'!$C$5*'Sensitivity Analysis Variables'!$C$6*'Team Hourly Burn'!$B$2</f>
        <v>22273.6320492</v>
      </c>
      <c r="E6" s="9" t="n">
        <f aca="false">'CostCnst(Legacy-&gt;Containerized)'!$B6*'Sensitivity Analysis Variables'!E$3*'Sensitivity Analysis Variables'!$C$5*'Sensitivity Analysis Variables'!$C$6*'Team Hourly Burn'!$B$2</f>
        <v>44547.2640984</v>
      </c>
      <c r="F6" s="9" t="n">
        <f aca="false">'CostCnst(Legacy-&gt;Containerized)'!$B6*'Sensitivity Analysis Variables'!F$3*'Sensitivity Analysis Variables'!$C$5*'Sensitivity Analysis Variables'!$C$6*'Team Hourly Burn'!$B$2</f>
        <v>89094.5281968</v>
      </c>
      <c r="G6" s="9" t="n">
        <f aca="false">'CostCnst(Legacy-&gt;Containerized)'!$B6*'Sensitivity Analysis Variables'!G$3*'Sensitivity Analysis Variables'!$C$5*'Sensitivity Analysis Variables'!$C$6*'Team Hourly Burn'!$B$2</f>
        <v>178189.0563936</v>
      </c>
      <c r="H6" s="9" t="n">
        <f aca="false">SUM(C6:G6)</f>
        <v>345241.2967626</v>
      </c>
    </row>
    <row r="7" customFormat="false" ht="15.75" hidden="false" customHeight="false" outlineLevel="0" collapsed="false">
      <c r="A7" s="0" t="s">
        <v>34</v>
      </c>
      <c r="B7" s="0" t="str">
        <f aca="false">'CostOpts(Legacy-&gt;Containerized)'!A2</f>
        <v>Shadow App components</v>
      </c>
      <c r="C7" s="9" t="n">
        <f aca="false">'CostOpts(Legacy-&gt;Containerized)'!$B$2*'Sensitivity Analysis Variables'!C$3*'Sensitivity Analysis Variables'!$C$5*'Sensitivity Analysis Variables'!$C$6*'Team Hourly Burn'!$B$2</f>
        <v>143187.634602</v>
      </c>
      <c r="D7" s="9" t="n">
        <f aca="false">'CostOpts(Legacy-&gt;Containerized)'!$B$2*'Sensitivity Analysis Variables'!D$3*'Sensitivity Analysis Variables'!$C$5*'Sensitivity Analysis Variables'!$C$6*'Team Hourly Burn'!$B$2</f>
        <v>286375.269204</v>
      </c>
      <c r="E7" s="9" t="n">
        <f aca="false">'CostOpts(Legacy-&gt;Containerized)'!$B$2*'Sensitivity Analysis Variables'!E$3*'Sensitivity Analysis Variables'!$C$5*'Sensitivity Analysis Variables'!$C$6*'Team Hourly Burn'!$B$2</f>
        <v>572750.538408</v>
      </c>
      <c r="F7" s="9" t="n">
        <f aca="false">'CostOpts(Legacy-&gt;Containerized)'!$B$2*'Sensitivity Analysis Variables'!F$3*'Sensitivity Analysis Variables'!$C$5*'Sensitivity Analysis Variables'!$C$6*'Team Hourly Burn'!$B$2</f>
        <v>1145501.076816</v>
      </c>
      <c r="G7" s="9" t="n">
        <f aca="false">'CostOpts(Legacy-&gt;Containerized)'!$B$2*'Sensitivity Analysis Variables'!G$3*'Sensitivity Analysis Variables'!$C$5*'Sensitivity Analysis Variables'!$C$6*'Team Hourly Burn'!$B$2</f>
        <v>2291002.153632</v>
      </c>
      <c r="H7" s="9" t="n">
        <f aca="false">SUM(C7:G7)</f>
        <v>4438816.672662</v>
      </c>
    </row>
    <row r="8" customFormat="false" ht="15.75" hidden="false" customHeight="false" outlineLevel="0" collapsed="false">
      <c r="A8" s="0" t="s">
        <v>43</v>
      </c>
      <c r="B8" s="0" t="str">
        <f aca="false">'CostCnst(Containerized-&gt;Cloud)'!A2</f>
        <v>Data Changes</v>
      </c>
      <c r="C8" s="9" t="n">
        <f aca="false">'CostCnst(Containerized-&gt;Cloud)'!$B2*'Sensitivity Analysis Variables'!C$3*'Sensitivity Analysis Variables'!$C$5*'Sensitivity Analysis Variables'!$C$6*'Team Hourly Burn'!$B$2</f>
        <v>39774.342945</v>
      </c>
      <c r="D8" s="9" t="n">
        <f aca="false">'CostCnst(Containerized-&gt;Cloud)'!$B2*'Sensitivity Analysis Variables'!D$3*'Sensitivity Analysis Variables'!$C$5*'Sensitivity Analysis Variables'!$C$6*'Team Hourly Burn'!$B$2</f>
        <v>79548.68589</v>
      </c>
      <c r="E8" s="9" t="n">
        <f aca="false">'CostCnst(Containerized-&gt;Cloud)'!$B2*'Sensitivity Analysis Variables'!E$3*'Sensitivity Analysis Variables'!$C$5*'Sensitivity Analysis Variables'!$C$6*'Team Hourly Burn'!$B$2</f>
        <v>159097.37178</v>
      </c>
      <c r="F8" s="9" t="n">
        <f aca="false">'CostCnst(Containerized-&gt;Cloud)'!$B2*'Sensitivity Analysis Variables'!F$3*'Sensitivity Analysis Variables'!$C$5*'Sensitivity Analysis Variables'!$C$6*'Team Hourly Burn'!$B$2</f>
        <v>318194.74356</v>
      </c>
      <c r="G8" s="9" t="n">
        <f aca="false">'CostCnst(Containerized-&gt;Cloud)'!$B2*'Sensitivity Analysis Variables'!G$3*'Sensitivity Analysis Variables'!$C$5*'Sensitivity Analysis Variables'!$C$6*'Team Hourly Burn'!$B$2</f>
        <v>636389.48712</v>
      </c>
      <c r="H8" s="9" t="n">
        <f aca="false">SUM(C8:G8)</f>
        <v>1233004.631295</v>
      </c>
    </row>
    <row r="9" customFormat="false" ht="15.75" hidden="false" customHeight="false" outlineLevel="0" collapsed="false">
      <c r="A9" s="0" t="s">
        <v>43</v>
      </c>
      <c r="B9" s="0" t="str">
        <f aca="false">'CostCnst(Containerized-&gt;Cloud)'!A3</f>
        <v>PI Changes</v>
      </c>
      <c r="C9" s="9" t="n">
        <f aca="false">'CostCnst(Containerized-&gt;Cloud)'!$B3*'Sensitivity Analysis Variables'!C$3*'Sensitivity Analysis Variables'!$C$5*'Sensitivity Analysis Variables'!$C$6*'Team Hourly Burn'!$B$2</f>
        <v>39774.342945</v>
      </c>
      <c r="D9" s="9" t="n">
        <f aca="false">'CostCnst(Containerized-&gt;Cloud)'!$B3*'Sensitivity Analysis Variables'!D$3*'Sensitivity Analysis Variables'!$C$5*'Sensitivity Analysis Variables'!$C$6*'Team Hourly Burn'!$B$2</f>
        <v>79548.68589</v>
      </c>
      <c r="E9" s="9" t="n">
        <f aca="false">'CostCnst(Containerized-&gt;Cloud)'!$B3*'Sensitivity Analysis Variables'!E$3*'Sensitivity Analysis Variables'!$C$5*'Sensitivity Analysis Variables'!$C$6*'Team Hourly Burn'!$B$2</f>
        <v>159097.37178</v>
      </c>
      <c r="F9" s="9" t="n">
        <f aca="false">'CostCnst(Containerized-&gt;Cloud)'!$B3*'Sensitivity Analysis Variables'!F$3*'Sensitivity Analysis Variables'!$C$5*'Sensitivity Analysis Variables'!$C$6*'Team Hourly Burn'!$B$2</f>
        <v>318194.74356</v>
      </c>
      <c r="G9" s="9" t="n">
        <f aca="false">'CostCnst(Containerized-&gt;Cloud)'!$B3*'Sensitivity Analysis Variables'!G$3*'Sensitivity Analysis Variables'!$C$5*'Sensitivity Analysis Variables'!$C$6*'Team Hourly Burn'!$B$2</f>
        <v>636389.48712</v>
      </c>
      <c r="H9" s="9" t="n">
        <f aca="false">SUM(C9:G9)</f>
        <v>1233004.631295</v>
      </c>
    </row>
    <row r="10" customFormat="false" ht="15.75" hidden="false" customHeight="false" outlineLevel="0" collapsed="false">
      <c r="A10" s="0" t="s">
        <v>43</v>
      </c>
      <c r="B10" s="0" t="str">
        <f aca="false">'CostCnst(Containerized-&gt;Cloud)'!A4</f>
        <v>Technical Changes</v>
      </c>
      <c r="C10" s="9" t="n">
        <f aca="false">'CostCnst(Containerized-&gt;Cloud)'!$B4*'Sensitivity Analysis Variables'!C$3*'Sensitivity Analysis Variables'!$C$5*'Sensitivity Analysis Variables'!$C$6*'Team Hourly Burn'!$B$2</f>
        <v>11136.8160246</v>
      </c>
      <c r="D10" s="9" t="n">
        <f aca="false">'CostCnst(Containerized-&gt;Cloud)'!$B4*'Sensitivity Analysis Variables'!D$3*'Sensitivity Analysis Variables'!$C$5*'Sensitivity Analysis Variables'!$C$6*'Team Hourly Burn'!$B$2</f>
        <v>22273.6320492</v>
      </c>
      <c r="E10" s="9" t="n">
        <f aca="false">'CostCnst(Containerized-&gt;Cloud)'!$B4*'Sensitivity Analysis Variables'!E$3*'Sensitivity Analysis Variables'!$C$5*'Sensitivity Analysis Variables'!$C$6*'Team Hourly Burn'!$B$2</f>
        <v>44547.2640984</v>
      </c>
      <c r="F10" s="9" t="n">
        <f aca="false">'CostCnst(Containerized-&gt;Cloud)'!$B4*'Sensitivity Analysis Variables'!F$3*'Sensitivity Analysis Variables'!$C$5*'Sensitivity Analysis Variables'!$C$6*'Team Hourly Burn'!$B$2</f>
        <v>89094.5281968</v>
      </c>
      <c r="G10" s="9" t="n">
        <f aca="false">'CostCnst(Containerized-&gt;Cloud)'!$B4*'Sensitivity Analysis Variables'!G$3*'Sensitivity Analysis Variables'!$C$5*'Sensitivity Analysis Variables'!$C$6*'Team Hourly Burn'!$B$2</f>
        <v>178189.0563936</v>
      </c>
      <c r="H10" s="9" t="n">
        <f aca="false">SUM(C10:G10)</f>
        <v>345241.2967626</v>
      </c>
    </row>
    <row r="11" customFormat="false" ht="15.75" hidden="false" customHeight="false" outlineLevel="0" collapsed="false">
      <c r="A11" s="0" t="s">
        <v>43</v>
      </c>
      <c r="B11" s="0" t="str">
        <f aca="false">'CostCnst(Containerized-&gt;Cloud)'!A5</f>
        <v>Deployment Changes</v>
      </c>
      <c r="C11" s="9" t="n">
        <f aca="false">'CostCnst(Containerized-&gt;Cloud)'!$B5*'Sensitivity Analysis Variables'!C$3*'Sensitivity Analysis Variables'!$C$5*'Sensitivity Analysis Variables'!$C$6*'Team Hourly Burn'!$B$2</f>
        <v>11136.8160246</v>
      </c>
      <c r="D11" s="9" t="n">
        <f aca="false">'CostCnst(Containerized-&gt;Cloud)'!$B5*'Sensitivity Analysis Variables'!D$3*'Sensitivity Analysis Variables'!$C$5*'Sensitivity Analysis Variables'!$C$6*'Team Hourly Burn'!$B$2</f>
        <v>22273.6320492</v>
      </c>
      <c r="E11" s="9" t="n">
        <f aca="false">'CostCnst(Containerized-&gt;Cloud)'!$B5*'Sensitivity Analysis Variables'!E$3*'Sensitivity Analysis Variables'!$C$5*'Sensitivity Analysis Variables'!$C$6*'Team Hourly Burn'!$B$2</f>
        <v>44547.2640984</v>
      </c>
      <c r="F11" s="9" t="n">
        <f aca="false">'CostCnst(Containerized-&gt;Cloud)'!$B5*'Sensitivity Analysis Variables'!F$3*'Sensitivity Analysis Variables'!$C$5*'Sensitivity Analysis Variables'!$C$6*'Team Hourly Burn'!$B$2</f>
        <v>89094.5281968</v>
      </c>
      <c r="G11" s="9" t="n">
        <f aca="false">'CostCnst(Containerized-&gt;Cloud)'!$B5*'Sensitivity Analysis Variables'!G$3*'Sensitivity Analysis Variables'!$C$5*'Sensitivity Analysis Variables'!$C$6*'Team Hourly Burn'!$B$2</f>
        <v>178189.0563936</v>
      </c>
      <c r="H11" s="9" t="n">
        <f aca="false">SUM(C11:G11)</f>
        <v>345241.2967626</v>
      </c>
    </row>
    <row r="12" customFormat="false" ht="15.75" hidden="false" customHeight="false" outlineLevel="0" collapsed="false">
      <c r="A12" s="0" t="s">
        <v>43</v>
      </c>
      <c r="B12" s="0" t="str">
        <f aca="false">'CostCnst(Containerized-&gt;Cloud)'!A6</f>
        <v>Architectural Changes</v>
      </c>
      <c r="C12" s="9" t="n">
        <f aca="false">'CostCnst(Containerized-&gt;Cloud)'!$B6*'Sensitivity Analysis Variables'!C$3*'Sensitivity Analysis Variables'!$C$5*'Sensitivity Analysis Variables'!$C$6*'Team Hourly Burn'!$B$2</f>
        <v>15909.737178</v>
      </c>
      <c r="D12" s="9" t="n">
        <f aca="false">'CostCnst(Containerized-&gt;Cloud)'!$B6*'Sensitivity Analysis Variables'!D$3*'Sensitivity Analysis Variables'!$C$5*'Sensitivity Analysis Variables'!$C$6*'Team Hourly Burn'!$B$2</f>
        <v>31819.474356</v>
      </c>
      <c r="E12" s="9" t="n">
        <f aca="false">'CostCnst(Containerized-&gt;Cloud)'!$B6*'Sensitivity Analysis Variables'!E$3*'Sensitivity Analysis Variables'!$C$5*'Sensitivity Analysis Variables'!$C$6*'Team Hourly Burn'!$B$2</f>
        <v>63638.948712</v>
      </c>
      <c r="F12" s="9" t="n">
        <f aca="false">'CostCnst(Containerized-&gt;Cloud)'!$B6*'Sensitivity Analysis Variables'!F$3*'Sensitivity Analysis Variables'!$C$5*'Sensitivity Analysis Variables'!$C$6*'Team Hourly Burn'!$B$2</f>
        <v>127277.897424</v>
      </c>
      <c r="G12" s="9" t="n">
        <f aca="false">'CostCnst(Containerized-&gt;Cloud)'!$B6*'Sensitivity Analysis Variables'!G$3*'Sensitivity Analysis Variables'!$C$5*'Sensitivity Analysis Variables'!$C$6*'Team Hourly Burn'!$B$2</f>
        <v>254555.794848</v>
      </c>
      <c r="H12" s="9" t="n">
        <f aca="false">SUM(C12:G12)</f>
        <v>493201.852518</v>
      </c>
    </row>
    <row r="13" customFormat="false" ht="15.75" hidden="false" customHeight="false" outlineLevel="0" collapsed="false">
      <c r="A13" s="0" t="s">
        <v>47</v>
      </c>
      <c r="B13" s="9" t="n">
        <f aca="false">SUM(C2:C12)</f>
        <v>381197.30278488</v>
      </c>
      <c r="C13" s="9" t="n">
        <f aca="false">SUM(D2:D12)</f>
        <v>762394.60556976</v>
      </c>
      <c r="D13" s="9" t="n">
        <f aca="false">SUM(E2:E12)</f>
        <v>1524789.21113952</v>
      </c>
      <c r="E13" s="9" t="n">
        <f aca="false">SUM(F2:F12)</f>
        <v>3049578.42227904</v>
      </c>
      <c r="F13" s="9" t="n">
        <f aca="false">SUM(G2:G12)</f>
        <v>6099156.84455808</v>
      </c>
      <c r="G13" s="9" t="n">
        <f aca="false">#N/A</f>
        <v>11817116.3863313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2CC"/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15.87"/>
  </cols>
  <sheetData>
    <row r="1" customFormat="false" ht="15.75" hidden="false" customHeight="false" outlineLevel="0" collapsed="false">
      <c r="A1" s="0" t="s">
        <v>19</v>
      </c>
      <c r="B1" s="0" t="s">
        <v>3</v>
      </c>
    </row>
    <row r="2" customFormat="false" ht="15.75" hidden="false" customHeight="false" outlineLevel="0" collapsed="false">
      <c r="A2" s="0" t="s">
        <v>135</v>
      </c>
      <c r="B2" s="0" t="n">
        <f aca="false">(('Sensitivity Analysis Variables'!$C$4*'Cost Constants'!$B$8) + ((1-'Sensitivity Analysis Variables'!$C$4)*'Cost Constants'!$B$9))</f>
        <v>44.1937143833333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5" activeCellId="0" sqref="C5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45.88"/>
    <col collapsed="false" customWidth="true" hidden="false" outlineLevel="0" max="2" min="2" style="0" width="24"/>
  </cols>
  <sheetData>
    <row r="1" customFormat="false" ht="15.75" hidden="false" customHeight="false" outlineLevel="0" collapsed="false">
      <c r="A1" s="0" t="s">
        <v>19</v>
      </c>
      <c r="B1" s="0" t="s">
        <v>136</v>
      </c>
      <c r="C1" s="18" t="s">
        <v>137</v>
      </c>
      <c r="D1" s="18"/>
      <c r="E1" s="18"/>
      <c r="F1" s="18"/>
      <c r="G1" s="18"/>
    </row>
    <row r="2" customFormat="false" ht="15.75" hidden="false" customHeight="false" outlineLevel="0" collapsed="false">
      <c r="A2" s="0" t="s">
        <v>15</v>
      </c>
      <c r="B2" s="0" t="s">
        <v>138</v>
      </c>
      <c r="C2" s="0" t="s">
        <v>20</v>
      </c>
      <c r="D2" s="0" t="s">
        <v>21</v>
      </c>
      <c r="E2" s="0" t="s">
        <v>22</v>
      </c>
      <c r="F2" s="0" t="s">
        <v>23</v>
      </c>
      <c r="G2" s="0" t="s">
        <v>24</v>
      </c>
    </row>
    <row r="3" customFormat="false" ht="15.75" hidden="false" customHeight="false" outlineLevel="0" collapsed="false">
      <c r="A3" s="0" t="str">
        <f aca="false">'Sensitity Analysis Dropdowns'!$A$2</f>
        <v>Number of Teams</v>
      </c>
      <c r="B3" s="0" t="str">
        <f aca="false">Dashboard!$C2</f>
        <v>{d.numberOfTeams}</v>
      </c>
      <c r="C3" s="0" t="n">
        <f aca="false">IF('Sensitity Analysis Dropdowns'!$B$2='Sensitivity Analysis Variables'!$B3, 'Sensitity Analysis Constants'!B2, IF('Sensitity Analysis Dropdowns'!$B$3='Sensitivity Analysis Variables'!$B3, 'Sensitity Analysis Constants'!B3, 'Sensitity Analysis Constants'!B4))</f>
        <v>4</v>
      </c>
      <c r="D3" s="0" t="n">
        <f aca="false">IF('Sensitity Analysis Dropdowns'!$B$2='Sensitivity Analysis Variables'!$B3, 'Sensitity Analysis Constants'!C2, IF('Sensitity Analysis Dropdowns'!$B$3='Sensitivity Analysis Variables'!$B3, 'Sensitity Analysis Constants'!C3, 'Sensitity Analysis Constants'!C4))</f>
        <v>8</v>
      </c>
      <c r="E3" s="0" t="n">
        <f aca="false">IF('Sensitity Analysis Dropdowns'!$B$2='Sensitivity Analysis Variables'!$B3, 'Sensitity Analysis Constants'!D2, IF('Sensitity Analysis Dropdowns'!$B$3='Sensitivity Analysis Variables'!$B3, 'Sensitity Analysis Constants'!D3, 'Sensitity Analysis Constants'!D4))</f>
        <v>16</v>
      </c>
      <c r="F3" s="0" t="n">
        <f aca="false">IF('Sensitity Analysis Dropdowns'!$B$2='Sensitivity Analysis Variables'!$B3, 'Sensitity Analysis Constants'!E2, IF('Sensitity Analysis Dropdowns'!$B$3='Sensitivity Analysis Variables'!$B3, 'Sensitity Analysis Constants'!E3, 'Sensitity Analysis Constants'!E4))</f>
        <v>32</v>
      </c>
      <c r="G3" s="0" t="n">
        <f aca="false">IF('Sensitity Analysis Dropdowns'!$B$2='Sensitivity Analysis Variables'!$B3, 'Sensitity Analysis Constants'!F2, IF('Sensitity Analysis Dropdowns'!$B$3='Sensitivity Analysis Variables'!$B3, 'Sensitity Analysis Constants'!F3, 'Sensitity Analysis Constants'!F4))</f>
        <v>64</v>
      </c>
    </row>
    <row r="4" customFormat="false" ht="15.75" hidden="false" customHeight="false" outlineLevel="0" collapsed="false">
      <c r="A4" s="0" t="str">
        <f aca="false">'Sensitity Analysis Dropdowns'!$A$5</f>
        <v>Ratio of Employees vs Contractors</v>
      </c>
      <c r="B4" s="0" t="str">
        <f aca="false">Dashboard!$C3</f>
        <v>{d.employeesVsContractors}</v>
      </c>
      <c r="C4" s="18" t="n">
        <f aca="false">IF('Sensitity Analysis Dropdowns'!$B$5='Sensitivity Analysis Variables'!$B4, 'Sensitity Analysis Constants'!$B$5, IF('Sensitity Analysis Dropdowns'!$B$6='Sensitivity Analysis Variables'!$B4, 'Sensitity Analysis Constants'!$B$6, 'Sensitity Analysis Constants'!$B$7))</f>
        <v>0.9</v>
      </c>
      <c r="D4" s="18"/>
      <c r="E4" s="18"/>
      <c r="F4" s="18"/>
      <c r="G4" s="18"/>
    </row>
    <row r="5" customFormat="false" ht="15.75" hidden="false" customHeight="false" outlineLevel="0" collapsed="false">
      <c r="A5" s="0" t="str">
        <f aca="false">'Sensitity Analysis Dropdowns'!$A$8</f>
        <v>Experience of Teams with BC Gov Migrations</v>
      </c>
      <c r="B5" s="0" t="str">
        <f aca="false">Dashboard!$C4</f>
        <v>{d.teamMigrationExperience}</v>
      </c>
      <c r="C5" s="18" t="n">
        <f aca="false">IF('Sensitity Analysis Dropdowns'!$B$8='Sensitivity Analysis Variables'!$B5, 'Sensitity Analysis Constants'!$B$8, IF('Sensitity Analysis Dropdowns'!$B$9='Sensitivity Analysis Variables'!$B5, 'Sensitity Analysis Constants'!$B$9, 'Sensitity Analysis Constants'!$B$10))</f>
        <v>1</v>
      </c>
      <c r="D5" s="18"/>
      <c r="E5" s="18"/>
      <c r="F5" s="18"/>
      <c r="G5" s="18"/>
    </row>
    <row r="6" customFormat="false" ht="15.75" hidden="false" customHeight="false" outlineLevel="0" collapsed="false">
      <c r="A6" s="0" t="str">
        <f aca="false">'Sensitity Analysis Dropdowns'!$A$11</f>
        <v>Likelihood of Shadow App Dependencies</v>
      </c>
      <c r="B6" s="0" t="str">
        <f aca="false">Dashboard!$C5</f>
        <v>{d.shadowAppDepsChance}</v>
      </c>
      <c r="C6" s="18" t="n">
        <f aca="false">IF('Sensitity Analysis Dropdowns'!$B$11='Sensitivity Analysis Variables'!$B6, 'Sensitity Analysis Constants'!$B$11, IF('Sensitity Analysis Dropdowns'!$B$12='Sensitivity Analysis Variables'!$B6, 'Sensitity Analysis Constants'!$B$12, 'Sensitity Analysis Constants'!$B$13))</f>
        <v>0.9</v>
      </c>
      <c r="D6" s="18"/>
      <c r="E6" s="18"/>
      <c r="F6" s="18"/>
      <c r="G6" s="18"/>
    </row>
    <row r="7" customFormat="false" ht="15.75" hidden="false" customHeight="false" outlineLevel="0" collapsed="false">
      <c r="A7" s="0" t="str">
        <f aca="false">'Sensitity Analysis Dropdowns'!$A$14</f>
        <v>Average Cost of Gov Data Breach</v>
      </c>
      <c r="B7" s="0" t="str">
        <f aca="false">Dashboard!$C6</f>
        <v>{d.avgCostGovDataBreach}</v>
      </c>
      <c r="C7" s="19" t="n">
        <f aca="false">IF('Sensitity Analysis Dropdowns'!$B$14='Sensitivity Analysis Variables'!$B7, 'Sensitity Analysis Constants'!$B$14, IF('Sensitity Analysis Dropdowns'!$B$15='Sensitivity Analysis Variables'!$B7, 'Sensitity Analysis Constants'!$B$15, 'Sensitity Analysis Constants'!$B$16))</f>
        <v>1821652.75443038</v>
      </c>
      <c r="D7" s="19"/>
      <c r="E7" s="19"/>
      <c r="F7" s="19"/>
      <c r="G7" s="19"/>
    </row>
    <row r="8" customFormat="false" ht="15.75" hidden="false" customHeight="false" outlineLevel="0" collapsed="false">
      <c r="A8" s="0" t="str">
        <f aca="false">'Sensitity Analysis Dropdowns'!$A$17</f>
        <v>Average Currently Online Public Users per Application</v>
      </c>
      <c r="B8" s="0" t="str">
        <f aca="false">Dashboard!$C7</f>
        <v>{d.avgOnlineUsersPerApp}</v>
      </c>
      <c r="C8" s="20" t="n">
        <f aca="false">IF('Sensitity Analysis Dropdowns'!$B$17='Sensitivity Analysis Variables'!$B8, 'Sensitity Analysis Constants'!B$17, IF('Sensitity Analysis Dropdowns'!$B$18='Sensitivity Analysis Variables'!$B8, 'Sensitity Analysis Constants'!$B$18, 'Sensitity Analysis Constants'!$B$19))</f>
        <v>100</v>
      </c>
      <c r="D8" s="20"/>
      <c r="E8" s="20"/>
      <c r="F8" s="20"/>
      <c r="G8" s="20"/>
    </row>
    <row r="9" customFormat="false" ht="15.75" hidden="false" customHeight="false" outlineLevel="0" collapsed="false">
      <c r="A9" s="0" t="str">
        <f aca="false">'Sensitity Analysis Dropdowns'!$A$20</f>
        <v>Average Legacy System Outage Length</v>
      </c>
      <c r="B9" s="0" t="str">
        <f aca="false">Dashboard!$C8</f>
        <v>{d.avgLegacyOutageLength}</v>
      </c>
      <c r="C9" s="20" t="n">
        <f aca="false">IF('Sensitity Analysis Dropdowns'!$B$20='Sensitivity Analysis Variables'!$B9, 'Sensitity Analysis Constants'!B$20, IF('Sensitity Analysis Dropdowns'!$B$21='Sensitivity Analysis Variables'!$B9, 'Sensitity Analysis Constants'!B21, 'Sensitity Analysis Constants'!B22))</f>
        <v>100</v>
      </c>
      <c r="D9" s="20"/>
      <c r="E9" s="20"/>
      <c r="F9" s="20"/>
      <c r="G9" s="20"/>
    </row>
    <row r="10" customFormat="false" ht="15.75" hidden="false" customHeight="false" outlineLevel="0" collapsed="false">
      <c r="A10" s="0" t="str">
        <f aca="false">'Sensitity Analysis Dropdowns'!$A$23</f>
        <v>Public User Service Disruption Hourly Value</v>
      </c>
      <c r="B10" s="9" t="str">
        <f aca="false">Dashboard!$C9</f>
        <v>{d.avgDistruptionHourlyValue}</v>
      </c>
      <c r="C10" s="19" t="n">
        <f aca="false">IF('Sensitity Analysis Dropdowns'!$B$23='Sensitivity Analysis Variables'!$B10, 'Sensitity Analysis Constants'!$B$23, IF('Sensitity Analysis Dropdowns'!$B$24='Sensitivity Analysis Variables'!$B10, 'Sensitity Analysis Constants'!$B$24, 'Sensitity Analysis Constants'!$B$25))</f>
        <v>30</v>
      </c>
      <c r="D10" s="19"/>
      <c r="E10" s="19"/>
      <c r="F10" s="19"/>
      <c r="G10" s="19"/>
    </row>
    <row r="11" customFormat="false" ht="15.75" hidden="false" customHeight="false" outlineLevel="0" collapsed="false">
      <c r="A11" s="0" t="str">
        <f aca="false">'Sensitity Analysis Dropdowns'!$A$26</f>
        <v>Average Yearly Project Hours on New Features</v>
      </c>
      <c r="B11" s="0" t="str">
        <f aca="false">Dashboard!$C10</f>
        <v>{d.avgYearlyNewFeatureHours}</v>
      </c>
      <c r="C11" s="18" t="n">
        <f aca="false">IF('Sensitity Analysis Dropdowns'!$B$26='Sensitivity Analysis Variables'!$B11, 'Sensitity Analysis Constants'!B$26, IF('Sensitity Analysis Dropdowns'!$B$27='Sensitivity Analysis Variables'!$B11, 'Sensitity Analysis Constants'!$B$27, 'Sensitity Analysis Constants'!$B$28))</f>
        <v>12000</v>
      </c>
      <c r="D11" s="18"/>
      <c r="E11" s="18"/>
      <c r="F11" s="18"/>
      <c r="G11" s="18"/>
    </row>
  </sheetData>
  <mergeCells count="9">
    <mergeCell ref="C1:G1"/>
    <mergeCell ref="C4:G4"/>
    <mergeCell ref="C5:G5"/>
    <mergeCell ref="C6:G6"/>
    <mergeCell ref="C7:G7"/>
    <mergeCell ref="C8:G8"/>
    <mergeCell ref="C9:G9"/>
    <mergeCell ref="C10:G10"/>
    <mergeCell ref="C11:G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ColWidth="10.9921875" defaultRowHeight="15.75" zeroHeight="false" outlineLevelRow="0" outlineLevelCol="0"/>
  <cols>
    <col collapsed="false" customWidth="true" hidden="false" outlineLevel="0" max="1" min="1" style="0" width="73.38"/>
  </cols>
  <sheetData>
    <row r="1" customFormat="false" ht="15.75" hidden="false" customHeight="false" outlineLevel="0" collapsed="false">
      <c r="A1" s="0" t="s">
        <v>19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</row>
    <row r="2" customFormat="false" ht="15.75" hidden="false" customHeight="false" outlineLevel="0" collapsed="false">
      <c r="A2" s="0" t="str">
        <f aca="false">_xlfn.CONCAT('Sensitity Analysis Dropdowns'!$A2, " - ", 'Sensitity Analysis Dropdowns'!$B2)</f>
        <v>Number of Teams - Low</v>
      </c>
      <c r="B2" s="0" t="n">
        <v>1</v>
      </c>
      <c r="C2" s="0" t="n">
        <f aca="false">B2*2</f>
        <v>2</v>
      </c>
      <c r="D2" s="0" t="n">
        <f aca="false">C2*2</f>
        <v>4</v>
      </c>
      <c r="E2" s="0" t="n">
        <f aca="false">D2*2</f>
        <v>8</v>
      </c>
      <c r="F2" s="0" t="n">
        <f aca="false">E2*2</f>
        <v>16</v>
      </c>
      <c r="G2" s="0" t="s">
        <v>139</v>
      </c>
    </row>
    <row r="3" customFormat="false" ht="15.75" hidden="false" customHeight="false" outlineLevel="0" collapsed="false">
      <c r="A3" s="0" t="str">
        <f aca="false">_xlfn.CONCAT('Sensitity Analysis Dropdowns'!$A3, " - ", 'Sensitity Analysis Dropdowns'!$B3)</f>
        <v>Number of Teams - Medium</v>
      </c>
      <c r="B3" s="0" t="n">
        <v>2</v>
      </c>
      <c r="C3" s="0" t="n">
        <f aca="false">B3*2</f>
        <v>4</v>
      </c>
      <c r="D3" s="0" t="n">
        <f aca="false">C3*2</f>
        <v>8</v>
      </c>
      <c r="E3" s="0" t="n">
        <f aca="false">D3*2</f>
        <v>16</v>
      </c>
      <c r="F3" s="0" t="n">
        <f aca="false">E3*2</f>
        <v>32</v>
      </c>
      <c r="G3" s="0" t="s">
        <v>140</v>
      </c>
    </row>
    <row r="4" customFormat="false" ht="15.75" hidden="false" customHeight="false" outlineLevel="0" collapsed="false">
      <c r="A4" s="0" t="str">
        <f aca="false">_xlfn.CONCAT('Sensitity Analysis Dropdowns'!$A4, " - ", 'Sensitity Analysis Dropdowns'!$B4)</f>
        <v>Number of Teams - High</v>
      </c>
      <c r="B4" s="0" t="n">
        <v>4</v>
      </c>
      <c r="C4" s="0" t="n">
        <f aca="false">B4*2</f>
        <v>8</v>
      </c>
      <c r="D4" s="0" t="n">
        <f aca="false">C4*2</f>
        <v>16</v>
      </c>
      <c r="E4" s="0" t="n">
        <f aca="false">D4*2</f>
        <v>32</v>
      </c>
      <c r="F4" s="5" t="n">
        <f aca="false">E4*2</f>
        <v>64</v>
      </c>
    </row>
    <row r="5" customFormat="false" ht="15.75" hidden="false" customHeight="false" outlineLevel="0" collapsed="false">
      <c r="A5" s="0" t="str">
        <f aca="false">_xlfn.CONCAT('Sensitity Analysis Dropdowns'!$A5, " - ", 'Sensitity Analysis Dropdowns'!$B5)</f>
        <v>Ratio of Employees vs Contractors - 10% Employees</v>
      </c>
      <c r="B5" s="21" t="n">
        <v>0.1</v>
      </c>
      <c r="C5" s="21"/>
      <c r="D5" s="21"/>
      <c r="E5" s="21"/>
      <c r="F5" s="21"/>
    </row>
    <row r="6" customFormat="false" ht="15.75" hidden="false" customHeight="false" outlineLevel="0" collapsed="false">
      <c r="A6" s="0" t="str">
        <f aca="false">_xlfn.CONCAT('Sensitity Analysis Dropdowns'!$A6, " - ", 'Sensitity Analysis Dropdowns'!$B6)</f>
        <v>Ratio of Employees vs Contractors - 50% Employees</v>
      </c>
      <c r="B6" s="21" t="n">
        <v>0.5</v>
      </c>
      <c r="C6" s="21"/>
      <c r="D6" s="21"/>
      <c r="E6" s="21"/>
      <c r="F6" s="21"/>
    </row>
    <row r="7" customFormat="false" ht="15.75" hidden="false" customHeight="false" outlineLevel="0" collapsed="false">
      <c r="A7" s="0" t="str">
        <f aca="false">_xlfn.CONCAT('Sensitity Analysis Dropdowns'!$A7, " - ", 'Sensitity Analysis Dropdowns'!$B7)</f>
        <v>Ratio of Employees vs Contractors - 90% Employees</v>
      </c>
      <c r="B7" s="21" t="n">
        <v>0.9</v>
      </c>
      <c r="C7" s="21"/>
      <c r="D7" s="21"/>
      <c r="E7" s="21"/>
      <c r="F7" s="21"/>
    </row>
    <row r="8" customFormat="false" ht="15.75" hidden="false" customHeight="false" outlineLevel="0" collapsed="false">
      <c r="A8" s="0" t="str">
        <f aca="false">_xlfn.CONCAT('Sensitity Analysis Dropdowns'!$A8, " - ", 'Sensitity Analysis Dropdowns'!$B8)</f>
        <v>Experience of Teams with BC Gov Migrations - Figuring it out from Scratch</v>
      </c>
      <c r="B8" s="18" t="n">
        <v>1.5</v>
      </c>
      <c r="C8" s="18"/>
      <c r="D8" s="18"/>
      <c r="E8" s="18"/>
      <c r="F8" s="18"/>
    </row>
    <row r="9" customFormat="false" ht="15.75" hidden="false" customHeight="false" outlineLevel="0" collapsed="false">
      <c r="A9" s="0" t="str">
        <f aca="false">_xlfn.CONCAT('Sensitity Analysis Dropdowns'!$A9, " - ", 'Sensitity Analysis Dropdowns'!$B9)</f>
        <v>Experience of Teams with BC Gov Migrations - Following Best Practice Documents</v>
      </c>
      <c r="B9" s="18" t="n">
        <v>1.3</v>
      </c>
      <c r="C9" s="18"/>
      <c r="D9" s="18"/>
      <c r="E9" s="18"/>
      <c r="F9" s="18"/>
    </row>
    <row r="10" customFormat="false" ht="15.75" hidden="false" customHeight="false" outlineLevel="0" collapsed="false">
      <c r="A10" s="0" t="str">
        <f aca="false">_xlfn.CONCAT('Sensitity Analysis Dropdowns'!$A10, " - ", 'Sensitity Analysis Dropdowns'!$B10)</f>
        <v>Experience of Teams with BC Gov Migrations - Trained by Working on Previous Teams</v>
      </c>
      <c r="B10" s="18" t="n">
        <v>1</v>
      </c>
      <c r="C10" s="18"/>
      <c r="D10" s="18"/>
      <c r="E10" s="18"/>
      <c r="F10" s="18"/>
    </row>
    <row r="11" customFormat="false" ht="15.75" hidden="false" customHeight="false" outlineLevel="0" collapsed="false">
      <c r="A11" s="0" t="str">
        <f aca="false">_xlfn.CONCAT('Sensitity Analysis Dropdowns'!$A11, " - ", 'Sensitity Analysis Dropdowns'!$B11)</f>
        <v>Likelihood of Shadow App Dependencies - Low</v>
      </c>
      <c r="B11" s="21" t="n">
        <v>0.25</v>
      </c>
      <c r="C11" s="21"/>
      <c r="D11" s="21"/>
      <c r="E11" s="21"/>
      <c r="F11" s="21"/>
    </row>
    <row r="12" customFormat="false" ht="15.75" hidden="false" customHeight="false" outlineLevel="0" collapsed="false">
      <c r="A12" s="0" t="str">
        <f aca="false">_xlfn.CONCAT('Sensitity Analysis Dropdowns'!$A12, " - ", 'Sensitity Analysis Dropdowns'!$B12)</f>
        <v>Likelihood of Shadow App Dependencies - Medium</v>
      </c>
      <c r="B12" s="21" t="n">
        <v>0.65</v>
      </c>
      <c r="C12" s="21"/>
      <c r="D12" s="21"/>
      <c r="E12" s="21"/>
      <c r="F12" s="21"/>
    </row>
    <row r="13" customFormat="false" ht="15.75" hidden="false" customHeight="false" outlineLevel="0" collapsed="false">
      <c r="A13" s="0" t="str">
        <f aca="false">_xlfn.CONCAT('Sensitity Analysis Dropdowns'!$A13, " - ", 'Sensitity Analysis Dropdowns'!$B13)</f>
        <v>Likelihood of Shadow App Dependencies - High</v>
      </c>
      <c r="B13" s="21" t="n">
        <v>0.9</v>
      </c>
      <c r="C13" s="21"/>
      <c r="D13" s="21"/>
      <c r="E13" s="21"/>
      <c r="F13" s="21"/>
    </row>
    <row r="14" customFormat="false" ht="15.75" hidden="false" customHeight="false" outlineLevel="0" collapsed="false">
      <c r="A14" s="0" t="str">
        <f aca="false">_xlfn.CONCAT('Sensitity Analysis Dropdowns'!$A14, " - ", 'Sensitity Analysis Dropdowns'!$B14)</f>
        <v>Average Cost of Gov Data Breach - Low (2017 data)</v>
      </c>
      <c r="B14" s="19" t="n">
        <f aca="false">'Value Constants'!$B$5</f>
        <v>1460000</v>
      </c>
      <c r="C14" s="19"/>
      <c r="D14" s="19"/>
      <c r="E14" s="19"/>
      <c r="F14" s="19"/>
    </row>
    <row r="15" customFormat="false" ht="15.75" hidden="false" customHeight="false" outlineLevel="0" collapsed="false">
      <c r="A15" s="0" t="str">
        <f aca="false">_xlfn.CONCAT('Sensitity Analysis Dropdowns'!$A15, " - ", 'Sensitity Analysis Dropdowns'!$B15)</f>
        <v>Average Cost of Gov Data Breach - Medium</v>
      </c>
      <c r="B15" s="22" t="n">
        <f aca="false">($B$16+$B$14)/2</f>
        <v>1640826.37721519</v>
      </c>
      <c r="C15" s="22"/>
      <c r="D15" s="22"/>
      <c r="E15" s="22"/>
      <c r="F15" s="22"/>
    </row>
    <row r="16" customFormat="false" ht="15.75" hidden="false" customHeight="false" outlineLevel="0" collapsed="false">
      <c r="A16" s="0" t="str">
        <f aca="false">_xlfn.CONCAT('Sensitity Analysis Dropdowns'!$A16, " - ", 'Sensitity Analysis Dropdowns'!$B16)</f>
        <v>Average Cost of Gov Data Breach - High (2019 Data)</v>
      </c>
      <c r="B16" s="19" t="n">
        <f aca="false">'Value Constants'!$B$8</f>
        <v>1821652.75443038</v>
      </c>
      <c r="C16" s="19"/>
      <c r="D16" s="19"/>
      <c r="E16" s="19"/>
      <c r="F16" s="19"/>
    </row>
    <row r="17" customFormat="false" ht="15.75" hidden="false" customHeight="false" outlineLevel="0" collapsed="false">
      <c r="A17" s="0" t="str">
        <f aca="false">_xlfn.CONCAT('Sensitity Analysis Dropdowns'!$A17, " - ", 'Sensitity Analysis Dropdowns'!$B17)</f>
        <v>Average Currently Online Public Users per Application - 5</v>
      </c>
      <c r="B17" s="20" t="n">
        <v>5</v>
      </c>
      <c r="C17" s="20"/>
      <c r="D17" s="20"/>
      <c r="E17" s="20"/>
      <c r="F17" s="20"/>
    </row>
    <row r="18" customFormat="false" ht="15.75" hidden="false" customHeight="false" outlineLevel="0" collapsed="false">
      <c r="A18" s="0" t="str">
        <f aca="false">_xlfn.CONCAT('Sensitity Analysis Dropdowns'!$A18, " - ", 'Sensitity Analysis Dropdowns'!$B18)</f>
        <v>Average Currently Online Public Users per Application - 20</v>
      </c>
      <c r="B18" s="20" t="n">
        <v>20</v>
      </c>
      <c r="C18" s="20"/>
      <c r="D18" s="20"/>
      <c r="E18" s="20"/>
      <c r="F18" s="20"/>
    </row>
    <row r="19" customFormat="false" ht="15.75" hidden="false" customHeight="false" outlineLevel="0" collapsed="false">
      <c r="A19" s="0" t="str">
        <f aca="false">_xlfn.CONCAT('Sensitity Analysis Dropdowns'!$A19, " - ", 'Sensitity Analysis Dropdowns'!$B19)</f>
        <v>Average Currently Online Public Users per Application - 100</v>
      </c>
      <c r="B19" s="20" t="n">
        <v>100</v>
      </c>
      <c r="C19" s="20"/>
      <c r="D19" s="20"/>
      <c r="E19" s="20"/>
      <c r="F19" s="20"/>
    </row>
    <row r="20" customFormat="false" ht="15.75" hidden="false" customHeight="false" outlineLevel="0" collapsed="false">
      <c r="A20" s="0" t="str">
        <f aca="false">_xlfn.CONCAT('Sensitity Analysis Dropdowns'!$A20, " - ", 'Sensitity Analysis Dropdowns'!$B20)</f>
        <v>Average Legacy System Outage Length - 3 hours</v>
      </c>
      <c r="B20" s="20" t="n">
        <v>3</v>
      </c>
      <c r="C20" s="20"/>
      <c r="D20" s="20"/>
      <c r="E20" s="20"/>
      <c r="F20" s="20"/>
    </row>
    <row r="21" customFormat="false" ht="15.75" hidden="false" customHeight="false" outlineLevel="0" collapsed="false">
      <c r="A21" s="0" t="str">
        <f aca="false">_xlfn.CONCAT('Sensitity Analysis Dropdowns'!$A21, " - ", 'Sensitity Analysis Dropdowns'!$B21)</f>
        <v>Average Legacy System Outage Length - 10 hours</v>
      </c>
      <c r="B21" s="20" t="n">
        <v>10</v>
      </c>
      <c r="C21" s="20"/>
      <c r="D21" s="20"/>
      <c r="E21" s="20"/>
      <c r="F21" s="20"/>
    </row>
    <row r="22" customFormat="false" ht="15.75" hidden="false" customHeight="false" outlineLevel="0" collapsed="false">
      <c r="A22" s="0" t="str">
        <f aca="false">_xlfn.CONCAT('Sensitity Analysis Dropdowns'!$A22, " - ", 'Sensitity Analysis Dropdowns'!$B22)</f>
        <v>Average Legacy System Outage Length - 100 hours</v>
      </c>
      <c r="B22" s="20" t="n">
        <v>100</v>
      </c>
      <c r="C22" s="20"/>
      <c r="D22" s="20"/>
      <c r="E22" s="20"/>
      <c r="F22" s="20"/>
    </row>
    <row r="23" customFormat="false" ht="15.75" hidden="false" customHeight="false" outlineLevel="0" collapsed="false">
      <c r="A23" s="0" t="str">
        <f aca="false">_xlfn.CONCAT('Sensitity Analysis Dropdowns'!$A23, " - ", 'Sensitity Analysis Dropdowns'!$B23)</f>
        <v>Public User Service Disruption Hourly Value - 10</v>
      </c>
      <c r="B23" s="19" t="n">
        <v>10</v>
      </c>
      <c r="C23" s="19"/>
      <c r="D23" s="19"/>
      <c r="E23" s="19"/>
      <c r="F23" s="19"/>
    </row>
    <row r="24" customFormat="false" ht="15.75" hidden="false" customHeight="false" outlineLevel="0" collapsed="false">
      <c r="A24" s="0" t="str">
        <f aca="false">_xlfn.CONCAT('Sensitity Analysis Dropdowns'!$A24, " - ", 'Sensitity Analysis Dropdowns'!$B24)</f>
        <v>Public User Service Disruption Hourly Value - 20</v>
      </c>
      <c r="B24" s="19" t="n">
        <v>20</v>
      </c>
      <c r="C24" s="19"/>
      <c r="D24" s="19"/>
      <c r="E24" s="19"/>
      <c r="F24" s="19"/>
    </row>
    <row r="25" customFormat="false" ht="15.75" hidden="false" customHeight="false" outlineLevel="0" collapsed="false">
      <c r="A25" s="0" t="str">
        <f aca="false">_xlfn.CONCAT('Sensitity Analysis Dropdowns'!$A25, " - ", 'Sensitity Analysis Dropdowns'!$B25)</f>
        <v>Public User Service Disruption Hourly Value - 30</v>
      </c>
      <c r="B25" s="19" t="n">
        <v>30</v>
      </c>
      <c r="C25" s="19"/>
      <c r="D25" s="19"/>
      <c r="E25" s="19"/>
      <c r="F25" s="19"/>
    </row>
    <row r="26" customFormat="false" ht="15.75" hidden="false" customHeight="false" outlineLevel="0" collapsed="false">
      <c r="A26" s="0" t="str">
        <f aca="false">_xlfn.CONCAT('Sensitity Analysis Dropdowns'!$A26, " - ", 'Sensitity Analysis Dropdowns'!$B26)</f>
        <v>Average Yearly Project Hours on New Features - Low (3000)</v>
      </c>
      <c r="B26" s="18" t="n">
        <v>3000</v>
      </c>
      <c r="C26" s="18"/>
      <c r="D26" s="18"/>
      <c r="E26" s="18"/>
      <c r="F26" s="18"/>
    </row>
    <row r="27" customFormat="false" ht="15.75" hidden="false" customHeight="false" outlineLevel="0" collapsed="false">
      <c r="A27" s="0" t="str">
        <f aca="false">_xlfn.CONCAT('Sensitity Analysis Dropdowns'!$A27, " - ", 'Sensitity Analysis Dropdowns'!$B27)</f>
        <v>Average Yearly Project Hours on New Features - Medium (7500)</v>
      </c>
      <c r="B27" s="18" t="n">
        <v>7500</v>
      </c>
      <c r="C27" s="18"/>
      <c r="D27" s="18"/>
      <c r="E27" s="18"/>
      <c r="F27" s="18"/>
    </row>
    <row r="28" customFormat="false" ht="15.75" hidden="false" customHeight="false" outlineLevel="0" collapsed="false">
      <c r="A28" s="0" t="str">
        <f aca="false">_xlfn.CONCAT('Sensitity Analysis Dropdowns'!$A28, " - ", 'Sensitity Analysis Dropdowns'!$B28)</f>
        <v>Average Yearly Project Hours on New Features - High (12000)</v>
      </c>
      <c r="B28" s="18" t="n">
        <v>12000</v>
      </c>
      <c r="C28" s="18"/>
      <c r="D28" s="18"/>
      <c r="E28" s="18"/>
      <c r="F28" s="18"/>
    </row>
  </sheetData>
  <mergeCells count="24">
    <mergeCell ref="B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2020-04-16T23:21:16Z</dcterms:created>
  <dc:creator>Julian Subda</dc:creator>
  <dc:description/>
  <dc:language>en-CA</dc:language>
  <cp:lastModifiedBy/>
  <dcterms:modified xsi:type="dcterms:W3CDTF">2020-12-30T15:40:10Z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