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ubda/git/containerization-and-cloud-economic-model/"/>
    </mc:Choice>
  </mc:AlternateContent>
  <xr:revisionPtr revIDLastSave="0" documentId="13_ncr:1_{246A0672-FFEF-F648-9989-D09590184895}" xr6:coauthVersionLast="45" xr6:coauthVersionMax="45" xr10:uidLastSave="{00000000-0000-0000-0000-000000000000}"/>
  <bookViews>
    <workbookView xWindow="640" yWindow="860" windowWidth="25900" windowHeight="14960" firstSheet="10" activeTab="14" xr2:uid="{9EB35D73-6E70-F94A-8F74-E60F0DF94BAF}"/>
  </bookViews>
  <sheets>
    <sheet name="Dashboard" sheetId="5" r:id="rId1"/>
    <sheet name="Yearly Savings" sheetId="18" r:id="rId2"/>
    <sheet name="Yearly Values &amp; Costs" sheetId="12" r:id="rId3"/>
    <sheet name="Portfolio Value Summary" sheetId="11" r:id="rId4"/>
    <sheet name="Portfolio Cost Summary" sheetId="7" r:id="rId5"/>
    <sheet name="Team Hourly Burn" sheetId="10" r:id="rId6"/>
    <sheet name="Sensitivity Analysis Variables" sheetId="9" r:id="rId7"/>
    <sheet name="Sensitity Analysis Constants" sheetId="6" r:id="rId8"/>
    <sheet name="Sensitity Analysis Dropdowns" sheetId="8" r:id="rId9"/>
    <sheet name="ValCnst(Legacy-&gt;Containerized)" sheetId="13" r:id="rId10"/>
    <sheet name="CostCnst(Legacy-&gt;Containerized)" sheetId="1" r:id="rId11"/>
    <sheet name="CostOpts(Legacy-&gt;Containerized)" sheetId="3" r:id="rId12"/>
    <sheet name="CostCnst(Containerized-&gt;Cloud)" sheetId="2" r:id="rId13"/>
    <sheet name="Cost Constants" sheetId="4" r:id="rId14"/>
    <sheet name="Value Constants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C8" i="9" s="1"/>
  <c r="A8" i="9"/>
  <c r="B7" i="5"/>
  <c r="A17" i="6"/>
  <c r="A18" i="6"/>
  <c r="A19" i="6"/>
  <c r="B9" i="9"/>
  <c r="C9" i="9" s="1"/>
  <c r="B10" i="9"/>
  <c r="C10" i="9" s="1"/>
  <c r="B8" i="5"/>
  <c r="A9" i="9"/>
  <c r="A20" i="6"/>
  <c r="A21" i="6"/>
  <c r="A22" i="6"/>
  <c r="B9" i="5"/>
  <c r="A10" i="9"/>
  <c r="A23" i="6"/>
  <c r="A24" i="6"/>
  <c r="A25" i="6"/>
  <c r="B10" i="5"/>
  <c r="B11" i="9"/>
  <c r="C11" i="9" s="1"/>
  <c r="A11" i="9"/>
  <c r="A27" i="6"/>
  <c r="A28" i="6"/>
  <c r="A26" i="6"/>
  <c r="B12" i="14"/>
  <c r="B9" i="4" l="1"/>
  <c r="B8" i="4"/>
  <c r="B6" i="4"/>
  <c r="B7" i="4"/>
  <c r="B18" i="14"/>
  <c r="B7" i="9"/>
  <c r="C7" i="9" s="1"/>
  <c r="A7" i="9"/>
  <c r="B6" i="5"/>
  <c r="B14" i="6" l="1"/>
  <c r="A14" i="6"/>
  <c r="A15" i="6"/>
  <c r="A16" i="6"/>
  <c r="B6" i="14"/>
  <c r="B11" i="14"/>
  <c r="B3" i="14" l="1"/>
  <c r="B8" i="14" s="1"/>
  <c r="B16" i="6" s="1"/>
  <c r="B15" i="6" s="1"/>
  <c r="B4" i="9" l="1"/>
  <c r="C4" i="9" s="1"/>
  <c r="B5" i="9"/>
  <c r="C5" i="9" s="1"/>
  <c r="B6" i="9"/>
  <c r="C6" i="9" s="1"/>
  <c r="B3" i="9"/>
  <c r="E3" i="9" s="1"/>
  <c r="B5" i="5"/>
  <c r="B4" i="5"/>
  <c r="B3" i="5"/>
  <c r="B2" i="5"/>
  <c r="E2" i="11" l="1"/>
  <c r="E16" i="11" s="1"/>
  <c r="H24" i="5"/>
  <c r="D3" i="9"/>
  <c r="C3" i="9"/>
  <c r="H18" i="11"/>
  <c r="H19" i="11"/>
  <c r="H20" i="11"/>
  <c r="A6" i="9"/>
  <c r="A5" i="9"/>
  <c r="A12" i="6"/>
  <c r="A13" i="6"/>
  <c r="A11" i="6"/>
  <c r="B7" i="7"/>
  <c r="B9" i="7"/>
  <c r="B10" i="7"/>
  <c r="B11" i="7"/>
  <c r="B12" i="7"/>
  <c r="B8" i="7"/>
  <c r="B3" i="7"/>
  <c r="B4" i="7"/>
  <c r="B5" i="7"/>
  <c r="B6" i="7"/>
  <c r="B2" i="7"/>
  <c r="B2" i="10"/>
  <c r="A4" i="9"/>
  <c r="A3" i="9"/>
  <c r="D3" i="6"/>
  <c r="E3" i="6"/>
  <c r="F3" i="6"/>
  <c r="C3" i="6"/>
  <c r="C4" i="6"/>
  <c r="D4" i="6" s="1"/>
  <c r="E4" i="6" s="1"/>
  <c r="F4" i="6" s="1"/>
  <c r="C2" i="6"/>
  <c r="D2" i="6" s="1"/>
  <c r="A3" i="6"/>
  <c r="A4" i="6"/>
  <c r="A5" i="6"/>
  <c r="A6" i="6"/>
  <c r="A7" i="6"/>
  <c r="A8" i="6"/>
  <c r="A9" i="6"/>
  <c r="A10" i="6"/>
  <c r="A2" i="6"/>
  <c r="B2" i="3"/>
  <c r="D3" i="11" l="1"/>
  <c r="D17" i="11" s="1"/>
  <c r="E3" i="11"/>
  <c r="E17" i="11" s="1"/>
  <c r="C3" i="11"/>
  <c r="C17" i="11" s="1"/>
  <c r="C4" i="11"/>
  <c r="C6" i="11" s="1"/>
  <c r="C10" i="11" s="1"/>
  <c r="D4" i="11"/>
  <c r="E4" i="11"/>
  <c r="C2" i="11"/>
  <c r="C8" i="11" s="1"/>
  <c r="F24" i="5"/>
  <c r="D2" i="11"/>
  <c r="D8" i="11" s="1"/>
  <c r="G24" i="5"/>
  <c r="E8" i="11"/>
  <c r="D2" i="7"/>
  <c r="D4" i="7"/>
  <c r="D6" i="7"/>
  <c r="C8" i="7"/>
  <c r="E2" i="7"/>
  <c r="E4" i="7"/>
  <c r="E6" i="7"/>
  <c r="E8" i="7"/>
  <c r="E10" i="7"/>
  <c r="E12" i="7"/>
  <c r="C7" i="7"/>
  <c r="C6" i="7"/>
  <c r="C5" i="7"/>
  <c r="D9" i="7"/>
  <c r="C12" i="7"/>
  <c r="D3" i="7"/>
  <c r="D5" i="7"/>
  <c r="D7" i="7"/>
  <c r="D11" i="7"/>
  <c r="C4" i="7"/>
  <c r="E3" i="7"/>
  <c r="E5" i="7"/>
  <c r="E7" i="7"/>
  <c r="E9" i="7"/>
  <c r="E11" i="7"/>
  <c r="C11" i="7"/>
  <c r="C3" i="7"/>
  <c r="C10" i="7"/>
  <c r="C9" i="7"/>
  <c r="D10" i="7"/>
  <c r="C2" i="7"/>
  <c r="D12" i="7"/>
  <c r="D8" i="7"/>
  <c r="E2" i="6"/>
  <c r="C5" i="11" l="1"/>
  <c r="C9" i="11" s="1"/>
  <c r="C7" i="11"/>
  <c r="E6" i="11"/>
  <c r="E10" i="11" s="1"/>
  <c r="E5" i="11"/>
  <c r="E9" i="11" s="1"/>
  <c r="E7" i="11"/>
  <c r="D6" i="11"/>
  <c r="D10" i="11" s="1"/>
  <c r="D5" i="11"/>
  <c r="D9" i="11" s="1"/>
  <c r="D7" i="11"/>
  <c r="C16" i="11"/>
  <c r="D16" i="11"/>
  <c r="D13" i="7"/>
  <c r="C3" i="12" s="1"/>
  <c r="C13" i="7"/>
  <c r="F2" i="6"/>
  <c r="G3" i="9" s="1"/>
  <c r="G3" i="11" s="1"/>
  <c r="G17" i="11" s="1"/>
  <c r="F3" i="9"/>
  <c r="F3" i="11" s="1"/>
  <c r="F17" i="11" s="1"/>
  <c r="H17" i="11" s="1"/>
  <c r="F11" i="11" l="1"/>
  <c r="G11" i="11"/>
  <c r="C11" i="11"/>
  <c r="D11" i="11"/>
  <c r="E11" i="11"/>
  <c r="F4" i="11"/>
  <c r="F6" i="11" s="1"/>
  <c r="F10" i="11" s="1"/>
  <c r="G4" i="11"/>
  <c r="G6" i="11" s="1"/>
  <c r="G10" i="11" s="1"/>
  <c r="E22" i="11"/>
  <c r="B4" i="12" s="1"/>
  <c r="C22" i="11"/>
  <c r="B2" i="12" s="1"/>
  <c r="F2" i="11"/>
  <c r="F16" i="11" s="1"/>
  <c r="I24" i="5"/>
  <c r="G2" i="11"/>
  <c r="J24" i="5"/>
  <c r="F12" i="7"/>
  <c r="F3" i="7"/>
  <c r="F5" i="7"/>
  <c r="F7" i="7"/>
  <c r="F9" i="7"/>
  <c r="F11" i="7"/>
  <c r="F10" i="7"/>
  <c r="F2" i="7"/>
  <c r="F4" i="7"/>
  <c r="F6" i="7"/>
  <c r="F8" i="7"/>
  <c r="G2" i="7"/>
  <c r="G5" i="7"/>
  <c r="G6" i="7"/>
  <c r="G7" i="7"/>
  <c r="G8" i="7"/>
  <c r="G9" i="7"/>
  <c r="G10" i="7"/>
  <c r="G11" i="7"/>
  <c r="G12" i="7"/>
  <c r="G3" i="7"/>
  <c r="G4" i="7"/>
  <c r="E13" i="7"/>
  <c r="C4" i="12" s="1"/>
  <c r="C2" i="12"/>
  <c r="B4" i="18" l="1"/>
  <c r="D4" i="12"/>
  <c r="D2" i="12"/>
  <c r="B2" i="18"/>
  <c r="F7" i="11"/>
  <c r="F5" i="11"/>
  <c r="F9" i="11" s="1"/>
  <c r="G7" i="11"/>
  <c r="G5" i="11"/>
  <c r="G9" i="11" s="1"/>
  <c r="H9" i="11" s="1"/>
  <c r="H4" i="11"/>
  <c r="H3" i="11"/>
  <c r="H10" i="11"/>
  <c r="H11" i="11"/>
  <c r="D22" i="11"/>
  <c r="B3" i="12" s="1"/>
  <c r="H7" i="11"/>
  <c r="H6" i="11"/>
  <c r="H2" i="11"/>
  <c r="F8" i="11"/>
  <c r="G16" i="11"/>
  <c r="G8" i="11"/>
  <c r="H5" i="7"/>
  <c r="H3" i="7"/>
  <c r="H9" i="7"/>
  <c r="H12" i="7"/>
  <c r="H8" i="7"/>
  <c r="H6" i="7"/>
  <c r="G13" i="7"/>
  <c r="C6" i="12" s="1"/>
  <c r="H11" i="7"/>
  <c r="H4" i="7"/>
  <c r="H7" i="7"/>
  <c r="H10" i="7"/>
  <c r="F13" i="7"/>
  <c r="C5" i="12" s="1"/>
  <c r="H2" i="7"/>
  <c r="B3" i="18" l="1"/>
  <c r="D3" i="12"/>
  <c r="H5" i="11"/>
  <c r="F22" i="11"/>
  <c r="G22" i="11"/>
  <c r="B6" i="12" s="1"/>
  <c r="H16" i="11"/>
  <c r="H8" i="11"/>
  <c r="B5" i="12"/>
  <c r="H13" i="7"/>
  <c r="B5" i="18" l="1"/>
  <c r="D5" i="12"/>
  <c r="D6" i="12"/>
  <c r="B6" i="18"/>
  <c r="H22" i="11"/>
</calcChain>
</file>

<file path=xl/sharedStrings.xml><?xml version="1.0" encoding="utf-8"?>
<sst xmlns="http://schemas.openxmlformats.org/spreadsheetml/2006/main" count="269" uniqueCount="143">
  <si>
    <t>Data Changes</t>
  </si>
  <si>
    <t>Area of Effort</t>
  </si>
  <si>
    <t>Effort Esitimate</t>
  </si>
  <si>
    <t>PI Changes</t>
  </si>
  <si>
    <t>Technical Changes</t>
  </si>
  <si>
    <t>Deployment Changes</t>
  </si>
  <si>
    <t>Architectural Changes</t>
  </si>
  <si>
    <t>Optional Item</t>
  </si>
  <si>
    <t>Effort Esitimate (Hours)</t>
  </si>
  <si>
    <t>Shadow App components</t>
  </si>
  <si>
    <t>Item</t>
  </si>
  <si>
    <t>Value</t>
  </si>
  <si>
    <t>Units</t>
  </si>
  <si>
    <t>Hours per FTE Week</t>
  </si>
  <si>
    <t>Hours</t>
  </si>
  <si>
    <t>FTE Hourly Rate</t>
  </si>
  <si>
    <t>$</t>
  </si>
  <si>
    <t>Contractor Hourly Rate</t>
  </si>
  <si>
    <t>Team Size</t>
  </si>
  <si>
    <t>Persons</t>
  </si>
  <si>
    <t>Cost</t>
  </si>
  <si>
    <t>Year 1</t>
  </si>
  <si>
    <t>Year 2</t>
  </si>
  <si>
    <t>Year 3</t>
  </si>
  <si>
    <t>Year 4</t>
  </si>
  <si>
    <t>Year 5</t>
  </si>
  <si>
    <t>Number of Teams</t>
  </si>
  <si>
    <t>Ratio of Employees vs Contractors</t>
  </si>
  <si>
    <t>List</t>
  </si>
  <si>
    <t>Low</t>
  </si>
  <si>
    <t>Medium</t>
  </si>
  <si>
    <t>High</t>
  </si>
  <si>
    <t>10% Employees</t>
  </si>
  <si>
    <t>90% Employees</t>
  </si>
  <si>
    <t>50% Employees</t>
  </si>
  <si>
    <t>Experience of Teams with BC Gov Migrations</t>
  </si>
  <si>
    <t>Figuring it out from Scratch</t>
  </si>
  <si>
    <t>Following Best Practice Documents</t>
  </si>
  <si>
    <t>Trained by Working on Previous Teams</t>
  </si>
  <si>
    <t>Selection</t>
  </si>
  <si>
    <t>Settings</t>
  </si>
  <si>
    <t>Year</t>
  </si>
  <si>
    <t>Constant</t>
  </si>
  <si>
    <t>Legacy to Containerized Conversions</t>
  </si>
  <si>
    <t>Containerized to Cloud Conversions</t>
  </si>
  <si>
    <t>Type</t>
  </si>
  <si>
    <t>Total 5 Years</t>
  </si>
  <si>
    <t>Likelihood of Shadow App Dependencies</t>
  </si>
  <si>
    <t>Hourly Rate</t>
  </si>
  <si>
    <t>Total</t>
  </si>
  <si>
    <t>Sensitivity Analysis Option</t>
  </si>
  <si>
    <t>assuming a form of migration patterns</t>
  </si>
  <si>
    <t>open to discuss</t>
  </si>
  <si>
    <t>Effort Savings (Hours)</t>
  </si>
  <si>
    <t>Ministry Data Clerk FTE Hourly Rate</t>
  </si>
  <si>
    <t>Source</t>
  </si>
  <si>
    <t>https://portswigger.net/daily-swig/the-latest-government-data-breaches</t>
  </si>
  <si>
    <t>CAD / USD</t>
  </si>
  <si>
    <t>As of May 5 2020 at https://www1.oanda.com/currency/converter/</t>
  </si>
  <si>
    <t>https://digitalguardian.com/blog/whats-cost-data-breach-2019</t>
  </si>
  <si>
    <t>$ USD</t>
  </si>
  <si>
    <t>Likelihood of a Gov Data Breach per Legacy App</t>
  </si>
  <si>
    <t>Percentage of Breaches in Public Sector</t>
  </si>
  <si>
    <t>Government vs Private Industry Data Breach Cost Multiplier</t>
  </si>
  <si>
    <t>Note that only have to report affected w/ material breaches, reals amounts much higher, https://www.priv.gc.ca/en/blog/20191031/</t>
  </si>
  <si>
    <t>Average Canadian Gov Data Breach Cost [Lower Bound]</t>
  </si>
  <si>
    <t>Average Canadian Gov Data Breach Cost [Upper Bound]</t>
  </si>
  <si>
    <t>Average Canadian Private Industry Data Breach Cost [Upper Bound]</t>
  </si>
  <si>
    <t>Average Canadian Private Industry Data Breach Cost [Lower Bound]</t>
  </si>
  <si>
    <t>2017 data, less likely as costs trending upwards over time https://www.crownrms.com/en-us/article/probability-of-data-breaches-increases-</t>
  </si>
  <si>
    <t>Likelihood of Containerized Project Having Community Approved Security Automation</t>
  </si>
  <si>
    <t>Likelihood of Cloud Project Having Community Approved Security Automation</t>
  </si>
  <si>
    <t>Likelihood of Legacy Project having Community Approved Security Automation</t>
  </si>
  <si>
    <t>Cloud hosted apps will have to pass a gauntlet of automated and staff reviews in order to meet definition of good</t>
  </si>
  <si>
    <t>OpenShift Community provides a path of least resistance to develop a project quickly that includes automation around security</t>
  </si>
  <si>
    <t>Average Cost of Gov Data Breach</t>
  </si>
  <si>
    <t>Low (2017 data)</t>
  </si>
  <si>
    <t>High (2019 Data)</t>
  </si>
  <si>
    <t>This is how much money we're going to free up:</t>
  </si>
  <si>
    <t>Driver</t>
  </si>
  <si>
    <t>Percentage of Firms Experiencing Data Breaches</t>
  </si>
  <si>
    <t>Reduction In Security Breach Costs</t>
  </si>
  <si>
    <t>Estimate conv w/Jeff Card, difference in NRS, NRPP apps</t>
  </si>
  <si>
    <t>Public facing</t>
  </si>
  <si>
    <t xml:space="preserve">Likelihood of a zero day exploit unknown to Community Approved Security Automation </t>
  </si>
  <si>
    <t>Unsubstantiated guess</t>
  </si>
  <si>
    <t>Baseline Legacy</t>
  </si>
  <si>
    <t>Security Breach Risk Costs</t>
  </si>
  <si>
    <t>Downtime reduction from Moving to Cloud</t>
  </si>
  <si>
    <t>20 minutes to notify and communicate for one staff member + (20 minutes to rectify x 2 staff)</t>
  </si>
  <si>
    <t>Assume average staff user base of 30, cannot access for an hour</t>
  </si>
  <si>
    <t>IS24 Hourly Rate</t>
  </si>
  <si>
    <t>IS27 Hourly Rate</t>
  </si>
  <si>
    <t>IS21 Hourly Rate</t>
  </si>
  <si>
    <t>https://www2.gov.bc.ca/gov/content/careers-myhr/all-employees/pay-benefits/salaries/salarylookuptool/tma/information-systems, yr3</t>
  </si>
  <si>
    <t>Tempoarary Market Adjustment IS24 &amp; IS28</t>
  </si>
  <si>
    <t>%</t>
  </si>
  <si>
    <t>1 lead IS27, 2 IS24s, 3 IS21s</t>
  </si>
  <si>
    <t>1 Engagement Manager/Principle Investigator, 2 Senior FS Devs, 3 Junior FS Devs</t>
  </si>
  <si>
    <t>https://www2.gov.bc.ca/gov/content/careers-myhr/all-employees/pay-benefits/salaries/salarylookuptool/grids#bcgeu , grid level 18 yr 3</t>
  </si>
  <si>
    <t>Surveyed the NRM IRS database of 1776 Project Records, determining of 430 unique production URLs, 177 were active and public facing</t>
  </si>
  <si>
    <t>Reduction in Upgrade, Maintenance, and Management Costs</t>
  </si>
  <si>
    <t>Disaster Recovery</t>
  </si>
  <si>
    <t>Access to commodity Cloud Services instead of self-built, self-deployed</t>
  </si>
  <si>
    <t>Uncapped Autoscaling</t>
  </si>
  <si>
    <t>Reduction in Project Design Costs (Agility/Pivots)</t>
  </si>
  <si>
    <t>Reduction in Build &amp; Deployment Costs (DevOps, CI/CD)</t>
  </si>
  <si>
    <t>Reduction in Provisioning Costs From Peak-Based to On-Demand (Autoscale Down)</t>
  </si>
  <si>
    <t>Access to Surge resources (Autoscale Up)</t>
  </si>
  <si>
    <t>Increased Retention/Lower Hiring Costs</t>
  </si>
  <si>
    <t>Ability to Deploy on Demand</t>
  </si>
  <si>
    <t>Reduction in project design savings moving to Containerized</t>
  </si>
  <si>
    <t>Reduction in application build and deployment cycle cost</t>
  </si>
  <si>
    <t>Reduction in cost due to improved efficiencies in application upgrades, maintenance, and management</t>
  </si>
  <si>
    <t>Economic Impact of Red Hat container adoption program &amp; Open Innovation Labs​ 2018</t>
  </si>
  <si>
    <t>https://puppet.com/resources/report/2016-state-devops-report/​</t>
  </si>
  <si>
    <t>Lower change failure rate due to CI/CD</t>
  </si>
  <si>
    <t>Faster failure recovery rate due to CI/CD</t>
  </si>
  <si>
    <t xml:space="preserve">Cost of Adding New Features </t>
  </si>
  <si>
    <t>Cost of Maintenance</t>
  </si>
  <si>
    <t>Cost of Deployment</t>
  </si>
  <si>
    <t>Average Yearly Project Hours on New Features</t>
  </si>
  <si>
    <t>Low (3000)</t>
  </si>
  <si>
    <t>Medium (7500)</t>
  </si>
  <si>
    <t>High (12000)</t>
  </si>
  <si>
    <t>Percentage of Work Dedicated to DevOps</t>
  </si>
  <si>
    <t>Percentage of Work Dedicated to New Features</t>
  </si>
  <si>
    <t>Percentage of Work Dedicated to Maintenance</t>
  </si>
  <si>
    <t>Total Team Effort Per Year</t>
  </si>
  <si>
    <t>Reduction in Outage Costs</t>
  </si>
  <si>
    <t>Public User Service Disruption Hourly Value</t>
  </si>
  <si>
    <t>Average Legacy System Outage Length</t>
  </si>
  <si>
    <t>10 hours</t>
  </si>
  <si>
    <t>100 hours</t>
  </si>
  <si>
    <t>3 hours</t>
  </si>
  <si>
    <t>Average Currently Online Public Users per Application</t>
  </si>
  <si>
    <t>Average per application service disruption tech staff affected</t>
  </si>
  <si>
    <t>Average per application service disruption business staff affected</t>
  </si>
  <si>
    <t>persons</t>
  </si>
  <si>
    <t>Outage Costs</t>
  </si>
  <si>
    <t>Difference</t>
  </si>
  <si>
    <t>Savings</t>
  </si>
  <si>
    <t>2017 data, global security survey, Subscription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</si>
</sst>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2" fillId="0" borderId="0" xfId="2"/>
    <xf numFmtId="2" fontId="0" fillId="0" borderId="0" xfId="0" applyNumberFormat="1"/>
    <xf numFmtId="165" fontId="0" fillId="0" borderId="0" xfId="3" applyNumberFormat="1" applyFont="1"/>
    <xf numFmtId="9" fontId="0" fillId="0" borderId="0" xfId="0" applyNumberFormat="1"/>
    <xf numFmtId="9" fontId="0" fillId="0" borderId="0" xfId="4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NumberFormat="1"/>
    <xf numFmtId="166" fontId="0" fillId="0" borderId="0" xfId="4" applyNumberFormat="1" applyFont="1"/>
    <xf numFmtId="0" fontId="0" fillId="0" borderId="0" xfId="0" applyAlignment="1">
      <alignment horizontal="right"/>
    </xf>
    <xf numFmtId="6" fontId="0" fillId="0" borderId="0" xfId="0" applyNumberFormat="1"/>
    <xf numFmtId="164" fontId="0" fillId="3" borderId="0" xfId="1" applyNumberFormat="1" applyFont="1" applyFill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5">
    <cellStyle name="Comma" xfId="3" builtinId="3"/>
    <cellStyle name="Currency" xfId="1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ED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Porfolio</a:t>
            </a:r>
            <a:r>
              <a:rPr lang="en-US" baseline="0"/>
              <a:t> Values &amp;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'Yearly Values &amp; Costs'!$B$1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'Yearly Values &amp; Costs'!$B$2:$B$6</c:f>
              <c:numCache>
                <c:formatCode>_("$"* #,##0_);_("$"* \(#,##0\);_("$"* "-"??_);_(@_)</c:formatCode>
                <c:ptCount val="5"/>
                <c:pt idx="0">
                  <c:v>250052.21551842181</c:v>
                </c:pt>
                <c:pt idx="1">
                  <c:v>472409.08500184363</c:v>
                </c:pt>
                <c:pt idx="2">
                  <c:v>917122.82396868733</c:v>
                </c:pt>
                <c:pt idx="3">
                  <c:v>1806550.3019023745</c:v>
                </c:pt>
                <c:pt idx="4">
                  <c:v>3585405.257769749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4-9C4F-B211-058848D80C09}"/>
            </c:ext>
          </c:extLst>
        </c:ser>
        <c:ser>
          <c:idx val="2"/>
          <c:order val="1"/>
          <c:tx>
            <c:strRef>
              <c:f>'Yearly Values &amp; Costs'!$C$1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'Yearly Values &amp; Costs'!$C$2:$C$6</c:f>
              <c:numCache>
                <c:formatCode>_("$"* #,##0_);_("$"* \(#,##0\);_("$"* "-"??_);_(@_)</c:formatCode>
                <c:ptCount val="5"/>
                <c:pt idx="0">
                  <c:v>143775.77304969664</c:v>
                </c:pt>
                <c:pt idx="1">
                  <c:v>287551.54609939328</c:v>
                </c:pt>
                <c:pt idx="2">
                  <c:v>575103.09219878656</c:v>
                </c:pt>
                <c:pt idx="3">
                  <c:v>1150206.1843975731</c:v>
                </c:pt>
                <c:pt idx="4">
                  <c:v>2300412.3687951462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4-9C4F-B211-058848D8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329711"/>
        <c:axId val="1749995887"/>
      </c:lineChart>
      <c:catAx>
        <c:axId val="170132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Porfolio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95887"/>
        <c:crosses val="autoZero"/>
        <c:auto val="1"/>
        <c:lblAlgn val="ctr"/>
        <c:lblOffset val="100"/>
        <c:noMultiLvlLbl val="0"/>
      </c:catAx>
      <c:valAx>
        <c:axId val="17499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2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0376458704919"/>
          <c:y val="6.171046231908825E-2"/>
          <c:w val="0.11972594242810573"/>
          <c:h val="0.16903290260670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Yearly</a:t>
            </a:r>
            <a:r>
              <a:rPr lang="en-US" baseline="0"/>
              <a:t> Savings</a:t>
            </a:r>
            <a:endParaRPr lang="en-US"/>
          </a:p>
        </c:rich>
      </c:tx>
      <c:layout>
        <c:manualLayout>
          <c:xMode val="edge"/>
          <c:yMode val="edge"/>
          <c:x val="0.351534727951984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Savings'!$A$1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'Yearly Savings'!$A$2:$A$6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D-0443-AA51-36E7E52D6D1A}"/>
            </c:ext>
          </c:extLst>
        </c:ser>
        <c:ser>
          <c:idx val="1"/>
          <c:order val="1"/>
          <c:tx>
            <c:strRef>
              <c:f>'Yearly Savings'!$B$1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'Yearly Savings'!$B$2:$B$6</c:f>
              <c:numCache>
                <c:formatCode>_("$"* #,##0_);_("$"* \(#,##0\);_("$"* "-"??_);_(@_)</c:formatCode>
                <c:ptCount val="5"/>
                <c:pt idx="0">
                  <c:v>106276.44246872517</c:v>
                </c:pt>
                <c:pt idx="1">
                  <c:v>184857.53890245035</c:v>
                </c:pt>
                <c:pt idx="2">
                  <c:v>342019.73176990077</c:v>
                </c:pt>
                <c:pt idx="3">
                  <c:v>656344.11750480137</c:v>
                </c:pt>
                <c:pt idx="4">
                  <c:v>1284992.8889746028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D-0443-AA51-36E7E52D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226512"/>
        <c:axId val="1595673984"/>
      </c:barChart>
      <c:catAx>
        <c:axId val="15952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3984"/>
        <c:crosses val="autoZero"/>
        <c:auto val="1"/>
        <c:lblAlgn val="ctr"/>
        <c:lblOffset val="100"/>
        <c:noMultiLvlLbl val="0"/>
      </c:catAx>
      <c:valAx>
        <c:axId val="1595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3907262173959"/>
          <c:y val="0.1443048264800233"/>
          <c:w val="9.5525533788149278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105832</xdr:colOff>
      <xdr:row>1</xdr:row>
      <xdr:rowOff>31750</xdr:rowOff>
    </xdr:from>
    <xdr:to>
      <xdr:col>11</xdr:col>
      <xdr:colOff>63499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31524-D693-F244-92FD-3D69C83A0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142874</xdr:colOff>
      <xdr:row>26</xdr:row>
      <xdr:rowOff>25400</xdr:rowOff>
    </xdr:from>
    <xdr:to>
      <xdr:col>11</xdr:col>
      <xdr:colOff>74083</xdr:colOff>
      <xdr:row>39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1E9C4-08EB-3941-803C-126A8220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E8BD-6B64-1340-8EF8-249DBE0BC16F}">
  <sheetPr>
    <tabColor rgb="FF92D050"/>
  </sheetPr>
  <dimension ref="A1:J44"/>
  <sheetViews>
    <sheetView zoomScale="120" zoomScaleNormal="12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baseColWidth="10" defaultRowHeight="16" x14ac:dyDescent="0.2"/>
  <cols>
    <col min="1" max="1" width="6.83203125" customWidth="1"/>
    <col min="2" max="2" width="42.6640625" customWidth="1"/>
    <col min="3" max="3" width="40.33203125" customWidth="1"/>
  </cols>
  <sheetData>
    <row r="1" spans="1:3" x14ac:dyDescent="0.2">
      <c r="A1" t="s">
        <v>79</v>
      </c>
      <c r="B1" t="s">
        <v>50</v>
      </c>
      <c r="C1" t="s">
        <v>11</v>
      </c>
    </row>
    <row r="2" spans="1:3" x14ac:dyDescent="0.2">
      <c r="A2" s="8" t="s">
        <v>20</v>
      </c>
      <c r="B2" s="8" t="str">
        <f>'Sensitity Analysis Dropdowns'!$A$2</f>
        <v>Number of Teams</v>
      </c>
      <c r="C2" s="8" t="s">
        <v>29</v>
      </c>
    </row>
    <row r="3" spans="1:3" x14ac:dyDescent="0.2">
      <c r="A3" s="8" t="s">
        <v>20</v>
      </c>
      <c r="B3" s="8" t="str">
        <f>'Sensitity Analysis Dropdowns'!$A$5</f>
        <v>Ratio of Employees vs Contractors</v>
      </c>
      <c r="C3" s="8" t="s">
        <v>32</v>
      </c>
    </row>
    <row r="4" spans="1:3" x14ac:dyDescent="0.2">
      <c r="A4" s="8" t="s">
        <v>20</v>
      </c>
      <c r="B4" s="8" t="str">
        <f>'Sensitity Analysis Dropdowns'!$A$8</f>
        <v>Experience of Teams with BC Gov Migrations</v>
      </c>
      <c r="C4" s="8" t="s">
        <v>38</v>
      </c>
    </row>
    <row r="5" spans="1:3" x14ac:dyDescent="0.2">
      <c r="A5" s="8" t="s">
        <v>20</v>
      </c>
      <c r="B5" s="8" t="str">
        <f>'Sensitity Analysis Dropdowns'!$A$11</f>
        <v>Likelihood of Shadow App Dependencies</v>
      </c>
      <c r="C5" s="8" t="s">
        <v>30</v>
      </c>
    </row>
    <row r="6" spans="1:3" x14ac:dyDescent="0.2">
      <c r="A6" s="9" t="s">
        <v>11</v>
      </c>
      <c r="B6" s="9" t="str">
        <f>'Sensitity Analysis Dropdowns'!$A$14</f>
        <v>Average Cost of Gov Data Breach</v>
      </c>
      <c r="C6" s="9" t="s">
        <v>30</v>
      </c>
    </row>
    <row r="7" spans="1:3" x14ac:dyDescent="0.2">
      <c r="A7" s="9" t="s">
        <v>11</v>
      </c>
      <c r="B7" s="9" t="str">
        <f>'Sensitity Analysis Dropdowns'!$A$17</f>
        <v>Average Currently Online Public Users per Application</v>
      </c>
      <c r="C7" s="9">
        <v>5</v>
      </c>
    </row>
    <row r="8" spans="1:3" x14ac:dyDescent="0.2">
      <c r="A8" s="9" t="s">
        <v>11</v>
      </c>
      <c r="B8" s="9" t="str">
        <f>'Sensitity Analysis Dropdowns'!$A$20</f>
        <v>Average Legacy System Outage Length</v>
      </c>
      <c r="C8" s="16" t="s">
        <v>134</v>
      </c>
    </row>
    <row r="9" spans="1:3" x14ac:dyDescent="0.2">
      <c r="A9" s="9" t="s">
        <v>11</v>
      </c>
      <c r="B9" s="9" t="str">
        <f>'Sensitity Analysis Dropdowns'!$A$23</f>
        <v>Public User Service Disruption Hourly Value</v>
      </c>
      <c r="C9" s="16">
        <v>10</v>
      </c>
    </row>
    <row r="10" spans="1:3" x14ac:dyDescent="0.2">
      <c r="A10" s="9" t="s">
        <v>11</v>
      </c>
      <c r="B10" s="9" t="str">
        <f>'Sensitity Analysis Dropdowns'!$A$26</f>
        <v>Average Yearly Project Hours on New Features</v>
      </c>
      <c r="C10" s="9" t="s">
        <v>122</v>
      </c>
    </row>
    <row r="24" spans="5:10" x14ac:dyDescent="0.2">
      <c r="E24" s="14" t="s">
        <v>26</v>
      </c>
      <c r="F24" s="10">
        <f>'Sensitivity Analysis Variables'!C3</f>
        <v>1</v>
      </c>
      <c r="G24" s="10">
        <f>'Sensitivity Analysis Variables'!D3</f>
        <v>2</v>
      </c>
      <c r="H24" s="10">
        <f>'Sensitivity Analysis Variables'!E3</f>
        <v>4</v>
      </c>
      <c r="I24" s="10">
        <f>'Sensitivity Analysis Variables'!F3</f>
        <v>8</v>
      </c>
      <c r="J24" s="10">
        <f>'Sensitivity Analysis Variables'!G3</f>
        <v>16</v>
      </c>
    </row>
    <row r="26" spans="5:10" x14ac:dyDescent="0.2">
      <c r="E26" t="s">
        <v>78</v>
      </c>
    </row>
    <row r="44" spans="9:9" x14ac:dyDescent="0.2">
      <c r="I44" s="3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4B28A22-F124-0C41-ABA7-25F726E17B71}">
          <x14:formula1>
            <xm:f>'Sensitity Analysis Dropdowns'!$B$11:$B$13</xm:f>
          </x14:formula1>
          <xm:sqref>C5</xm:sqref>
        </x14:dataValidation>
        <x14:dataValidation type="list" allowBlank="1" showInputMessage="1" showErrorMessage="1" xr:uid="{4F6A831A-A054-9D4B-A2BF-68FA795AB3A2}">
          <x14:formula1>
            <xm:f>'Sensitity Analysis Dropdowns'!$B$8:$B$10</xm:f>
          </x14:formula1>
          <xm:sqref>C4</xm:sqref>
        </x14:dataValidation>
        <x14:dataValidation type="list" allowBlank="1" showInputMessage="1" showErrorMessage="1" xr:uid="{E5411EA9-C7B5-A94A-9068-B9195EAB217E}">
          <x14:formula1>
            <xm:f>'Sensitity Analysis Dropdowns'!$B$5:$B$7</xm:f>
          </x14:formula1>
          <xm:sqref>C3</xm:sqref>
        </x14:dataValidation>
        <x14:dataValidation type="list" allowBlank="1" showInputMessage="1" showErrorMessage="1" xr:uid="{47A34A82-7DB6-B543-B08B-9F0374B51D3C}">
          <x14:formula1>
            <xm:f>'Sensitity Analysis Dropdowns'!$B$2:$B$4</xm:f>
          </x14:formula1>
          <xm:sqref>C2</xm:sqref>
        </x14:dataValidation>
        <x14:dataValidation type="list" allowBlank="1" showInputMessage="1" showErrorMessage="1" xr:uid="{08B2FFF4-17EE-D346-8F5F-250D2D8A9301}">
          <x14:formula1>
            <xm:f>'Sensitity Analysis Dropdowns'!$B$14:$B$16</xm:f>
          </x14:formula1>
          <xm:sqref>C6</xm:sqref>
        </x14:dataValidation>
        <x14:dataValidation type="list" allowBlank="1" showInputMessage="1" showErrorMessage="1" xr:uid="{A42BB7D8-1994-3D4F-ABAF-E7C195266E7B}">
          <x14:formula1>
            <xm:f>'Sensitity Analysis Dropdowns'!$B$26:$B$28</xm:f>
          </x14:formula1>
          <xm:sqref>C10</xm:sqref>
        </x14:dataValidation>
        <x14:dataValidation type="list" allowBlank="1" showInputMessage="1" showErrorMessage="1" xr:uid="{D574DB57-E460-574E-B9FD-E8E5E333A859}">
          <x14:formula1>
            <xm:f>'Sensitity Analysis Dropdowns'!$B$23:$B$25</xm:f>
          </x14:formula1>
          <xm:sqref>C9</xm:sqref>
        </x14:dataValidation>
        <x14:dataValidation type="list" allowBlank="1" showInputMessage="1" showErrorMessage="1" xr:uid="{DA0DFF7A-8E81-D045-B322-138D06C17D81}">
          <x14:formula1>
            <xm:f>'Sensitity Analysis Dropdowns'!$B$20:$B$22</xm:f>
          </x14:formula1>
          <xm:sqref>C8</xm:sqref>
        </x14:dataValidation>
        <x14:dataValidation type="list" allowBlank="1" showInputMessage="1" showErrorMessage="1" xr:uid="{FBB4A2C3-D11B-2944-B9FB-DDC46CA5A203}">
          <x14:formula1>
            <xm:f>'Sensitity Analysis Dropdowns'!$B$17:$B$19</xm:f>
          </x14:formula1>
          <xm:sqref>C7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AEB7-84E3-F64E-A6D2-57429C6FFEA3}">
  <sheetPr>
    <tabColor theme="8" tint="0.79998168889431442"/>
  </sheetPr>
  <dimension ref="A1:B1"/>
  <sheetViews>
    <sheetView workbookViewId="0">
      <selection activeCell="A2" sqref="A2"/>
    </sheetView>
  </sheetViews>
  <sheetFormatPr baseColWidth="10" defaultRowHeight="16" x14ac:dyDescent="0.2"/>
  <cols>
    <col min="1" max="1" width="46.5" bestFit="1" customWidth="1"/>
    <col min="2" max="2" width="19.1640625" bestFit="1" customWidth="1"/>
  </cols>
  <sheetData>
    <row r="1" spans="1:2" x14ac:dyDescent="0.2">
      <c r="A1" t="s">
        <v>1</v>
      </c>
      <c r="B1" t="s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0609-280D-7840-884C-B6D9F6A39CDD}">
  <sheetPr>
    <tabColor theme="7" tint="0.79998168889431442"/>
  </sheetPr>
  <dimension ref="A1:B6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B8" sqref="B8"/>
    </sheetView>
  </sheetViews>
  <sheetFormatPr baseColWidth="10" defaultRowHeight="16" x14ac:dyDescent="0.2"/>
  <cols>
    <col min="1" max="1" width="19.1640625" bestFit="1" customWidth="1"/>
    <col min="2" max="2" width="20.83203125" bestFit="1" customWidth="1"/>
  </cols>
  <sheetData>
    <row r="1" spans="1:2" x14ac:dyDescent="0.2">
      <c r="A1" t="s">
        <v>1</v>
      </c>
      <c r="B1" t="s">
        <v>8</v>
      </c>
    </row>
    <row r="2" spans="1:2" x14ac:dyDescent="0.2">
      <c r="A2" t="s">
        <v>0</v>
      </c>
      <c r="B2">
        <v>280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351</v>
      </c>
    </row>
    <row r="5" spans="1:2" x14ac:dyDescent="0.2">
      <c r="A5" t="s">
        <v>5</v>
      </c>
      <c r="B5">
        <v>55</v>
      </c>
    </row>
    <row r="6" spans="1:2" x14ac:dyDescent="0.2">
      <c r="A6" t="s">
        <v>6</v>
      </c>
      <c r="B6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EB-2781-E14C-90C6-B0A74EB91CBA}">
  <sheetPr>
    <tabColor theme="7" tint="0.79998168889431442"/>
  </sheetPr>
  <dimension ref="A1:B2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B5" sqref="B5"/>
    </sheetView>
  </sheetViews>
  <sheetFormatPr baseColWidth="10" defaultRowHeight="16" x14ac:dyDescent="0.2"/>
  <cols>
    <col min="1" max="1" width="22.1640625" bestFit="1" customWidth="1"/>
    <col min="2" max="2" width="20.8320312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9</v>
      </c>
      <c r="B2">
        <f>'Cost Constants'!$B$2 * 4 * 6</f>
        <v>900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2EF4-5C6D-0F4E-9382-000FC8FE0D80}">
  <sheetPr>
    <tabColor theme="7" tint="0.79998168889431442"/>
  </sheetPr>
  <dimension ref="A1:B6"/>
  <sheetViews>
    <sheetView workbookViewId="0">
      <pane xSplit="1" ySplit="1" topLeftCell="B2" activePane="bottomRight" state="frozen"/>
      <selection activeCell="F18" sqref="F18"/>
      <selection pane="topRight" activeCell="F18" sqref="F18"/>
      <selection pane="bottomLeft" activeCell="F18" sqref="F18"/>
      <selection pane="bottomRight" activeCell="F18" sqref="F18"/>
    </sheetView>
  </sheetViews>
  <sheetFormatPr baseColWidth="10" defaultRowHeight="16" x14ac:dyDescent="0.2"/>
  <cols>
    <col min="1" max="1" width="19.1640625" bestFit="1" customWidth="1"/>
    <col min="2" max="2" width="14.16406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  <c r="B2">
        <v>250</v>
      </c>
    </row>
    <row r="3" spans="1:2" x14ac:dyDescent="0.2">
      <c r="A3" t="s">
        <v>3</v>
      </c>
      <c r="B3">
        <v>250</v>
      </c>
    </row>
    <row r="4" spans="1:2" x14ac:dyDescent="0.2">
      <c r="A4" t="s">
        <v>4</v>
      </c>
      <c r="B4">
        <v>70</v>
      </c>
    </row>
    <row r="5" spans="1:2" x14ac:dyDescent="0.2">
      <c r="A5" t="s">
        <v>5</v>
      </c>
      <c r="B5">
        <v>70</v>
      </c>
    </row>
    <row r="6" spans="1:2" x14ac:dyDescent="0.2">
      <c r="A6" t="s">
        <v>6</v>
      </c>
      <c r="B6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EF97-D034-D047-982A-FFFC278580D2}">
  <sheetPr>
    <tabColor theme="7" tint="0.79998168889431442"/>
  </sheetPr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6" x14ac:dyDescent="0.2"/>
  <cols>
    <col min="1" max="1" width="38" bestFit="1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55</v>
      </c>
    </row>
    <row r="2" spans="1:4" x14ac:dyDescent="0.2">
      <c r="A2" t="s">
        <v>13</v>
      </c>
      <c r="B2">
        <v>37.5</v>
      </c>
      <c r="C2" t="s">
        <v>14</v>
      </c>
    </row>
    <row r="3" spans="1:4" x14ac:dyDescent="0.2">
      <c r="A3" t="s">
        <v>18</v>
      </c>
      <c r="B3">
        <v>6</v>
      </c>
      <c r="C3" t="s">
        <v>19</v>
      </c>
    </row>
    <row r="4" spans="1:4" x14ac:dyDescent="0.2">
      <c r="A4" t="s">
        <v>93</v>
      </c>
      <c r="B4" s="11">
        <v>34.697299999999998</v>
      </c>
      <c r="C4" t="s">
        <v>16</v>
      </c>
      <c r="D4" t="s">
        <v>94</v>
      </c>
    </row>
    <row r="5" spans="1:4" x14ac:dyDescent="0.2">
      <c r="A5" t="s">
        <v>95</v>
      </c>
      <c r="B5" s="13">
        <v>6.6000000000000003E-2</v>
      </c>
      <c r="C5" t="s">
        <v>96</v>
      </c>
    </row>
    <row r="6" spans="1:4" x14ac:dyDescent="0.2">
      <c r="A6" t="s">
        <v>91</v>
      </c>
      <c r="B6" s="11">
        <f>(1+$B$5)*37.9013</f>
        <v>40.402785800000004</v>
      </c>
      <c r="C6" t="s">
        <v>16</v>
      </c>
      <c r="D6" t="s">
        <v>94</v>
      </c>
    </row>
    <row r="7" spans="1:4" x14ac:dyDescent="0.2">
      <c r="A7" t="s">
        <v>92</v>
      </c>
      <c r="B7" s="11">
        <f>(1+$B$5)*41.4369</f>
        <v>44.171735400000003</v>
      </c>
      <c r="C7" t="s">
        <v>16</v>
      </c>
      <c r="D7" t="s">
        <v>94</v>
      </c>
    </row>
    <row r="8" spans="1:4" x14ac:dyDescent="0.2">
      <c r="A8" t="s">
        <v>15</v>
      </c>
      <c r="B8" s="11">
        <f>($B$7+(2*$B$6)+(3*$B$4))/6</f>
        <v>38.178201166666668</v>
      </c>
      <c r="C8" t="s">
        <v>16</v>
      </c>
      <c r="D8" t="s">
        <v>97</v>
      </c>
    </row>
    <row r="9" spans="1:4" x14ac:dyDescent="0.2">
      <c r="A9" t="s">
        <v>17</v>
      </c>
      <c r="B9" s="11">
        <f>(120+(2*100)+(3*90))/6</f>
        <v>98.333333333333329</v>
      </c>
      <c r="C9" t="s">
        <v>16</v>
      </c>
      <c r="D9" t="s">
        <v>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F6CF-6A1B-6E42-BA01-A0AFAB15D317}">
  <sheetPr>
    <tabColor theme="8" tint="0.79998168889431442"/>
  </sheetPr>
  <dimension ref="A1:D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baseColWidth="10" defaultRowHeight="16" x14ac:dyDescent="0.2"/>
  <cols>
    <col min="1" max="1" width="72.33203125" bestFit="1" customWidth="1"/>
    <col min="2" max="2" width="13" bestFit="1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55</v>
      </c>
    </row>
    <row r="2" spans="1:4" x14ac:dyDescent="0.2">
      <c r="A2" t="s">
        <v>54</v>
      </c>
      <c r="B2" s="11">
        <v>31.828099999999999</v>
      </c>
      <c r="C2" t="s">
        <v>16</v>
      </c>
      <c r="D2" t="s">
        <v>99</v>
      </c>
    </row>
    <row r="3" spans="1:4" x14ac:dyDescent="0.2">
      <c r="A3" t="s">
        <v>63</v>
      </c>
      <c r="B3" s="4">
        <f>2.3/7.9</f>
        <v>0.29113924050632906</v>
      </c>
      <c r="D3" t="s">
        <v>56</v>
      </c>
    </row>
    <row r="4" spans="1:4" x14ac:dyDescent="0.2">
      <c r="A4" t="s">
        <v>57</v>
      </c>
      <c r="B4" s="4">
        <v>1.40923</v>
      </c>
      <c r="D4" t="s">
        <v>58</v>
      </c>
    </row>
    <row r="5" spans="1:4" x14ac:dyDescent="0.2">
      <c r="A5" t="s">
        <v>68</v>
      </c>
      <c r="B5" s="5">
        <v>1460000</v>
      </c>
      <c r="C5" t="s">
        <v>60</v>
      </c>
      <c r="D5" t="s">
        <v>69</v>
      </c>
    </row>
    <row r="6" spans="1:4" x14ac:dyDescent="0.2">
      <c r="A6" t="s">
        <v>65</v>
      </c>
      <c r="B6" s="5">
        <f>B5/B4</f>
        <v>1036026.7663901564</v>
      </c>
      <c r="C6" t="s">
        <v>16</v>
      </c>
    </row>
    <row r="7" spans="1:4" x14ac:dyDescent="0.2">
      <c r="A7" t="s">
        <v>67</v>
      </c>
      <c r="B7" s="5">
        <v>4440000</v>
      </c>
      <c r="C7" t="s">
        <v>60</v>
      </c>
      <c r="D7" t="s">
        <v>59</v>
      </c>
    </row>
    <row r="8" spans="1:4" x14ac:dyDescent="0.2">
      <c r="A8" t="s">
        <v>66</v>
      </c>
      <c r="B8" s="5">
        <f>B7*B3*B4</f>
        <v>1821652.7544303793</v>
      </c>
      <c r="C8" t="s">
        <v>16</v>
      </c>
    </row>
    <row r="9" spans="1:4" x14ac:dyDescent="0.2">
      <c r="A9" t="s">
        <v>80</v>
      </c>
      <c r="B9" s="7">
        <v>0.57999999999999996</v>
      </c>
      <c r="D9" t="s">
        <v>142</v>
      </c>
    </row>
    <row r="10" spans="1:4" x14ac:dyDescent="0.2">
      <c r="A10" t="s">
        <v>62</v>
      </c>
      <c r="B10" s="7">
        <v>0.16</v>
      </c>
      <c r="D10" t="s">
        <v>56</v>
      </c>
    </row>
    <row r="11" spans="1:4" x14ac:dyDescent="0.2">
      <c r="A11" t="s">
        <v>61</v>
      </c>
      <c r="B11" s="7">
        <f>B9*B10</f>
        <v>9.2799999999999994E-2</v>
      </c>
      <c r="D11" t="s">
        <v>64</v>
      </c>
    </row>
    <row r="12" spans="1:4" x14ac:dyDescent="0.2">
      <c r="A12" t="s">
        <v>83</v>
      </c>
      <c r="B12" s="7">
        <f>177/430</f>
        <v>0.41162790697674417</v>
      </c>
      <c r="D12" t="s">
        <v>100</v>
      </c>
    </row>
    <row r="13" spans="1:4" x14ac:dyDescent="0.2">
      <c r="A13" t="s">
        <v>72</v>
      </c>
      <c r="B13" s="7">
        <v>0.2</v>
      </c>
      <c r="D13" t="s">
        <v>82</v>
      </c>
    </row>
    <row r="14" spans="1:4" x14ac:dyDescent="0.2">
      <c r="A14" t="s">
        <v>70</v>
      </c>
      <c r="B14" s="6">
        <v>0.7</v>
      </c>
      <c r="D14" t="s">
        <v>74</v>
      </c>
    </row>
    <row r="15" spans="1:4" x14ac:dyDescent="0.2">
      <c r="A15" t="s">
        <v>71</v>
      </c>
      <c r="B15" s="6">
        <v>0.98</v>
      </c>
      <c r="D15" t="s">
        <v>73</v>
      </c>
    </row>
    <row r="16" spans="1:4" x14ac:dyDescent="0.2">
      <c r="A16" t="s">
        <v>84</v>
      </c>
      <c r="B16" s="6">
        <v>0.05</v>
      </c>
      <c r="D16" t="s">
        <v>85</v>
      </c>
    </row>
    <row r="17" spans="1:4" x14ac:dyDescent="0.2">
      <c r="A17" t="s">
        <v>136</v>
      </c>
      <c r="B17" s="12">
        <v>1</v>
      </c>
      <c r="C17" t="s">
        <v>138</v>
      </c>
      <c r="D17" t="s">
        <v>89</v>
      </c>
    </row>
    <row r="18" spans="1:4" x14ac:dyDescent="0.2">
      <c r="A18" t="s">
        <v>137</v>
      </c>
      <c r="B18" s="12">
        <f>30</f>
        <v>30</v>
      </c>
      <c r="C18" t="s">
        <v>138</v>
      </c>
      <c r="D18" t="s">
        <v>90</v>
      </c>
    </row>
    <row r="19" spans="1:4" x14ac:dyDescent="0.2">
      <c r="A19" t="s">
        <v>88</v>
      </c>
      <c r="B19" s="6">
        <v>0.72</v>
      </c>
      <c r="D19" t="s">
        <v>142</v>
      </c>
    </row>
    <row r="20" spans="1:4" x14ac:dyDescent="0.2">
      <c r="A20" t="s">
        <v>111</v>
      </c>
      <c r="B20" s="6">
        <v>0.8</v>
      </c>
      <c r="D20" t="s">
        <v>114</v>
      </c>
    </row>
    <row r="21" spans="1:4" x14ac:dyDescent="0.2">
      <c r="A21" t="s">
        <v>112</v>
      </c>
      <c r="B21" s="6">
        <v>0.6</v>
      </c>
      <c r="D21" t="s">
        <v>114</v>
      </c>
    </row>
    <row r="22" spans="1:4" x14ac:dyDescent="0.2">
      <c r="A22" t="s">
        <v>113</v>
      </c>
      <c r="B22" s="6">
        <v>0.5</v>
      </c>
      <c r="D22" t="s">
        <v>114</v>
      </c>
    </row>
    <row r="23" spans="1:4" x14ac:dyDescent="0.2">
      <c r="A23" t="s">
        <v>116</v>
      </c>
      <c r="B23" s="12">
        <v>3</v>
      </c>
      <c r="D23" t="s">
        <v>115</v>
      </c>
    </row>
    <row r="24" spans="1:4" x14ac:dyDescent="0.2">
      <c r="A24" t="s">
        <v>117</v>
      </c>
      <c r="B24" s="12">
        <v>24</v>
      </c>
      <c r="D24" t="s">
        <v>115</v>
      </c>
    </row>
    <row r="25" spans="1:4" x14ac:dyDescent="0.2">
      <c r="A25" t="s">
        <v>125</v>
      </c>
      <c r="B25" s="6">
        <v>0.3</v>
      </c>
    </row>
    <row r="26" spans="1:4" x14ac:dyDescent="0.2">
      <c r="A26" t="s">
        <v>127</v>
      </c>
      <c r="B26" s="6">
        <v>0.2</v>
      </c>
    </row>
    <row r="27" spans="1:4" x14ac:dyDescent="0.2">
      <c r="A27" t="s">
        <v>126</v>
      </c>
      <c r="B27" s="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3BBE-3334-6243-9CBF-5F7948FA154C}">
  <sheetPr>
    <tabColor theme="9" tint="0.79998168889431442"/>
  </sheetPr>
  <dimension ref="A1:B6"/>
  <sheetViews>
    <sheetView workbookViewId="0">
      <selection activeCell="B2" sqref="B2"/>
    </sheetView>
  </sheetViews>
  <sheetFormatPr baseColWidth="10" defaultRowHeight="16" x14ac:dyDescent="0.2"/>
  <cols>
    <col min="2" max="2" width="14.5" customWidth="1"/>
  </cols>
  <sheetData>
    <row r="1" spans="1:2" x14ac:dyDescent="0.2">
      <c r="A1" s="18" t="s">
        <v>41</v>
      </c>
      <c r="B1" s="18" t="s">
        <v>141</v>
      </c>
    </row>
    <row r="2" spans="1:2" x14ac:dyDescent="0.2">
      <c r="A2" s="18">
        <v>1</v>
      </c>
      <c r="B2" s="19">
        <f>'Yearly Values &amp; Costs'!B2-'Yearly Values &amp; Costs'!C2</f>
        <v>106276.44246872517</v>
      </c>
    </row>
    <row r="3" spans="1:2" x14ac:dyDescent="0.2">
      <c r="A3" s="18">
        <v>2</v>
      </c>
      <c r="B3" s="19">
        <f>'Yearly Values &amp; Costs'!B3-'Yearly Values &amp; Costs'!C3</f>
        <v>184857.53890245035</v>
      </c>
    </row>
    <row r="4" spans="1:2" x14ac:dyDescent="0.2">
      <c r="A4" s="18">
        <v>3</v>
      </c>
      <c r="B4" s="19">
        <f>'Yearly Values &amp; Costs'!B4-'Yearly Values &amp; Costs'!C4</f>
        <v>342019.73176990077</v>
      </c>
    </row>
    <row r="5" spans="1:2" x14ac:dyDescent="0.2">
      <c r="A5" s="18">
        <v>4</v>
      </c>
      <c r="B5" s="19">
        <f>'Yearly Values &amp; Costs'!B5-'Yearly Values &amp; Costs'!C5</f>
        <v>656344.11750480137</v>
      </c>
    </row>
    <row r="6" spans="1:2" x14ac:dyDescent="0.2">
      <c r="A6" s="18">
        <v>5</v>
      </c>
      <c r="B6" s="19">
        <f>'Yearly Values &amp; Costs'!B6-'Yearly Values &amp; Costs'!C6</f>
        <v>1284992.8889746028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CC19-EA43-9541-9F76-F9E144AC6FA4}">
  <sheetPr>
    <tabColor theme="9" tint="0.79998168889431442"/>
  </sheetPr>
  <dimension ref="A1:E27"/>
  <sheetViews>
    <sheetView workbookViewId="0">
      <pane xSplit="1" ySplit="1" topLeftCell="B2" activePane="bottomRight" state="frozen"/>
      <selection activeCell="M28" sqref="M28"/>
      <selection pane="topRight" activeCell="M28" sqref="M28"/>
      <selection pane="bottomLeft" activeCell="M28" sqref="M28"/>
      <selection pane="bottomRight" activeCell="D6" sqref="A1:D6"/>
    </sheetView>
  </sheetViews>
  <sheetFormatPr baseColWidth="10" defaultRowHeight="16" x14ac:dyDescent="0.2"/>
  <cols>
    <col min="2" max="2" width="15" customWidth="1"/>
    <col min="3" max="3" width="15.83203125" customWidth="1"/>
    <col min="4" max="4" width="11.5" bestFit="1" customWidth="1"/>
  </cols>
  <sheetData>
    <row r="1" spans="1:4" x14ac:dyDescent="0.2">
      <c r="A1" t="s">
        <v>41</v>
      </c>
      <c r="B1" t="s">
        <v>11</v>
      </c>
      <c r="C1" t="s">
        <v>20</v>
      </c>
      <c r="D1" t="s">
        <v>140</v>
      </c>
    </row>
    <row r="2" spans="1:4" x14ac:dyDescent="0.2">
      <c r="A2">
        <v>1</v>
      </c>
      <c r="B2" s="1">
        <f>'Portfolio Value Summary'!$C$22</f>
        <v>250052.21551842181</v>
      </c>
      <c r="C2" s="1">
        <f>'Portfolio Cost Summary'!$C$13</f>
        <v>143775.77304969664</v>
      </c>
      <c r="D2" s="17">
        <f>B2-C2</f>
        <v>106276.44246872517</v>
      </c>
    </row>
    <row r="3" spans="1:4" x14ac:dyDescent="0.2">
      <c r="A3">
        <v>2</v>
      </c>
      <c r="B3" s="1">
        <f>'Portfolio Value Summary'!$D$22</f>
        <v>472409.08500184363</v>
      </c>
      <c r="C3" s="1">
        <f>'Portfolio Cost Summary'!$D$13</f>
        <v>287551.54609939328</v>
      </c>
      <c r="D3" s="17">
        <f t="shared" ref="D3:D6" si="0">B3-C3</f>
        <v>184857.53890245035</v>
      </c>
    </row>
    <row r="4" spans="1:4" x14ac:dyDescent="0.2">
      <c r="A4">
        <v>3</v>
      </c>
      <c r="B4" s="1">
        <f>'Portfolio Value Summary'!$E$22</f>
        <v>917122.82396868733</v>
      </c>
      <c r="C4" s="1">
        <f>'Portfolio Cost Summary'!$E$13</f>
        <v>575103.09219878656</v>
      </c>
      <c r="D4" s="17">
        <f t="shared" si="0"/>
        <v>342019.73176990077</v>
      </c>
    </row>
    <row r="5" spans="1:4" x14ac:dyDescent="0.2">
      <c r="A5">
        <v>4</v>
      </c>
      <c r="B5" s="1">
        <f>'Portfolio Value Summary'!$F$22</f>
        <v>1806550.3019023745</v>
      </c>
      <c r="C5" s="1">
        <f>'Portfolio Cost Summary'!$F$13</f>
        <v>1150206.1843975731</v>
      </c>
      <c r="D5" s="17">
        <f t="shared" si="0"/>
        <v>656344.11750480137</v>
      </c>
    </row>
    <row r="6" spans="1:4" x14ac:dyDescent="0.2">
      <c r="A6">
        <v>5</v>
      </c>
      <c r="B6" s="1">
        <f>'Portfolio Value Summary'!$G$22</f>
        <v>3585405.257769749</v>
      </c>
      <c r="C6" s="1">
        <f>'Portfolio Cost Summary'!$G$13</f>
        <v>2300412.3687951462</v>
      </c>
      <c r="D6" s="17">
        <f t="shared" si="0"/>
        <v>1284992.8889746028</v>
      </c>
    </row>
    <row r="27" spans="5:5" x14ac:dyDescent="0.2">
      <c r="E2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1487-33AD-794F-A140-86676E98BDFD}">
  <sheetPr>
    <tabColor theme="8" tint="0.79998168889431442"/>
  </sheetPr>
  <dimension ref="A1:H22"/>
  <sheetViews>
    <sheetView workbookViewId="0">
      <pane xSplit="2" ySplit="1" topLeftCell="C3" activePane="bottomRight" state="frozen"/>
      <selection activeCell="M28" sqref="M28"/>
      <selection pane="topRight" activeCell="M28" sqref="M28"/>
      <selection pane="bottomLeft" activeCell="M28" sqref="M28"/>
      <selection pane="bottomRight" activeCell="B12" sqref="B12"/>
    </sheetView>
  </sheetViews>
  <sheetFormatPr baseColWidth="10" defaultRowHeight="16" x14ac:dyDescent="0.2"/>
  <cols>
    <col min="1" max="1" width="31.1640625" bestFit="1" customWidth="1"/>
    <col min="2" max="2" width="70.6640625" bestFit="1" customWidth="1"/>
    <col min="3" max="3" width="17.6640625" customWidth="1"/>
    <col min="4" max="6" width="11.1640625" bestFit="1" customWidth="1"/>
    <col min="7" max="7" width="11.83203125" bestFit="1" customWidth="1"/>
    <col min="8" max="8" width="11.6640625" bestFit="1" customWidth="1"/>
  </cols>
  <sheetData>
    <row r="1" spans="1:8" x14ac:dyDescent="0.2">
      <c r="A1" t="s">
        <v>45</v>
      </c>
      <c r="B1" t="s">
        <v>10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46</v>
      </c>
    </row>
    <row r="2" spans="1:8" x14ac:dyDescent="0.2">
      <c r="A2" t="s">
        <v>86</v>
      </c>
      <c r="B2" t="s">
        <v>87</v>
      </c>
      <c r="C2" s="11">
        <f>('Sensitivity Analysis Variables'!C$3*'Sensitivity Analysis Variables'!$C$7*'Value Constants'!$B$11*'Value Constants'!$B$12*(1-'Value Constants'!$B$13))</f>
        <v>50142.433007601525</v>
      </c>
      <c r="D2" s="11">
        <f>('Sensitivity Analysis Variables'!D$3*'Sensitivity Analysis Variables'!$C$7*'Value Constants'!$B$11*'Value Constants'!$B$12*(1-'Value Constants'!$B$13))</f>
        <v>100284.86601520305</v>
      </c>
      <c r="E2" s="11">
        <f>('Sensitivity Analysis Variables'!E$3*'Sensitivity Analysis Variables'!$C$7*'Value Constants'!$B$11*'Value Constants'!$B$12*(1-'Value Constants'!$B$13))</f>
        <v>200569.7320304061</v>
      </c>
      <c r="F2" s="11">
        <f>('Sensitivity Analysis Variables'!F$3*'Sensitivity Analysis Variables'!$C$7*'Value Constants'!$B$11*'Value Constants'!$B$12*(1-'Value Constants'!$B$13))</f>
        <v>401139.4640608122</v>
      </c>
      <c r="G2" s="11">
        <f>('Sensitivity Analysis Variables'!G$3*'Sensitivity Analysis Variables'!$C$7*'Value Constants'!$B$11*'Value Constants'!$B$12*(1-'Value Constants'!$B$13))</f>
        <v>802278.9281216244</v>
      </c>
      <c r="H2" s="11">
        <f>SUM(C2:G2)</f>
        <v>1554415.4232356474</v>
      </c>
    </row>
    <row r="3" spans="1:8" x14ac:dyDescent="0.2">
      <c r="A3" t="s">
        <v>86</v>
      </c>
      <c r="B3" t="s">
        <v>139</v>
      </c>
      <c r="C3" s="11">
        <f>(('Value Constants'!$B$17*'Team Hourly Burn'!$B$2)+('Value Constants'!$B$18*'Cost Constants'!$B$4)+('Sensitivity Analysis Variables'!$C$8*'Sensitivity Analysis Variables'!$C$10))*'Sensitivity Analysis Variables'!$C$9*'Sensitivity Analysis Variables'!C$3</f>
        <v>3549.7104603499993</v>
      </c>
      <c r="D3" s="11">
        <f>(('Value Constants'!$B$17*'Team Hourly Burn'!$B$2)+('Value Constants'!$B$18*'Cost Constants'!$B$4)+('Sensitivity Analysis Variables'!$C$8*'Sensitivity Analysis Variables'!$C$10))*'Sensitivity Analysis Variables'!$C$9*'Sensitivity Analysis Variables'!D$3</f>
        <v>7099.4209206999985</v>
      </c>
      <c r="E3" s="11">
        <f>(('Value Constants'!$B$17*'Team Hourly Burn'!$B$2)+('Value Constants'!$B$18*'Cost Constants'!$B$4)+('Sensitivity Analysis Variables'!$C$8*'Sensitivity Analysis Variables'!$C$10))*'Sensitivity Analysis Variables'!$C$9*'Sensitivity Analysis Variables'!E$3</f>
        <v>14198.841841399997</v>
      </c>
      <c r="F3" s="11">
        <f>(('Value Constants'!$B$17*'Team Hourly Burn'!$B$2)+('Value Constants'!$B$18*'Cost Constants'!$B$4)+('Sensitivity Analysis Variables'!$C$8*'Sensitivity Analysis Variables'!$C$10))*'Sensitivity Analysis Variables'!$C$9*'Sensitivity Analysis Variables'!F$3</f>
        <v>28397.683682799994</v>
      </c>
      <c r="G3" s="11">
        <f>(('Value Constants'!$B$17*'Team Hourly Burn'!$B$2)+('Value Constants'!$B$18*'Cost Constants'!$B$4)+('Sensitivity Analysis Variables'!$C$8*'Sensitivity Analysis Variables'!$C$10))*'Sensitivity Analysis Variables'!$C$9*'Sensitivity Analysis Variables'!G$3</f>
        <v>56795.367365599988</v>
      </c>
      <c r="H3" s="11">
        <f t="shared" ref="H3" si="0">SUM(C3:G3)</f>
        <v>110041.02427084997</v>
      </c>
    </row>
    <row r="4" spans="1:8" x14ac:dyDescent="0.2">
      <c r="A4" t="s">
        <v>86</v>
      </c>
      <c r="B4" t="s">
        <v>128</v>
      </c>
      <c r="C4" s="11">
        <f>('Sensitivity Analysis Variables'!$C$11*'Team Hourly Burn'!$B$2)*'Sensitivity Analysis Variables'!C$3</f>
        <v>276953.46035000001</v>
      </c>
      <c r="D4" s="11">
        <f>('Sensitivity Analysis Variables'!$C$11*'Team Hourly Burn'!$B$2)*'Sensitivity Analysis Variables'!D$3</f>
        <v>553906.92070000002</v>
      </c>
      <c r="E4" s="11">
        <f>('Sensitivity Analysis Variables'!$C$11*'Team Hourly Burn'!$B$2)*'Sensitivity Analysis Variables'!E$3</f>
        <v>1107813.8414</v>
      </c>
      <c r="F4" s="11">
        <f>('Sensitivity Analysis Variables'!$C$11*'Team Hourly Burn'!$B$2)*'Sensitivity Analysis Variables'!F$3</f>
        <v>2215627.6828000001</v>
      </c>
      <c r="G4" s="11">
        <f>('Sensitivity Analysis Variables'!$C$11*'Team Hourly Burn'!$B$2)*'Sensitivity Analysis Variables'!G$3</f>
        <v>4431255.3656000001</v>
      </c>
      <c r="H4" s="11">
        <f>SUM(C4:G4)</f>
        <v>8585557.270849999</v>
      </c>
    </row>
    <row r="5" spans="1:8" x14ac:dyDescent="0.2">
      <c r="A5" t="s">
        <v>86</v>
      </c>
      <c r="B5" t="s">
        <v>118</v>
      </c>
      <c r="C5" s="11">
        <f>C$4*'Value Constants'!$B$27</f>
        <v>138476.730175</v>
      </c>
      <c r="D5" s="11">
        <f>D$4*'Value Constants'!$B$27</f>
        <v>276953.46035000001</v>
      </c>
      <c r="E5" s="11">
        <f>E$4*'Value Constants'!$B$27</f>
        <v>553906.92070000002</v>
      </c>
      <c r="F5" s="11">
        <f>F$4*'Value Constants'!$B$27</f>
        <v>1107813.8414</v>
      </c>
      <c r="G5" s="11">
        <f>G$4*'Value Constants'!$B$27</f>
        <v>2215627.6828000001</v>
      </c>
      <c r="H5" s="11">
        <f t="shared" ref="H5:H7" si="1">SUM(C5:G5)</f>
        <v>4292778.6354249995</v>
      </c>
    </row>
    <row r="6" spans="1:8" x14ac:dyDescent="0.2">
      <c r="A6" t="s">
        <v>86</v>
      </c>
      <c r="B6" t="s">
        <v>120</v>
      </c>
      <c r="C6" s="11">
        <f>C$4*'Value Constants'!$B$25</f>
        <v>83086.038105</v>
      </c>
      <c r="D6" s="11">
        <f>D$4*'Value Constants'!$B$25</f>
        <v>166172.07621</v>
      </c>
      <c r="E6" s="11">
        <f>E$4*'Value Constants'!$B$25</f>
        <v>332344.15242</v>
      </c>
      <c r="F6" s="11">
        <f>F$4*'Value Constants'!$B$25</f>
        <v>664688.30484</v>
      </c>
      <c r="G6" s="11">
        <f>G$4*'Value Constants'!$B$25</f>
        <v>1329376.60968</v>
      </c>
      <c r="H6" s="11">
        <f t="shared" si="1"/>
        <v>2575667.1812549997</v>
      </c>
    </row>
    <row r="7" spans="1:8" x14ac:dyDescent="0.2">
      <c r="A7" t="s">
        <v>86</v>
      </c>
      <c r="B7" t="s">
        <v>119</v>
      </c>
      <c r="C7" s="11">
        <f>C$4*'Value Constants'!$B$26</f>
        <v>55390.692070000005</v>
      </c>
      <c r="D7" s="11">
        <f>D$4*'Value Constants'!$B$26</f>
        <v>110781.38414000001</v>
      </c>
      <c r="E7" s="11">
        <f>E$4*'Value Constants'!$B$26</f>
        <v>221562.76828000002</v>
      </c>
      <c r="F7" s="11">
        <f>F$4*'Value Constants'!$B$26</f>
        <v>443125.53656000004</v>
      </c>
      <c r="G7" s="11">
        <f>G$4*'Value Constants'!$B$26</f>
        <v>886251.07312000007</v>
      </c>
      <c r="H7" s="11">
        <f t="shared" si="1"/>
        <v>1717111.4541700003</v>
      </c>
    </row>
    <row r="8" spans="1:8" x14ac:dyDescent="0.2">
      <c r="A8" t="s">
        <v>43</v>
      </c>
      <c r="B8" t="s">
        <v>81</v>
      </c>
      <c r="C8" s="11">
        <f>C2*('Value Constants'!$B$14-'Value Constants'!$B$13-'Value Constants'!$B$16)</f>
        <v>22564.094853420684</v>
      </c>
      <c r="D8" s="11">
        <f>D2*('Value Constants'!$B$14-'Value Constants'!$B$13-'Value Constants'!$B$16)</f>
        <v>45128.189706841367</v>
      </c>
      <c r="E8" s="11">
        <f>E2*('Value Constants'!$B$14-'Value Constants'!$B$13-'Value Constants'!$B$16)</f>
        <v>90256.379413682735</v>
      </c>
      <c r="F8" s="11">
        <f>F2*('Value Constants'!$B$14-'Value Constants'!$B$13-'Value Constants'!$B$16)</f>
        <v>180512.75882736547</v>
      </c>
      <c r="G8" s="11">
        <f>G2*('Value Constants'!$B$14-'Value Constants'!$B$13-'Value Constants'!$B$16)</f>
        <v>361025.51765473094</v>
      </c>
      <c r="H8" s="11">
        <f>SUM(C8:G8)</f>
        <v>699486.94045604113</v>
      </c>
    </row>
    <row r="9" spans="1:8" x14ac:dyDescent="0.2">
      <c r="A9" t="s">
        <v>43</v>
      </c>
      <c r="B9" t="s">
        <v>105</v>
      </c>
      <c r="C9" s="11">
        <f>C$5*'Value Constants'!$B$20</f>
        <v>110781.38414000001</v>
      </c>
      <c r="D9" s="11">
        <f>D$5*'Value Constants'!$B$20</f>
        <v>221562.76828000002</v>
      </c>
      <c r="E9" s="11">
        <f>E$5*'Value Constants'!$B$20</f>
        <v>443125.53656000004</v>
      </c>
      <c r="F9" s="11">
        <f>F$5*'Value Constants'!$B$20</f>
        <v>886251.07312000007</v>
      </c>
      <c r="G9" s="11">
        <f>G$5*'Value Constants'!$B$20</f>
        <v>1772502.1462400001</v>
      </c>
      <c r="H9" s="11">
        <f t="shared" ref="H9:H20" si="2">SUM(C9:G9)</f>
        <v>3434222.9083400005</v>
      </c>
    </row>
    <row r="10" spans="1:8" x14ac:dyDescent="0.2">
      <c r="A10" t="s">
        <v>43</v>
      </c>
      <c r="B10" t="s">
        <v>106</v>
      </c>
      <c r="C10" s="11">
        <f>C$6*'Value Constants'!$B$21</f>
        <v>49851.622862999997</v>
      </c>
      <c r="D10" s="11">
        <f>D$6*'Value Constants'!$B$21</f>
        <v>99703.245725999994</v>
      </c>
      <c r="E10" s="11">
        <f>E$6*'Value Constants'!$B$21</f>
        <v>199406.49145199999</v>
      </c>
      <c r="F10" s="11">
        <f>F$6*'Value Constants'!$B$21</f>
        <v>398812.98290399997</v>
      </c>
      <c r="G10" s="11">
        <f>G$6*'Value Constants'!$B$21</f>
        <v>797625.96580799995</v>
      </c>
      <c r="H10" s="11">
        <f>SUM(C10:G10)</f>
        <v>1545400.3087529999</v>
      </c>
    </row>
    <row r="11" spans="1:8" x14ac:dyDescent="0.2">
      <c r="A11" t="s">
        <v>43</v>
      </c>
      <c r="B11" t="s">
        <v>101</v>
      </c>
      <c r="C11" s="11">
        <f>$C$7*'Value Constants'!$B$22</f>
        <v>27695.346035000002</v>
      </c>
      <c r="D11" s="11">
        <f>$C$7*'Value Constants'!$B$22</f>
        <v>27695.346035000002</v>
      </c>
      <c r="E11" s="11">
        <f>$C$7*'Value Constants'!$B$22</f>
        <v>27695.346035000002</v>
      </c>
      <c r="F11" s="11">
        <f>$C$7*'Value Constants'!$B$22</f>
        <v>27695.346035000002</v>
      </c>
      <c r="G11" s="11">
        <f>$C$7*'Value Constants'!$B$22</f>
        <v>27695.346035000002</v>
      </c>
      <c r="H11" s="11">
        <f t="shared" si="2"/>
        <v>138476.730175</v>
      </c>
    </row>
    <row r="12" spans="1:8" x14ac:dyDescent="0.2">
      <c r="A12" t="s">
        <v>43</v>
      </c>
      <c r="B12" t="s">
        <v>107</v>
      </c>
      <c r="C12" s="11"/>
      <c r="D12" s="11"/>
      <c r="E12" s="11"/>
      <c r="F12" s="11"/>
      <c r="G12" s="11"/>
      <c r="H12" s="11"/>
    </row>
    <row r="13" spans="1:8" x14ac:dyDescent="0.2">
      <c r="A13" t="s">
        <v>43</v>
      </c>
      <c r="B13" t="s">
        <v>108</v>
      </c>
      <c r="C13" s="11"/>
      <c r="D13" s="11"/>
      <c r="E13" s="11"/>
      <c r="F13" s="11"/>
      <c r="G13" s="11"/>
      <c r="H13" s="11"/>
    </row>
    <row r="14" spans="1:8" x14ac:dyDescent="0.2">
      <c r="A14" t="s">
        <v>43</v>
      </c>
      <c r="B14" t="s">
        <v>109</v>
      </c>
      <c r="C14" s="11"/>
      <c r="D14" s="11"/>
      <c r="E14" s="11"/>
      <c r="F14" s="11"/>
      <c r="G14" s="11"/>
      <c r="H14" s="11"/>
    </row>
    <row r="15" spans="1:8" x14ac:dyDescent="0.2">
      <c r="A15" t="s">
        <v>43</v>
      </c>
      <c r="B15" t="s">
        <v>110</v>
      </c>
      <c r="C15" s="11"/>
      <c r="D15" s="11"/>
      <c r="E15" s="11"/>
      <c r="F15" s="11"/>
      <c r="G15" s="11"/>
      <c r="H15" s="11"/>
    </row>
    <row r="16" spans="1:8" x14ac:dyDescent="0.2">
      <c r="A16" t="s">
        <v>44</v>
      </c>
      <c r="B16" t="s">
        <v>81</v>
      </c>
      <c r="C16" s="11">
        <f>C2*('Value Constants'!$B$15-'Value Constants'!$B$13-'Value Constants'!$B$16)</f>
        <v>36603.976095549115</v>
      </c>
      <c r="D16" s="11">
        <f>D2*('Value Constants'!$B$15-'Value Constants'!$B$13-'Value Constants'!$B$16)</f>
        <v>73207.952191098229</v>
      </c>
      <c r="E16" s="11">
        <f>E2*('Value Constants'!$B$15-'Value Constants'!$B$13-'Value Constants'!$B$16)</f>
        <v>146415.90438219646</v>
      </c>
      <c r="F16" s="11">
        <f>F2*('Value Constants'!$B$15-'Value Constants'!$B$13-'Value Constants'!$B$16)</f>
        <v>292831.80876439292</v>
      </c>
      <c r="G16" s="11">
        <f>G2*('Value Constants'!$B$15-'Value Constants'!$B$13-'Value Constants'!$B$16)</f>
        <v>585663.61752878584</v>
      </c>
      <c r="H16" s="11">
        <f t="shared" si="2"/>
        <v>1134723.2589620226</v>
      </c>
    </row>
    <row r="17" spans="1:8" x14ac:dyDescent="0.2">
      <c r="A17" t="s">
        <v>44</v>
      </c>
      <c r="B17" t="s">
        <v>129</v>
      </c>
      <c r="C17" s="11">
        <f>'Portfolio Value Summary'!C$3*'Value Constants'!$B$19</f>
        <v>2555.7915314519992</v>
      </c>
      <c r="D17" s="11">
        <f>'Portfolio Value Summary'!D$3*'Value Constants'!$B$19</f>
        <v>5111.5830629039983</v>
      </c>
      <c r="E17" s="11">
        <f>'Portfolio Value Summary'!E$3*'Value Constants'!$B$19</f>
        <v>10223.166125807997</v>
      </c>
      <c r="F17" s="11">
        <f>'Portfolio Value Summary'!F$3*'Value Constants'!$B$19</f>
        <v>20446.332251615993</v>
      </c>
      <c r="G17" s="11">
        <f>'Portfolio Value Summary'!G$3*'Value Constants'!$B$19</f>
        <v>40892.664503231987</v>
      </c>
      <c r="H17" s="11">
        <f>SUM(C17:G17)</f>
        <v>79229.537475011981</v>
      </c>
    </row>
    <row r="18" spans="1:8" x14ac:dyDescent="0.2">
      <c r="A18" t="s">
        <v>44</v>
      </c>
      <c r="B18" t="s">
        <v>102</v>
      </c>
      <c r="C18" s="11"/>
      <c r="D18" s="11"/>
      <c r="E18" s="11"/>
      <c r="F18" s="11"/>
      <c r="G18" s="11"/>
      <c r="H18" s="11">
        <f t="shared" si="2"/>
        <v>0</v>
      </c>
    </row>
    <row r="19" spans="1:8" x14ac:dyDescent="0.2">
      <c r="A19" t="s">
        <v>44</v>
      </c>
      <c r="B19" t="s">
        <v>103</v>
      </c>
      <c r="C19" s="11"/>
      <c r="D19" s="11"/>
      <c r="E19" s="11"/>
      <c r="F19" s="11"/>
      <c r="G19" s="11"/>
      <c r="H19" s="11">
        <f t="shared" si="2"/>
        <v>0</v>
      </c>
    </row>
    <row r="20" spans="1:8" x14ac:dyDescent="0.2">
      <c r="A20" t="s">
        <v>44</v>
      </c>
      <c r="B20" t="s">
        <v>104</v>
      </c>
      <c r="C20" s="11"/>
      <c r="D20" s="11"/>
      <c r="E20" s="11"/>
      <c r="F20" s="11"/>
      <c r="G20" s="11"/>
      <c r="H20" s="11">
        <f t="shared" si="2"/>
        <v>0</v>
      </c>
    </row>
    <row r="21" spans="1:8" x14ac:dyDescent="0.2">
      <c r="A21" t="s">
        <v>44</v>
      </c>
      <c r="B21" t="s">
        <v>109</v>
      </c>
      <c r="C21" s="11"/>
      <c r="D21" s="11"/>
      <c r="E21" s="11"/>
      <c r="F21" s="11"/>
      <c r="G21" s="11"/>
      <c r="H21" s="11"/>
    </row>
    <row r="22" spans="1:8" x14ac:dyDescent="0.2">
      <c r="A22" t="s">
        <v>49</v>
      </c>
      <c r="C22" s="11">
        <f>SUM(C8:C20)</f>
        <v>250052.21551842181</v>
      </c>
      <c r="D22" s="11">
        <f>SUM(D8:D20)</f>
        <v>472409.08500184363</v>
      </c>
      <c r="E22" s="11">
        <f>SUM(E8:E20)</f>
        <v>917122.82396868733</v>
      </c>
      <c r="F22" s="11">
        <f>SUM(F8:F20)</f>
        <v>1806550.3019023745</v>
      </c>
      <c r="G22" s="11">
        <f>SUM(G8:G20)</f>
        <v>3585405.257769749</v>
      </c>
      <c r="H22" s="11">
        <f>SUM(C22:G22)</f>
        <v>7031539.6841610763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432B-F9B7-BD4A-9D67-F31606253D99}">
  <sheetPr>
    <tabColor theme="7" tint="0.79998168889431442"/>
  </sheetPr>
  <dimension ref="A1:H13"/>
  <sheetViews>
    <sheetView workbookViewId="0">
      <pane xSplit="2" ySplit="1" topLeftCell="C2" activePane="bottomRight" state="frozen"/>
      <selection activeCell="M28" sqref="M28"/>
      <selection pane="topRight" activeCell="M28" sqref="M28"/>
      <selection pane="bottomLeft" activeCell="M28" sqref="M28"/>
      <selection pane="bottomRight" activeCell="A8" sqref="A8"/>
    </sheetView>
  </sheetViews>
  <sheetFormatPr baseColWidth="10" defaultRowHeight="16" x14ac:dyDescent="0.2"/>
  <cols>
    <col min="1" max="2" width="31.1640625" bestFit="1" customWidth="1"/>
    <col min="3" max="3" width="11.5" style="1" bestFit="1" customWidth="1"/>
    <col min="4" max="5" width="10.83203125" style="1"/>
    <col min="6" max="7" width="11.5" style="1" bestFit="1" customWidth="1"/>
    <col min="8" max="8" width="11.83203125" style="1" bestFit="1" customWidth="1"/>
  </cols>
  <sheetData>
    <row r="1" spans="1:8" x14ac:dyDescent="0.2">
      <c r="A1" t="s">
        <v>45</v>
      </c>
      <c r="B1" t="s">
        <v>10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46</v>
      </c>
    </row>
    <row r="2" spans="1:8" x14ac:dyDescent="0.2">
      <c r="A2" t="s">
        <v>43</v>
      </c>
      <c r="B2" t="str">
        <f>'CostCnst(Legacy-&gt;Containerized)'!A2</f>
        <v>Data Changes</v>
      </c>
      <c r="C2" s="1">
        <f>'CostCnst(Legacy-&gt;Containerized)'!$B2*'Sensitivity Analysis Variables'!C$3*'Sensitivity Analysis Variables'!$C$5*'Sensitivity Analysis Variables'!$C$6*'Team Hourly Burn'!$B$2</f>
        <v>16801.843261233334</v>
      </c>
      <c r="D2" s="1">
        <f>'CostCnst(Legacy-&gt;Containerized)'!$B2*'Sensitivity Analysis Variables'!D$3*'Sensitivity Analysis Variables'!$C$5*'Sensitivity Analysis Variables'!$C$6*'Team Hourly Burn'!$B$2</f>
        <v>33603.686522466669</v>
      </c>
      <c r="E2" s="1">
        <f>'CostCnst(Legacy-&gt;Containerized)'!$B2*'Sensitivity Analysis Variables'!E$3*'Sensitivity Analysis Variables'!$C$5*'Sensitivity Analysis Variables'!$C$6*'Team Hourly Burn'!$B$2</f>
        <v>67207.373044933338</v>
      </c>
      <c r="F2" s="1">
        <f>'CostCnst(Legacy-&gt;Containerized)'!$B2*'Sensitivity Analysis Variables'!F$3*'Sensitivity Analysis Variables'!$C$5*'Sensitivity Analysis Variables'!$C$6*'Team Hourly Burn'!$B$2</f>
        <v>134414.74608986668</v>
      </c>
      <c r="G2" s="1">
        <f>'CostCnst(Legacy-&gt;Containerized)'!$B2*'Sensitivity Analysis Variables'!G$3*'Sensitivity Analysis Variables'!$C$5*'Sensitivity Analysis Variables'!$C$6*'Team Hourly Burn'!$B$2</f>
        <v>268829.49217973335</v>
      </c>
      <c r="H2" s="1">
        <f>SUM(C2:G2)</f>
        <v>520857.14109823341</v>
      </c>
    </row>
    <row r="3" spans="1:8" x14ac:dyDescent="0.2">
      <c r="A3" t="s">
        <v>43</v>
      </c>
      <c r="B3" t="str">
        <f>'CostCnst(Legacy-&gt;Containerized)'!A3</f>
        <v>PI Changes</v>
      </c>
      <c r="C3" s="1">
        <f>'CostCnst(Legacy-&gt;Containerized)'!$B3*'Sensitivity Analysis Variables'!C$3*'Sensitivity Analysis Variables'!$C$5*'Sensitivity Analysis Variables'!$C$6*'Team Hourly Burn'!$B$2</f>
        <v>0</v>
      </c>
      <c r="D3" s="1">
        <f>'CostCnst(Legacy-&gt;Containerized)'!$B3*'Sensitivity Analysis Variables'!D$3*'Sensitivity Analysis Variables'!$C$5*'Sensitivity Analysis Variables'!$C$6*'Team Hourly Burn'!$B$2</f>
        <v>0</v>
      </c>
      <c r="E3" s="1">
        <f>'CostCnst(Legacy-&gt;Containerized)'!$B3*'Sensitivity Analysis Variables'!E$3*'Sensitivity Analysis Variables'!$C$5*'Sensitivity Analysis Variables'!$C$6*'Team Hourly Burn'!$B$2</f>
        <v>0</v>
      </c>
      <c r="F3" s="1">
        <f>'CostCnst(Legacy-&gt;Containerized)'!$B3*'Sensitivity Analysis Variables'!F$3*'Sensitivity Analysis Variables'!$C$5*'Sensitivity Analysis Variables'!$C$6*'Team Hourly Burn'!$B$2</f>
        <v>0</v>
      </c>
      <c r="G3" s="1">
        <f>'CostCnst(Legacy-&gt;Containerized)'!$B3*'Sensitivity Analysis Variables'!G$3*'Sensitivity Analysis Variables'!$C$5*'Sensitivity Analysis Variables'!$C$6*'Team Hourly Burn'!$B$2</f>
        <v>0</v>
      </c>
      <c r="H3" s="1">
        <f t="shared" ref="H3:H13" si="0">SUM(C3:G3)</f>
        <v>0</v>
      </c>
    </row>
    <row r="4" spans="1:8" x14ac:dyDescent="0.2">
      <c r="A4" t="s">
        <v>43</v>
      </c>
      <c r="B4" t="str">
        <f>'CostCnst(Legacy-&gt;Containerized)'!A4</f>
        <v>Technical Changes</v>
      </c>
      <c r="C4" s="1">
        <f>'CostCnst(Legacy-&gt;Containerized)'!$B4*'Sensitivity Analysis Variables'!C$3*'Sensitivity Analysis Variables'!$C$5*'Sensitivity Analysis Variables'!$C$6*'Team Hourly Burn'!$B$2</f>
        <v>21062.310659617502</v>
      </c>
      <c r="D4" s="1">
        <f>'CostCnst(Legacy-&gt;Containerized)'!$B4*'Sensitivity Analysis Variables'!D$3*'Sensitivity Analysis Variables'!$C$5*'Sensitivity Analysis Variables'!$C$6*'Team Hourly Burn'!$B$2</f>
        <v>42124.621319235004</v>
      </c>
      <c r="E4" s="1">
        <f>'CostCnst(Legacy-&gt;Containerized)'!$B4*'Sensitivity Analysis Variables'!E$3*'Sensitivity Analysis Variables'!$C$5*'Sensitivity Analysis Variables'!$C$6*'Team Hourly Burn'!$B$2</f>
        <v>84249.242638470008</v>
      </c>
      <c r="F4" s="1">
        <f>'CostCnst(Legacy-&gt;Containerized)'!$B4*'Sensitivity Analysis Variables'!F$3*'Sensitivity Analysis Variables'!$C$5*'Sensitivity Analysis Variables'!$C$6*'Team Hourly Burn'!$B$2</f>
        <v>168498.48527694002</v>
      </c>
      <c r="G4" s="1">
        <f>'CostCnst(Legacy-&gt;Containerized)'!$B4*'Sensitivity Analysis Variables'!G$3*'Sensitivity Analysis Variables'!$C$5*'Sensitivity Analysis Variables'!$C$6*'Team Hourly Burn'!$B$2</f>
        <v>336996.97055388003</v>
      </c>
      <c r="H4" s="1">
        <f t="shared" si="0"/>
        <v>652931.63044814253</v>
      </c>
    </row>
    <row r="5" spans="1:8" x14ac:dyDescent="0.2">
      <c r="A5" t="s">
        <v>43</v>
      </c>
      <c r="B5" t="str">
        <f>'CostCnst(Legacy-&gt;Containerized)'!A5</f>
        <v>Deployment Changes</v>
      </c>
      <c r="C5" s="1">
        <f>'CostCnst(Legacy-&gt;Containerized)'!$B5*'Sensitivity Analysis Variables'!C$3*'Sensitivity Analysis Variables'!$C$5*'Sensitivity Analysis Variables'!$C$6*'Team Hourly Burn'!$B$2</f>
        <v>3300.3620691708334</v>
      </c>
      <c r="D5" s="1">
        <f>'CostCnst(Legacy-&gt;Containerized)'!$B5*'Sensitivity Analysis Variables'!D$3*'Sensitivity Analysis Variables'!$C$5*'Sensitivity Analysis Variables'!$C$6*'Team Hourly Burn'!$B$2</f>
        <v>6600.7241383416667</v>
      </c>
      <c r="E5" s="1">
        <f>'CostCnst(Legacy-&gt;Containerized)'!$B5*'Sensitivity Analysis Variables'!E$3*'Sensitivity Analysis Variables'!$C$5*'Sensitivity Analysis Variables'!$C$6*'Team Hourly Burn'!$B$2</f>
        <v>13201.448276683333</v>
      </c>
      <c r="F5" s="1">
        <f>'CostCnst(Legacy-&gt;Containerized)'!$B5*'Sensitivity Analysis Variables'!F$3*'Sensitivity Analysis Variables'!$C$5*'Sensitivity Analysis Variables'!$C$6*'Team Hourly Burn'!$B$2</f>
        <v>26402.896553366667</v>
      </c>
      <c r="G5" s="1">
        <f>'CostCnst(Legacy-&gt;Containerized)'!$B5*'Sensitivity Analysis Variables'!G$3*'Sensitivity Analysis Variables'!$C$5*'Sensitivity Analysis Variables'!$C$6*'Team Hourly Burn'!$B$2</f>
        <v>52805.793106733334</v>
      </c>
      <c r="H5" s="1">
        <f t="shared" si="0"/>
        <v>102311.22414429585</v>
      </c>
    </row>
    <row r="6" spans="1:8" x14ac:dyDescent="0.2">
      <c r="A6" t="s">
        <v>43</v>
      </c>
      <c r="B6" t="str">
        <f>'CostCnst(Legacy-&gt;Containerized)'!A6</f>
        <v>Architectural Changes</v>
      </c>
      <c r="C6" s="1">
        <f>'CostCnst(Legacy-&gt;Containerized)'!$B6*'Sensitivity Analysis Variables'!C$3*'Sensitivity Analysis Variables'!$C$5*'Sensitivity Analysis Variables'!$C$6*'Team Hourly Burn'!$B$2</f>
        <v>4200.4608153083336</v>
      </c>
      <c r="D6" s="1">
        <f>'CostCnst(Legacy-&gt;Containerized)'!$B6*'Sensitivity Analysis Variables'!D$3*'Sensitivity Analysis Variables'!$C$5*'Sensitivity Analysis Variables'!$C$6*'Team Hourly Burn'!$B$2</f>
        <v>8400.9216306166672</v>
      </c>
      <c r="E6" s="1">
        <f>'CostCnst(Legacy-&gt;Containerized)'!$B6*'Sensitivity Analysis Variables'!E$3*'Sensitivity Analysis Variables'!$C$5*'Sensitivity Analysis Variables'!$C$6*'Team Hourly Burn'!$B$2</f>
        <v>16801.843261233334</v>
      </c>
      <c r="F6" s="1">
        <f>'CostCnst(Legacy-&gt;Containerized)'!$B6*'Sensitivity Analysis Variables'!F$3*'Sensitivity Analysis Variables'!$C$5*'Sensitivity Analysis Variables'!$C$6*'Team Hourly Burn'!$B$2</f>
        <v>33603.686522466669</v>
      </c>
      <c r="G6" s="1">
        <f>'CostCnst(Legacy-&gt;Containerized)'!$B6*'Sensitivity Analysis Variables'!G$3*'Sensitivity Analysis Variables'!$C$5*'Sensitivity Analysis Variables'!$C$6*'Team Hourly Burn'!$B$2</f>
        <v>67207.373044933338</v>
      </c>
      <c r="H6" s="1">
        <f t="shared" si="0"/>
        <v>130214.28527455835</v>
      </c>
    </row>
    <row r="7" spans="1:8" x14ac:dyDescent="0.2">
      <c r="A7" t="s">
        <v>43</v>
      </c>
      <c r="B7" t="str">
        <f>'CostOpts(Legacy-&gt;Containerized)'!A2</f>
        <v>Shadow App components</v>
      </c>
      <c r="C7" s="1">
        <f>'CostOpts(Legacy-&gt;Containerized)'!$B$2*'Sensitivity Analysis Variables'!C$3*'Sensitivity Analysis Variables'!$C$5*'Sensitivity Analysis Variables'!$C$6*'Team Hourly Burn'!$B$2</f>
        <v>54005.924768249999</v>
      </c>
      <c r="D7" s="1">
        <f>'CostOpts(Legacy-&gt;Containerized)'!$B$2*'Sensitivity Analysis Variables'!D$3*'Sensitivity Analysis Variables'!$C$5*'Sensitivity Analysis Variables'!$C$6*'Team Hourly Burn'!$B$2</f>
        <v>108011.8495365</v>
      </c>
      <c r="E7" s="1">
        <f>'CostOpts(Legacy-&gt;Containerized)'!$B$2*'Sensitivity Analysis Variables'!E$3*'Sensitivity Analysis Variables'!$C$5*'Sensitivity Analysis Variables'!$C$6*'Team Hourly Burn'!$B$2</f>
        <v>216023.699073</v>
      </c>
      <c r="F7" s="1">
        <f>'CostOpts(Legacy-&gt;Containerized)'!$B$2*'Sensitivity Analysis Variables'!F$3*'Sensitivity Analysis Variables'!$C$5*'Sensitivity Analysis Variables'!$C$6*'Team Hourly Burn'!$B$2</f>
        <v>432047.39814599999</v>
      </c>
      <c r="G7" s="1">
        <f>'CostOpts(Legacy-&gt;Containerized)'!$B$2*'Sensitivity Analysis Variables'!G$3*'Sensitivity Analysis Variables'!$C$5*'Sensitivity Analysis Variables'!$C$6*'Team Hourly Burn'!$B$2</f>
        <v>864094.79629199998</v>
      </c>
      <c r="H7" s="1">
        <f t="shared" si="0"/>
        <v>1674183.66781575</v>
      </c>
    </row>
    <row r="8" spans="1:8" x14ac:dyDescent="0.2">
      <c r="A8" t="s">
        <v>44</v>
      </c>
      <c r="B8" t="str">
        <f>'CostCnst(Containerized-&gt;Cloud)'!A2</f>
        <v>Data Changes</v>
      </c>
      <c r="C8" s="1">
        <f>'CostCnst(Containerized-&gt;Cloud)'!$B2*'Sensitivity Analysis Variables'!C$3*'Sensitivity Analysis Variables'!$C$5*'Sensitivity Analysis Variables'!$C$6*'Team Hourly Burn'!$B$2</f>
        <v>15001.645768958333</v>
      </c>
      <c r="D8" s="1">
        <f>'CostCnst(Containerized-&gt;Cloud)'!$B2*'Sensitivity Analysis Variables'!D$3*'Sensitivity Analysis Variables'!$C$5*'Sensitivity Analysis Variables'!$C$6*'Team Hourly Burn'!$B$2</f>
        <v>30003.291537916666</v>
      </c>
      <c r="E8" s="1">
        <f>'CostCnst(Containerized-&gt;Cloud)'!$B2*'Sensitivity Analysis Variables'!E$3*'Sensitivity Analysis Variables'!$C$5*'Sensitivity Analysis Variables'!$C$6*'Team Hourly Burn'!$B$2</f>
        <v>60006.583075833332</v>
      </c>
      <c r="F8" s="1">
        <f>'CostCnst(Containerized-&gt;Cloud)'!$B2*'Sensitivity Analysis Variables'!F$3*'Sensitivity Analysis Variables'!$C$5*'Sensitivity Analysis Variables'!$C$6*'Team Hourly Burn'!$B$2</f>
        <v>120013.16615166666</v>
      </c>
      <c r="G8" s="1">
        <f>'CostCnst(Containerized-&gt;Cloud)'!$B2*'Sensitivity Analysis Variables'!G$3*'Sensitivity Analysis Variables'!$C$5*'Sensitivity Analysis Variables'!$C$6*'Team Hourly Burn'!$B$2</f>
        <v>240026.33230333333</v>
      </c>
      <c r="H8" s="1">
        <f t="shared" si="0"/>
        <v>465051.01883770834</v>
      </c>
    </row>
    <row r="9" spans="1:8" x14ac:dyDescent="0.2">
      <c r="A9" t="s">
        <v>44</v>
      </c>
      <c r="B9" t="str">
        <f>'CostCnst(Containerized-&gt;Cloud)'!A3</f>
        <v>PI Changes</v>
      </c>
      <c r="C9" s="1">
        <f>'CostCnst(Containerized-&gt;Cloud)'!$B3*'Sensitivity Analysis Variables'!C$3*'Sensitivity Analysis Variables'!$C$5*'Sensitivity Analysis Variables'!$C$6*'Team Hourly Burn'!$B$2</f>
        <v>15001.645768958333</v>
      </c>
      <c r="D9" s="1">
        <f>'CostCnst(Containerized-&gt;Cloud)'!$B3*'Sensitivity Analysis Variables'!D$3*'Sensitivity Analysis Variables'!$C$5*'Sensitivity Analysis Variables'!$C$6*'Team Hourly Burn'!$B$2</f>
        <v>30003.291537916666</v>
      </c>
      <c r="E9" s="1">
        <f>'CostCnst(Containerized-&gt;Cloud)'!$B3*'Sensitivity Analysis Variables'!E$3*'Sensitivity Analysis Variables'!$C$5*'Sensitivity Analysis Variables'!$C$6*'Team Hourly Burn'!$B$2</f>
        <v>60006.583075833332</v>
      </c>
      <c r="F9" s="1">
        <f>'CostCnst(Containerized-&gt;Cloud)'!$B3*'Sensitivity Analysis Variables'!F$3*'Sensitivity Analysis Variables'!$C$5*'Sensitivity Analysis Variables'!$C$6*'Team Hourly Burn'!$B$2</f>
        <v>120013.16615166666</v>
      </c>
      <c r="G9" s="1">
        <f>'CostCnst(Containerized-&gt;Cloud)'!$B3*'Sensitivity Analysis Variables'!G$3*'Sensitivity Analysis Variables'!$C$5*'Sensitivity Analysis Variables'!$C$6*'Team Hourly Burn'!$B$2</f>
        <v>240026.33230333333</v>
      </c>
      <c r="H9" s="1">
        <f t="shared" si="0"/>
        <v>465051.01883770834</v>
      </c>
    </row>
    <row r="10" spans="1:8" x14ac:dyDescent="0.2">
      <c r="A10" t="s">
        <v>44</v>
      </c>
      <c r="B10" t="str">
        <f>'CostCnst(Containerized-&gt;Cloud)'!A4</f>
        <v>Technical Changes</v>
      </c>
      <c r="C10" s="1">
        <f>'CostCnst(Containerized-&gt;Cloud)'!$B4*'Sensitivity Analysis Variables'!C$3*'Sensitivity Analysis Variables'!$C$5*'Sensitivity Analysis Variables'!$C$6*'Team Hourly Burn'!$B$2</f>
        <v>4200.4608153083336</v>
      </c>
      <c r="D10" s="1">
        <f>'CostCnst(Containerized-&gt;Cloud)'!$B4*'Sensitivity Analysis Variables'!D$3*'Sensitivity Analysis Variables'!$C$5*'Sensitivity Analysis Variables'!$C$6*'Team Hourly Burn'!$B$2</f>
        <v>8400.9216306166672</v>
      </c>
      <c r="E10" s="1">
        <f>'CostCnst(Containerized-&gt;Cloud)'!$B4*'Sensitivity Analysis Variables'!E$3*'Sensitivity Analysis Variables'!$C$5*'Sensitivity Analysis Variables'!$C$6*'Team Hourly Burn'!$B$2</f>
        <v>16801.843261233334</v>
      </c>
      <c r="F10" s="1">
        <f>'CostCnst(Containerized-&gt;Cloud)'!$B4*'Sensitivity Analysis Variables'!F$3*'Sensitivity Analysis Variables'!$C$5*'Sensitivity Analysis Variables'!$C$6*'Team Hourly Burn'!$B$2</f>
        <v>33603.686522466669</v>
      </c>
      <c r="G10" s="1">
        <f>'CostCnst(Containerized-&gt;Cloud)'!$B4*'Sensitivity Analysis Variables'!G$3*'Sensitivity Analysis Variables'!$C$5*'Sensitivity Analysis Variables'!$C$6*'Team Hourly Burn'!$B$2</f>
        <v>67207.373044933338</v>
      </c>
      <c r="H10" s="1">
        <f t="shared" si="0"/>
        <v>130214.28527455835</v>
      </c>
    </row>
    <row r="11" spans="1:8" x14ac:dyDescent="0.2">
      <c r="A11" t="s">
        <v>44</v>
      </c>
      <c r="B11" t="str">
        <f>'CostCnst(Containerized-&gt;Cloud)'!A5</f>
        <v>Deployment Changes</v>
      </c>
      <c r="C11" s="1">
        <f>'CostCnst(Containerized-&gt;Cloud)'!$B5*'Sensitivity Analysis Variables'!C$3*'Sensitivity Analysis Variables'!$C$5*'Sensitivity Analysis Variables'!$C$6*'Team Hourly Burn'!$B$2</f>
        <v>4200.4608153083336</v>
      </c>
      <c r="D11" s="1">
        <f>'CostCnst(Containerized-&gt;Cloud)'!$B5*'Sensitivity Analysis Variables'!D$3*'Sensitivity Analysis Variables'!$C$5*'Sensitivity Analysis Variables'!$C$6*'Team Hourly Burn'!$B$2</f>
        <v>8400.9216306166672</v>
      </c>
      <c r="E11" s="1">
        <f>'CostCnst(Containerized-&gt;Cloud)'!$B5*'Sensitivity Analysis Variables'!E$3*'Sensitivity Analysis Variables'!$C$5*'Sensitivity Analysis Variables'!$C$6*'Team Hourly Burn'!$B$2</f>
        <v>16801.843261233334</v>
      </c>
      <c r="F11" s="1">
        <f>'CostCnst(Containerized-&gt;Cloud)'!$B5*'Sensitivity Analysis Variables'!F$3*'Sensitivity Analysis Variables'!$C$5*'Sensitivity Analysis Variables'!$C$6*'Team Hourly Burn'!$B$2</f>
        <v>33603.686522466669</v>
      </c>
      <c r="G11" s="1">
        <f>'CostCnst(Containerized-&gt;Cloud)'!$B5*'Sensitivity Analysis Variables'!G$3*'Sensitivity Analysis Variables'!$C$5*'Sensitivity Analysis Variables'!$C$6*'Team Hourly Burn'!$B$2</f>
        <v>67207.373044933338</v>
      </c>
      <c r="H11" s="1">
        <f t="shared" si="0"/>
        <v>130214.28527455835</v>
      </c>
    </row>
    <row r="12" spans="1:8" x14ac:dyDescent="0.2">
      <c r="A12" t="s">
        <v>44</v>
      </c>
      <c r="B12" t="str">
        <f>'CostCnst(Containerized-&gt;Cloud)'!A6</f>
        <v>Architectural Changes</v>
      </c>
      <c r="C12" s="1">
        <f>'CostCnst(Containerized-&gt;Cloud)'!$B6*'Sensitivity Analysis Variables'!C$3*'Sensitivity Analysis Variables'!$C$5*'Sensitivity Analysis Variables'!$C$6*'Team Hourly Burn'!$B$2</f>
        <v>6000.6583075833332</v>
      </c>
      <c r="D12" s="1">
        <f>'CostCnst(Containerized-&gt;Cloud)'!$B6*'Sensitivity Analysis Variables'!D$3*'Sensitivity Analysis Variables'!$C$5*'Sensitivity Analysis Variables'!$C$6*'Team Hourly Burn'!$B$2</f>
        <v>12001.316615166666</v>
      </c>
      <c r="E12" s="1">
        <f>'CostCnst(Containerized-&gt;Cloud)'!$B6*'Sensitivity Analysis Variables'!E$3*'Sensitivity Analysis Variables'!$C$5*'Sensitivity Analysis Variables'!$C$6*'Team Hourly Burn'!$B$2</f>
        <v>24002.633230333333</v>
      </c>
      <c r="F12" s="1">
        <f>'CostCnst(Containerized-&gt;Cloud)'!$B6*'Sensitivity Analysis Variables'!F$3*'Sensitivity Analysis Variables'!$C$5*'Sensitivity Analysis Variables'!$C$6*'Team Hourly Burn'!$B$2</f>
        <v>48005.266460666666</v>
      </c>
      <c r="G12" s="1">
        <f>'CostCnst(Containerized-&gt;Cloud)'!$B6*'Sensitivity Analysis Variables'!G$3*'Sensitivity Analysis Variables'!$C$5*'Sensitivity Analysis Variables'!$C$6*'Team Hourly Burn'!$B$2</f>
        <v>96010.532921333332</v>
      </c>
      <c r="H12" s="1">
        <f t="shared" si="0"/>
        <v>186020.40753508333</v>
      </c>
    </row>
    <row r="13" spans="1:8" x14ac:dyDescent="0.2">
      <c r="A13" t="s">
        <v>49</v>
      </c>
      <c r="C13" s="1">
        <f>SUM(C2:C12)</f>
        <v>143775.77304969664</v>
      </c>
      <c r="D13" s="1">
        <f t="shared" ref="D13:G13" si="1">SUM(D2:D12)</f>
        <v>287551.54609939328</v>
      </c>
      <c r="E13" s="1">
        <f t="shared" si="1"/>
        <v>575103.09219878656</v>
      </c>
      <c r="F13" s="1">
        <f t="shared" si="1"/>
        <v>1150206.1843975731</v>
      </c>
      <c r="G13" s="1">
        <f t="shared" si="1"/>
        <v>2300412.3687951462</v>
      </c>
      <c r="H13" s="1">
        <f t="shared" si="0"/>
        <v>4457048.9645405961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26F3-B512-544C-9A73-84F0129838E2}">
  <sheetPr>
    <tabColor theme="7" tint="0.79998168889431442"/>
  </sheetPr>
  <dimension ref="A1:B2"/>
  <sheetViews>
    <sheetView workbookViewId="0">
      <pane xSplit="1" ySplit="1" topLeftCell="B2" activePane="bottomRight" state="frozen"/>
      <selection activeCell="M28" sqref="M28"/>
      <selection pane="topRight" activeCell="M28" sqref="M28"/>
      <selection pane="bottomLeft" activeCell="M28" sqref="M28"/>
      <selection pane="bottomRight" activeCell="B2" sqref="B2"/>
    </sheetView>
  </sheetViews>
  <sheetFormatPr baseColWidth="10" defaultRowHeight="16" x14ac:dyDescent="0.2"/>
  <cols>
    <col min="1" max="1" width="15.83203125" bestFit="1" customWidth="1"/>
  </cols>
  <sheetData>
    <row r="1" spans="1:2" x14ac:dyDescent="0.2">
      <c r="A1" t="s">
        <v>10</v>
      </c>
      <c r="B1" t="s">
        <v>20</v>
      </c>
    </row>
    <row r="2" spans="1:2" x14ac:dyDescent="0.2">
      <c r="A2" t="s">
        <v>48</v>
      </c>
      <c r="B2">
        <f>(('Sensitivity Analysis Variables'!$C$4*'Cost Constants'!$B$8) + ((1-'Sensitivity Analysis Variables'!$C$4)*'Cost Constants'!$B$9))</f>
        <v>92.317820116666667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B249-8CC2-E94D-9485-1BC74B88D830}">
  <dimension ref="A1:G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:G5"/>
    </sheetView>
  </sheetViews>
  <sheetFormatPr baseColWidth="10" defaultRowHeight="16" x14ac:dyDescent="0.2"/>
  <cols>
    <col min="1" max="1" width="45.83203125" bestFit="1" customWidth="1"/>
    <col min="2" max="2" width="24" bestFit="1" customWidth="1"/>
  </cols>
  <sheetData>
    <row r="1" spans="1:7" x14ac:dyDescent="0.2">
      <c r="A1" t="s">
        <v>10</v>
      </c>
      <c r="B1" t="s">
        <v>39</v>
      </c>
      <c r="C1" s="20" t="s">
        <v>40</v>
      </c>
      <c r="D1" s="20"/>
      <c r="E1" s="20"/>
      <c r="F1" s="20"/>
      <c r="G1" s="20"/>
    </row>
    <row r="2" spans="1:7" x14ac:dyDescent="0.2">
      <c r="A2" t="s">
        <v>41</v>
      </c>
      <c r="B2" t="s">
        <v>42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7" x14ac:dyDescent="0.2">
      <c r="A3" t="str">
        <f>'Sensitity Analysis Dropdowns'!$A$2</f>
        <v>Number of Teams</v>
      </c>
      <c r="B3" t="str">
        <f>Dashboard!$C2</f>
        <v>Low</v>
      </c>
      <c r="C3">
        <f>IF('Sensitity Analysis Dropdowns'!$B$2='Sensitivity Analysis Variables'!$B3, 'Sensitity Analysis Constants'!B2, IF('Sensitity Analysis Dropdowns'!$B$3='Sensitivity Analysis Variables'!$B3, 'Sensitity Analysis Constants'!B3, 'Sensitity Analysis Constants'!B4))</f>
        <v>1</v>
      </c>
      <c r="D3">
        <f>IF('Sensitity Analysis Dropdowns'!$B$2='Sensitivity Analysis Variables'!$B3, 'Sensitity Analysis Constants'!C2, IF('Sensitity Analysis Dropdowns'!$B$3='Sensitivity Analysis Variables'!$B3, 'Sensitity Analysis Constants'!C3, 'Sensitity Analysis Constants'!C4))</f>
        <v>2</v>
      </c>
      <c r="E3">
        <f>IF('Sensitity Analysis Dropdowns'!$B$2='Sensitivity Analysis Variables'!$B3, 'Sensitity Analysis Constants'!D2, IF('Sensitity Analysis Dropdowns'!$B$3='Sensitivity Analysis Variables'!$B3, 'Sensitity Analysis Constants'!D3, 'Sensitity Analysis Constants'!D4))</f>
        <v>4</v>
      </c>
      <c r="F3">
        <f>IF('Sensitity Analysis Dropdowns'!$B$2='Sensitivity Analysis Variables'!$B3, 'Sensitity Analysis Constants'!E2, IF('Sensitity Analysis Dropdowns'!$B$3='Sensitivity Analysis Variables'!$B3, 'Sensitity Analysis Constants'!E3, 'Sensitity Analysis Constants'!E4))</f>
        <v>8</v>
      </c>
      <c r="G3">
        <f>IF('Sensitity Analysis Dropdowns'!$B$2='Sensitivity Analysis Variables'!$B3, 'Sensitity Analysis Constants'!F2, IF('Sensitity Analysis Dropdowns'!$B$3='Sensitivity Analysis Variables'!$B3, 'Sensitity Analysis Constants'!F3, 'Sensitity Analysis Constants'!F4))</f>
        <v>16</v>
      </c>
    </row>
    <row r="4" spans="1:7" x14ac:dyDescent="0.2">
      <c r="A4" t="str">
        <f>'Sensitity Analysis Dropdowns'!$A$5</f>
        <v>Ratio of Employees vs Contractors</v>
      </c>
      <c r="B4" t="str">
        <f>Dashboard!$C3</f>
        <v>10% Employees</v>
      </c>
      <c r="C4" s="20">
        <f>IF('Sensitity Analysis Dropdowns'!$B$5='Sensitivity Analysis Variables'!$B4, 'Sensitity Analysis Constants'!$B$5, IF('Sensitity Analysis Dropdowns'!$B$6='Sensitivity Analysis Variables'!$B4, 'Sensitity Analysis Constants'!$B$6, 'Sensitity Analysis Constants'!$B$7))</f>
        <v>0.1</v>
      </c>
      <c r="D4" s="20"/>
      <c r="E4" s="20"/>
      <c r="F4" s="20"/>
      <c r="G4" s="20"/>
    </row>
    <row r="5" spans="1:7" x14ac:dyDescent="0.2">
      <c r="A5" t="str">
        <f>'Sensitity Analysis Dropdowns'!$A$8</f>
        <v>Experience of Teams with BC Gov Migrations</v>
      </c>
      <c r="B5" t="str">
        <f>Dashboard!$C4</f>
        <v>Trained by Working on Previous Teams</v>
      </c>
      <c r="C5" s="20">
        <f>IF('Sensitity Analysis Dropdowns'!$B$8='Sensitivity Analysis Variables'!$B5, 'Sensitity Analysis Constants'!$B$8, IF('Sensitity Analysis Dropdowns'!$B$9='Sensitivity Analysis Variables'!$B5, 'Sensitity Analysis Constants'!$B$9, 'Sensitity Analysis Constants'!$B$10))</f>
        <v>1</v>
      </c>
      <c r="D5" s="20"/>
      <c r="E5" s="20"/>
      <c r="F5" s="20"/>
      <c r="G5" s="20"/>
    </row>
    <row r="6" spans="1:7" x14ac:dyDescent="0.2">
      <c r="A6" t="str">
        <f>'Sensitity Analysis Dropdowns'!$A$11</f>
        <v>Likelihood of Shadow App Dependencies</v>
      </c>
      <c r="B6" t="str">
        <f>Dashboard!$C5</f>
        <v>Medium</v>
      </c>
      <c r="C6" s="20">
        <f>IF('Sensitity Analysis Dropdowns'!$B$11='Sensitivity Analysis Variables'!$B6, 'Sensitity Analysis Constants'!$B$11, IF('Sensitity Analysis Dropdowns'!$B$12='Sensitivity Analysis Variables'!$B6, 'Sensitity Analysis Constants'!$B$12, 'Sensitity Analysis Constants'!$B$13))</f>
        <v>0.65</v>
      </c>
      <c r="D6" s="20"/>
      <c r="E6" s="20"/>
      <c r="F6" s="20"/>
      <c r="G6" s="20"/>
    </row>
    <row r="7" spans="1:7" x14ac:dyDescent="0.2">
      <c r="A7" t="str">
        <f>'Sensitity Analysis Dropdowns'!$A$14</f>
        <v>Average Cost of Gov Data Breach</v>
      </c>
      <c r="B7" t="str">
        <f>Dashboard!$C6</f>
        <v>Medium</v>
      </c>
      <c r="C7" s="22">
        <f>IF('Sensitity Analysis Dropdowns'!$B$14='Sensitivity Analysis Variables'!$B7, 'Sensitity Analysis Constants'!$B$14, IF('Sensitity Analysis Dropdowns'!$B$15='Sensitivity Analysis Variables'!$B7, 'Sensitity Analysis Constants'!$B$15, 'Sensitity Analysis Constants'!$B$16))</f>
        <v>1640826.3772151896</v>
      </c>
      <c r="D7" s="22"/>
      <c r="E7" s="22"/>
      <c r="F7" s="22"/>
      <c r="G7" s="22"/>
    </row>
    <row r="8" spans="1:7" x14ac:dyDescent="0.2">
      <c r="A8" t="str">
        <f>'Sensitity Analysis Dropdowns'!$A$17</f>
        <v>Average Currently Online Public Users per Application</v>
      </c>
      <c r="B8">
        <f>Dashboard!$C7</f>
        <v>5</v>
      </c>
      <c r="C8" s="21">
        <f>IF('Sensitity Analysis Dropdowns'!$B$17='Sensitivity Analysis Variables'!$B8, 'Sensitity Analysis Constants'!B$17, IF('Sensitity Analysis Dropdowns'!$B$18='Sensitivity Analysis Variables'!$B8, 'Sensitity Analysis Constants'!$B$18, 'Sensitity Analysis Constants'!$B$19))</f>
        <v>5</v>
      </c>
      <c r="D8" s="21"/>
      <c r="E8" s="21"/>
      <c r="F8" s="21"/>
      <c r="G8" s="21"/>
    </row>
    <row r="9" spans="1:7" x14ac:dyDescent="0.2">
      <c r="A9" t="str">
        <f>'Sensitity Analysis Dropdowns'!$A$20</f>
        <v>Average Legacy System Outage Length</v>
      </c>
      <c r="B9" t="str">
        <f>Dashboard!$C8</f>
        <v>3 hours</v>
      </c>
      <c r="C9" s="21">
        <f>IF('Sensitity Analysis Dropdowns'!$B$20='Sensitivity Analysis Variables'!$B9, 'Sensitity Analysis Constants'!B$20, IF('Sensitity Analysis Dropdowns'!$B$21='Sensitivity Analysis Variables'!$B9, 'Sensitity Analysis Constants'!B21, 'Sensitity Analysis Constants'!B22))</f>
        <v>3</v>
      </c>
      <c r="D9" s="21"/>
      <c r="E9" s="21"/>
      <c r="F9" s="21"/>
      <c r="G9" s="21"/>
    </row>
    <row r="10" spans="1:7" x14ac:dyDescent="0.2">
      <c r="A10" t="str">
        <f>'Sensitity Analysis Dropdowns'!$A$23</f>
        <v>Public User Service Disruption Hourly Value</v>
      </c>
      <c r="B10" s="1">
        <f>Dashboard!$C9</f>
        <v>10</v>
      </c>
      <c r="C10" s="22">
        <f>IF('Sensitity Analysis Dropdowns'!$B$23='Sensitivity Analysis Variables'!$B10, 'Sensitity Analysis Constants'!$B$23, IF('Sensitity Analysis Dropdowns'!$B$24='Sensitivity Analysis Variables'!$B10, 'Sensitity Analysis Constants'!$B$24, 'Sensitity Analysis Constants'!$B$25))</f>
        <v>10</v>
      </c>
      <c r="D10" s="22"/>
      <c r="E10" s="22"/>
      <c r="F10" s="22"/>
      <c r="G10" s="22"/>
    </row>
    <row r="11" spans="1:7" x14ac:dyDescent="0.2">
      <c r="A11" t="str">
        <f>'Sensitity Analysis Dropdowns'!$A$26</f>
        <v>Average Yearly Project Hours on New Features</v>
      </c>
      <c r="B11" t="str">
        <f>Dashboard!$C10</f>
        <v>Low (3000)</v>
      </c>
      <c r="C11" s="20">
        <f>IF('Sensitity Analysis Dropdowns'!$B$26='Sensitivity Analysis Variables'!$B11, 'Sensitity Analysis Constants'!B$26, IF('Sensitity Analysis Dropdowns'!$B$27='Sensitivity Analysis Variables'!$B11, 'Sensitity Analysis Constants'!$B$27, 'Sensitity Analysis Constants'!$B$28))</f>
        <v>3000</v>
      </c>
      <c r="D11" s="20"/>
      <c r="E11" s="20"/>
      <c r="F11" s="20"/>
      <c r="G11" s="20"/>
    </row>
  </sheetData>
  <mergeCells count="9">
    <mergeCell ref="C1:G1"/>
    <mergeCell ref="C6:G6"/>
    <mergeCell ref="C7:G7"/>
    <mergeCell ref="C11:G11"/>
    <mergeCell ref="C9:G9"/>
    <mergeCell ref="C10:G10"/>
    <mergeCell ref="C8:G8"/>
    <mergeCell ref="C4:G4"/>
    <mergeCell ref="C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70E2-DD7C-2F49-82BE-73E99E27C39B}">
  <dimension ref="A1:H28"/>
  <sheetViews>
    <sheetView workbookViewId="0">
      <pane xSplit="1" ySplit="1" topLeftCell="B2" activePane="bottomRight" state="frozen"/>
      <selection activeCell="B5" sqref="B5:F5"/>
      <selection pane="topRight" activeCell="B5" sqref="B5:F5"/>
      <selection pane="bottomLeft" activeCell="B5" sqref="B5:F5"/>
      <selection pane="bottomRight" activeCell="A17" sqref="A17"/>
    </sheetView>
  </sheetViews>
  <sheetFormatPr baseColWidth="10" defaultRowHeight="16" x14ac:dyDescent="0.2"/>
  <cols>
    <col min="1" max="1" width="73.33203125" bestFit="1" customWidth="1"/>
  </cols>
  <sheetData>
    <row r="1" spans="1:8" x14ac:dyDescent="0.2">
      <c r="A1" t="s">
        <v>10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8" x14ac:dyDescent="0.2">
      <c r="A2" t="str">
        <f>_xlfn.CONCAT('Sensitity Analysis Dropdowns'!$A2, " - ", 'Sensitity Analysis Dropdowns'!$B2)</f>
        <v>Number of Teams - Low</v>
      </c>
      <c r="B2">
        <v>1</v>
      </c>
      <c r="C2">
        <f>B2*2</f>
        <v>2</v>
      </c>
      <c r="D2">
        <f t="shared" ref="D2:F2" si="0">C2*2</f>
        <v>4</v>
      </c>
      <c r="E2">
        <f t="shared" si="0"/>
        <v>8</v>
      </c>
      <c r="F2">
        <f t="shared" si="0"/>
        <v>16</v>
      </c>
      <c r="H2" t="s">
        <v>51</v>
      </c>
    </row>
    <row r="3" spans="1:8" x14ac:dyDescent="0.2">
      <c r="A3" t="str">
        <f>_xlfn.CONCAT('Sensitity Analysis Dropdowns'!$A3, " - ", 'Sensitity Analysis Dropdowns'!$B3)</f>
        <v>Number of Teams - Medium</v>
      </c>
      <c r="B3">
        <v>2</v>
      </c>
      <c r="C3">
        <f t="shared" ref="C3:F4" si="1">B3*2</f>
        <v>4</v>
      </c>
      <c r="D3">
        <f t="shared" si="1"/>
        <v>8</v>
      </c>
      <c r="E3">
        <f t="shared" si="1"/>
        <v>16</v>
      </c>
      <c r="F3">
        <f t="shared" si="1"/>
        <v>32</v>
      </c>
      <c r="H3" t="s">
        <v>52</v>
      </c>
    </row>
    <row r="4" spans="1:8" x14ac:dyDescent="0.2">
      <c r="A4" t="str">
        <f>_xlfn.CONCAT('Sensitity Analysis Dropdowns'!$A4, " - ", 'Sensitity Analysis Dropdowns'!$B4)</f>
        <v>Number of Teams - High</v>
      </c>
      <c r="B4">
        <v>4</v>
      </c>
      <c r="C4">
        <f t="shared" si="1"/>
        <v>8</v>
      </c>
      <c r="D4">
        <f t="shared" si="1"/>
        <v>16</v>
      </c>
      <c r="E4">
        <f t="shared" si="1"/>
        <v>32</v>
      </c>
      <c r="F4" s="2">
        <f t="shared" si="1"/>
        <v>64</v>
      </c>
    </row>
    <row r="5" spans="1:8" x14ac:dyDescent="0.2">
      <c r="A5" t="str">
        <f>_xlfn.CONCAT('Sensitity Analysis Dropdowns'!$A5, " - ", 'Sensitity Analysis Dropdowns'!$B5)</f>
        <v>Ratio of Employees vs Contractors - 10% Employees</v>
      </c>
      <c r="B5" s="24">
        <v>0.1</v>
      </c>
      <c r="C5" s="20"/>
      <c r="D5" s="20"/>
      <c r="E5" s="20"/>
      <c r="F5" s="20"/>
    </row>
    <row r="6" spans="1:8" x14ac:dyDescent="0.2">
      <c r="A6" t="str">
        <f>_xlfn.CONCAT('Sensitity Analysis Dropdowns'!$A6, " - ", 'Sensitity Analysis Dropdowns'!$B6)</f>
        <v>Ratio of Employees vs Contractors - 50% Employees</v>
      </c>
      <c r="B6" s="24">
        <v>0.5</v>
      </c>
      <c r="C6" s="20"/>
      <c r="D6" s="20"/>
      <c r="E6" s="20"/>
      <c r="F6" s="20"/>
    </row>
    <row r="7" spans="1:8" x14ac:dyDescent="0.2">
      <c r="A7" t="str">
        <f>_xlfn.CONCAT('Sensitity Analysis Dropdowns'!$A7, " - ", 'Sensitity Analysis Dropdowns'!$B7)</f>
        <v>Ratio of Employees vs Contractors - 90% Employees</v>
      </c>
      <c r="B7" s="24">
        <v>0.9</v>
      </c>
      <c r="C7" s="20"/>
      <c r="D7" s="20"/>
      <c r="E7" s="20"/>
      <c r="F7" s="20"/>
    </row>
    <row r="8" spans="1:8" x14ac:dyDescent="0.2">
      <c r="A8" t="str">
        <f>_xlfn.CONCAT('Sensitity Analysis Dropdowns'!$A8, " - ", 'Sensitity Analysis Dropdowns'!$B8)</f>
        <v>Experience of Teams with BC Gov Migrations - Figuring it out from Scratch</v>
      </c>
      <c r="B8" s="20">
        <v>1.5</v>
      </c>
      <c r="C8" s="20"/>
      <c r="D8" s="20"/>
      <c r="E8" s="20"/>
      <c r="F8" s="20"/>
    </row>
    <row r="9" spans="1:8" x14ac:dyDescent="0.2">
      <c r="A9" t="str">
        <f>_xlfn.CONCAT('Sensitity Analysis Dropdowns'!$A9, " - ", 'Sensitity Analysis Dropdowns'!$B9)</f>
        <v>Experience of Teams with BC Gov Migrations - Following Best Practice Documents</v>
      </c>
      <c r="B9" s="20">
        <v>1.3</v>
      </c>
      <c r="C9" s="20"/>
      <c r="D9" s="20"/>
      <c r="E9" s="20"/>
      <c r="F9" s="20"/>
    </row>
    <row r="10" spans="1:8" x14ac:dyDescent="0.2">
      <c r="A10" t="str">
        <f>_xlfn.CONCAT('Sensitity Analysis Dropdowns'!$A10, " - ", 'Sensitity Analysis Dropdowns'!$B10)</f>
        <v>Experience of Teams with BC Gov Migrations - Trained by Working on Previous Teams</v>
      </c>
      <c r="B10" s="20">
        <v>1</v>
      </c>
      <c r="C10" s="20"/>
      <c r="D10" s="20"/>
      <c r="E10" s="20"/>
      <c r="F10" s="20"/>
    </row>
    <row r="11" spans="1:8" x14ac:dyDescent="0.2">
      <c r="A11" t="str">
        <f>_xlfn.CONCAT('Sensitity Analysis Dropdowns'!$A11, " - ", 'Sensitity Analysis Dropdowns'!$B11)</f>
        <v>Likelihood of Shadow App Dependencies - Low</v>
      </c>
      <c r="B11" s="24">
        <v>0.25</v>
      </c>
      <c r="C11" s="20"/>
      <c r="D11" s="20"/>
      <c r="E11" s="20"/>
      <c r="F11" s="20"/>
    </row>
    <row r="12" spans="1:8" x14ac:dyDescent="0.2">
      <c r="A12" t="str">
        <f>_xlfn.CONCAT('Sensitity Analysis Dropdowns'!$A12, " - ", 'Sensitity Analysis Dropdowns'!$B12)</f>
        <v>Likelihood of Shadow App Dependencies - Medium</v>
      </c>
      <c r="B12" s="24">
        <v>0.65</v>
      </c>
      <c r="C12" s="20"/>
      <c r="D12" s="20"/>
      <c r="E12" s="20"/>
      <c r="F12" s="20"/>
    </row>
    <row r="13" spans="1:8" x14ac:dyDescent="0.2">
      <c r="A13" t="str">
        <f>_xlfn.CONCAT('Sensitity Analysis Dropdowns'!$A13, " - ", 'Sensitity Analysis Dropdowns'!$B13)</f>
        <v>Likelihood of Shadow App Dependencies - High</v>
      </c>
      <c r="B13" s="24">
        <v>0.9</v>
      </c>
      <c r="C13" s="20"/>
      <c r="D13" s="20"/>
      <c r="E13" s="20"/>
      <c r="F13" s="20"/>
    </row>
    <row r="14" spans="1:8" x14ac:dyDescent="0.2">
      <c r="A14" t="str">
        <f>_xlfn.CONCAT('Sensitity Analysis Dropdowns'!$A14, " - ", 'Sensitity Analysis Dropdowns'!$B14)</f>
        <v>Average Cost of Gov Data Breach - Low (2017 data)</v>
      </c>
      <c r="B14" s="22">
        <f>'Value Constants'!$B$5</f>
        <v>1460000</v>
      </c>
      <c r="C14" s="22"/>
      <c r="D14" s="22"/>
      <c r="E14" s="22"/>
      <c r="F14" s="22"/>
    </row>
    <row r="15" spans="1:8" x14ac:dyDescent="0.2">
      <c r="A15" t="str">
        <f>_xlfn.CONCAT('Sensitity Analysis Dropdowns'!$A15, " - ", 'Sensitity Analysis Dropdowns'!$B15)</f>
        <v>Average Cost of Gov Data Breach - Medium</v>
      </c>
      <c r="B15" s="23">
        <f>($B$16+$B$14)/2</f>
        <v>1640826.3772151896</v>
      </c>
      <c r="C15" s="23"/>
      <c r="D15" s="23"/>
      <c r="E15" s="23"/>
      <c r="F15" s="23"/>
    </row>
    <row r="16" spans="1:8" x14ac:dyDescent="0.2">
      <c r="A16" t="str">
        <f>_xlfn.CONCAT('Sensitity Analysis Dropdowns'!$A16, " - ", 'Sensitity Analysis Dropdowns'!$B16)</f>
        <v>Average Cost of Gov Data Breach - High (2019 Data)</v>
      </c>
      <c r="B16" s="22">
        <f>'Value Constants'!$B$8</f>
        <v>1821652.7544303793</v>
      </c>
      <c r="C16" s="22"/>
      <c r="D16" s="22"/>
      <c r="E16" s="22"/>
      <c r="F16" s="22"/>
    </row>
    <row r="17" spans="1:6" x14ac:dyDescent="0.2">
      <c r="A17" t="str">
        <f>_xlfn.CONCAT('Sensitity Analysis Dropdowns'!$A17, " - ", 'Sensitity Analysis Dropdowns'!$B17)</f>
        <v>Average Currently Online Public Users per Application - 5</v>
      </c>
      <c r="B17" s="21">
        <v>5</v>
      </c>
      <c r="C17" s="21"/>
      <c r="D17" s="21"/>
      <c r="E17" s="21"/>
      <c r="F17" s="21"/>
    </row>
    <row r="18" spans="1:6" x14ac:dyDescent="0.2">
      <c r="A18" t="str">
        <f>_xlfn.CONCAT('Sensitity Analysis Dropdowns'!$A18, " - ", 'Sensitity Analysis Dropdowns'!$B18)</f>
        <v>Average Currently Online Public Users per Application - 20</v>
      </c>
      <c r="B18" s="21">
        <v>20</v>
      </c>
      <c r="C18" s="21"/>
      <c r="D18" s="21"/>
      <c r="E18" s="21"/>
      <c r="F18" s="21"/>
    </row>
    <row r="19" spans="1:6" x14ac:dyDescent="0.2">
      <c r="A19" t="str">
        <f>_xlfn.CONCAT('Sensitity Analysis Dropdowns'!$A19, " - ", 'Sensitity Analysis Dropdowns'!$B19)</f>
        <v>Average Currently Online Public Users per Application - 100</v>
      </c>
      <c r="B19" s="21">
        <v>100</v>
      </c>
      <c r="C19" s="21"/>
      <c r="D19" s="21"/>
      <c r="E19" s="21"/>
      <c r="F19" s="21"/>
    </row>
    <row r="20" spans="1:6" x14ac:dyDescent="0.2">
      <c r="A20" t="str">
        <f>_xlfn.CONCAT('Sensitity Analysis Dropdowns'!$A20, " - ", 'Sensitity Analysis Dropdowns'!$B20)</f>
        <v>Average Legacy System Outage Length - 3 hours</v>
      </c>
      <c r="B20" s="21">
        <v>3</v>
      </c>
      <c r="C20" s="21"/>
      <c r="D20" s="21"/>
      <c r="E20" s="21"/>
      <c r="F20" s="21"/>
    </row>
    <row r="21" spans="1:6" x14ac:dyDescent="0.2">
      <c r="A21" t="str">
        <f>_xlfn.CONCAT('Sensitity Analysis Dropdowns'!$A21, " - ", 'Sensitity Analysis Dropdowns'!$B21)</f>
        <v>Average Legacy System Outage Length - 10 hours</v>
      </c>
      <c r="B21" s="21">
        <v>10</v>
      </c>
      <c r="C21" s="21"/>
      <c r="D21" s="21"/>
      <c r="E21" s="21"/>
      <c r="F21" s="21"/>
    </row>
    <row r="22" spans="1:6" x14ac:dyDescent="0.2">
      <c r="A22" t="str">
        <f>_xlfn.CONCAT('Sensitity Analysis Dropdowns'!$A22, " - ", 'Sensitity Analysis Dropdowns'!$B22)</f>
        <v>Average Legacy System Outage Length - 100 hours</v>
      </c>
      <c r="B22" s="21">
        <v>100</v>
      </c>
      <c r="C22" s="21"/>
      <c r="D22" s="21"/>
      <c r="E22" s="21"/>
      <c r="F22" s="21"/>
    </row>
    <row r="23" spans="1:6" x14ac:dyDescent="0.2">
      <c r="A23" t="str">
        <f>_xlfn.CONCAT('Sensitity Analysis Dropdowns'!$A23, " - ", 'Sensitity Analysis Dropdowns'!$B23)</f>
        <v>Public User Service Disruption Hourly Value - 10</v>
      </c>
      <c r="B23" s="22">
        <v>10</v>
      </c>
      <c r="C23" s="22"/>
      <c r="D23" s="22"/>
      <c r="E23" s="22"/>
      <c r="F23" s="22"/>
    </row>
    <row r="24" spans="1:6" x14ac:dyDescent="0.2">
      <c r="A24" t="str">
        <f>_xlfn.CONCAT('Sensitity Analysis Dropdowns'!$A24, " - ", 'Sensitity Analysis Dropdowns'!$B24)</f>
        <v>Public User Service Disruption Hourly Value - 20</v>
      </c>
      <c r="B24" s="22">
        <v>20</v>
      </c>
      <c r="C24" s="22"/>
      <c r="D24" s="22"/>
      <c r="E24" s="22"/>
      <c r="F24" s="22"/>
    </row>
    <row r="25" spans="1:6" x14ac:dyDescent="0.2">
      <c r="A25" t="str">
        <f>_xlfn.CONCAT('Sensitity Analysis Dropdowns'!$A25, " - ", 'Sensitity Analysis Dropdowns'!$B25)</f>
        <v>Public User Service Disruption Hourly Value - 30</v>
      </c>
      <c r="B25" s="22">
        <v>30</v>
      </c>
      <c r="C25" s="22"/>
      <c r="D25" s="22"/>
      <c r="E25" s="22"/>
      <c r="F25" s="22"/>
    </row>
    <row r="26" spans="1:6" x14ac:dyDescent="0.2">
      <c r="A26" t="str">
        <f>_xlfn.CONCAT('Sensitity Analysis Dropdowns'!$A26, " - ", 'Sensitity Analysis Dropdowns'!$B26)</f>
        <v>Average Yearly Project Hours on New Features - Low (3000)</v>
      </c>
      <c r="B26" s="20">
        <v>3000</v>
      </c>
      <c r="C26" s="20"/>
      <c r="D26" s="20"/>
      <c r="E26" s="20"/>
      <c r="F26" s="20"/>
    </row>
    <row r="27" spans="1:6" x14ac:dyDescent="0.2">
      <c r="A27" t="str">
        <f>_xlfn.CONCAT('Sensitity Analysis Dropdowns'!$A27, " - ", 'Sensitity Analysis Dropdowns'!$B27)</f>
        <v>Average Yearly Project Hours on New Features - Medium (7500)</v>
      </c>
      <c r="B27" s="20">
        <v>7500</v>
      </c>
      <c r="C27" s="20"/>
      <c r="D27" s="20"/>
      <c r="E27" s="20"/>
      <c r="F27" s="20"/>
    </row>
    <row r="28" spans="1:6" x14ac:dyDescent="0.2">
      <c r="A28" t="str">
        <f>_xlfn.CONCAT('Sensitity Analysis Dropdowns'!$A28, " - ", 'Sensitity Analysis Dropdowns'!$B28)</f>
        <v>Average Yearly Project Hours on New Features - High (12000)</v>
      </c>
      <c r="B28" s="20">
        <v>12000</v>
      </c>
      <c r="C28" s="20"/>
      <c r="D28" s="20"/>
      <c r="E28" s="20"/>
      <c r="F28" s="20"/>
    </row>
  </sheetData>
  <mergeCells count="24">
    <mergeCell ref="B10:F10"/>
    <mergeCell ref="B5:F5"/>
    <mergeCell ref="B6:F6"/>
    <mergeCell ref="B7:F7"/>
    <mergeCell ref="B8:F8"/>
    <mergeCell ref="B9:F9"/>
    <mergeCell ref="B14:F14"/>
    <mergeCell ref="B15:F15"/>
    <mergeCell ref="B16:F16"/>
    <mergeCell ref="B11:F11"/>
    <mergeCell ref="B12:F12"/>
    <mergeCell ref="B13:F13"/>
    <mergeCell ref="B26:F26"/>
    <mergeCell ref="B27:F27"/>
    <mergeCell ref="B28:F28"/>
    <mergeCell ref="B23:F23"/>
    <mergeCell ref="B24:F24"/>
    <mergeCell ref="B25:F25"/>
    <mergeCell ref="B20:F20"/>
    <mergeCell ref="B21:F21"/>
    <mergeCell ref="B22:F22"/>
    <mergeCell ref="B17:F17"/>
    <mergeCell ref="B18:F18"/>
    <mergeCell ref="B19:F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174F-5EB3-D14B-80D0-DCACDF5B81EF}">
  <dimension ref="A1:B28"/>
  <sheetViews>
    <sheetView workbookViewId="0">
      <pane xSplit="1" ySplit="1" topLeftCell="B2" activePane="bottomRight" state="frozen"/>
      <selection activeCell="B5" sqref="B5:F5"/>
      <selection pane="topRight" activeCell="B5" sqref="B5:F5"/>
      <selection pane="bottomLeft" activeCell="B5" sqref="B5:F5"/>
      <selection pane="bottomRight" activeCell="B20" sqref="B20"/>
    </sheetView>
  </sheetViews>
  <sheetFormatPr baseColWidth="10" defaultRowHeight="16" x14ac:dyDescent="0.2"/>
  <cols>
    <col min="1" max="1" width="55.5" bestFit="1" customWidth="1"/>
  </cols>
  <sheetData>
    <row r="1" spans="1:2" x14ac:dyDescent="0.2">
      <c r="A1" t="s">
        <v>28</v>
      </c>
      <c r="B1" t="s">
        <v>11</v>
      </c>
    </row>
    <row r="2" spans="1:2" x14ac:dyDescent="0.2">
      <c r="A2" t="s">
        <v>26</v>
      </c>
      <c r="B2" t="s">
        <v>29</v>
      </c>
    </row>
    <row r="3" spans="1:2" x14ac:dyDescent="0.2">
      <c r="A3" t="s">
        <v>26</v>
      </c>
      <c r="B3" t="s">
        <v>30</v>
      </c>
    </row>
    <row r="4" spans="1:2" x14ac:dyDescent="0.2">
      <c r="A4" t="s">
        <v>26</v>
      </c>
      <c r="B4" t="s">
        <v>31</v>
      </c>
    </row>
    <row r="5" spans="1:2" x14ac:dyDescent="0.2">
      <c r="A5" t="s">
        <v>27</v>
      </c>
      <c r="B5" t="s">
        <v>32</v>
      </c>
    </row>
    <row r="6" spans="1:2" x14ac:dyDescent="0.2">
      <c r="A6" t="s">
        <v>27</v>
      </c>
      <c r="B6" t="s">
        <v>34</v>
      </c>
    </row>
    <row r="7" spans="1:2" x14ac:dyDescent="0.2">
      <c r="A7" t="s">
        <v>27</v>
      </c>
      <c r="B7" t="s">
        <v>33</v>
      </c>
    </row>
    <row r="8" spans="1:2" x14ac:dyDescent="0.2">
      <c r="A8" t="s">
        <v>35</v>
      </c>
      <c r="B8" t="s">
        <v>36</v>
      </c>
    </row>
    <row r="9" spans="1:2" x14ac:dyDescent="0.2">
      <c r="A9" t="s">
        <v>35</v>
      </c>
      <c r="B9" t="s">
        <v>37</v>
      </c>
    </row>
    <row r="10" spans="1:2" x14ac:dyDescent="0.2">
      <c r="A10" t="s">
        <v>35</v>
      </c>
      <c r="B10" t="s">
        <v>38</v>
      </c>
    </row>
    <row r="11" spans="1:2" x14ac:dyDescent="0.2">
      <c r="A11" t="s">
        <v>47</v>
      </c>
      <c r="B11" t="s">
        <v>29</v>
      </c>
    </row>
    <row r="12" spans="1:2" x14ac:dyDescent="0.2">
      <c r="A12" t="s">
        <v>47</v>
      </c>
      <c r="B12" t="s">
        <v>30</v>
      </c>
    </row>
    <row r="13" spans="1:2" x14ac:dyDescent="0.2">
      <c r="A13" t="s">
        <v>47</v>
      </c>
      <c r="B13" t="s">
        <v>31</v>
      </c>
    </row>
    <row r="14" spans="1:2" x14ac:dyDescent="0.2">
      <c r="A14" t="s">
        <v>75</v>
      </c>
      <c r="B14" t="s">
        <v>76</v>
      </c>
    </row>
    <row r="15" spans="1:2" x14ac:dyDescent="0.2">
      <c r="A15" t="s">
        <v>75</v>
      </c>
      <c r="B15" t="s">
        <v>30</v>
      </c>
    </row>
    <row r="16" spans="1:2" x14ac:dyDescent="0.2">
      <c r="A16" t="s">
        <v>75</v>
      </c>
      <c r="B16" t="s">
        <v>77</v>
      </c>
    </row>
    <row r="17" spans="1:2" x14ac:dyDescent="0.2">
      <c r="A17" t="s">
        <v>135</v>
      </c>
      <c r="B17">
        <v>5</v>
      </c>
    </row>
    <row r="18" spans="1:2" x14ac:dyDescent="0.2">
      <c r="A18" t="s">
        <v>135</v>
      </c>
      <c r="B18">
        <v>20</v>
      </c>
    </row>
    <row r="19" spans="1:2" x14ac:dyDescent="0.2">
      <c r="A19" t="s">
        <v>135</v>
      </c>
      <c r="B19">
        <v>100</v>
      </c>
    </row>
    <row r="20" spans="1:2" x14ac:dyDescent="0.2">
      <c r="A20" t="s">
        <v>131</v>
      </c>
      <c r="B20" t="s">
        <v>134</v>
      </c>
    </row>
    <row r="21" spans="1:2" x14ac:dyDescent="0.2">
      <c r="A21" t="s">
        <v>131</v>
      </c>
      <c r="B21" t="s">
        <v>132</v>
      </c>
    </row>
    <row r="22" spans="1:2" x14ac:dyDescent="0.2">
      <c r="A22" t="s">
        <v>131</v>
      </c>
      <c r="B22" t="s">
        <v>133</v>
      </c>
    </row>
    <row r="23" spans="1:2" x14ac:dyDescent="0.2">
      <c r="A23" t="s">
        <v>130</v>
      </c>
      <c r="B23" s="15">
        <v>10</v>
      </c>
    </row>
    <row r="24" spans="1:2" x14ac:dyDescent="0.2">
      <c r="A24" t="s">
        <v>130</v>
      </c>
      <c r="B24" s="15">
        <v>20</v>
      </c>
    </row>
    <row r="25" spans="1:2" x14ac:dyDescent="0.2">
      <c r="A25" t="s">
        <v>130</v>
      </c>
      <c r="B25" s="15">
        <v>30</v>
      </c>
    </row>
    <row r="26" spans="1:2" x14ac:dyDescent="0.2">
      <c r="A26" t="s">
        <v>121</v>
      </c>
      <c r="B26" t="s">
        <v>122</v>
      </c>
    </row>
    <row r="27" spans="1:2" x14ac:dyDescent="0.2">
      <c r="A27" t="s">
        <v>121</v>
      </c>
      <c r="B27" t="s">
        <v>123</v>
      </c>
    </row>
    <row r="28" spans="1:2" x14ac:dyDescent="0.2">
      <c r="A28" t="s">
        <v>121</v>
      </c>
      <c r="B28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Yearly Savings</vt:lpstr>
      <vt:lpstr>Yearly Values &amp; Costs</vt:lpstr>
      <vt:lpstr>Portfolio Value Summary</vt:lpstr>
      <vt:lpstr>Portfolio Cost Summary</vt:lpstr>
      <vt:lpstr>Team Hourly Burn</vt:lpstr>
      <vt:lpstr>Sensitivity Analysis Variables</vt:lpstr>
      <vt:lpstr>Sensitity Analysis Constants</vt:lpstr>
      <vt:lpstr>Sensitity Analysis Dropdowns</vt:lpstr>
      <vt:lpstr>ValCnst(Legacy-&gt;Containerized)</vt:lpstr>
      <vt:lpstr>CostCnst(Legacy-&gt;Containerized)</vt:lpstr>
      <vt:lpstr>CostOpts(Legacy-&gt;Containerized)</vt:lpstr>
      <vt:lpstr>CostCnst(Containerized-&gt;Cloud)</vt:lpstr>
      <vt:lpstr>Cost Constants</vt:lpstr>
      <vt:lpstr>Value 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Subda</dc:creator>
  <cp:lastModifiedBy>Julian Subda</cp:lastModifiedBy>
  <dcterms:created xsi:type="dcterms:W3CDTF">2020-04-16T23:21:16Z</dcterms:created>
  <dcterms:modified xsi:type="dcterms:W3CDTF">2020-06-02T21:43:33Z</dcterms:modified>
</cp:coreProperties>
</file>