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uk.grossouw\Stempelframe\code\templates\"/>
    </mc:Choice>
  </mc:AlternateContent>
  <xr:revisionPtr revIDLastSave="0" documentId="13_ncr:1_{8160F1B9-18FC-4B90-B13B-A73B210271B8}" xr6:coauthVersionLast="47" xr6:coauthVersionMax="47" xr10:uidLastSave="{00000000-0000-0000-0000-000000000000}"/>
  <bookViews>
    <workbookView xWindow="28680" yWindow="-1920" windowWidth="29040" windowHeight="17520" tabRatio="792" activeTab="10" xr2:uid="{00000000-000D-0000-FFFF-FFFF00000000}"/>
  </bookViews>
  <sheets>
    <sheet name="invoer gording" sheetId="1" r:id="rId1"/>
    <sheet name="C - overzicht" sheetId="2" r:id="rId2"/>
    <sheet name="D - Gording" sheetId="3" r:id="rId3"/>
    <sheet name="E -Stempels UGT" sheetId="4" r:id="rId4"/>
    <sheet name="E - Stempels BGT" sheetId="5" r:id="rId5"/>
    <sheet name="F - Inleidingskracht" sheetId="6" r:id="rId6"/>
    <sheet name="F - Gording Inleiding" sheetId="7" r:id="rId7"/>
    <sheet name="Rapport" sheetId="8" r:id="rId8"/>
    <sheet name="tab kopplaat" sheetId="9" r:id="rId9"/>
    <sheet name="tab gording" sheetId="10" r:id="rId10"/>
    <sheet name="Stempels" sheetId="13" r:id="rId11"/>
  </sheets>
  <definedNames>
    <definedName name="_xlnm._FilterDatabase" localSheetId="7" hidden="1">Rapport!$A$2:$A$28</definedName>
    <definedName name="_xlnm._FilterDatabase" localSheetId="9" hidden="1">'tab gording'!$A$3:$R$239</definedName>
    <definedName name="_xlnm.Print_Area" localSheetId="1">'C - overzicht'!$A$1:$P$52</definedName>
    <definedName name="_xlnm.Print_Area" localSheetId="2">'D - Gording'!$A$1:$Q$140</definedName>
    <definedName name="_xlnm.Print_Area" localSheetId="4">'E - Stempels BGT'!$A$1:$AT$150</definedName>
    <definedName name="_xlnm.Print_Area" localSheetId="3">'E -Stempels UGT'!$A$1:$AT$150</definedName>
    <definedName name="_xlnm.Print_Area" localSheetId="6">'F - Gording Inleiding'!$A$1:$Q$140</definedName>
    <definedName name="_xlnm.Print_Area" localSheetId="5">'F - Inleidingskracht'!$A$1:$AM$113</definedName>
    <definedName name="_xlnm.Print_Titles" localSheetId="2">'D - Gording'!$1:$8,'D - Gording'!$A:$D</definedName>
    <definedName name="_xlnm.Print_Titles" localSheetId="4">'E - Stempels BGT'!$1:$8,'E - Stempels BGT'!$A:$D</definedName>
    <definedName name="_xlnm.Print_Titles" localSheetId="3">'E -Stempels UGT'!$1:$8,'E -Stempels UGT'!$A:$D</definedName>
    <definedName name="_xlnm.Print_Titles" localSheetId="6">'F - Gording Inleiding'!$1:$8,'F - Gording Inleiding'!$A:$D</definedName>
    <definedName name="_xlnm.Print_Titles" localSheetId="5">'F - Inleidingskracht'!$A:$D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M13" i="2"/>
  <c r="M14" i="2"/>
  <c r="M15" i="2"/>
  <c r="M16" i="2"/>
  <c r="Y8" i="8" s="1"/>
  <c r="M17" i="2"/>
  <c r="Y9" i="8" s="1"/>
  <c r="M18" i="2"/>
  <c r="Y10" i="8" s="1"/>
  <c r="M19" i="2"/>
  <c r="Y11" i="8" s="1"/>
  <c r="M20" i="2"/>
  <c r="Y12" i="8" s="1"/>
  <c r="M21" i="2"/>
  <c r="Y13" i="8" s="1"/>
  <c r="M22" i="2"/>
  <c r="Y14" i="8" s="1"/>
  <c r="M23" i="2"/>
  <c r="Y15" i="8" s="1"/>
  <c r="M24" i="2"/>
  <c r="M25" i="2"/>
  <c r="M26" i="2"/>
  <c r="M27" i="2"/>
  <c r="M28" i="2"/>
  <c r="M29" i="2"/>
  <c r="M30" i="2"/>
  <c r="M31" i="2"/>
  <c r="M32" i="2"/>
  <c r="Y24" i="8" s="1"/>
  <c r="M33" i="2"/>
  <c r="Y25" i="8" s="1"/>
  <c r="M34" i="2"/>
  <c r="Y26" i="8" s="1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Y20" i="8"/>
  <c r="Y21" i="8"/>
  <c r="Y22" i="8"/>
  <c r="Y23" i="8"/>
  <c r="Y27" i="8"/>
  <c r="J12" i="2"/>
  <c r="J13" i="2"/>
  <c r="J14" i="2"/>
  <c r="J15" i="2"/>
  <c r="J16" i="2"/>
  <c r="J17" i="2"/>
  <c r="J18" i="2"/>
  <c r="J19" i="2"/>
  <c r="J20" i="2"/>
  <c r="J21" i="2"/>
  <c r="J22" i="2"/>
  <c r="X14" i="8" s="1"/>
  <c r="J23" i="2"/>
  <c r="X15" i="8" s="1"/>
  <c r="J24" i="2"/>
  <c r="J25" i="2"/>
  <c r="J26" i="2"/>
  <c r="J27" i="2"/>
  <c r="J28" i="2"/>
  <c r="J29" i="2"/>
  <c r="J30" i="2"/>
  <c r="X22" i="8" s="1"/>
  <c r="J31" i="2"/>
  <c r="X23" i="8" s="1"/>
  <c r="J32" i="2"/>
  <c r="J33" i="2"/>
  <c r="X25" i="8" s="1"/>
  <c r="J34" i="2"/>
  <c r="X26" i="8" s="1"/>
  <c r="J35" i="2"/>
  <c r="X27" i="8" s="1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K49" i="2" s="1"/>
  <c r="J50" i="2"/>
  <c r="J51" i="2"/>
  <c r="J52" i="2"/>
  <c r="X5" i="8"/>
  <c r="X9" i="8"/>
  <c r="X10" i="8"/>
  <c r="X11" i="8"/>
  <c r="X21" i="8"/>
  <c r="X8" i="8"/>
  <c r="X19" i="8"/>
  <c r="X20" i="8"/>
  <c r="X24" i="8"/>
  <c r="I12" i="2"/>
  <c r="I13" i="2"/>
  <c r="I14" i="2"/>
  <c r="I15" i="2"/>
  <c r="I16" i="2"/>
  <c r="D11" i="9" s="1"/>
  <c r="I17" i="2"/>
  <c r="D12" i="9" s="1"/>
  <c r="I18" i="2"/>
  <c r="D13" i="9" s="1"/>
  <c r="I19" i="2"/>
  <c r="D14" i="9" s="1"/>
  <c r="I20" i="2"/>
  <c r="D15" i="9" s="1"/>
  <c r="I21" i="2"/>
  <c r="D16" i="9" s="1"/>
  <c r="I22" i="2"/>
  <c r="D17" i="9" s="1"/>
  <c r="I23" i="2"/>
  <c r="D18" i="9" s="1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C38" i="2" s="1"/>
  <c r="I39" i="2"/>
  <c r="I40" i="2"/>
  <c r="I41" i="2"/>
  <c r="I42" i="2"/>
  <c r="I43" i="2"/>
  <c r="I44" i="2"/>
  <c r="C44" i="2" s="1"/>
  <c r="I45" i="2"/>
  <c r="I46" i="2"/>
  <c r="I47" i="2"/>
  <c r="I48" i="2"/>
  <c r="I49" i="2"/>
  <c r="I50" i="2"/>
  <c r="I51" i="2"/>
  <c r="I52" i="2"/>
  <c r="D8" i="9"/>
  <c r="C14" i="2"/>
  <c r="D23" i="9"/>
  <c r="D24" i="9"/>
  <c r="D25" i="9"/>
  <c r="C31" i="2"/>
  <c r="C27" i="2"/>
  <c r="C52" i="2"/>
  <c r="H12" i="2"/>
  <c r="H13" i="2"/>
  <c r="H14" i="2"/>
  <c r="H15" i="2"/>
  <c r="H16" i="2"/>
  <c r="C11" i="9" s="1"/>
  <c r="H17" i="2"/>
  <c r="H18" i="2"/>
  <c r="H19" i="2"/>
  <c r="H20" i="2"/>
  <c r="H21" i="2"/>
  <c r="H22" i="2"/>
  <c r="H23" i="2"/>
  <c r="H24" i="2"/>
  <c r="H25" i="2"/>
  <c r="H26" i="2"/>
  <c r="H27" i="2"/>
  <c r="C22" i="9" s="1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C49" i="2" s="1"/>
  <c r="H50" i="2"/>
  <c r="H51" i="2"/>
  <c r="H52" i="2"/>
  <c r="C21" i="9"/>
  <c r="C25" i="9"/>
  <c r="C50" i="2"/>
  <c r="C16" i="2"/>
  <c r="C17" i="2"/>
  <c r="C18" i="2"/>
  <c r="C28" i="2"/>
  <c r="C40" i="2"/>
  <c r="C41" i="2"/>
  <c r="G12" i="2"/>
  <c r="G13" i="2"/>
  <c r="G14" i="2"/>
  <c r="G15" i="2"/>
  <c r="W7" i="8" s="1"/>
  <c r="G16" i="2"/>
  <c r="G17" i="2"/>
  <c r="W9" i="8" s="1"/>
  <c r="G18" i="2"/>
  <c r="G19" i="2"/>
  <c r="W11" i="8" s="1"/>
  <c r="G20" i="2"/>
  <c r="W12" i="8" s="1"/>
  <c r="G21" i="2"/>
  <c r="W13" i="8" s="1"/>
  <c r="G22" i="2"/>
  <c r="W14" i="8" s="1"/>
  <c r="G23" i="2"/>
  <c r="W15" i="8" s="1"/>
  <c r="G24" i="2"/>
  <c r="G25" i="2"/>
  <c r="G26" i="2"/>
  <c r="G27" i="2"/>
  <c r="G28" i="2"/>
  <c r="G29" i="2"/>
  <c r="G30" i="2"/>
  <c r="W22" i="8" s="1"/>
  <c r="G31" i="2"/>
  <c r="W23" i="8" s="1"/>
  <c r="G32" i="2"/>
  <c r="W24" i="8" s="1"/>
  <c r="G33" i="2"/>
  <c r="W25" i="8" s="1"/>
  <c r="G34" i="2"/>
  <c r="W26" i="8" s="1"/>
  <c r="G35" i="2"/>
  <c r="W27" i="8" s="1"/>
  <c r="G36" i="2"/>
  <c r="W28" i="8" s="1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W6" i="8"/>
  <c r="W16" i="8"/>
  <c r="W18" i="8"/>
  <c r="E12" i="2"/>
  <c r="E57" i="2" s="1"/>
  <c r="E13" i="2"/>
  <c r="E58" i="2" s="1"/>
  <c r="K58" i="2" s="1"/>
  <c r="E14" i="2"/>
  <c r="E15" i="2"/>
  <c r="E16" i="2"/>
  <c r="E17" i="2"/>
  <c r="E18" i="2"/>
  <c r="E19" i="2"/>
  <c r="U11" i="8" s="1"/>
  <c r="E20" i="2"/>
  <c r="E65" i="2" s="1"/>
  <c r="K65" i="2" s="1"/>
  <c r="E21" i="2"/>
  <c r="U13" i="8" s="1"/>
  <c r="E22" i="2"/>
  <c r="U14" i="8" s="1"/>
  <c r="E23" i="2"/>
  <c r="U15" i="8" s="1"/>
  <c r="E24" i="2"/>
  <c r="E25" i="2"/>
  <c r="U17" i="8" s="1"/>
  <c r="E26" i="2"/>
  <c r="E27" i="2"/>
  <c r="E28" i="2"/>
  <c r="E29" i="2"/>
  <c r="E30" i="2"/>
  <c r="E31" i="2"/>
  <c r="U23" i="8" s="1"/>
  <c r="E32" i="2"/>
  <c r="U24" i="8" s="1"/>
  <c r="E33" i="2"/>
  <c r="U25" i="8" s="1"/>
  <c r="E34" i="2"/>
  <c r="U26" i="8" s="1"/>
  <c r="E35" i="2"/>
  <c r="U27" i="8" s="1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62" i="2"/>
  <c r="K62" i="2" s="1"/>
  <c r="U10" i="8"/>
  <c r="E71" i="2"/>
  <c r="K71" i="2" s="1"/>
  <c r="E75" i="2"/>
  <c r="K75" i="2" s="1"/>
  <c r="U28" i="8"/>
  <c r="D12" i="2"/>
  <c r="T4" i="8" s="1"/>
  <c r="D13" i="2"/>
  <c r="T5" i="8" s="1"/>
  <c r="D14" i="2"/>
  <c r="D15" i="2"/>
  <c r="B10" i="9" s="1"/>
  <c r="D16" i="2"/>
  <c r="D17" i="2"/>
  <c r="D18" i="2"/>
  <c r="D19" i="2"/>
  <c r="D20" i="2"/>
  <c r="B15" i="9" s="1"/>
  <c r="D21" i="2"/>
  <c r="B16" i="9" s="1"/>
  <c r="D22" i="2"/>
  <c r="D23" i="2"/>
  <c r="B18" i="9" s="1"/>
  <c r="D24" i="2"/>
  <c r="T16" i="8" s="1"/>
  <c r="D25" i="2"/>
  <c r="D26" i="2"/>
  <c r="D27" i="2"/>
  <c r="D28" i="2"/>
  <c r="D29" i="2"/>
  <c r="D30" i="2"/>
  <c r="D31" i="2"/>
  <c r="D32" i="2"/>
  <c r="D33" i="2"/>
  <c r="D34" i="2"/>
  <c r="D35" i="2"/>
  <c r="T27" i="8" s="1"/>
  <c r="D36" i="2"/>
  <c r="T28" i="8" s="1"/>
  <c r="D37" i="2"/>
  <c r="AO37" i="2" s="1"/>
  <c r="D38" i="2"/>
  <c r="AO38" i="2" s="1"/>
  <c r="D39" i="2"/>
  <c r="D40" i="2"/>
  <c r="D41" i="2"/>
  <c r="D42" i="2"/>
  <c r="D43" i="2"/>
  <c r="D44" i="2"/>
  <c r="D45" i="2"/>
  <c r="AO45" i="2" s="1"/>
  <c r="D46" i="2"/>
  <c r="AO46" i="2" s="1"/>
  <c r="D47" i="2"/>
  <c r="AO47" i="2" s="1"/>
  <c r="D48" i="2"/>
  <c r="D49" i="2"/>
  <c r="D50" i="2"/>
  <c r="AO50" i="2" s="1"/>
  <c r="D51" i="2"/>
  <c r="AO51" i="2" s="1"/>
  <c r="D52" i="2"/>
  <c r="B20" i="9"/>
  <c r="I20" i="9" s="1"/>
  <c r="T25" i="8"/>
  <c r="T26" i="8"/>
  <c r="AO39" i="2"/>
  <c r="AO40" i="2"/>
  <c r="AO41" i="2"/>
  <c r="AO42" i="2"/>
  <c r="AO43" i="2"/>
  <c r="AO48" i="2"/>
  <c r="AO49" i="2"/>
  <c r="AO17" i="2"/>
  <c r="D63" i="2"/>
  <c r="D64" i="2"/>
  <c r="T22" i="8"/>
  <c r="AO31" i="2"/>
  <c r="AO32" i="2"/>
  <c r="C12" i="2"/>
  <c r="C13" i="2"/>
  <c r="C15" i="2"/>
  <c r="C24" i="2"/>
  <c r="C25" i="2"/>
  <c r="C36" i="2"/>
  <c r="C37" i="2"/>
  <c r="C39" i="2"/>
  <c r="C48" i="2"/>
  <c r="B12" i="2"/>
  <c r="B13" i="2"/>
  <c r="B14" i="2"/>
  <c r="B15" i="2"/>
  <c r="B16" i="2"/>
  <c r="J8" i="4" s="1"/>
  <c r="B17" i="2"/>
  <c r="A12" i="9" s="1"/>
  <c r="B18" i="2"/>
  <c r="B19" i="2"/>
  <c r="B20" i="2"/>
  <c r="B21" i="2"/>
  <c r="B22" i="2"/>
  <c r="B23" i="2"/>
  <c r="B24" i="2"/>
  <c r="R7" i="6" s="1"/>
  <c r="B25" i="2"/>
  <c r="B26" i="2"/>
  <c r="B27" i="2"/>
  <c r="B28" i="2"/>
  <c r="B29" i="2"/>
  <c r="B30" i="2"/>
  <c r="A25" i="9" s="1"/>
  <c r="B31" i="2"/>
  <c r="I23" i="8" s="1"/>
  <c r="B32" i="2"/>
  <c r="B33" i="2"/>
  <c r="B34" i="2"/>
  <c r="B26" i="8" s="1"/>
  <c r="B35" i="2"/>
  <c r="AC8" i="5" s="1"/>
  <c r="B36" i="2"/>
  <c r="B37" i="2"/>
  <c r="B38" i="2"/>
  <c r="B39" i="2"/>
  <c r="B40" i="2"/>
  <c r="B41" i="2"/>
  <c r="B42" i="2"/>
  <c r="B43" i="2"/>
  <c r="AK8" i="4" s="1"/>
  <c r="B44" i="2"/>
  <c r="B45" i="2"/>
  <c r="AM8" i="4" s="1"/>
  <c r="B46" i="2"/>
  <c r="AN8" i="5" s="1"/>
  <c r="B47" i="2"/>
  <c r="B48" i="2"/>
  <c r="K48" i="2" s="1"/>
  <c r="AD48" i="2" s="1"/>
  <c r="AE48" i="2" s="1"/>
  <c r="S48" i="2" s="1"/>
  <c r="B49" i="2"/>
  <c r="B50" i="2"/>
  <c r="B51" i="2"/>
  <c r="B52" i="2"/>
  <c r="S4" i="8"/>
  <c r="L8" i="4"/>
  <c r="B11" i="8"/>
  <c r="N8" i="5"/>
  <c r="S13" i="8"/>
  <c r="P7" i="6"/>
  <c r="W8" i="4"/>
  <c r="AR8" i="5"/>
  <c r="AS8" i="5"/>
  <c r="M11" i="2"/>
  <c r="J11" i="2"/>
  <c r="X3" i="8" s="1"/>
  <c r="I11" i="2"/>
  <c r="H11" i="2"/>
  <c r="C6" i="9" s="1"/>
  <c r="G11" i="2"/>
  <c r="E11" i="2"/>
  <c r="D11" i="2"/>
  <c r="T3" i="8" s="1"/>
  <c r="B11" i="2"/>
  <c r="Y4" i="8"/>
  <c r="Y5" i="8"/>
  <c r="Y6" i="8"/>
  <c r="Y7" i="8"/>
  <c r="Y16" i="8"/>
  <c r="Y17" i="8"/>
  <c r="Y18" i="8"/>
  <c r="Y19" i="8"/>
  <c r="Y28" i="8"/>
  <c r="Y3" i="8"/>
  <c r="X4" i="8"/>
  <c r="X6" i="8"/>
  <c r="X7" i="8"/>
  <c r="X12" i="8"/>
  <c r="X13" i="8"/>
  <c r="X16" i="8"/>
  <c r="X17" i="8"/>
  <c r="X28" i="8"/>
  <c r="D7" i="9"/>
  <c r="D20" i="9"/>
  <c r="D21" i="9"/>
  <c r="D10" i="9"/>
  <c r="C10" i="9"/>
  <c r="C12" i="9"/>
  <c r="C13" i="9"/>
  <c r="C14" i="9"/>
  <c r="C19" i="9"/>
  <c r="W5" i="8"/>
  <c r="W8" i="8"/>
  <c r="W10" i="8"/>
  <c r="W17" i="8"/>
  <c r="W19" i="8"/>
  <c r="W20" i="8"/>
  <c r="W21" i="8"/>
  <c r="W3" i="8"/>
  <c r="E56" i="2"/>
  <c r="U6" i="8"/>
  <c r="E60" i="2"/>
  <c r="U8" i="8"/>
  <c r="E69" i="2"/>
  <c r="U19" i="8"/>
  <c r="U20" i="8"/>
  <c r="E74" i="2"/>
  <c r="D59" i="2"/>
  <c r="D71" i="2"/>
  <c r="D73" i="2"/>
  <c r="B24" i="9"/>
  <c r="AO52" i="2"/>
  <c r="G8" i="4"/>
  <c r="I6" i="8"/>
  <c r="B7" i="8"/>
  <c r="B17" i="8"/>
  <c r="I18" i="8"/>
  <c r="B72" i="2"/>
  <c r="A23" i="9"/>
  <c r="B28" i="8"/>
  <c r="AE8" i="5"/>
  <c r="AF8" i="5"/>
  <c r="AG8" i="4"/>
  <c r="AI7" i="6"/>
  <c r="S6" i="8"/>
  <c r="C239" i="10"/>
  <c r="R237" i="10"/>
  <c r="O237" i="10"/>
  <c r="M237" i="10"/>
  <c r="K237" i="10"/>
  <c r="H237" i="10"/>
  <c r="G237" i="10"/>
  <c r="F237" i="10"/>
  <c r="E237" i="10"/>
  <c r="D237" i="10"/>
  <c r="C237" i="10"/>
  <c r="R236" i="10"/>
  <c r="O236" i="10"/>
  <c r="M236" i="10"/>
  <c r="K236" i="10"/>
  <c r="H236" i="10"/>
  <c r="G236" i="10"/>
  <c r="F236" i="10"/>
  <c r="E236" i="10"/>
  <c r="D236" i="10"/>
  <c r="C236" i="10"/>
  <c r="B236" i="10"/>
  <c r="R235" i="10"/>
  <c r="O235" i="10"/>
  <c r="M235" i="10"/>
  <c r="K235" i="10"/>
  <c r="H235" i="10"/>
  <c r="G235" i="10"/>
  <c r="R234" i="10"/>
  <c r="F234" i="10"/>
  <c r="E234" i="10"/>
  <c r="D234" i="10"/>
  <c r="C234" i="10"/>
  <c r="R233" i="10"/>
  <c r="F233" i="10"/>
  <c r="E233" i="10"/>
  <c r="D233" i="10"/>
  <c r="C233" i="10"/>
  <c r="R232" i="10"/>
  <c r="R231" i="10"/>
  <c r="O231" i="10"/>
  <c r="M231" i="10"/>
  <c r="K231" i="10"/>
  <c r="H231" i="10"/>
  <c r="G231" i="10"/>
  <c r="F231" i="10"/>
  <c r="E231" i="10"/>
  <c r="D231" i="10"/>
  <c r="C231" i="10"/>
  <c r="R230" i="10"/>
  <c r="O230" i="10"/>
  <c r="M230" i="10"/>
  <c r="K230" i="10"/>
  <c r="H230" i="10"/>
  <c r="G230" i="10"/>
  <c r="F230" i="10"/>
  <c r="E230" i="10"/>
  <c r="D230" i="10"/>
  <c r="C230" i="10"/>
  <c r="B230" i="10"/>
  <c r="R229" i="10"/>
  <c r="O229" i="10"/>
  <c r="M229" i="10"/>
  <c r="K229" i="10"/>
  <c r="H229" i="10"/>
  <c r="G229" i="10"/>
  <c r="R228" i="10"/>
  <c r="F228" i="10"/>
  <c r="E228" i="10"/>
  <c r="D228" i="10"/>
  <c r="C228" i="10"/>
  <c r="R227" i="10"/>
  <c r="F227" i="10"/>
  <c r="E227" i="10"/>
  <c r="D227" i="10"/>
  <c r="C227" i="10"/>
  <c r="R226" i="10"/>
  <c r="R225" i="10"/>
  <c r="O225" i="10"/>
  <c r="M225" i="10"/>
  <c r="K225" i="10"/>
  <c r="H225" i="10"/>
  <c r="G225" i="10"/>
  <c r="F225" i="10"/>
  <c r="E225" i="10"/>
  <c r="D225" i="10"/>
  <c r="C225" i="10"/>
  <c r="R224" i="10"/>
  <c r="O224" i="10"/>
  <c r="M224" i="10"/>
  <c r="K224" i="10"/>
  <c r="H224" i="10"/>
  <c r="G224" i="10"/>
  <c r="F224" i="10"/>
  <c r="E224" i="10"/>
  <c r="D224" i="10"/>
  <c r="C224" i="10"/>
  <c r="B224" i="10"/>
  <c r="R223" i="10"/>
  <c r="O223" i="10"/>
  <c r="M223" i="10"/>
  <c r="K223" i="10"/>
  <c r="H223" i="10"/>
  <c r="G223" i="10"/>
  <c r="R222" i="10"/>
  <c r="F222" i="10"/>
  <c r="E222" i="10"/>
  <c r="D222" i="10"/>
  <c r="C222" i="10"/>
  <c r="R221" i="10"/>
  <c r="F221" i="10"/>
  <c r="E221" i="10"/>
  <c r="D221" i="10"/>
  <c r="C221" i="10"/>
  <c r="R220" i="10"/>
  <c r="R219" i="10"/>
  <c r="O219" i="10"/>
  <c r="M219" i="10"/>
  <c r="K219" i="10"/>
  <c r="H219" i="10"/>
  <c r="G219" i="10"/>
  <c r="F219" i="10"/>
  <c r="E219" i="10"/>
  <c r="D219" i="10"/>
  <c r="C219" i="10"/>
  <c r="R218" i="10"/>
  <c r="O218" i="10"/>
  <c r="M218" i="10"/>
  <c r="K218" i="10"/>
  <c r="H218" i="10"/>
  <c r="G218" i="10"/>
  <c r="F218" i="10"/>
  <c r="E218" i="10"/>
  <c r="D218" i="10"/>
  <c r="C218" i="10"/>
  <c r="B218" i="10"/>
  <c r="R217" i="10"/>
  <c r="O217" i="10"/>
  <c r="M217" i="10"/>
  <c r="K217" i="10"/>
  <c r="H217" i="10"/>
  <c r="G217" i="10"/>
  <c r="R216" i="10"/>
  <c r="F216" i="10"/>
  <c r="E216" i="10"/>
  <c r="D216" i="10"/>
  <c r="C216" i="10"/>
  <c r="R215" i="10"/>
  <c r="F215" i="10"/>
  <c r="E215" i="10"/>
  <c r="D215" i="10"/>
  <c r="C215" i="10"/>
  <c r="R214" i="10"/>
  <c r="R213" i="10"/>
  <c r="O213" i="10"/>
  <c r="M213" i="10"/>
  <c r="K213" i="10"/>
  <c r="H213" i="10"/>
  <c r="G213" i="10"/>
  <c r="F213" i="10"/>
  <c r="E213" i="10"/>
  <c r="D213" i="10"/>
  <c r="C213" i="10"/>
  <c r="R212" i="10"/>
  <c r="O212" i="10"/>
  <c r="M212" i="10"/>
  <c r="K212" i="10"/>
  <c r="H212" i="10"/>
  <c r="G212" i="10"/>
  <c r="F212" i="10"/>
  <c r="E212" i="10"/>
  <c r="D212" i="10"/>
  <c r="C212" i="10"/>
  <c r="B212" i="10"/>
  <c r="R211" i="10"/>
  <c r="O211" i="10"/>
  <c r="M211" i="10"/>
  <c r="K211" i="10"/>
  <c r="H211" i="10"/>
  <c r="G211" i="10"/>
  <c r="R210" i="10"/>
  <c r="F210" i="10"/>
  <c r="E210" i="10"/>
  <c r="D210" i="10"/>
  <c r="C210" i="10"/>
  <c r="R209" i="10"/>
  <c r="F209" i="10"/>
  <c r="E209" i="10"/>
  <c r="D209" i="10"/>
  <c r="C209" i="10"/>
  <c r="R208" i="10"/>
  <c r="R207" i="10"/>
  <c r="O207" i="10"/>
  <c r="M207" i="10"/>
  <c r="K207" i="10"/>
  <c r="H207" i="10"/>
  <c r="G207" i="10"/>
  <c r="F207" i="10"/>
  <c r="E207" i="10"/>
  <c r="D207" i="10"/>
  <c r="C207" i="10"/>
  <c r="R206" i="10"/>
  <c r="O206" i="10"/>
  <c r="M206" i="10"/>
  <c r="K206" i="10"/>
  <c r="H206" i="10"/>
  <c r="G206" i="10"/>
  <c r="F206" i="10"/>
  <c r="E206" i="10"/>
  <c r="D206" i="10"/>
  <c r="C206" i="10"/>
  <c r="B206" i="10"/>
  <c r="R205" i="10"/>
  <c r="O205" i="10"/>
  <c r="M205" i="10"/>
  <c r="K205" i="10"/>
  <c r="H205" i="10"/>
  <c r="G205" i="10"/>
  <c r="R204" i="10"/>
  <c r="F204" i="10"/>
  <c r="E204" i="10"/>
  <c r="D204" i="10"/>
  <c r="C204" i="10"/>
  <c r="R203" i="10"/>
  <c r="F203" i="10"/>
  <c r="E203" i="10"/>
  <c r="D203" i="10"/>
  <c r="C203" i="10"/>
  <c r="R202" i="10"/>
  <c r="R201" i="10"/>
  <c r="O201" i="10"/>
  <c r="M201" i="10"/>
  <c r="K201" i="10"/>
  <c r="H201" i="10"/>
  <c r="G201" i="10"/>
  <c r="F201" i="10"/>
  <c r="E201" i="10"/>
  <c r="D201" i="10"/>
  <c r="C201" i="10"/>
  <c r="R200" i="10"/>
  <c r="O200" i="10"/>
  <c r="M200" i="10"/>
  <c r="K200" i="10"/>
  <c r="H200" i="10"/>
  <c r="G200" i="10"/>
  <c r="F200" i="10"/>
  <c r="E200" i="10"/>
  <c r="D200" i="10"/>
  <c r="C200" i="10"/>
  <c r="B200" i="10"/>
  <c r="R199" i="10"/>
  <c r="O199" i="10"/>
  <c r="M199" i="10"/>
  <c r="K199" i="10"/>
  <c r="H199" i="10"/>
  <c r="G199" i="10"/>
  <c r="R198" i="10"/>
  <c r="F198" i="10"/>
  <c r="E198" i="10"/>
  <c r="D198" i="10"/>
  <c r="C198" i="10"/>
  <c r="R197" i="10"/>
  <c r="F197" i="10"/>
  <c r="E197" i="10"/>
  <c r="D197" i="10"/>
  <c r="C197" i="10"/>
  <c r="R196" i="10"/>
  <c r="R195" i="10"/>
  <c r="O195" i="10"/>
  <c r="M195" i="10"/>
  <c r="K195" i="10"/>
  <c r="H195" i="10"/>
  <c r="G195" i="10"/>
  <c r="F195" i="10"/>
  <c r="E195" i="10"/>
  <c r="D195" i="10"/>
  <c r="C195" i="10"/>
  <c r="R194" i="10"/>
  <c r="O194" i="10"/>
  <c r="M194" i="10"/>
  <c r="K194" i="10"/>
  <c r="H194" i="10"/>
  <c r="G194" i="10"/>
  <c r="F194" i="10"/>
  <c r="E194" i="10"/>
  <c r="D194" i="10"/>
  <c r="C194" i="10"/>
  <c r="B194" i="10"/>
  <c r="R193" i="10"/>
  <c r="O193" i="10"/>
  <c r="M193" i="10"/>
  <c r="K193" i="10"/>
  <c r="H193" i="10"/>
  <c r="G193" i="10"/>
  <c r="R192" i="10"/>
  <c r="F192" i="10"/>
  <c r="E192" i="10"/>
  <c r="D192" i="10"/>
  <c r="C192" i="10"/>
  <c r="R191" i="10"/>
  <c r="F191" i="10"/>
  <c r="E191" i="10"/>
  <c r="D191" i="10"/>
  <c r="C191" i="10"/>
  <c r="R190" i="10"/>
  <c r="R189" i="10"/>
  <c r="O189" i="10"/>
  <c r="M189" i="10"/>
  <c r="K189" i="10"/>
  <c r="H189" i="10"/>
  <c r="G189" i="10"/>
  <c r="F189" i="10"/>
  <c r="E189" i="10"/>
  <c r="D189" i="10"/>
  <c r="C189" i="10"/>
  <c r="R188" i="10"/>
  <c r="O188" i="10"/>
  <c r="M188" i="10"/>
  <c r="K188" i="10"/>
  <c r="H188" i="10"/>
  <c r="G188" i="10"/>
  <c r="F188" i="10"/>
  <c r="E188" i="10"/>
  <c r="D188" i="10"/>
  <c r="C188" i="10"/>
  <c r="B188" i="10"/>
  <c r="R187" i="10"/>
  <c r="O187" i="10"/>
  <c r="M187" i="10"/>
  <c r="K187" i="10"/>
  <c r="H187" i="10"/>
  <c r="G187" i="10"/>
  <c r="R186" i="10"/>
  <c r="F186" i="10"/>
  <c r="E186" i="10"/>
  <c r="D186" i="10"/>
  <c r="C186" i="10"/>
  <c r="R185" i="10"/>
  <c r="F185" i="10"/>
  <c r="E185" i="10"/>
  <c r="D185" i="10"/>
  <c r="C185" i="10"/>
  <c r="R184" i="10"/>
  <c r="R183" i="10"/>
  <c r="O183" i="10"/>
  <c r="M183" i="10"/>
  <c r="K183" i="10"/>
  <c r="H183" i="10"/>
  <c r="G183" i="10"/>
  <c r="F183" i="10"/>
  <c r="E183" i="10"/>
  <c r="D183" i="10"/>
  <c r="C183" i="10"/>
  <c r="R182" i="10"/>
  <c r="O182" i="10"/>
  <c r="M182" i="10"/>
  <c r="K182" i="10"/>
  <c r="H182" i="10"/>
  <c r="G182" i="10"/>
  <c r="F182" i="10"/>
  <c r="E182" i="10"/>
  <c r="D182" i="10"/>
  <c r="C182" i="10"/>
  <c r="B182" i="10"/>
  <c r="R181" i="10"/>
  <c r="O181" i="10"/>
  <c r="M181" i="10"/>
  <c r="K181" i="10"/>
  <c r="H181" i="10"/>
  <c r="G181" i="10"/>
  <c r="R180" i="10"/>
  <c r="F180" i="10"/>
  <c r="E180" i="10"/>
  <c r="D180" i="10"/>
  <c r="C180" i="10"/>
  <c r="R179" i="10"/>
  <c r="F179" i="10"/>
  <c r="E179" i="10"/>
  <c r="D179" i="10"/>
  <c r="C179" i="10"/>
  <c r="R178" i="10"/>
  <c r="R177" i="10"/>
  <c r="O177" i="10"/>
  <c r="M177" i="10"/>
  <c r="K177" i="10"/>
  <c r="H177" i="10"/>
  <c r="G177" i="10"/>
  <c r="E177" i="10"/>
  <c r="D177" i="10"/>
  <c r="C177" i="10"/>
  <c r="R176" i="10"/>
  <c r="O176" i="10"/>
  <c r="M176" i="10"/>
  <c r="K176" i="10"/>
  <c r="H176" i="10"/>
  <c r="G176" i="10"/>
  <c r="C176" i="10"/>
  <c r="B176" i="10"/>
  <c r="R175" i="10"/>
  <c r="O175" i="10"/>
  <c r="M175" i="10"/>
  <c r="K175" i="10"/>
  <c r="H175" i="10"/>
  <c r="G175" i="10"/>
  <c r="F175" i="10"/>
  <c r="F176" i="10" s="1"/>
  <c r="E175" i="10"/>
  <c r="E176" i="10" s="1"/>
  <c r="D175" i="10"/>
  <c r="D176" i="10" s="1"/>
  <c r="C175" i="10"/>
  <c r="R174" i="10"/>
  <c r="F174" i="10"/>
  <c r="E174" i="10"/>
  <c r="D174" i="10"/>
  <c r="C174" i="10"/>
  <c r="R173" i="10"/>
  <c r="F173" i="10"/>
  <c r="E173" i="10"/>
  <c r="D173" i="10"/>
  <c r="C173" i="10"/>
  <c r="R172" i="10"/>
  <c r="R171" i="10"/>
  <c r="O171" i="10"/>
  <c r="M171" i="10"/>
  <c r="K171" i="10"/>
  <c r="H171" i="10"/>
  <c r="G171" i="10"/>
  <c r="E171" i="10"/>
  <c r="R170" i="10"/>
  <c r="O170" i="10"/>
  <c r="M170" i="10"/>
  <c r="K170" i="10"/>
  <c r="H170" i="10"/>
  <c r="G170" i="10"/>
  <c r="E170" i="10"/>
  <c r="C170" i="10"/>
  <c r="B170" i="10"/>
  <c r="R169" i="10"/>
  <c r="O169" i="10"/>
  <c r="M169" i="10"/>
  <c r="K169" i="10"/>
  <c r="H169" i="10"/>
  <c r="G169" i="10"/>
  <c r="F169" i="10"/>
  <c r="E169" i="10"/>
  <c r="D169" i="10"/>
  <c r="D171" i="10" s="1"/>
  <c r="C169" i="10"/>
  <c r="C171" i="10" s="1"/>
  <c r="R168" i="10"/>
  <c r="F168" i="10"/>
  <c r="E168" i="10"/>
  <c r="D168" i="10"/>
  <c r="C168" i="10"/>
  <c r="R167" i="10"/>
  <c r="F167" i="10"/>
  <c r="E167" i="10"/>
  <c r="D167" i="10"/>
  <c r="C167" i="10"/>
  <c r="R166" i="10"/>
  <c r="R165" i="10"/>
  <c r="O165" i="10"/>
  <c r="M165" i="10"/>
  <c r="K165" i="10"/>
  <c r="H165" i="10"/>
  <c r="G165" i="10"/>
  <c r="E165" i="10"/>
  <c r="D165" i="10"/>
  <c r="C165" i="10"/>
  <c r="R164" i="10"/>
  <c r="O164" i="10"/>
  <c r="M164" i="10"/>
  <c r="K164" i="10"/>
  <c r="H164" i="10"/>
  <c r="G164" i="10"/>
  <c r="E164" i="10"/>
  <c r="C164" i="10"/>
  <c r="B164" i="10"/>
  <c r="R163" i="10"/>
  <c r="O163" i="10"/>
  <c r="M163" i="10"/>
  <c r="K163" i="10"/>
  <c r="H163" i="10"/>
  <c r="G163" i="10"/>
  <c r="F163" i="10"/>
  <c r="F164" i="10" s="1"/>
  <c r="E163" i="10"/>
  <c r="D163" i="10"/>
  <c r="D164" i="10" s="1"/>
  <c r="C163" i="10"/>
  <c r="R162" i="10"/>
  <c r="F162" i="10"/>
  <c r="E162" i="10"/>
  <c r="D162" i="10"/>
  <c r="C162" i="10"/>
  <c r="R161" i="10"/>
  <c r="F161" i="10"/>
  <c r="E161" i="10"/>
  <c r="D161" i="10"/>
  <c r="C161" i="10"/>
  <c r="R160" i="10"/>
  <c r="R159" i="10"/>
  <c r="O159" i="10"/>
  <c r="M159" i="10"/>
  <c r="K159" i="10"/>
  <c r="H159" i="10"/>
  <c r="G159" i="10"/>
  <c r="E159" i="10"/>
  <c r="R158" i="10"/>
  <c r="O158" i="10"/>
  <c r="M158" i="10"/>
  <c r="K158" i="10"/>
  <c r="H158" i="10"/>
  <c r="G158" i="10"/>
  <c r="E158" i="10"/>
  <c r="C158" i="10"/>
  <c r="B158" i="10"/>
  <c r="R157" i="10"/>
  <c r="O157" i="10"/>
  <c r="M157" i="10"/>
  <c r="K157" i="10"/>
  <c r="H157" i="10"/>
  <c r="G157" i="10"/>
  <c r="F157" i="10"/>
  <c r="E157" i="10"/>
  <c r="D157" i="10"/>
  <c r="D159" i="10" s="1"/>
  <c r="C157" i="10"/>
  <c r="C159" i="10" s="1"/>
  <c r="R156" i="10"/>
  <c r="F156" i="10"/>
  <c r="E156" i="10"/>
  <c r="D156" i="10"/>
  <c r="C156" i="10"/>
  <c r="R155" i="10"/>
  <c r="F155" i="10"/>
  <c r="E155" i="10"/>
  <c r="D155" i="10"/>
  <c r="C155" i="10"/>
  <c r="R154" i="10"/>
  <c r="R153" i="10"/>
  <c r="O153" i="10"/>
  <c r="M153" i="10"/>
  <c r="K153" i="10"/>
  <c r="H153" i="10"/>
  <c r="G153" i="10"/>
  <c r="F153" i="10"/>
  <c r="E153" i="10"/>
  <c r="D153" i="10"/>
  <c r="C153" i="10"/>
  <c r="R152" i="10"/>
  <c r="O152" i="10"/>
  <c r="M152" i="10"/>
  <c r="K152" i="10"/>
  <c r="H152" i="10"/>
  <c r="G152" i="10"/>
  <c r="F152" i="10"/>
  <c r="E152" i="10"/>
  <c r="D152" i="10"/>
  <c r="C152" i="10"/>
  <c r="B152" i="10"/>
  <c r="R151" i="10"/>
  <c r="O151" i="10"/>
  <c r="M151" i="10"/>
  <c r="K151" i="10"/>
  <c r="H151" i="10"/>
  <c r="G151" i="10"/>
  <c r="R150" i="10"/>
  <c r="F150" i="10"/>
  <c r="E150" i="10"/>
  <c r="D150" i="10"/>
  <c r="C150" i="10"/>
  <c r="R149" i="10"/>
  <c r="F149" i="10"/>
  <c r="E149" i="10"/>
  <c r="D149" i="10"/>
  <c r="C149" i="10"/>
  <c r="R148" i="10"/>
  <c r="R147" i="10"/>
  <c r="F147" i="10"/>
  <c r="E147" i="10"/>
  <c r="Q147" i="10" s="1"/>
  <c r="D147" i="10"/>
  <c r="C147" i="10"/>
  <c r="R146" i="10"/>
  <c r="Q146" i="10"/>
  <c r="F146" i="10"/>
  <c r="E146" i="10"/>
  <c r="D146" i="10"/>
  <c r="C146" i="10"/>
  <c r="B146" i="10"/>
  <c r="R145" i="10"/>
  <c r="Q145" i="10"/>
  <c r="R144" i="10"/>
  <c r="F144" i="10"/>
  <c r="E144" i="10"/>
  <c r="Q144" i="10" s="1"/>
  <c r="D144" i="10"/>
  <c r="C144" i="10"/>
  <c r="R143" i="10"/>
  <c r="F143" i="10"/>
  <c r="Q143" i="10" s="1"/>
  <c r="E143" i="10"/>
  <c r="D143" i="10"/>
  <c r="C143" i="10"/>
  <c r="B143" i="10"/>
  <c r="R142" i="10"/>
  <c r="Q142" i="10"/>
  <c r="R141" i="10"/>
  <c r="Q141" i="10"/>
  <c r="F141" i="10"/>
  <c r="E141" i="10"/>
  <c r="D141" i="10"/>
  <c r="C141" i="10"/>
  <c r="R140" i="10"/>
  <c r="F140" i="10"/>
  <c r="E140" i="10"/>
  <c r="Q140" i="10" s="1"/>
  <c r="D140" i="10"/>
  <c r="C140" i="10"/>
  <c r="B140" i="10"/>
  <c r="R139" i="10"/>
  <c r="Q139" i="10"/>
  <c r="R138" i="10"/>
  <c r="F138" i="10"/>
  <c r="Q138" i="10" s="1"/>
  <c r="E138" i="10"/>
  <c r="D138" i="10"/>
  <c r="C138" i="10"/>
  <c r="R137" i="10"/>
  <c r="F137" i="10"/>
  <c r="E137" i="10"/>
  <c r="Q137" i="10" s="1"/>
  <c r="D137" i="10"/>
  <c r="C137" i="10"/>
  <c r="B137" i="10"/>
  <c r="R136" i="10"/>
  <c r="Q136" i="10"/>
  <c r="G9" i="1" s="1"/>
  <c r="R135" i="10"/>
  <c r="F135" i="10"/>
  <c r="E135" i="10"/>
  <c r="Q135" i="10" s="1"/>
  <c r="D135" i="10"/>
  <c r="C135" i="10"/>
  <c r="R134" i="10"/>
  <c r="Q134" i="10"/>
  <c r="F134" i="10"/>
  <c r="E134" i="10"/>
  <c r="D134" i="10"/>
  <c r="C134" i="10"/>
  <c r="B134" i="10"/>
  <c r="R133" i="10"/>
  <c r="Q133" i="10"/>
  <c r="R132" i="10"/>
  <c r="F132" i="10"/>
  <c r="E132" i="10"/>
  <c r="Q132" i="10" s="1"/>
  <c r="D132" i="10"/>
  <c r="C132" i="10"/>
  <c r="R131" i="10"/>
  <c r="F131" i="10"/>
  <c r="Q131" i="10" s="1"/>
  <c r="E131" i="10"/>
  <c r="D131" i="10"/>
  <c r="C131" i="10"/>
  <c r="B131" i="10"/>
  <c r="R130" i="10"/>
  <c r="Q130" i="10"/>
  <c r="R129" i="10"/>
  <c r="Q129" i="10"/>
  <c r="F129" i="10"/>
  <c r="E129" i="10"/>
  <c r="D129" i="10"/>
  <c r="C129" i="10"/>
  <c r="R128" i="10"/>
  <c r="F128" i="10"/>
  <c r="E128" i="10"/>
  <c r="Q128" i="10" s="1"/>
  <c r="D128" i="10"/>
  <c r="C128" i="10"/>
  <c r="B128" i="10"/>
  <c r="R127" i="10"/>
  <c r="Q127" i="10"/>
  <c r="R126" i="10"/>
  <c r="F126" i="10"/>
  <c r="Q126" i="10" s="1"/>
  <c r="E126" i="10"/>
  <c r="D126" i="10"/>
  <c r="C126" i="10"/>
  <c r="R125" i="10"/>
  <c r="F125" i="10"/>
  <c r="E125" i="10"/>
  <c r="Q125" i="10" s="1"/>
  <c r="D125" i="10"/>
  <c r="C125" i="10"/>
  <c r="B125" i="10"/>
  <c r="R124" i="10"/>
  <c r="Q124" i="10"/>
  <c r="R123" i="10"/>
  <c r="F123" i="10"/>
  <c r="E123" i="10"/>
  <c r="Q123" i="10" s="1"/>
  <c r="D123" i="10"/>
  <c r="C123" i="10"/>
  <c r="R122" i="10"/>
  <c r="Q122" i="10"/>
  <c r="F122" i="10"/>
  <c r="E122" i="10"/>
  <c r="D122" i="10"/>
  <c r="C122" i="10"/>
  <c r="B122" i="10"/>
  <c r="R121" i="10"/>
  <c r="Q121" i="10"/>
  <c r="R120" i="10"/>
  <c r="F120" i="10"/>
  <c r="E120" i="10"/>
  <c r="Q120" i="10" s="1"/>
  <c r="D120" i="10"/>
  <c r="C120" i="10"/>
  <c r="R119" i="10"/>
  <c r="F119" i="10"/>
  <c r="Q119" i="10" s="1"/>
  <c r="E119" i="10"/>
  <c r="D119" i="10"/>
  <c r="C119" i="10"/>
  <c r="B119" i="10"/>
  <c r="R118" i="10"/>
  <c r="Q118" i="10"/>
  <c r="R117" i="10"/>
  <c r="Q117" i="10"/>
  <c r="F117" i="10"/>
  <c r="E117" i="10"/>
  <c r="D117" i="10"/>
  <c r="C117" i="10"/>
  <c r="R116" i="10"/>
  <c r="F116" i="10"/>
  <c r="E116" i="10"/>
  <c r="Q116" i="10" s="1"/>
  <c r="D116" i="10"/>
  <c r="C116" i="10"/>
  <c r="B116" i="10"/>
  <c r="R115" i="10"/>
  <c r="Q115" i="10"/>
  <c r="R114" i="10"/>
  <c r="F114" i="10"/>
  <c r="Q114" i="10" s="1"/>
  <c r="E114" i="10"/>
  <c r="D114" i="10"/>
  <c r="C114" i="10"/>
  <c r="R113" i="10"/>
  <c r="F113" i="10"/>
  <c r="E113" i="10"/>
  <c r="Q113" i="10" s="1"/>
  <c r="D113" i="10"/>
  <c r="C113" i="10"/>
  <c r="B113" i="10"/>
  <c r="R112" i="10"/>
  <c r="Q112" i="10"/>
  <c r="R111" i="10"/>
  <c r="F111" i="10"/>
  <c r="E111" i="10"/>
  <c r="Q111" i="10" s="1"/>
  <c r="D111" i="10"/>
  <c r="C111" i="10"/>
  <c r="R110" i="10"/>
  <c r="Q110" i="10"/>
  <c r="F110" i="10"/>
  <c r="E110" i="10"/>
  <c r="D110" i="10"/>
  <c r="C110" i="10"/>
  <c r="B110" i="10"/>
  <c r="R109" i="10"/>
  <c r="Q109" i="10"/>
  <c r="R108" i="10"/>
  <c r="F108" i="10"/>
  <c r="E108" i="10"/>
  <c r="Q108" i="10" s="1"/>
  <c r="D108" i="10"/>
  <c r="C108" i="10"/>
  <c r="R107" i="10"/>
  <c r="F107" i="10"/>
  <c r="Q107" i="10" s="1"/>
  <c r="E107" i="10"/>
  <c r="D107" i="10"/>
  <c r="C107" i="10"/>
  <c r="B107" i="10"/>
  <c r="R106" i="10"/>
  <c r="Q106" i="10"/>
  <c r="R105" i="10"/>
  <c r="Q105" i="10"/>
  <c r="F105" i="10"/>
  <c r="E105" i="10"/>
  <c r="D105" i="10"/>
  <c r="C105" i="10"/>
  <c r="R104" i="10"/>
  <c r="F104" i="10"/>
  <c r="E104" i="10"/>
  <c r="Q104" i="10" s="1"/>
  <c r="D104" i="10"/>
  <c r="C104" i="10"/>
  <c r="B104" i="10"/>
  <c r="R103" i="10"/>
  <c r="Q103" i="10"/>
  <c r="R102" i="10"/>
  <c r="F102" i="10"/>
  <c r="Q102" i="10" s="1"/>
  <c r="E102" i="10"/>
  <c r="D102" i="10"/>
  <c r="C102" i="10"/>
  <c r="R101" i="10"/>
  <c r="F101" i="10"/>
  <c r="E101" i="10"/>
  <c r="Q101" i="10" s="1"/>
  <c r="D101" i="10"/>
  <c r="C101" i="10"/>
  <c r="B101" i="10"/>
  <c r="R100" i="10"/>
  <c r="Q100" i="10"/>
  <c r="R99" i="10"/>
  <c r="F99" i="10"/>
  <c r="E99" i="10"/>
  <c r="Q99" i="10" s="1"/>
  <c r="D99" i="10"/>
  <c r="C99" i="10"/>
  <c r="R98" i="10"/>
  <c r="Q98" i="10"/>
  <c r="F98" i="10"/>
  <c r="E98" i="10"/>
  <c r="D98" i="10"/>
  <c r="C98" i="10"/>
  <c r="B98" i="10"/>
  <c r="R97" i="10"/>
  <c r="Q97" i="10"/>
  <c r="R96" i="10"/>
  <c r="F96" i="10"/>
  <c r="E96" i="10"/>
  <c r="Q96" i="10" s="1"/>
  <c r="D96" i="10"/>
  <c r="C96" i="10"/>
  <c r="R95" i="10"/>
  <c r="F95" i="10"/>
  <c r="Q95" i="10" s="1"/>
  <c r="E95" i="10"/>
  <c r="D95" i="10"/>
  <c r="C95" i="10"/>
  <c r="B95" i="10"/>
  <c r="R94" i="10"/>
  <c r="Q94" i="10"/>
  <c r="R93" i="10"/>
  <c r="Q93" i="10"/>
  <c r="F93" i="10"/>
  <c r="E93" i="10"/>
  <c r="D93" i="10"/>
  <c r="C93" i="10"/>
  <c r="R92" i="10"/>
  <c r="F92" i="10"/>
  <c r="E92" i="10"/>
  <c r="Q92" i="10" s="1"/>
  <c r="D92" i="10"/>
  <c r="C92" i="10"/>
  <c r="B92" i="10"/>
  <c r="R91" i="10"/>
  <c r="Q91" i="10"/>
  <c r="R90" i="10"/>
  <c r="F90" i="10"/>
  <c r="Q90" i="10" s="1"/>
  <c r="E90" i="10"/>
  <c r="D90" i="10"/>
  <c r="C90" i="10"/>
  <c r="R89" i="10"/>
  <c r="F89" i="10"/>
  <c r="E89" i="10"/>
  <c r="Q89" i="10" s="1"/>
  <c r="D89" i="10"/>
  <c r="C89" i="10"/>
  <c r="B89" i="10"/>
  <c r="R88" i="10"/>
  <c r="Q88" i="10"/>
  <c r="R87" i="10"/>
  <c r="F87" i="10"/>
  <c r="E87" i="10"/>
  <c r="Q87" i="10" s="1"/>
  <c r="D87" i="10"/>
  <c r="C87" i="10"/>
  <c r="R86" i="10"/>
  <c r="Q86" i="10"/>
  <c r="F86" i="10"/>
  <c r="E86" i="10"/>
  <c r="D86" i="10"/>
  <c r="C86" i="10"/>
  <c r="R85" i="10"/>
  <c r="Q85" i="10"/>
  <c r="R84" i="10"/>
  <c r="Q84" i="10"/>
  <c r="F84" i="10"/>
  <c r="E84" i="10"/>
  <c r="D84" i="10"/>
  <c r="C84" i="10"/>
  <c r="R83" i="10"/>
  <c r="F83" i="10"/>
  <c r="Q83" i="10" s="1"/>
  <c r="E83" i="10"/>
  <c r="D83" i="10"/>
  <c r="C83" i="10"/>
  <c r="R82" i="10"/>
  <c r="Q82" i="10"/>
  <c r="R81" i="10"/>
  <c r="F81" i="10"/>
  <c r="E81" i="10"/>
  <c r="Q81" i="10" s="1"/>
  <c r="D81" i="10"/>
  <c r="C81" i="10"/>
  <c r="R80" i="10"/>
  <c r="Q80" i="10"/>
  <c r="F80" i="10"/>
  <c r="E80" i="10"/>
  <c r="D80" i="10"/>
  <c r="C80" i="10"/>
  <c r="R79" i="10"/>
  <c r="Q79" i="10"/>
  <c r="R78" i="10"/>
  <c r="F78" i="10"/>
  <c r="E78" i="10"/>
  <c r="Q78" i="10" s="1"/>
  <c r="D78" i="10"/>
  <c r="C78" i="10"/>
  <c r="R77" i="10"/>
  <c r="F77" i="10"/>
  <c r="E77" i="10"/>
  <c r="Q77" i="10" s="1"/>
  <c r="D77" i="10"/>
  <c r="C77" i="10"/>
  <c r="R76" i="10"/>
  <c r="Q76" i="10"/>
  <c r="R75" i="10"/>
  <c r="F75" i="10"/>
  <c r="E75" i="10"/>
  <c r="Q75" i="10" s="1"/>
  <c r="R74" i="10"/>
  <c r="Q74" i="10"/>
  <c r="R73" i="10"/>
  <c r="F73" i="10"/>
  <c r="E73" i="10"/>
  <c r="Q73" i="10" s="1"/>
  <c r="D73" i="10"/>
  <c r="D75" i="10" s="1"/>
  <c r="C73" i="10"/>
  <c r="C75" i="10" s="1"/>
  <c r="R72" i="10"/>
  <c r="Q72" i="10"/>
  <c r="C72" i="10"/>
  <c r="R71" i="10"/>
  <c r="Q71" i="10"/>
  <c r="R70" i="10"/>
  <c r="F70" i="10"/>
  <c r="F72" i="10" s="1"/>
  <c r="E70" i="10"/>
  <c r="E72" i="10" s="1"/>
  <c r="D70" i="10"/>
  <c r="D72" i="10" s="1"/>
  <c r="C70" i="10"/>
  <c r="R69" i="10"/>
  <c r="E69" i="10"/>
  <c r="Q69" i="10" s="1"/>
  <c r="C69" i="10"/>
  <c r="R68" i="10"/>
  <c r="Q68" i="10"/>
  <c r="R67" i="10"/>
  <c r="Q67" i="10"/>
  <c r="F67" i="10"/>
  <c r="F69" i="10" s="1"/>
  <c r="E67" i="10"/>
  <c r="D67" i="10"/>
  <c r="D69" i="10" s="1"/>
  <c r="C67" i="10"/>
  <c r="R66" i="10"/>
  <c r="E66" i="10"/>
  <c r="Q66" i="10" s="1"/>
  <c r="D66" i="10"/>
  <c r="C66" i="10"/>
  <c r="R65" i="10"/>
  <c r="Q65" i="10"/>
  <c r="R64" i="10"/>
  <c r="Q64" i="10"/>
  <c r="F64" i="10"/>
  <c r="F66" i="10" s="1"/>
  <c r="E64" i="10"/>
  <c r="D64" i="10"/>
  <c r="C64" i="10"/>
  <c r="R63" i="10"/>
  <c r="Q63" i="10"/>
  <c r="F63" i="10"/>
  <c r="E63" i="10"/>
  <c r="D63" i="10"/>
  <c r="C63" i="10"/>
  <c r="R62" i="10"/>
  <c r="Q62" i="10"/>
  <c r="R61" i="10"/>
  <c r="F61" i="10"/>
  <c r="E61" i="10"/>
  <c r="Q61" i="10" s="1"/>
  <c r="D61" i="10"/>
  <c r="C61" i="10"/>
  <c r="R60" i="10"/>
  <c r="F60" i="10"/>
  <c r="E60" i="10"/>
  <c r="Q60" i="10" s="1"/>
  <c r="D60" i="10"/>
  <c r="C60" i="10"/>
  <c r="R59" i="10"/>
  <c r="Q59" i="10"/>
  <c r="R58" i="10"/>
  <c r="Q58" i="10"/>
  <c r="F58" i="10"/>
  <c r="E58" i="10"/>
  <c r="D58" i="10"/>
  <c r="C58" i="10"/>
  <c r="R57" i="10"/>
  <c r="F57" i="10"/>
  <c r="E57" i="10"/>
  <c r="Q57" i="10" s="1"/>
  <c r="R56" i="10"/>
  <c r="Q56" i="10"/>
  <c r="R55" i="10"/>
  <c r="Q55" i="10"/>
  <c r="F55" i="10"/>
  <c r="E55" i="10"/>
  <c r="D55" i="10"/>
  <c r="D57" i="10" s="1"/>
  <c r="C55" i="10"/>
  <c r="C57" i="10" s="1"/>
  <c r="R54" i="10"/>
  <c r="Q54" i="10"/>
  <c r="C54" i="10"/>
  <c r="R53" i="10"/>
  <c r="Q53" i="10"/>
  <c r="R52" i="10"/>
  <c r="F52" i="10"/>
  <c r="F54" i="10" s="1"/>
  <c r="E52" i="10"/>
  <c r="E54" i="10" s="1"/>
  <c r="D52" i="10"/>
  <c r="D54" i="10" s="1"/>
  <c r="C52" i="10"/>
  <c r="R51" i="10"/>
  <c r="E51" i="10"/>
  <c r="Q51" i="10" s="1"/>
  <c r="C51" i="10"/>
  <c r="R50" i="10"/>
  <c r="Q50" i="10"/>
  <c r="R49" i="10"/>
  <c r="F49" i="10"/>
  <c r="F51" i="10" s="1"/>
  <c r="E49" i="10"/>
  <c r="Q49" i="10" s="1"/>
  <c r="D49" i="10"/>
  <c r="D51" i="10" s="1"/>
  <c r="C49" i="10"/>
  <c r="R48" i="10"/>
  <c r="E48" i="10"/>
  <c r="Q48" i="10" s="1"/>
  <c r="D48" i="10"/>
  <c r="C48" i="10"/>
  <c r="R47" i="10"/>
  <c r="Q47" i="10"/>
  <c r="R46" i="10"/>
  <c r="Q46" i="10"/>
  <c r="F46" i="10"/>
  <c r="F48" i="10" s="1"/>
  <c r="E46" i="10"/>
  <c r="D46" i="10"/>
  <c r="C46" i="10"/>
  <c r="R45" i="10"/>
  <c r="Q45" i="10"/>
  <c r="F45" i="10"/>
  <c r="E45" i="10"/>
  <c r="D45" i="10"/>
  <c r="R44" i="10"/>
  <c r="Q44" i="10"/>
  <c r="R43" i="10"/>
  <c r="F43" i="10"/>
  <c r="E43" i="10"/>
  <c r="Q43" i="10" s="1"/>
  <c r="D43" i="10"/>
  <c r="C43" i="10"/>
  <c r="C45" i="10" s="1"/>
  <c r="R42" i="10"/>
  <c r="F42" i="10"/>
  <c r="R41" i="10"/>
  <c r="Q41" i="10"/>
  <c r="R40" i="10"/>
  <c r="F40" i="10"/>
  <c r="E40" i="10"/>
  <c r="D40" i="10"/>
  <c r="D42" i="10" s="1"/>
  <c r="C40" i="10"/>
  <c r="C42" i="10" s="1"/>
  <c r="R39" i="10"/>
  <c r="R38" i="10"/>
  <c r="Q38" i="10"/>
  <c r="R37" i="10"/>
  <c r="F37" i="10"/>
  <c r="F39" i="10" s="1"/>
  <c r="E37" i="10"/>
  <c r="D37" i="10"/>
  <c r="D39" i="10" s="1"/>
  <c r="C37" i="10"/>
  <c r="C39" i="10" s="1"/>
  <c r="R36" i="10"/>
  <c r="R35" i="10"/>
  <c r="Q35" i="10"/>
  <c r="R34" i="10"/>
  <c r="F34" i="10"/>
  <c r="F36" i="10" s="1"/>
  <c r="E34" i="10"/>
  <c r="D34" i="10"/>
  <c r="D36" i="10" s="1"/>
  <c r="C34" i="10"/>
  <c r="C36" i="10" s="1"/>
  <c r="R33" i="10"/>
  <c r="E33" i="10"/>
  <c r="Q33" i="10" s="1"/>
  <c r="C33" i="10"/>
  <c r="R32" i="10"/>
  <c r="Q32" i="10"/>
  <c r="R31" i="10"/>
  <c r="Q31" i="10"/>
  <c r="F31" i="10"/>
  <c r="F33" i="10" s="1"/>
  <c r="E31" i="10"/>
  <c r="D31" i="10"/>
  <c r="D33" i="10" s="1"/>
  <c r="C31" i="10"/>
  <c r="R30" i="10"/>
  <c r="Q30" i="10"/>
  <c r="E30" i="10"/>
  <c r="D30" i="10"/>
  <c r="R29" i="10"/>
  <c r="Q29" i="10"/>
  <c r="R28" i="10"/>
  <c r="Q28" i="10"/>
  <c r="F28" i="10"/>
  <c r="F30" i="10" s="1"/>
  <c r="E28" i="10"/>
  <c r="D28" i="10"/>
  <c r="C28" i="10"/>
  <c r="C30" i="10" s="1"/>
  <c r="R27" i="10"/>
  <c r="Q27" i="10"/>
  <c r="F27" i="10"/>
  <c r="E27" i="10"/>
  <c r="D27" i="10"/>
  <c r="C27" i="10"/>
  <c r="R26" i="10"/>
  <c r="F26" i="10"/>
  <c r="Q26" i="10" s="1"/>
  <c r="E26" i="10"/>
  <c r="D26" i="10"/>
  <c r="C26" i="10"/>
  <c r="R25" i="10"/>
  <c r="Q25" i="10"/>
  <c r="R24" i="10"/>
  <c r="F24" i="10"/>
  <c r="E24" i="10"/>
  <c r="Q24" i="10" s="1"/>
  <c r="D24" i="10"/>
  <c r="C24" i="10"/>
  <c r="R23" i="10"/>
  <c r="F23" i="10"/>
  <c r="E23" i="10"/>
  <c r="Q23" i="10" s="1"/>
  <c r="D23" i="10"/>
  <c r="C23" i="10"/>
  <c r="R22" i="10"/>
  <c r="Q22" i="10"/>
  <c r="R21" i="10"/>
  <c r="F21" i="10"/>
  <c r="E21" i="10"/>
  <c r="Q21" i="10" s="1"/>
  <c r="D21" i="10"/>
  <c r="C21" i="10"/>
  <c r="R20" i="10"/>
  <c r="F20" i="10"/>
  <c r="E20" i="10"/>
  <c r="Q20" i="10" s="1"/>
  <c r="D20" i="10"/>
  <c r="C20" i="10"/>
  <c r="R19" i="10"/>
  <c r="Q19" i="10"/>
  <c r="R18" i="10"/>
  <c r="Q18" i="10"/>
  <c r="F18" i="10"/>
  <c r="E18" i="10"/>
  <c r="D18" i="10"/>
  <c r="C18" i="10"/>
  <c r="R17" i="10"/>
  <c r="Q17" i="10"/>
  <c r="F17" i="10"/>
  <c r="E17" i="10"/>
  <c r="D17" i="10"/>
  <c r="C17" i="10"/>
  <c r="R16" i="10"/>
  <c r="Q16" i="10"/>
  <c r="R15" i="10"/>
  <c r="F15" i="10"/>
  <c r="E15" i="10"/>
  <c r="Q15" i="10" s="1"/>
  <c r="D15" i="10"/>
  <c r="C15" i="10"/>
  <c r="R14" i="10"/>
  <c r="F14" i="10"/>
  <c r="Q14" i="10" s="1"/>
  <c r="E14" i="10"/>
  <c r="D14" i="10"/>
  <c r="C14" i="10"/>
  <c r="R13" i="10"/>
  <c r="Q13" i="10"/>
  <c r="R12" i="10"/>
  <c r="Q12" i="10"/>
  <c r="F12" i="10"/>
  <c r="E12" i="10"/>
  <c r="D12" i="10"/>
  <c r="C12" i="10"/>
  <c r="R11" i="10"/>
  <c r="F11" i="10"/>
  <c r="E11" i="10"/>
  <c r="Q11" i="10" s="1"/>
  <c r="D11" i="10"/>
  <c r="C11" i="10"/>
  <c r="R10" i="10"/>
  <c r="Q10" i="10"/>
  <c r="R9" i="10"/>
  <c r="F9" i="10"/>
  <c r="E9" i="10"/>
  <c r="Q9" i="10" s="1"/>
  <c r="D9" i="10"/>
  <c r="C9" i="10"/>
  <c r="R8" i="10"/>
  <c r="F8" i="10"/>
  <c r="Q8" i="10" s="1"/>
  <c r="E8" i="10"/>
  <c r="D8" i="10"/>
  <c r="C8" i="10"/>
  <c r="R7" i="10"/>
  <c r="Q7" i="10"/>
  <c r="R6" i="10"/>
  <c r="F6" i="10"/>
  <c r="Q6" i="10" s="1"/>
  <c r="E6" i="10"/>
  <c r="D6" i="10"/>
  <c r="C6" i="10"/>
  <c r="R5" i="10"/>
  <c r="F5" i="10"/>
  <c r="E5" i="10"/>
  <c r="Q5" i="10" s="1"/>
  <c r="D5" i="10"/>
  <c r="C5" i="10"/>
  <c r="R4" i="10"/>
  <c r="Q4" i="10"/>
  <c r="BT39" i="9"/>
  <c r="BU39" i="9" s="1"/>
  <c r="BP39" i="9"/>
  <c r="F30" i="9"/>
  <c r="E30" i="9"/>
  <c r="BN30" i="9" s="1"/>
  <c r="D30" i="9"/>
  <c r="C30" i="9"/>
  <c r="B30" i="9"/>
  <c r="A30" i="9"/>
  <c r="BN29" i="9"/>
  <c r="I29" i="9"/>
  <c r="F29" i="9"/>
  <c r="E29" i="9"/>
  <c r="D29" i="9"/>
  <c r="C29" i="9"/>
  <c r="B29" i="9"/>
  <c r="H29" i="9" s="1"/>
  <c r="BR29" i="9" s="1"/>
  <c r="A29" i="9"/>
  <c r="BR28" i="9"/>
  <c r="BN28" i="9"/>
  <c r="BM28" i="9"/>
  <c r="BO28" i="9" s="1"/>
  <c r="I28" i="9"/>
  <c r="F28" i="9"/>
  <c r="E28" i="9"/>
  <c r="D28" i="9"/>
  <c r="C28" i="9"/>
  <c r="B28" i="9"/>
  <c r="H28" i="9" s="1"/>
  <c r="A28" i="9"/>
  <c r="BM27" i="9"/>
  <c r="BO27" i="9" s="1"/>
  <c r="I27" i="9"/>
  <c r="BR27" i="9" s="1"/>
  <c r="F27" i="9"/>
  <c r="E27" i="9"/>
  <c r="BN27" i="9" s="1"/>
  <c r="D27" i="9"/>
  <c r="C27" i="9"/>
  <c r="B27" i="9"/>
  <c r="H27" i="9" s="1"/>
  <c r="A27" i="9"/>
  <c r="BN26" i="9"/>
  <c r="K26" i="9"/>
  <c r="F26" i="9"/>
  <c r="E26" i="9"/>
  <c r="D26" i="9"/>
  <c r="C26" i="9"/>
  <c r="B26" i="9"/>
  <c r="I26" i="9" s="1"/>
  <c r="A26" i="9"/>
  <c r="K25" i="9"/>
  <c r="F25" i="9"/>
  <c r="E25" i="9"/>
  <c r="K24" i="9"/>
  <c r="F24" i="9"/>
  <c r="E24" i="9"/>
  <c r="F23" i="9"/>
  <c r="E23" i="9"/>
  <c r="F22" i="9"/>
  <c r="E22" i="9"/>
  <c r="F21" i="9"/>
  <c r="E21" i="9"/>
  <c r="F20" i="9"/>
  <c r="E20" i="9"/>
  <c r="F19" i="9"/>
  <c r="E19" i="9"/>
  <c r="N18" i="9"/>
  <c r="K18" i="9"/>
  <c r="F18" i="9"/>
  <c r="E18" i="9"/>
  <c r="F17" i="9"/>
  <c r="E17" i="9"/>
  <c r="F16" i="9"/>
  <c r="E16" i="9"/>
  <c r="F15" i="9"/>
  <c r="E15" i="9"/>
  <c r="K14" i="9"/>
  <c r="F14" i="9"/>
  <c r="E14" i="9"/>
  <c r="F13" i="9"/>
  <c r="E13" i="9"/>
  <c r="F12" i="9"/>
  <c r="E12" i="9"/>
  <c r="F11" i="9"/>
  <c r="E11" i="9"/>
  <c r="K10" i="9"/>
  <c r="F10" i="9"/>
  <c r="E10" i="9"/>
  <c r="F9" i="9"/>
  <c r="E9" i="9"/>
  <c r="D9" i="9"/>
  <c r="A9" i="9"/>
  <c r="N8" i="9"/>
  <c r="K8" i="9"/>
  <c r="F8" i="9"/>
  <c r="E8" i="9"/>
  <c r="F7" i="9"/>
  <c r="E7" i="9"/>
  <c r="BY6" i="9"/>
  <c r="K6" i="9"/>
  <c r="F6" i="9"/>
  <c r="E6" i="9"/>
  <c r="BU6" i="9" s="1"/>
  <c r="D6" i="9"/>
  <c r="C1" i="9"/>
  <c r="K28" i="9" s="1"/>
  <c r="V28" i="8"/>
  <c r="O28" i="8"/>
  <c r="N28" i="8"/>
  <c r="K28" i="8"/>
  <c r="L28" i="8" s="1"/>
  <c r="E28" i="8"/>
  <c r="D28" i="8"/>
  <c r="V27" i="8"/>
  <c r="O27" i="8"/>
  <c r="N27" i="8"/>
  <c r="K27" i="8"/>
  <c r="L27" i="8" s="1"/>
  <c r="E27" i="8"/>
  <c r="D27" i="8"/>
  <c r="V26" i="8"/>
  <c r="O26" i="8"/>
  <c r="N26" i="8"/>
  <c r="L26" i="8"/>
  <c r="K26" i="8"/>
  <c r="E26" i="8"/>
  <c r="D26" i="8"/>
  <c r="V25" i="8"/>
  <c r="O25" i="8"/>
  <c r="N25" i="8"/>
  <c r="K25" i="8"/>
  <c r="L25" i="8" s="1"/>
  <c r="E25" i="8"/>
  <c r="D25" i="8"/>
  <c r="V24" i="8"/>
  <c r="O24" i="8"/>
  <c r="N24" i="8"/>
  <c r="K24" i="8"/>
  <c r="L24" i="8" s="1"/>
  <c r="E24" i="8"/>
  <c r="D24" i="8"/>
  <c r="V23" i="8"/>
  <c r="O23" i="8"/>
  <c r="N23" i="8"/>
  <c r="L23" i="8"/>
  <c r="K23" i="8"/>
  <c r="E23" i="8"/>
  <c r="D23" i="8"/>
  <c r="V22" i="8"/>
  <c r="O22" i="8"/>
  <c r="N22" i="8"/>
  <c r="K22" i="8"/>
  <c r="L22" i="8" s="1"/>
  <c r="E22" i="8"/>
  <c r="D22" i="8"/>
  <c r="V21" i="8"/>
  <c r="O21" i="8"/>
  <c r="N21" i="8"/>
  <c r="L21" i="8"/>
  <c r="K21" i="8"/>
  <c r="E21" i="8"/>
  <c r="D21" i="8"/>
  <c r="V20" i="8"/>
  <c r="O20" i="8"/>
  <c r="N20" i="8"/>
  <c r="L20" i="8"/>
  <c r="K20" i="8"/>
  <c r="E20" i="8"/>
  <c r="D20" i="8"/>
  <c r="V19" i="8"/>
  <c r="O19" i="8"/>
  <c r="N19" i="8"/>
  <c r="K19" i="8"/>
  <c r="L19" i="8" s="1"/>
  <c r="E19" i="8"/>
  <c r="D19" i="8"/>
  <c r="V18" i="8"/>
  <c r="O18" i="8"/>
  <c r="N18" i="8"/>
  <c r="L18" i="8"/>
  <c r="K18" i="8"/>
  <c r="E18" i="8"/>
  <c r="D18" i="8"/>
  <c r="V17" i="8"/>
  <c r="O17" i="8"/>
  <c r="N17" i="8"/>
  <c r="K17" i="8"/>
  <c r="L17" i="8" s="1"/>
  <c r="E17" i="8"/>
  <c r="D17" i="8"/>
  <c r="V16" i="8"/>
  <c r="O16" i="8"/>
  <c r="N16" i="8"/>
  <c r="K16" i="8"/>
  <c r="L16" i="8" s="1"/>
  <c r="E16" i="8"/>
  <c r="D16" i="8"/>
  <c r="V15" i="8"/>
  <c r="O15" i="8"/>
  <c r="N15" i="8"/>
  <c r="K15" i="8"/>
  <c r="L15" i="8" s="1"/>
  <c r="E15" i="8"/>
  <c r="D15" i="8"/>
  <c r="V14" i="8"/>
  <c r="O14" i="8"/>
  <c r="N14" i="8"/>
  <c r="L14" i="8"/>
  <c r="K14" i="8"/>
  <c r="E14" i="8"/>
  <c r="D14" i="8"/>
  <c r="V13" i="8"/>
  <c r="O13" i="8"/>
  <c r="N13" i="8"/>
  <c r="L13" i="8"/>
  <c r="K13" i="8"/>
  <c r="E13" i="8"/>
  <c r="D13" i="8"/>
  <c r="V12" i="8"/>
  <c r="O12" i="8"/>
  <c r="N12" i="8"/>
  <c r="L12" i="8"/>
  <c r="K12" i="8"/>
  <c r="E12" i="8"/>
  <c r="D12" i="8"/>
  <c r="V11" i="8"/>
  <c r="O11" i="8"/>
  <c r="N11" i="8"/>
  <c r="K11" i="8"/>
  <c r="L11" i="8" s="1"/>
  <c r="E11" i="8"/>
  <c r="D11" i="8"/>
  <c r="AF10" i="8"/>
  <c r="V10" i="8"/>
  <c r="O10" i="8"/>
  <c r="N10" i="8"/>
  <c r="K10" i="8"/>
  <c r="L10" i="8" s="1"/>
  <c r="E10" i="8"/>
  <c r="D10" i="8"/>
  <c r="V9" i="8"/>
  <c r="O9" i="8"/>
  <c r="N9" i="8"/>
  <c r="K9" i="8"/>
  <c r="L9" i="8" s="1"/>
  <c r="E9" i="8"/>
  <c r="D9" i="8"/>
  <c r="V8" i="8"/>
  <c r="S8" i="8"/>
  <c r="O8" i="8"/>
  <c r="N8" i="8"/>
  <c r="L8" i="8"/>
  <c r="K8" i="8"/>
  <c r="E8" i="8"/>
  <c r="D8" i="8"/>
  <c r="V7" i="8"/>
  <c r="O7" i="8"/>
  <c r="N7" i="8"/>
  <c r="L7" i="8"/>
  <c r="K7" i="8"/>
  <c r="E7" i="8"/>
  <c r="D7" i="8"/>
  <c r="V6" i="8"/>
  <c r="O6" i="8"/>
  <c r="N6" i="8"/>
  <c r="L6" i="8"/>
  <c r="K6" i="8"/>
  <c r="E6" i="8"/>
  <c r="D6" i="8"/>
  <c r="V5" i="8"/>
  <c r="O5" i="8"/>
  <c r="N5" i="8"/>
  <c r="L5" i="8"/>
  <c r="K5" i="8"/>
  <c r="E5" i="8"/>
  <c r="D5" i="8"/>
  <c r="W4" i="8"/>
  <c r="V4" i="8"/>
  <c r="O4" i="8"/>
  <c r="N4" i="8"/>
  <c r="K4" i="8"/>
  <c r="L4" i="8" s="1"/>
  <c r="E4" i="8"/>
  <c r="D4" i="8"/>
  <c r="V3" i="8"/>
  <c r="O3" i="8"/>
  <c r="N3" i="8"/>
  <c r="K3" i="8"/>
  <c r="L3" i="8" s="1"/>
  <c r="E3" i="8"/>
  <c r="D3" i="8"/>
  <c r="M78" i="7"/>
  <c r="L78" i="7"/>
  <c r="K78" i="7"/>
  <c r="J78" i="7"/>
  <c r="L72" i="7"/>
  <c r="K72" i="7"/>
  <c r="J72" i="7"/>
  <c r="I68" i="7"/>
  <c r="F67" i="7"/>
  <c r="M61" i="7"/>
  <c r="K61" i="7"/>
  <c r="M58" i="7"/>
  <c r="M72" i="7" s="1"/>
  <c r="L58" i="7"/>
  <c r="K58" i="7"/>
  <c r="J58" i="7"/>
  <c r="I58" i="7"/>
  <c r="H58" i="7"/>
  <c r="H72" i="7" s="1"/>
  <c r="G58" i="7"/>
  <c r="G72" i="7" s="1"/>
  <c r="F58" i="7"/>
  <c r="F72" i="7" s="1"/>
  <c r="M57" i="7"/>
  <c r="L57" i="7"/>
  <c r="K57" i="7"/>
  <c r="J57" i="7"/>
  <c r="I57" i="7"/>
  <c r="H57" i="7"/>
  <c r="G57" i="7"/>
  <c r="F57" i="7"/>
  <c r="F78" i="7" s="1"/>
  <c r="E57" i="7"/>
  <c r="M56" i="7"/>
  <c r="M67" i="7" s="1"/>
  <c r="L56" i="7"/>
  <c r="L67" i="7" s="1"/>
  <c r="K56" i="7"/>
  <c r="K67" i="7" s="1"/>
  <c r="J56" i="7"/>
  <c r="J67" i="7" s="1"/>
  <c r="I56" i="7"/>
  <c r="H56" i="7"/>
  <c r="G56" i="7"/>
  <c r="F56" i="7"/>
  <c r="M54" i="7"/>
  <c r="L54" i="7"/>
  <c r="K54" i="7"/>
  <c r="J54" i="7"/>
  <c r="J61" i="7" s="1"/>
  <c r="I54" i="7"/>
  <c r="H54" i="7"/>
  <c r="H61" i="7" s="1"/>
  <c r="G54" i="7"/>
  <c r="F54" i="7"/>
  <c r="M53" i="7"/>
  <c r="L53" i="7"/>
  <c r="K53" i="7"/>
  <c r="J53" i="7"/>
  <c r="I53" i="7"/>
  <c r="H53" i="7"/>
  <c r="G53" i="7"/>
  <c r="F53" i="7"/>
  <c r="F61" i="7" s="1"/>
  <c r="M52" i="7"/>
  <c r="L52" i="7"/>
  <c r="K52" i="7"/>
  <c r="J52" i="7"/>
  <c r="I52" i="7"/>
  <c r="H52" i="7"/>
  <c r="G52" i="7"/>
  <c r="F52" i="7"/>
  <c r="F36" i="7"/>
  <c r="M32" i="7"/>
  <c r="G32" i="7"/>
  <c r="M31" i="7"/>
  <c r="K31" i="7"/>
  <c r="I31" i="7"/>
  <c r="G31" i="7"/>
  <c r="F31" i="7"/>
  <c r="L30" i="7"/>
  <c r="H30" i="7"/>
  <c r="G30" i="7"/>
  <c r="F30" i="7"/>
  <c r="M29" i="7"/>
  <c r="L29" i="7"/>
  <c r="L28" i="7"/>
  <c r="I28" i="7"/>
  <c r="G28" i="7"/>
  <c r="F28" i="7"/>
  <c r="M27" i="7"/>
  <c r="I27" i="7"/>
  <c r="G27" i="7"/>
  <c r="F27" i="7"/>
  <c r="L26" i="7"/>
  <c r="L25" i="7"/>
  <c r="I25" i="7"/>
  <c r="G25" i="7"/>
  <c r="L24" i="7"/>
  <c r="I24" i="7"/>
  <c r="G24" i="7"/>
  <c r="F24" i="7"/>
  <c r="I23" i="7"/>
  <c r="F23" i="7"/>
  <c r="M22" i="7"/>
  <c r="L22" i="7"/>
  <c r="K22" i="7"/>
  <c r="G22" i="7"/>
  <c r="F22" i="7"/>
  <c r="M21" i="7"/>
  <c r="L21" i="7"/>
  <c r="K21" i="7"/>
  <c r="J21" i="7"/>
  <c r="I21" i="7"/>
  <c r="H21" i="7"/>
  <c r="G21" i="7"/>
  <c r="G67" i="7" s="1"/>
  <c r="G100" i="7" s="1"/>
  <c r="F21" i="7"/>
  <c r="M20" i="7"/>
  <c r="L20" i="7"/>
  <c r="G20" i="7"/>
  <c r="F20" i="7"/>
  <c r="M19" i="7"/>
  <c r="M25" i="7" s="1"/>
  <c r="L19" i="7"/>
  <c r="L31" i="7" s="1"/>
  <c r="K19" i="7"/>
  <c r="J19" i="7"/>
  <c r="I19" i="7"/>
  <c r="I20" i="7" s="1"/>
  <c r="H19" i="7"/>
  <c r="H25" i="7" s="1"/>
  <c r="G19" i="7"/>
  <c r="G29" i="7" s="1"/>
  <c r="F19" i="7"/>
  <c r="E19" i="7"/>
  <c r="H16" i="7"/>
  <c r="I15" i="7"/>
  <c r="M14" i="7"/>
  <c r="L14" i="7"/>
  <c r="K14" i="7"/>
  <c r="K16" i="7" s="1"/>
  <c r="J14" i="7"/>
  <c r="I14" i="7"/>
  <c r="I16" i="7" s="1"/>
  <c r="H14" i="7"/>
  <c r="G14" i="7"/>
  <c r="F14" i="7"/>
  <c r="F16" i="7" s="1"/>
  <c r="E14" i="7"/>
  <c r="K13" i="7"/>
  <c r="I13" i="7"/>
  <c r="H13" i="7"/>
  <c r="F13" i="7"/>
  <c r="K12" i="7"/>
  <c r="K15" i="7" s="1"/>
  <c r="H12" i="7"/>
  <c r="F12" i="7"/>
  <c r="M11" i="7"/>
  <c r="L11" i="7"/>
  <c r="K11" i="7"/>
  <c r="J11" i="7"/>
  <c r="J12" i="7" s="1"/>
  <c r="J16" i="7" s="1"/>
  <c r="I11" i="7"/>
  <c r="I12" i="7" s="1"/>
  <c r="H11" i="7"/>
  <c r="G11" i="7"/>
  <c r="G12" i="7" s="1"/>
  <c r="F11" i="7"/>
  <c r="M9" i="7"/>
  <c r="L9" i="7"/>
  <c r="K9" i="7"/>
  <c r="J9" i="7"/>
  <c r="I9" i="7"/>
  <c r="H9" i="7"/>
  <c r="G9" i="7"/>
  <c r="F9" i="7"/>
  <c r="E9" i="7"/>
  <c r="M8" i="7"/>
  <c r="L8" i="7"/>
  <c r="K8" i="7"/>
  <c r="J8" i="7"/>
  <c r="I8" i="7"/>
  <c r="H8" i="7"/>
  <c r="G8" i="7"/>
  <c r="F8" i="7"/>
  <c r="E8" i="7"/>
  <c r="B5" i="7"/>
  <c r="B4" i="7"/>
  <c r="B3" i="7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V93" i="6"/>
  <c r="Q93" i="6"/>
  <c r="F93" i="6"/>
  <c r="AB86" i="6"/>
  <c r="Z86" i="6"/>
  <c r="O86" i="6"/>
  <c r="N86" i="6"/>
  <c r="M86" i="6"/>
  <c r="K86" i="6"/>
  <c r="J86" i="6"/>
  <c r="Z85" i="6"/>
  <c r="Q85" i="6"/>
  <c r="P85" i="6"/>
  <c r="O85" i="6"/>
  <c r="L85" i="6"/>
  <c r="J85" i="6"/>
  <c r="AF78" i="6"/>
  <c r="AE78" i="6"/>
  <c r="O78" i="6"/>
  <c r="AB77" i="6"/>
  <c r="AB80" i="6" s="1"/>
  <c r="AA77" i="6"/>
  <c r="T77" i="6"/>
  <c r="AH76" i="6"/>
  <c r="AD76" i="6"/>
  <c r="AC76" i="6"/>
  <c r="AA76" i="6"/>
  <c r="Z76" i="6"/>
  <c r="Z93" i="6" s="1"/>
  <c r="V76" i="6"/>
  <c r="V85" i="6" s="1"/>
  <c r="T76" i="6"/>
  <c r="R76" i="6"/>
  <c r="Q76" i="6"/>
  <c r="P76" i="6"/>
  <c r="N76" i="6"/>
  <c r="L76" i="6"/>
  <c r="J76" i="6"/>
  <c r="J93" i="6" s="1"/>
  <c r="P70" i="6"/>
  <c r="AJ69" i="6"/>
  <c r="AJ76" i="6" s="1"/>
  <c r="AI69" i="6"/>
  <c r="AI76" i="6" s="1"/>
  <c r="AH69" i="6"/>
  <c r="AG69" i="6"/>
  <c r="AG76" i="6" s="1"/>
  <c r="AF69" i="6"/>
  <c r="AE69" i="6"/>
  <c r="AE76" i="6" s="1"/>
  <c r="AD69" i="6"/>
  <c r="AC69" i="6"/>
  <c r="AB69" i="6"/>
  <c r="AB76" i="6" s="1"/>
  <c r="AB85" i="6" s="1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O76" i="6" s="1"/>
  <c r="N69" i="6"/>
  <c r="M69" i="6"/>
  <c r="L69" i="6"/>
  <c r="K69" i="6"/>
  <c r="J69" i="6"/>
  <c r="I69" i="6"/>
  <c r="H69" i="6"/>
  <c r="G69" i="6"/>
  <c r="F69" i="6"/>
  <c r="F76" i="6" s="1"/>
  <c r="AJ66" i="6"/>
  <c r="AJ70" i="6" s="1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T70" i="6" s="1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J77" i="6" s="1"/>
  <c r="I62" i="6"/>
  <c r="H62" i="6"/>
  <c r="G62" i="6"/>
  <c r="F62" i="6"/>
  <c r="AJ60" i="6"/>
  <c r="AI60" i="6"/>
  <c r="AH60" i="6"/>
  <c r="AG60" i="6"/>
  <c r="AF60" i="6"/>
  <c r="AE60" i="6"/>
  <c r="AD60" i="6"/>
  <c r="AC60" i="6"/>
  <c r="AC77" i="6" s="1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G86" i="6" s="1"/>
  <c r="F55" i="6"/>
  <c r="E55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Q77" i="6" s="1"/>
  <c r="P39" i="6"/>
  <c r="O39" i="6"/>
  <c r="N39" i="6"/>
  <c r="N77" i="6" s="1"/>
  <c r="M39" i="6"/>
  <c r="L39" i="6"/>
  <c r="K39" i="6"/>
  <c r="J39" i="6"/>
  <c r="I39" i="6"/>
  <c r="H39" i="6"/>
  <c r="G39" i="6"/>
  <c r="F39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AJ37" i="6"/>
  <c r="AI37" i="6"/>
  <c r="AH37" i="6"/>
  <c r="AG37" i="6"/>
  <c r="AF37" i="6"/>
  <c r="AE37" i="6"/>
  <c r="AE70" i="6" s="1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G70" i="6" s="1"/>
  <c r="F37" i="6"/>
  <c r="AJ36" i="6"/>
  <c r="AI36" i="6"/>
  <c r="AH36" i="6"/>
  <c r="AG36" i="6"/>
  <c r="AF36" i="6"/>
  <c r="AE36" i="6"/>
  <c r="AD36" i="6"/>
  <c r="AC36" i="6"/>
  <c r="AB36" i="6"/>
  <c r="AA36" i="6"/>
  <c r="AA78" i="6" s="1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AJ35" i="6"/>
  <c r="AI35" i="6"/>
  <c r="AH35" i="6"/>
  <c r="AG35" i="6"/>
  <c r="AF35" i="6"/>
  <c r="AE35" i="6"/>
  <c r="AD35" i="6"/>
  <c r="AC35" i="6"/>
  <c r="AB35" i="6"/>
  <c r="AB70" i="6" s="1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AI34" i="6"/>
  <c r="AG34" i="6"/>
  <c r="AE34" i="6"/>
  <c r="AD34" i="6"/>
  <c r="AC34" i="6"/>
  <c r="AB34" i="6"/>
  <c r="W34" i="6"/>
  <c r="P34" i="6"/>
  <c r="O34" i="6"/>
  <c r="M34" i="6"/>
  <c r="K34" i="6"/>
  <c r="G34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AJ32" i="6"/>
  <c r="AI32" i="6"/>
  <c r="AI78" i="6" s="1"/>
  <c r="AH32" i="6"/>
  <c r="AH78" i="6" s="1"/>
  <c r="AG32" i="6"/>
  <c r="AG78" i="6" s="1"/>
  <c r="AF32" i="6"/>
  <c r="AE32" i="6"/>
  <c r="AD32" i="6"/>
  <c r="AC32" i="6"/>
  <c r="AB32" i="6"/>
  <c r="AB78" i="6" s="1"/>
  <c r="AA32" i="6"/>
  <c r="Z32" i="6"/>
  <c r="Y32" i="6"/>
  <c r="Y78" i="6" s="1"/>
  <c r="X32" i="6"/>
  <c r="W32" i="6"/>
  <c r="W78" i="6" s="1"/>
  <c r="V32" i="6"/>
  <c r="V78" i="6" s="1"/>
  <c r="U32" i="6"/>
  <c r="U78" i="6" s="1"/>
  <c r="T32" i="6"/>
  <c r="T78" i="6" s="1"/>
  <c r="S32" i="6"/>
  <c r="S78" i="6" s="1"/>
  <c r="R32" i="6"/>
  <c r="Q32" i="6"/>
  <c r="P32" i="6"/>
  <c r="P78" i="6" s="1"/>
  <c r="O32" i="6"/>
  <c r="N32" i="6"/>
  <c r="M32" i="6"/>
  <c r="M78" i="6" s="1"/>
  <c r="L32" i="6"/>
  <c r="K32" i="6"/>
  <c r="K78" i="6" s="1"/>
  <c r="J32" i="6"/>
  <c r="J78" i="6" s="1"/>
  <c r="I32" i="6"/>
  <c r="I78" i="6" s="1"/>
  <c r="H32" i="6"/>
  <c r="H78" i="6" s="1"/>
  <c r="G32" i="6"/>
  <c r="G78" i="6" s="1"/>
  <c r="F32" i="6"/>
  <c r="AJ31" i="6"/>
  <c r="AJ34" i="6" s="1"/>
  <c r="AI31" i="6"/>
  <c r="AH31" i="6"/>
  <c r="AH34" i="6" s="1"/>
  <c r="AG31" i="6"/>
  <c r="AF31" i="6"/>
  <c r="AF34" i="6" s="1"/>
  <c r="AE31" i="6"/>
  <c r="AD31" i="6"/>
  <c r="AC31" i="6"/>
  <c r="AB31" i="6"/>
  <c r="AA31" i="6"/>
  <c r="AA34" i="6" s="1"/>
  <c r="Z31" i="6"/>
  <c r="Y31" i="6"/>
  <c r="Y34" i="6" s="1"/>
  <c r="X31" i="6"/>
  <c r="X34" i="6" s="1"/>
  <c r="W31" i="6"/>
  <c r="V31" i="6"/>
  <c r="V34" i="6" s="1"/>
  <c r="U31" i="6"/>
  <c r="U34" i="6" s="1"/>
  <c r="T31" i="6"/>
  <c r="T34" i="6" s="1"/>
  <c r="S31" i="6"/>
  <c r="S34" i="6" s="1"/>
  <c r="R31" i="6"/>
  <c r="Q31" i="6"/>
  <c r="P31" i="6"/>
  <c r="O31" i="6"/>
  <c r="N31" i="6"/>
  <c r="M31" i="6"/>
  <c r="L31" i="6"/>
  <c r="L34" i="6" s="1"/>
  <c r="K31" i="6"/>
  <c r="J31" i="6"/>
  <c r="J34" i="6" s="1"/>
  <c r="I31" i="6"/>
  <c r="I34" i="6" s="1"/>
  <c r="H31" i="6"/>
  <c r="H34" i="6" s="1"/>
  <c r="G31" i="6"/>
  <c r="F31" i="6"/>
  <c r="AJ30" i="6"/>
  <c r="AI30" i="6"/>
  <c r="AH30" i="6"/>
  <c r="AG30" i="6"/>
  <c r="AF30" i="6"/>
  <c r="AE30" i="6"/>
  <c r="AD30" i="6"/>
  <c r="AC30" i="6"/>
  <c r="AC86" i="6" s="1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E21" i="7" s="1"/>
  <c r="E61" i="7" s="1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B6" i="6"/>
  <c r="B5" i="6"/>
  <c r="B4" i="6"/>
  <c r="B3" i="6"/>
  <c r="AS64" i="5"/>
  <c r="AR64" i="5"/>
  <c r="AQ64" i="5"/>
  <c r="AO64" i="5"/>
  <c r="AM64" i="5"/>
  <c r="AJ64" i="5"/>
  <c r="AH64" i="5"/>
  <c r="AB64" i="5"/>
  <c r="AA64" i="5"/>
  <c r="Z64" i="5"/>
  <c r="X64" i="5"/>
  <c r="V64" i="5"/>
  <c r="S64" i="5"/>
  <c r="Q64" i="5"/>
  <c r="O64" i="5"/>
  <c r="N64" i="5"/>
  <c r="L64" i="5"/>
  <c r="J64" i="5"/>
  <c r="I64" i="5"/>
  <c r="AT56" i="5"/>
  <c r="AT64" i="5" s="1"/>
  <c r="AS56" i="5"/>
  <c r="AR56" i="5"/>
  <c r="AQ56" i="5"/>
  <c r="AP56" i="5"/>
  <c r="AP64" i="5" s="1"/>
  <c r="AO56" i="5"/>
  <c r="AN56" i="5"/>
  <c r="AN64" i="5" s="1"/>
  <c r="AM56" i="5"/>
  <c r="AL56" i="5"/>
  <c r="AL64" i="5" s="1"/>
  <c r="AK56" i="5"/>
  <c r="AK64" i="5" s="1"/>
  <c r="AJ56" i="5"/>
  <c r="AI56" i="5"/>
  <c r="AI64" i="5" s="1"/>
  <c r="AH56" i="5"/>
  <c r="AG56" i="5"/>
  <c r="AG64" i="5" s="1"/>
  <c r="AF56" i="5"/>
  <c r="AF64" i="5" s="1"/>
  <c r="AE56" i="5"/>
  <c r="AE64" i="5" s="1"/>
  <c r="AD56" i="5"/>
  <c r="AD64" i="5" s="1"/>
  <c r="AC56" i="5"/>
  <c r="AC64" i="5" s="1"/>
  <c r="AB56" i="5"/>
  <c r="AA56" i="5"/>
  <c r="Z56" i="5"/>
  <c r="Y56" i="5"/>
  <c r="Y64" i="5" s="1"/>
  <c r="X56" i="5"/>
  <c r="W56" i="5"/>
  <c r="W64" i="5" s="1"/>
  <c r="V56" i="5"/>
  <c r="U56" i="5"/>
  <c r="U64" i="5" s="1"/>
  <c r="T56" i="5"/>
  <c r="T64" i="5" s="1"/>
  <c r="S56" i="5"/>
  <c r="R56" i="5"/>
  <c r="R64" i="5" s="1"/>
  <c r="Q56" i="5"/>
  <c r="P56" i="5"/>
  <c r="P64" i="5" s="1"/>
  <c r="O56" i="5"/>
  <c r="N56" i="5"/>
  <c r="M56" i="5"/>
  <c r="M64" i="5" s="1"/>
  <c r="L56" i="5"/>
  <c r="K56" i="5"/>
  <c r="K64" i="5" s="1"/>
  <c r="J56" i="5"/>
  <c r="I56" i="5"/>
  <c r="H56" i="5"/>
  <c r="H64" i="5" s="1"/>
  <c r="G56" i="5"/>
  <c r="G64" i="5" s="1"/>
  <c r="F56" i="5"/>
  <c r="F64" i="5" s="1"/>
  <c r="E56" i="5"/>
  <c r="E64" i="5" s="1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S6" i="5"/>
  <c r="AO6" i="5"/>
  <c r="AA6" i="5"/>
  <c r="W6" i="5"/>
  <c r="AW5" i="5"/>
  <c r="AS5" i="5"/>
  <c r="AO5" i="5"/>
  <c r="AE5" i="5"/>
  <c r="AA5" i="5"/>
  <c r="W5" i="5"/>
  <c r="B5" i="5"/>
  <c r="AW4" i="5"/>
  <c r="AS4" i="5"/>
  <c r="AE4" i="5"/>
  <c r="AA4" i="5"/>
  <c r="B4" i="5"/>
  <c r="AW3" i="5"/>
  <c r="AO3" i="5"/>
  <c r="AE3" i="5"/>
  <c r="W3" i="5"/>
  <c r="I3" i="5"/>
  <c r="AS3" i="5" s="1"/>
  <c r="B3" i="5"/>
  <c r="AW2" i="5"/>
  <c r="AS2" i="5"/>
  <c r="AO2" i="5"/>
  <c r="AE2" i="5"/>
  <c r="AA2" i="5"/>
  <c r="W2" i="5"/>
  <c r="AU1" i="5"/>
  <c r="AC1" i="5"/>
  <c r="AT64" i="4"/>
  <c r="AS64" i="4"/>
  <c r="AR64" i="4"/>
  <c r="AQ64" i="4"/>
  <c r="AN64" i="4"/>
  <c r="AJ64" i="4"/>
  <c r="AF64" i="4"/>
  <c r="AE64" i="4"/>
  <c r="U64" i="4"/>
  <c r="T64" i="4"/>
  <c r="S64" i="4"/>
  <c r="P64" i="4"/>
  <c r="O64" i="4"/>
  <c r="N64" i="4"/>
  <c r="L64" i="4"/>
  <c r="K64" i="4"/>
  <c r="H64" i="4"/>
  <c r="G64" i="4"/>
  <c r="AT56" i="4"/>
  <c r="AS56" i="4"/>
  <c r="AR56" i="4"/>
  <c r="AQ56" i="4"/>
  <c r="AP56" i="4"/>
  <c r="AP64" i="4" s="1"/>
  <c r="AO56" i="4"/>
  <c r="AO64" i="4" s="1"/>
  <c r="AN56" i="4"/>
  <c r="AM56" i="4"/>
  <c r="AM64" i="4" s="1"/>
  <c r="AL56" i="4"/>
  <c r="AL64" i="4" s="1"/>
  <c r="AK56" i="4"/>
  <c r="AK64" i="4" s="1"/>
  <c r="AJ56" i="4"/>
  <c r="AI56" i="4"/>
  <c r="AI64" i="4" s="1"/>
  <c r="AH56" i="4"/>
  <c r="AH64" i="4" s="1"/>
  <c r="AG56" i="4"/>
  <c r="AG64" i="4" s="1"/>
  <c r="AF56" i="4"/>
  <c r="AE56" i="4"/>
  <c r="AD56" i="4"/>
  <c r="AD64" i="4" s="1"/>
  <c r="AC56" i="4"/>
  <c r="AC64" i="4" s="1"/>
  <c r="AB56" i="4"/>
  <c r="AB64" i="4" s="1"/>
  <c r="AA56" i="4"/>
  <c r="AA64" i="4" s="1"/>
  <c r="Z56" i="4"/>
  <c r="Z64" i="4" s="1"/>
  <c r="Y56" i="4"/>
  <c r="Y64" i="4" s="1"/>
  <c r="X56" i="4"/>
  <c r="X64" i="4" s="1"/>
  <c r="W56" i="4"/>
  <c r="W64" i="4" s="1"/>
  <c r="V56" i="4"/>
  <c r="V64" i="4" s="1"/>
  <c r="U56" i="4"/>
  <c r="T56" i="4"/>
  <c r="S56" i="4"/>
  <c r="R56" i="4"/>
  <c r="R64" i="4" s="1"/>
  <c r="Q56" i="4"/>
  <c r="Q64" i="4" s="1"/>
  <c r="P56" i="4"/>
  <c r="O56" i="4"/>
  <c r="N56" i="4"/>
  <c r="M56" i="4"/>
  <c r="M64" i="4" s="1"/>
  <c r="L56" i="4"/>
  <c r="K56" i="4"/>
  <c r="J56" i="4"/>
  <c r="J64" i="4" s="1"/>
  <c r="I56" i="4"/>
  <c r="I64" i="4" s="1"/>
  <c r="H56" i="4"/>
  <c r="G56" i="4"/>
  <c r="F56" i="4"/>
  <c r="F64" i="4" s="1"/>
  <c r="E56" i="4"/>
  <c r="E64" i="4" s="1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S6" i="4"/>
  <c r="AA6" i="4"/>
  <c r="AW5" i="4"/>
  <c r="AS5" i="4"/>
  <c r="AE5" i="4"/>
  <c r="AA5" i="4"/>
  <c r="B5" i="4"/>
  <c r="AW4" i="4"/>
  <c r="AS4" i="4"/>
  <c r="AE4" i="4"/>
  <c r="AA4" i="4"/>
  <c r="B4" i="4"/>
  <c r="AW3" i="4"/>
  <c r="AE3" i="4"/>
  <c r="AA3" i="4"/>
  <c r="I3" i="4"/>
  <c r="AS3" i="4" s="1"/>
  <c r="B3" i="4"/>
  <c r="AW2" i="4"/>
  <c r="AS2" i="4"/>
  <c r="AE2" i="4"/>
  <c r="AA2" i="4"/>
  <c r="K78" i="3"/>
  <c r="E78" i="3"/>
  <c r="I72" i="3"/>
  <c r="H72" i="3"/>
  <c r="G72" i="3"/>
  <c r="E72" i="3"/>
  <c r="J68" i="3"/>
  <c r="G67" i="3"/>
  <c r="E67" i="3"/>
  <c r="M58" i="3"/>
  <c r="M72" i="3" s="1"/>
  <c r="L58" i="3"/>
  <c r="L72" i="3" s="1"/>
  <c r="K58" i="3"/>
  <c r="J58" i="3"/>
  <c r="I58" i="3"/>
  <c r="H58" i="3"/>
  <c r="G58" i="3"/>
  <c r="F58" i="3"/>
  <c r="E58" i="3"/>
  <c r="E62" i="6" s="1"/>
  <c r="M57" i="3"/>
  <c r="M78" i="3" s="1"/>
  <c r="L57" i="3"/>
  <c r="L78" i="3" s="1"/>
  <c r="K57" i="3"/>
  <c r="J57" i="3"/>
  <c r="I57" i="3"/>
  <c r="I78" i="3" s="1"/>
  <c r="H57" i="3"/>
  <c r="H78" i="3" s="1"/>
  <c r="G57" i="3"/>
  <c r="G78" i="3" s="1"/>
  <c r="F57" i="3"/>
  <c r="F78" i="3" s="1"/>
  <c r="E57" i="3"/>
  <c r="M56" i="3"/>
  <c r="M67" i="3" s="1"/>
  <c r="L56" i="3"/>
  <c r="L67" i="3" s="1"/>
  <c r="K56" i="3"/>
  <c r="J56" i="3"/>
  <c r="J67" i="3" s="1"/>
  <c r="I56" i="3"/>
  <c r="I67" i="3" s="1"/>
  <c r="H56" i="3"/>
  <c r="H67" i="3" s="1"/>
  <c r="G56" i="3"/>
  <c r="F56" i="3"/>
  <c r="F67" i="3" s="1"/>
  <c r="E56" i="3"/>
  <c r="E60" i="6" s="1"/>
  <c r="E56" i="7" s="1"/>
  <c r="E67" i="7" s="1"/>
  <c r="M54" i="3"/>
  <c r="L54" i="3"/>
  <c r="K54" i="3"/>
  <c r="J54" i="3"/>
  <c r="I54" i="3"/>
  <c r="I61" i="3" s="1"/>
  <c r="H54" i="3"/>
  <c r="G54" i="3"/>
  <c r="G61" i="3" s="1"/>
  <c r="F54" i="3"/>
  <c r="F61" i="3" s="1"/>
  <c r="E54" i="3"/>
  <c r="E61" i="3" s="1"/>
  <c r="M53" i="3"/>
  <c r="L53" i="3"/>
  <c r="K53" i="3"/>
  <c r="J53" i="3"/>
  <c r="I53" i="3"/>
  <c r="H53" i="3"/>
  <c r="G53" i="3"/>
  <c r="F53" i="3"/>
  <c r="E53" i="3"/>
  <c r="M52" i="3"/>
  <c r="L52" i="3"/>
  <c r="K52" i="3"/>
  <c r="J52" i="3"/>
  <c r="I52" i="3"/>
  <c r="H52" i="3"/>
  <c r="G52" i="3"/>
  <c r="F52" i="3"/>
  <c r="E52" i="3"/>
  <c r="J44" i="3"/>
  <c r="J39" i="3"/>
  <c r="J43" i="3" s="1"/>
  <c r="F34" i="3"/>
  <c r="K31" i="3"/>
  <c r="J31" i="3"/>
  <c r="I31" i="3"/>
  <c r="H31" i="3"/>
  <c r="G31" i="3"/>
  <c r="F31" i="3"/>
  <c r="K30" i="3"/>
  <c r="I30" i="3"/>
  <c r="F30" i="3"/>
  <c r="M29" i="3"/>
  <c r="L29" i="3"/>
  <c r="K29" i="3"/>
  <c r="J29" i="3"/>
  <c r="H29" i="3"/>
  <c r="M28" i="3"/>
  <c r="J28" i="3"/>
  <c r="I28" i="3"/>
  <c r="H28" i="3"/>
  <c r="E28" i="3"/>
  <c r="E33" i="6" s="1"/>
  <c r="M27" i="3"/>
  <c r="L27" i="3"/>
  <c r="J27" i="3"/>
  <c r="I27" i="3"/>
  <c r="F27" i="3"/>
  <c r="M26" i="3"/>
  <c r="K26" i="3"/>
  <c r="J26" i="3"/>
  <c r="I26" i="3"/>
  <c r="H26" i="3"/>
  <c r="F26" i="3"/>
  <c r="M25" i="3"/>
  <c r="F25" i="3"/>
  <c r="M24" i="3"/>
  <c r="K24" i="3"/>
  <c r="J24" i="3"/>
  <c r="I24" i="3"/>
  <c r="L23" i="3"/>
  <c r="K23" i="3"/>
  <c r="J23" i="3"/>
  <c r="I23" i="3"/>
  <c r="G23" i="3"/>
  <c r="F23" i="3"/>
  <c r="K22" i="3"/>
  <c r="K36" i="3" s="1"/>
  <c r="J22" i="3"/>
  <c r="I22" i="3"/>
  <c r="F22" i="3"/>
  <c r="M21" i="3"/>
  <c r="L21" i="3"/>
  <c r="K21" i="3"/>
  <c r="J21" i="3"/>
  <c r="I21" i="3"/>
  <c r="H21" i="3"/>
  <c r="G21" i="3"/>
  <c r="F21" i="3"/>
  <c r="E21" i="3"/>
  <c r="M20" i="3"/>
  <c r="L20" i="3"/>
  <c r="K20" i="3"/>
  <c r="I20" i="3"/>
  <c r="H20" i="3"/>
  <c r="G20" i="3"/>
  <c r="E20" i="3"/>
  <c r="M19" i="3"/>
  <c r="M30" i="3" s="1"/>
  <c r="L19" i="3"/>
  <c r="L25" i="3" s="1"/>
  <c r="K19" i="3"/>
  <c r="K27" i="3" s="1"/>
  <c r="J19" i="3"/>
  <c r="J25" i="3" s="1"/>
  <c r="J32" i="3" s="1"/>
  <c r="J84" i="3" s="1"/>
  <c r="I19" i="3"/>
  <c r="H19" i="3"/>
  <c r="H23" i="3" s="1"/>
  <c r="G19" i="3"/>
  <c r="G28" i="3" s="1"/>
  <c r="F19" i="3"/>
  <c r="E19" i="3"/>
  <c r="J16" i="3"/>
  <c r="L15" i="3"/>
  <c r="J15" i="3"/>
  <c r="M14" i="3"/>
  <c r="L14" i="3"/>
  <c r="L16" i="3" s="1"/>
  <c r="K14" i="3"/>
  <c r="J14" i="3"/>
  <c r="I14" i="3"/>
  <c r="H14" i="3"/>
  <c r="G14" i="3"/>
  <c r="F14" i="3"/>
  <c r="E14" i="3"/>
  <c r="M13" i="3"/>
  <c r="L13" i="3"/>
  <c r="K13" i="3"/>
  <c r="J13" i="3"/>
  <c r="I13" i="3"/>
  <c r="K12" i="3"/>
  <c r="K15" i="3" s="1"/>
  <c r="J12" i="3"/>
  <c r="I12" i="3"/>
  <c r="H12" i="3"/>
  <c r="F12" i="3"/>
  <c r="F15" i="3" s="1"/>
  <c r="M11" i="3"/>
  <c r="L11" i="3"/>
  <c r="L12" i="3" s="1"/>
  <c r="K11" i="3"/>
  <c r="AF9" i="8" s="1"/>
  <c r="J11" i="3"/>
  <c r="AF8" i="8" s="1"/>
  <c r="I11" i="3"/>
  <c r="AF7" i="8" s="1"/>
  <c r="H11" i="3"/>
  <c r="G11" i="3"/>
  <c r="F11" i="3"/>
  <c r="E11" i="3"/>
  <c r="M9" i="3"/>
  <c r="AC11" i="8" s="1"/>
  <c r="L9" i="3"/>
  <c r="AC10" i="8" s="1"/>
  <c r="K9" i="3"/>
  <c r="AC9" i="8" s="1"/>
  <c r="J9" i="3"/>
  <c r="AC8" i="8" s="1"/>
  <c r="I9" i="3"/>
  <c r="AC7" i="8" s="1"/>
  <c r="H9" i="3"/>
  <c r="AC6" i="8" s="1"/>
  <c r="G9" i="3"/>
  <c r="AC5" i="8" s="1"/>
  <c r="F9" i="3"/>
  <c r="AC4" i="8" s="1"/>
  <c r="E9" i="3"/>
  <c r="AC3" i="8" s="1"/>
  <c r="M8" i="3"/>
  <c r="AD11" i="8" s="1"/>
  <c r="L8" i="3"/>
  <c r="AD10" i="8" s="1"/>
  <c r="K8" i="3"/>
  <c r="AD9" i="8" s="1"/>
  <c r="J8" i="3"/>
  <c r="AD8" i="8" s="1"/>
  <c r="I8" i="3"/>
  <c r="AD7" i="8" s="1"/>
  <c r="H8" i="3"/>
  <c r="AD6" i="8" s="1"/>
  <c r="G8" i="3"/>
  <c r="AD5" i="8" s="1"/>
  <c r="F8" i="3"/>
  <c r="AD4" i="8" s="1"/>
  <c r="E8" i="3"/>
  <c r="AD3" i="8" s="1"/>
  <c r="B5" i="3"/>
  <c r="B4" i="3"/>
  <c r="B3" i="3"/>
  <c r="X80" i="2"/>
  <c r="U80" i="2"/>
  <c r="P80" i="2"/>
  <c r="O80" i="2"/>
  <c r="L80" i="2"/>
  <c r="I80" i="2"/>
  <c r="H80" i="2"/>
  <c r="G80" i="2"/>
  <c r="E80" i="2"/>
  <c r="K80" i="2" s="1"/>
  <c r="D80" i="2"/>
  <c r="C80" i="2"/>
  <c r="B80" i="2"/>
  <c r="X79" i="2"/>
  <c r="O79" i="2" s="1"/>
  <c r="U79" i="2"/>
  <c r="L79" i="2"/>
  <c r="K79" i="2" s="1"/>
  <c r="I79" i="2"/>
  <c r="H79" i="2"/>
  <c r="G79" i="2"/>
  <c r="P79" i="2" s="1"/>
  <c r="E79" i="2"/>
  <c r="D79" i="2"/>
  <c r="C79" i="2"/>
  <c r="B79" i="2"/>
  <c r="X78" i="2"/>
  <c r="O78" i="2" s="1"/>
  <c r="U78" i="2"/>
  <c r="L78" i="2"/>
  <c r="J78" i="2"/>
  <c r="I78" i="2"/>
  <c r="H78" i="2"/>
  <c r="G78" i="2"/>
  <c r="P78" i="2" s="1"/>
  <c r="E78" i="2"/>
  <c r="D78" i="2"/>
  <c r="C78" i="2"/>
  <c r="B78" i="2"/>
  <c r="X77" i="2"/>
  <c r="O77" i="2" s="1"/>
  <c r="U77" i="2"/>
  <c r="L77" i="2"/>
  <c r="J77" i="2"/>
  <c r="I77" i="2"/>
  <c r="H77" i="2"/>
  <c r="G77" i="2"/>
  <c r="P77" i="2" s="1"/>
  <c r="E77" i="2"/>
  <c r="D77" i="2"/>
  <c r="C77" i="2"/>
  <c r="B77" i="2"/>
  <c r="X76" i="2"/>
  <c r="O76" i="2" s="1"/>
  <c r="U76" i="2"/>
  <c r="L76" i="2"/>
  <c r="I76" i="2"/>
  <c r="H76" i="2"/>
  <c r="G76" i="2"/>
  <c r="P76" i="2" s="1"/>
  <c r="E76" i="2"/>
  <c r="K76" i="2" s="1"/>
  <c r="D76" i="2"/>
  <c r="C76" i="2"/>
  <c r="B76" i="2"/>
  <c r="X75" i="2"/>
  <c r="U75" i="2"/>
  <c r="O75" i="2"/>
  <c r="L75" i="2"/>
  <c r="G75" i="2"/>
  <c r="P75" i="2" s="1"/>
  <c r="X74" i="2"/>
  <c r="U74" i="2"/>
  <c r="P74" i="2"/>
  <c r="O74" i="2"/>
  <c r="L74" i="2"/>
  <c r="G74" i="2"/>
  <c r="X73" i="2"/>
  <c r="U73" i="2"/>
  <c r="P73" i="2"/>
  <c r="O73" i="2"/>
  <c r="L73" i="2"/>
  <c r="G73" i="2"/>
  <c r="X72" i="2"/>
  <c r="O72" i="2" s="1"/>
  <c r="U72" i="2"/>
  <c r="P72" i="2"/>
  <c r="L72" i="2"/>
  <c r="G72" i="2"/>
  <c r="X71" i="2"/>
  <c r="O71" i="2" s="1"/>
  <c r="U71" i="2"/>
  <c r="P71" i="2"/>
  <c r="L71" i="2"/>
  <c r="G71" i="2"/>
  <c r="X70" i="2"/>
  <c r="O70" i="2" s="1"/>
  <c r="U70" i="2"/>
  <c r="L70" i="2"/>
  <c r="G70" i="2"/>
  <c r="P70" i="2" s="1"/>
  <c r="X69" i="2"/>
  <c r="O69" i="2" s="1"/>
  <c r="U69" i="2"/>
  <c r="L69" i="2"/>
  <c r="G69" i="2"/>
  <c r="P69" i="2" s="1"/>
  <c r="X68" i="2"/>
  <c r="O68" i="2" s="1"/>
  <c r="U68" i="2"/>
  <c r="P68" i="2"/>
  <c r="L68" i="2"/>
  <c r="G68" i="2"/>
  <c r="X67" i="2"/>
  <c r="U67" i="2"/>
  <c r="O67" i="2"/>
  <c r="L67" i="2"/>
  <c r="G67" i="2"/>
  <c r="P67" i="2" s="1"/>
  <c r="X66" i="2"/>
  <c r="U66" i="2"/>
  <c r="P66" i="2"/>
  <c r="O66" i="2"/>
  <c r="L66" i="2"/>
  <c r="G66" i="2"/>
  <c r="X65" i="2"/>
  <c r="O65" i="2" s="1"/>
  <c r="U65" i="2"/>
  <c r="P65" i="2"/>
  <c r="L65" i="2"/>
  <c r="G65" i="2"/>
  <c r="X64" i="2"/>
  <c r="U64" i="2"/>
  <c r="P64" i="2"/>
  <c r="O64" i="2"/>
  <c r="L64" i="2"/>
  <c r="G64" i="2"/>
  <c r="X63" i="2"/>
  <c r="U63" i="2"/>
  <c r="P63" i="2"/>
  <c r="O63" i="2"/>
  <c r="L63" i="2"/>
  <c r="G63" i="2"/>
  <c r="X62" i="2"/>
  <c r="O62" i="2" s="1"/>
  <c r="U62" i="2"/>
  <c r="P62" i="2"/>
  <c r="L62" i="2"/>
  <c r="G62" i="2"/>
  <c r="X61" i="2"/>
  <c r="O61" i="2" s="1"/>
  <c r="U61" i="2"/>
  <c r="L61" i="2"/>
  <c r="G61" i="2"/>
  <c r="P61" i="2" s="1"/>
  <c r="X60" i="2"/>
  <c r="O60" i="2" s="1"/>
  <c r="U60" i="2"/>
  <c r="L60" i="2"/>
  <c r="G60" i="2"/>
  <c r="P60" i="2" s="1"/>
  <c r="X59" i="2"/>
  <c r="O59" i="2" s="1"/>
  <c r="U59" i="2"/>
  <c r="L59" i="2"/>
  <c r="G59" i="2"/>
  <c r="P59" i="2" s="1"/>
  <c r="E59" i="2"/>
  <c r="X58" i="2"/>
  <c r="O58" i="2" s="1"/>
  <c r="U58" i="2"/>
  <c r="P58" i="2"/>
  <c r="L58" i="2"/>
  <c r="G58" i="2"/>
  <c r="X57" i="2"/>
  <c r="U57" i="2"/>
  <c r="P57" i="2"/>
  <c r="O57" i="2"/>
  <c r="L57" i="2"/>
  <c r="G57" i="2"/>
  <c r="X56" i="2"/>
  <c r="U56" i="2"/>
  <c r="P56" i="2"/>
  <c r="O56" i="2"/>
  <c r="L56" i="2"/>
  <c r="G56" i="2"/>
  <c r="K50" i="2"/>
  <c r="D6" i="2"/>
  <c r="B6" i="3" s="1"/>
  <c r="X5" i="2"/>
  <c r="X4" i="2"/>
  <c r="X3" i="2"/>
  <c r="X2" i="2"/>
  <c r="J9" i="1"/>
  <c r="I9" i="1"/>
  <c r="H9" i="1"/>
  <c r="F9" i="1"/>
  <c r="E9" i="1"/>
  <c r="D9" i="1"/>
  <c r="C9" i="1"/>
  <c r="B9" i="1"/>
  <c r="J8" i="1"/>
  <c r="AE11" i="8" s="1"/>
  <c r="I8" i="1"/>
  <c r="AE10" i="8" s="1"/>
  <c r="H8" i="1"/>
  <c r="AE9" i="8" s="1"/>
  <c r="G8" i="1"/>
  <c r="AE8" i="8" s="1"/>
  <c r="F8" i="1"/>
  <c r="AE7" i="8" s="1"/>
  <c r="E8" i="1"/>
  <c r="AE6" i="8" s="1"/>
  <c r="D8" i="1"/>
  <c r="AE5" i="8" s="1"/>
  <c r="C8" i="1"/>
  <c r="AE4" i="8" s="1"/>
  <c r="B8" i="1"/>
  <c r="AE3" i="8" s="1"/>
  <c r="C51" i="2" l="1"/>
  <c r="C42" i="2"/>
  <c r="C29" i="2"/>
  <c r="C47" i="2"/>
  <c r="C35" i="2"/>
  <c r="A27" i="8" s="1"/>
  <c r="C23" i="2"/>
  <c r="A15" i="8" s="1"/>
  <c r="C46" i="2"/>
  <c r="C34" i="2"/>
  <c r="A26" i="8" s="1"/>
  <c r="C22" i="2"/>
  <c r="A14" i="8" s="1"/>
  <c r="C45" i="2"/>
  <c r="C33" i="2"/>
  <c r="A25" i="8" s="1"/>
  <c r="C21" i="2"/>
  <c r="A13" i="8" s="1"/>
  <c r="C32" i="2"/>
  <c r="A24" i="8" s="1"/>
  <c r="C20" i="2"/>
  <c r="A12" i="8" s="1"/>
  <c r="D22" i="9"/>
  <c r="C43" i="2"/>
  <c r="C19" i="2"/>
  <c r="A11" i="8" s="1"/>
  <c r="C26" i="2"/>
  <c r="A18" i="8" s="1"/>
  <c r="L50" i="2"/>
  <c r="C30" i="2"/>
  <c r="C23" i="9"/>
  <c r="U5" i="8"/>
  <c r="E64" i="2"/>
  <c r="K64" i="2" s="1"/>
  <c r="AO33" i="2"/>
  <c r="A8" i="8"/>
  <c r="A9" i="8"/>
  <c r="A6" i="8"/>
  <c r="AN37" i="2"/>
  <c r="AR37" i="2" s="1"/>
  <c r="AC37" i="2" s="1"/>
  <c r="AN25" i="2"/>
  <c r="A5" i="8"/>
  <c r="E68" i="2"/>
  <c r="K68" i="2" s="1"/>
  <c r="U16" i="8"/>
  <c r="AO19" i="2"/>
  <c r="U3" i="8"/>
  <c r="T23" i="8"/>
  <c r="AN49" i="2"/>
  <c r="AR49" i="2" s="1"/>
  <c r="AC49" i="2" s="1"/>
  <c r="M8" i="4"/>
  <c r="M19" i="4" s="1"/>
  <c r="AN50" i="2"/>
  <c r="AR50" i="2" s="1"/>
  <c r="AC50" i="2" s="1"/>
  <c r="AO13" i="2"/>
  <c r="U4" i="8"/>
  <c r="T7" i="6"/>
  <c r="T18" i="6" s="1"/>
  <c r="T79" i="6" s="1"/>
  <c r="T87" i="6" s="1"/>
  <c r="T88" i="6" s="1"/>
  <c r="S7" i="8"/>
  <c r="AO25" i="2"/>
  <c r="D60" i="2"/>
  <c r="U7" i="6"/>
  <c r="U10" i="6" s="1"/>
  <c r="U11" i="6" s="1"/>
  <c r="U15" i="6" s="1"/>
  <c r="K26" i="2"/>
  <c r="C18" i="8" s="1"/>
  <c r="A20" i="8"/>
  <c r="I8" i="4"/>
  <c r="I19" i="4" s="1"/>
  <c r="H8" i="5"/>
  <c r="H28" i="5" s="1"/>
  <c r="H48" i="5" s="1"/>
  <c r="AD7" i="6"/>
  <c r="AD17" i="6" s="1"/>
  <c r="AD94" i="6" s="1"/>
  <c r="I19" i="8"/>
  <c r="AO28" i="2"/>
  <c r="T8" i="5"/>
  <c r="T19" i="5" s="1"/>
  <c r="AF7" i="6"/>
  <c r="AF10" i="6" s="1"/>
  <c r="AF12" i="6" s="1"/>
  <c r="B19" i="9"/>
  <c r="I19" i="9" s="1"/>
  <c r="U8" i="4"/>
  <c r="U43" i="4" s="1"/>
  <c r="AD8" i="5"/>
  <c r="AD19" i="5" s="1"/>
  <c r="T6" i="8"/>
  <c r="B18" i="8"/>
  <c r="I28" i="8"/>
  <c r="AP8" i="4"/>
  <c r="AP19" i="4" s="1"/>
  <c r="AP8" i="5"/>
  <c r="AP43" i="5" s="1"/>
  <c r="E65" i="6"/>
  <c r="A16" i="8"/>
  <c r="D70" i="2"/>
  <c r="AQ8" i="4"/>
  <c r="AQ11" i="4" s="1"/>
  <c r="AQ8" i="5"/>
  <c r="AQ19" i="5" s="1"/>
  <c r="A22" i="9"/>
  <c r="AN13" i="2"/>
  <c r="B59" i="2"/>
  <c r="AR8" i="4"/>
  <c r="AR11" i="4" s="1"/>
  <c r="T8" i="4"/>
  <c r="T20" i="4" s="1"/>
  <c r="AN36" i="2"/>
  <c r="AE7" i="6"/>
  <c r="AE17" i="6" s="1"/>
  <c r="AE94" i="6" s="1"/>
  <c r="S5" i="8"/>
  <c r="K37" i="2"/>
  <c r="AD37" i="2" s="1"/>
  <c r="AE37" i="2" s="1"/>
  <c r="S37" i="2" s="1"/>
  <c r="K36" i="2"/>
  <c r="AD36" i="2" s="1"/>
  <c r="AE36" i="2" s="1"/>
  <c r="B70" i="2"/>
  <c r="E72" i="2"/>
  <c r="K72" i="2" s="1"/>
  <c r="X18" i="8"/>
  <c r="AO36" i="2"/>
  <c r="U7" i="8"/>
  <c r="S28" i="8"/>
  <c r="C9" i="9"/>
  <c r="C20" i="9"/>
  <c r="H20" i="9" s="1"/>
  <c r="BR20" i="9" s="1"/>
  <c r="B58" i="2"/>
  <c r="E70" i="2"/>
  <c r="K70" i="2" s="1"/>
  <c r="R8" i="4"/>
  <c r="R43" i="4" s="1"/>
  <c r="A7" i="9"/>
  <c r="AO24" i="2"/>
  <c r="S8" i="4"/>
  <c r="S19" i="4" s="1"/>
  <c r="I17" i="8"/>
  <c r="B7" i="9"/>
  <c r="I7" i="9" s="1"/>
  <c r="H64" i="2"/>
  <c r="A17" i="8"/>
  <c r="F8" i="5"/>
  <c r="F43" i="5" s="1"/>
  <c r="B4" i="8"/>
  <c r="I16" i="8"/>
  <c r="K25" i="2"/>
  <c r="R25" i="2" s="1"/>
  <c r="B69" i="2"/>
  <c r="AD8" i="4"/>
  <c r="AD28" i="4" s="1"/>
  <c r="AD47" i="4" s="1"/>
  <c r="G8" i="5"/>
  <c r="G43" i="5" s="1"/>
  <c r="K18" i="2"/>
  <c r="AD18" i="2" s="1"/>
  <c r="C11" i="2"/>
  <c r="A3" i="8" s="1"/>
  <c r="B57" i="2"/>
  <c r="D69" i="2"/>
  <c r="E73" i="2"/>
  <c r="K73" i="2" s="1"/>
  <c r="AE8" i="4"/>
  <c r="AE43" i="4" s="1"/>
  <c r="F7" i="6"/>
  <c r="F18" i="6" s="1"/>
  <c r="F79" i="6" s="1"/>
  <c r="F87" i="6" s="1"/>
  <c r="F88" i="6" s="1"/>
  <c r="I5" i="8"/>
  <c r="C8" i="9"/>
  <c r="H70" i="2"/>
  <c r="A21" i="8"/>
  <c r="B5" i="8"/>
  <c r="R8" i="5"/>
  <c r="R28" i="5" s="1"/>
  <c r="S7" i="6"/>
  <c r="S18" i="6" s="1"/>
  <c r="I4" i="8"/>
  <c r="S17" i="8"/>
  <c r="H59" i="2"/>
  <c r="K13" i="2"/>
  <c r="AD13" i="2" s="1"/>
  <c r="S8" i="5"/>
  <c r="S20" i="5" s="1"/>
  <c r="S16" i="8"/>
  <c r="T24" i="8"/>
  <c r="A19" i="9"/>
  <c r="I58" i="2"/>
  <c r="K31" i="2"/>
  <c r="C23" i="8" s="1"/>
  <c r="A28" i="8"/>
  <c r="AN28" i="2"/>
  <c r="I57" i="2"/>
  <c r="D19" i="9"/>
  <c r="A19" i="8"/>
  <c r="AN48" i="2"/>
  <c r="AR48" i="2" s="1"/>
  <c r="AC48" i="2" s="1"/>
  <c r="A4" i="8"/>
  <c r="AN42" i="2"/>
  <c r="AR42" i="2" s="1"/>
  <c r="AC42" i="2" s="1"/>
  <c r="AN33" i="2"/>
  <c r="I65" i="2"/>
  <c r="AN52" i="2"/>
  <c r="AR52" i="2" s="1"/>
  <c r="AC52" i="2" s="1"/>
  <c r="AN16" i="2"/>
  <c r="A23" i="8"/>
  <c r="I64" i="2"/>
  <c r="AN51" i="2"/>
  <c r="AR51" i="2" s="1"/>
  <c r="AC51" i="2" s="1"/>
  <c r="AN27" i="2"/>
  <c r="C17" i="9"/>
  <c r="C16" i="9"/>
  <c r="H16" i="9" s="1"/>
  <c r="AN19" i="2"/>
  <c r="L48" i="2"/>
  <c r="AN31" i="2"/>
  <c r="AR31" i="2" s="1"/>
  <c r="AC31" i="2" s="1"/>
  <c r="AN22" i="2"/>
  <c r="C24" i="9"/>
  <c r="H24" i="9" s="1"/>
  <c r="C7" i="9"/>
  <c r="A22" i="8"/>
  <c r="AN44" i="2"/>
  <c r="C61" i="2"/>
  <c r="H63" i="2"/>
  <c r="C15" i="9"/>
  <c r="H15" i="9" s="1"/>
  <c r="C18" i="9"/>
  <c r="H18" i="9" s="1"/>
  <c r="H10" i="9"/>
  <c r="B3" i="8"/>
  <c r="E8" i="4"/>
  <c r="E11" i="4" s="1"/>
  <c r="E13" i="4" s="1"/>
  <c r="B56" i="2"/>
  <c r="E7" i="6"/>
  <c r="E18" i="6" s="1"/>
  <c r="E79" i="6" s="1"/>
  <c r="S3" i="8"/>
  <c r="E8" i="5"/>
  <c r="E11" i="5" s="1"/>
  <c r="A6" i="9"/>
  <c r="I3" i="8"/>
  <c r="K11" i="2"/>
  <c r="L11" i="2" s="1"/>
  <c r="AS20" i="5"/>
  <c r="G28" i="4"/>
  <c r="G47" i="4" s="1"/>
  <c r="B24" i="8"/>
  <c r="I73" i="2"/>
  <c r="I74" i="2"/>
  <c r="B12" i="8"/>
  <c r="B23" i="9"/>
  <c r="H23" i="9" s="1"/>
  <c r="B11" i="9"/>
  <c r="I11" i="9" s="1"/>
  <c r="B21" i="9"/>
  <c r="I21" i="9" s="1"/>
  <c r="AO27" i="2"/>
  <c r="AN14" i="2"/>
  <c r="I70" i="2"/>
  <c r="T18" i="8"/>
  <c r="K39" i="2"/>
  <c r="V39" i="2" s="1"/>
  <c r="X39" i="2" s="1"/>
  <c r="U8" i="5"/>
  <c r="U11" i="5" s="1"/>
  <c r="AG7" i="6"/>
  <c r="AG10" i="6" s="1"/>
  <c r="B9" i="9"/>
  <c r="I9" i="9" s="1"/>
  <c r="K15" i="2"/>
  <c r="AD15" i="2" s="1"/>
  <c r="F7" i="8" s="1"/>
  <c r="AN26" i="2"/>
  <c r="D58" i="2"/>
  <c r="E66" i="2"/>
  <c r="K66" i="2" s="1"/>
  <c r="H69" i="2"/>
  <c r="AH7" i="6"/>
  <c r="AH10" i="6" s="1"/>
  <c r="AH11" i="6" s="1"/>
  <c r="B6" i="8"/>
  <c r="I10" i="8"/>
  <c r="T17" i="8"/>
  <c r="AN15" i="2"/>
  <c r="AO26" i="2"/>
  <c r="AN39" i="2"/>
  <c r="AR39" i="2" s="1"/>
  <c r="AC39" i="2" s="1"/>
  <c r="D57" i="2"/>
  <c r="H61" i="2"/>
  <c r="I69" i="2"/>
  <c r="D74" i="2"/>
  <c r="S18" i="8"/>
  <c r="S19" i="8"/>
  <c r="A8" i="9"/>
  <c r="K12" i="2"/>
  <c r="V12" i="2" s="1"/>
  <c r="J4" i="8" s="1"/>
  <c r="I59" i="2"/>
  <c r="I61" i="2"/>
  <c r="B71" i="2"/>
  <c r="F8" i="4"/>
  <c r="F28" i="4" s="1"/>
  <c r="F55" i="4" s="1"/>
  <c r="G7" i="6"/>
  <c r="G18" i="6" s="1"/>
  <c r="G79" i="6" s="1"/>
  <c r="I9" i="8"/>
  <c r="U18" i="8"/>
  <c r="T19" i="8"/>
  <c r="T20" i="8"/>
  <c r="T21" i="8"/>
  <c r="B8" i="9"/>
  <c r="I8" i="9" s="1"/>
  <c r="B22" i="9"/>
  <c r="AC43" i="5"/>
  <c r="AC52" i="5" s="1"/>
  <c r="D62" i="2"/>
  <c r="AN12" i="2"/>
  <c r="AO16" i="2"/>
  <c r="K24" i="2"/>
  <c r="L24" i="2" s="1"/>
  <c r="K41" i="2"/>
  <c r="V41" i="2" s="1"/>
  <c r="AJ41" i="2" s="1"/>
  <c r="AK41" i="2" s="1"/>
  <c r="T41" i="2" s="1"/>
  <c r="H58" i="2"/>
  <c r="K59" i="2"/>
  <c r="AG8" i="5"/>
  <c r="AG20" i="5" s="1"/>
  <c r="H7" i="6"/>
  <c r="H18" i="6" s="1"/>
  <c r="H79" i="6" s="1"/>
  <c r="U12" i="8"/>
  <c r="B16" i="8"/>
  <c r="A20" i="9"/>
  <c r="K40" i="2"/>
  <c r="AD40" i="2" s="1"/>
  <c r="AE40" i="2" s="1"/>
  <c r="S40" i="2" s="1"/>
  <c r="AN11" i="5"/>
  <c r="AN13" i="5" s="1"/>
  <c r="AO12" i="2"/>
  <c r="AN24" i="2"/>
  <c r="K28" i="2"/>
  <c r="U28" i="2" s="1"/>
  <c r="AL28" i="2" s="1"/>
  <c r="H57" i="2"/>
  <c r="H8" i="4"/>
  <c r="H28" i="4" s="1"/>
  <c r="H55" i="4" s="1"/>
  <c r="AH8" i="5"/>
  <c r="AH19" i="5" s="1"/>
  <c r="I60" i="2"/>
  <c r="E67" i="2"/>
  <c r="K67" i="2" s="1"/>
  <c r="K74" i="2"/>
  <c r="E61" i="2"/>
  <c r="K61" i="2" s="1"/>
  <c r="K57" i="2"/>
  <c r="U22" i="8"/>
  <c r="E63" i="2"/>
  <c r="K63" i="2" s="1"/>
  <c r="U9" i="8"/>
  <c r="U21" i="8"/>
  <c r="K56" i="2"/>
  <c r="K69" i="2"/>
  <c r="AN20" i="2"/>
  <c r="D66" i="2"/>
  <c r="B14" i="9"/>
  <c r="I14" i="9" s="1"/>
  <c r="AN47" i="2"/>
  <c r="AR47" i="2" s="1"/>
  <c r="AC47" i="2" s="1"/>
  <c r="AN21" i="2"/>
  <c r="AN43" i="2"/>
  <c r="AR43" i="2" s="1"/>
  <c r="AC43" i="2" s="1"/>
  <c r="D65" i="2"/>
  <c r="AO44" i="2"/>
  <c r="AO22" i="2"/>
  <c r="H72" i="2"/>
  <c r="T11" i="8"/>
  <c r="T15" i="8"/>
  <c r="B17" i="9"/>
  <c r="I17" i="9" s="1"/>
  <c r="AN32" i="2"/>
  <c r="AR32" i="2" s="1"/>
  <c r="AC32" i="2" s="1"/>
  <c r="AN45" i="2"/>
  <c r="AR45" i="2" s="1"/>
  <c r="AC45" i="2" s="1"/>
  <c r="I68" i="2"/>
  <c r="I72" i="2"/>
  <c r="T12" i="8"/>
  <c r="T13" i="8"/>
  <c r="T14" i="8"/>
  <c r="AN38" i="2"/>
  <c r="AR38" i="2" s="1"/>
  <c r="AC38" i="2" s="1"/>
  <c r="I10" i="9"/>
  <c r="I16" i="9"/>
  <c r="AN41" i="2"/>
  <c r="AR41" i="2" s="1"/>
  <c r="AC41" i="2" s="1"/>
  <c r="I63" i="2"/>
  <c r="D68" i="2"/>
  <c r="H75" i="2"/>
  <c r="B12" i="9"/>
  <c r="AN35" i="2"/>
  <c r="AN46" i="2"/>
  <c r="AR46" i="2" s="1"/>
  <c r="AC46" i="2" s="1"/>
  <c r="H62" i="2"/>
  <c r="I75" i="2"/>
  <c r="AN23" i="2"/>
  <c r="AN29" i="2"/>
  <c r="AO35" i="2"/>
  <c r="D61" i="2"/>
  <c r="I62" i="2"/>
  <c r="H74" i="2"/>
  <c r="T7" i="8"/>
  <c r="AO14" i="2"/>
  <c r="AN17" i="2"/>
  <c r="AR17" i="2" s="1"/>
  <c r="AC17" i="2" s="1"/>
  <c r="AO20" i="2"/>
  <c r="AO23" i="2"/>
  <c r="AO29" i="2"/>
  <c r="D67" i="2"/>
  <c r="H68" i="2"/>
  <c r="D72" i="2"/>
  <c r="H73" i="2"/>
  <c r="T8" i="8"/>
  <c r="T9" i="8"/>
  <c r="T10" i="8"/>
  <c r="B25" i="9"/>
  <c r="AN30" i="2"/>
  <c r="H67" i="2"/>
  <c r="B13" i="9"/>
  <c r="I13" i="9" s="1"/>
  <c r="AN18" i="2"/>
  <c r="AO21" i="2"/>
  <c r="AO30" i="2"/>
  <c r="H66" i="2"/>
  <c r="I67" i="2"/>
  <c r="AO15" i="2"/>
  <c r="AO18" i="2"/>
  <c r="AN40" i="2"/>
  <c r="AR40" i="2" s="1"/>
  <c r="AC40" i="2" s="1"/>
  <c r="H60" i="2"/>
  <c r="H65" i="2"/>
  <c r="I66" i="2"/>
  <c r="AN34" i="2"/>
  <c r="H71" i="2"/>
  <c r="D75" i="2"/>
  <c r="AO34" i="2"/>
  <c r="I71" i="2"/>
  <c r="I56" i="2"/>
  <c r="D56" i="2"/>
  <c r="AN11" i="2"/>
  <c r="AO11" i="2"/>
  <c r="H56" i="2"/>
  <c r="B6" i="9"/>
  <c r="BP6" i="9" s="1"/>
  <c r="BQ6" i="9" s="1"/>
  <c r="AE19" i="5"/>
  <c r="X8" i="4"/>
  <c r="X11" i="4" s="1"/>
  <c r="X13" i="4" s="1"/>
  <c r="AF19" i="5"/>
  <c r="A15" i="9"/>
  <c r="Y8" i="4"/>
  <c r="Y28" i="4" s="1"/>
  <c r="Y47" i="4" s="1"/>
  <c r="K22" i="2"/>
  <c r="U22" i="2" s="1"/>
  <c r="AL22" i="2" s="1"/>
  <c r="S9" i="8"/>
  <c r="K43" i="2"/>
  <c r="AD43" i="2" s="1"/>
  <c r="AE43" i="2" s="1"/>
  <c r="S43" i="2" s="1"/>
  <c r="A21" i="9"/>
  <c r="K14" i="2"/>
  <c r="AD14" i="2" s="1"/>
  <c r="AE14" i="2" s="1"/>
  <c r="K8" i="4"/>
  <c r="K11" i="4" s="1"/>
  <c r="K13" i="4" s="1"/>
  <c r="AN8" i="4"/>
  <c r="AN28" i="4" s="1"/>
  <c r="K17" i="2"/>
  <c r="U17" i="2" s="1"/>
  <c r="AL17" i="2" s="1"/>
  <c r="AK28" i="4"/>
  <c r="AK48" i="4" s="1"/>
  <c r="AK43" i="4"/>
  <c r="AK11" i="4"/>
  <c r="AK12" i="4" s="1"/>
  <c r="AK19" i="4"/>
  <c r="P18" i="6"/>
  <c r="P79" i="6" s="1"/>
  <c r="P87" i="6" s="1"/>
  <c r="P88" i="6" s="1"/>
  <c r="P89" i="6" s="1"/>
  <c r="P109" i="6" s="1"/>
  <c r="P17" i="6"/>
  <c r="AO8" i="5"/>
  <c r="K47" i="2"/>
  <c r="L47" i="2" s="1"/>
  <c r="I27" i="8"/>
  <c r="K35" i="2"/>
  <c r="S15" i="8"/>
  <c r="B68" i="2"/>
  <c r="Q7" i="6"/>
  <c r="AI18" i="6"/>
  <c r="AI79" i="6" s="1"/>
  <c r="AI81" i="6" s="1"/>
  <c r="AI82" i="6" s="1"/>
  <c r="AI108" i="6" s="1"/>
  <c r="AI10" i="6"/>
  <c r="AI17" i="6"/>
  <c r="I15" i="8"/>
  <c r="A17" i="9"/>
  <c r="B14" i="8"/>
  <c r="B67" i="2"/>
  <c r="AO8" i="4"/>
  <c r="R18" i="6"/>
  <c r="R79" i="6" s="1"/>
  <c r="R87" i="6" s="1"/>
  <c r="R88" i="6" s="1"/>
  <c r="P10" i="6"/>
  <c r="P12" i="6" s="1"/>
  <c r="AM8" i="5"/>
  <c r="K45" i="2"/>
  <c r="U45" i="2" s="1"/>
  <c r="AL45" i="2" s="1"/>
  <c r="S25" i="8"/>
  <c r="AA7" i="6"/>
  <c r="AA18" i="6" s="1"/>
  <c r="AA79" i="6" s="1"/>
  <c r="AA87" i="6" s="1"/>
  <c r="AA88" i="6" s="1"/>
  <c r="AA8" i="5"/>
  <c r="AA20" i="5" s="1"/>
  <c r="B25" i="8"/>
  <c r="I13" i="8"/>
  <c r="B66" i="2"/>
  <c r="AA8" i="4"/>
  <c r="AA43" i="4" s="1"/>
  <c r="N20" i="5"/>
  <c r="N19" i="5"/>
  <c r="AF11" i="5"/>
  <c r="AF28" i="5"/>
  <c r="AF48" i="5" s="1"/>
  <c r="AR19" i="5"/>
  <c r="S14" i="8"/>
  <c r="I25" i="8"/>
  <c r="I26" i="8"/>
  <c r="B27" i="8"/>
  <c r="AL8" i="4"/>
  <c r="K44" i="2"/>
  <c r="AL8" i="5"/>
  <c r="AL43" i="5" s="1"/>
  <c r="Z7" i="6"/>
  <c r="Z10" i="6" s="1"/>
  <c r="Z8" i="4"/>
  <c r="I24" i="8"/>
  <c r="Z8" i="5"/>
  <c r="Z43" i="5" s="1"/>
  <c r="N7" i="6"/>
  <c r="N18" i="6" s="1"/>
  <c r="N8" i="4"/>
  <c r="B65" i="2"/>
  <c r="AB8" i="4"/>
  <c r="AB28" i="4" s="1"/>
  <c r="AG11" i="4"/>
  <c r="AG12" i="4" s="1"/>
  <c r="AG16" i="4" s="1"/>
  <c r="O8" i="5"/>
  <c r="R10" i="6"/>
  <c r="R12" i="6" s="1"/>
  <c r="B23" i="8"/>
  <c r="Y7" i="6"/>
  <c r="Y18" i="6" s="1"/>
  <c r="Y79" i="6" s="1"/>
  <c r="Y87" i="6" s="1"/>
  <c r="Y88" i="6" s="1"/>
  <c r="Y8" i="5"/>
  <c r="Y43" i="5" s="1"/>
  <c r="S11" i="8"/>
  <c r="M7" i="6"/>
  <c r="M17" i="6" s="1"/>
  <c r="M8" i="5"/>
  <c r="M11" i="5" s="1"/>
  <c r="B64" i="2"/>
  <c r="K19" i="2"/>
  <c r="AD19" i="2" s="1"/>
  <c r="AE19" i="2" s="1"/>
  <c r="O8" i="4"/>
  <c r="O19" i="4" s="1"/>
  <c r="AC8" i="4"/>
  <c r="P8" i="5"/>
  <c r="P43" i="5" s="1"/>
  <c r="AE43" i="5"/>
  <c r="AE58" i="5" s="1"/>
  <c r="I11" i="8"/>
  <c r="S23" i="8"/>
  <c r="A14" i="9"/>
  <c r="AJ8" i="5"/>
  <c r="AJ19" i="5" s="1"/>
  <c r="AJ7" i="6"/>
  <c r="AJ17" i="6" s="1"/>
  <c r="I22" i="8"/>
  <c r="X8" i="5"/>
  <c r="X19" i="5" s="1"/>
  <c r="S22" i="8"/>
  <c r="X7" i="6"/>
  <c r="X18" i="6" s="1"/>
  <c r="X79" i="6" s="1"/>
  <c r="B75" i="2"/>
  <c r="L8" i="5"/>
  <c r="A13" i="9"/>
  <c r="B63" i="2"/>
  <c r="K33" i="2"/>
  <c r="C25" i="8" s="1"/>
  <c r="P8" i="4"/>
  <c r="P11" i="4" s="1"/>
  <c r="Q8" i="5"/>
  <c r="Q11" i="5" s="1"/>
  <c r="AK8" i="5"/>
  <c r="AK20" i="5" s="1"/>
  <c r="AR11" i="5"/>
  <c r="AF20" i="5"/>
  <c r="AF43" i="5"/>
  <c r="AF52" i="5" s="1"/>
  <c r="AB7" i="6"/>
  <c r="S10" i="8"/>
  <c r="I12" i="8"/>
  <c r="B13" i="8"/>
  <c r="S24" i="8"/>
  <c r="A16" i="9"/>
  <c r="AI8" i="5"/>
  <c r="AI43" i="5" s="1"/>
  <c r="A24" i="9"/>
  <c r="W8" i="5"/>
  <c r="W28" i="5" s="1"/>
  <c r="B74" i="2"/>
  <c r="S21" i="8"/>
  <c r="W7" i="6"/>
  <c r="B9" i="8"/>
  <c r="K8" i="5"/>
  <c r="K43" i="5" s="1"/>
  <c r="K7" i="6"/>
  <c r="K10" i="6" s="1"/>
  <c r="K32" i="2"/>
  <c r="R32" i="2" s="1"/>
  <c r="K46" i="2"/>
  <c r="AD49" i="2"/>
  <c r="AE49" i="2" s="1"/>
  <c r="S49" i="2" s="1"/>
  <c r="V49" i="2"/>
  <c r="X49" i="2" s="1"/>
  <c r="Q8" i="4"/>
  <c r="AC7" i="6"/>
  <c r="R17" i="6"/>
  <c r="R94" i="6" s="1"/>
  <c r="A18" i="9"/>
  <c r="AT8" i="4"/>
  <c r="AT19" i="4" s="1"/>
  <c r="K52" i="2"/>
  <c r="AD52" i="2" s="1"/>
  <c r="AE52" i="2" s="1"/>
  <c r="S52" i="2" s="1"/>
  <c r="S20" i="8"/>
  <c r="B20" i="8"/>
  <c r="B73" i="2"/>
  <c r="V7" i="6"/>
  <c r="V18" i="6" s="1"/>
  <c r="V79" i="6" s="1"/>
  <c r="V8" i="5"/>
  <c r="V20" i="5" s="1"/>
  <c r="I8" i="8"/>
  <c r="K16" i="2"/>
  <c r="C8" i="8" s="1"/>
  <c r="J7" i="6"/>
  <c r="J10" i="6" s="1"/>
  <c r="J8" i="5"/>
  <c r="A11" i="9"/>
  <c r="B8" i="8"/>
  <c r="K21" i="2"/>
  <c r="K30" i="2"/>
  <c r="C22" i="8" s="1"/>
  <c r="K42" i="2"/>
  <c r="L49" i="2"/>
  <c r="AH8" i="4"/>
  <c r="B21" i="8"/>
  <c r="S26" i="8"/>
  <c r="AG43" i="4"/>
  <c r="AG52" i="4" s="1"/>
  <c r="AG20" i="4"/>
  <c r="K23" i="2"/>
  <c r="B62" i="2"/>
  <c r="AI8" i="4"/>
  <c r="AI19" i="4" s="1"/>
  <c r="AR28" i="5"/>
  <c r="AR55" i="5" s="1"/>
  <c r="AR43" i="5"/>
  <c r="AR52" i="5" s="1"/>
  <c r="I20" i="8"/>
  <c r="S27" i="8"/>
  <c r="U49" i="2"/>
  <c r="AL49" i="2" s="1"/>
  <c r="AJ8" i="4"/>
  <c r="AJ28" i="4" s="1"/>
  <c r="L7" i="6"/>
  <c r="I14" i="8"/>
  <c r="B15" i="8"/>
  <c r="B22" i="8"/>
  <c r="K20" i="2"/>
  <c r="K29" i="2"/>
  <c r="K34" i="2"/>
  <c r="AD34" i="2" s="1"/>
  <c r="F26" i="8" s="1"/>
  <c r="B61" i="2"/>
  <c r="V8" i="4"/>
  <c r="V43" i="4" s="1"/>
  <c r="V59" i="6" s="1"/>
  <c r="AB8" i="5"/>
  <c r="AB43" i="5" s="1"/>
  <c r="AT8" i="5"/>
  <c r="AR20" i="5"/>
  <c r="O7" i="6"/>
  <c r="O18" i="6" s="1"/>
  <c r="O79" i="6" s="1"/>
  <c r="O87" i="6" s="1"/>
  <c r="O88" i="6" s="1"/>
  <c r="O89" i="6" s="1"/>
  <c r="O109" i="6" s="1"/>
  <c r="B10" i="8"/>
  <c r="S12" i="8"/>
  <c r="I21" i="8"/>
  <c r="H11" i="5"/>
  <c r="H20" i="5"/>
  <c r="B60" i="2"/>
  <c r="A10" i="9"/>
  <c r="K27" i="2"/>
  <c r="C19" i="8" s="1"/>
  <c r="K51" i="2"/>
  <c r="L51" i="2" s="1"/>
  <c r="I8" i="5"/>
  <c r="I7" i="6"/>
  <c r="I10" i="6" s="1"/>
  <c r="I7" i="8"/>
  <c r="B19" i="8"/>
  <c r="K38" i="2"/>
  <c r="V38" i="2" s="1"/>
  <c r="AF8" i="4"/>
  <c r="AS8" i="4"/>
  <c r="AS11" i="4" s="1"/>
  <c r="AM19" i="4"/>
  <c r="AM11" i="4"/>
  <c r="AM43" i="4"/>
  <c r="AM20" i="4"/>
  <c r="N25" i="9"/>
  <c r="J69" i="3"/>
  <c r="J100" i="3"/>
  <c r="V50" i="2"/>
  <c r="U50" i="2"/>
  <c r="AL50" i="2" s="1"/>
  <c r="R50" i="2"/>
  <c r="AD50" i="2"/>
  <c r="AE50" i="2" s="1"/>
  <c r="S50" i="2" s="1"/>
  <c r="I15" i="3"/>
  <c r="I16" i="3"/>
  <c r="I68" i="3"/>
  <c r="AF3" i="8"/>
  <c r="E12" i="3"/>
  <c r="E13" i="3"/>
  <c r="AM28" i="4"/>
  <c r="AF5" i="8"/>
  <c r="G13" i="3"/>
  <c r="AF6" i="8"/>
  <c r="H13" i="3"/>
  <c r="I124" i="3"/>
  <c r="C62" i="2"/>
  <c r="K16" i="3"/>
  <c r="J40" i="3"/>
  <c r="J124" i="3"/>
  <c r="J36" i="3"/>
  <c r="J102" i="3"/>
  <c r="J34" i="3"/>
  <c r="E26" i="3"/>
  <c r="E38" i="6" s="1"/>
  <c r="E29" i="3"/>
  <c r="E37" i="6" s="1"/>
  <c r="E24" i="3"/>
  <c r="E27" i="3"/>
  <c r="E39" i="6" s="1"/>
  <c r="E30" i="3"/>
  <c r="E23" i="3"/>
  <c r="E25" i="3"/>
  <c r="E36" i="6" s="1"/>
  <c r="E31" i="3"/>
  <c r="J74" i="3"/>
  <c r="J73" i="3"/>
  <c r="J62" i="3"/>
  <c r="J78" i="3"/>
  <c r="G12" i="3"/>
  <c r="E22" i="3"/>
  <c r="J35" i="3"/>
  <c r="AJ29" i="6"/>
  <c r="X29" i="6"/>
  <c r="L29" i="6"/>
  <c r="Z29" i="6"/>
  <c r="M29" i="6"/>
  <c r="AI29" i="6"/>
  <c r="U29" i="6"/>
  <c r="G29" i="6"/>
  <c r="AH29" i="6"/>
  <c r="S29" i="6"/>
  <c r="AF29" i="6"/>
  <c r="Q29" i="6"/>
  <c r="AE29" i="6"/>
  <c r="P29" i="6"/>
  <c r="AD29" i="6"/>
  <c r="O29" i="6"/>
  <c r="V29" i="6"/>
  <c r="R29" i="6"/>
  <c r="N29" i="6"/>
  <c r="AG29" i="6"/>
  <c r="E29" i="6"/>
  <c r="E20" i="7" s="1"/>
  <c r="AC29" i="6"/>
  <c r="AB29" i="6"/>
  <c r="AA29" i="6"/>
  <c r="F29" i="6"/>
  <c r="I29" i="6"/>
  <c r="H29" i="6"/>
  <c r="J29" i="6"/>
  <c r="Y29" i="6"/>
  <c r="W29" i="6"/>
  <c r="T29" i="6"/>
  <c r="K29" i="6"/>
  <c r="J28" i="4"/>
  <c r="J43" i="4"/>
  <c r="J20" i="4"/>
  <c r="J19" i="4"/>
  <c r="H68" i="3"/>
  <c r="H69" i="3" s="1"/>
  <c r="H15" i="3"/>
  <c r="H16" i="3"/>
  <c r="G26" i="3"/>
  <c r="G29" i="3"/>
  <c r="G24" i="3"/>
  <c r="G27" i="3"/>
  <c r="G30" i="3"/>
  <c r="G22" i="3"/>
  <c r="G25" i="3"/>
  <c r="G34" i="3" s="1"/>
  <c r="F36" i="3"/>
  <c r="F32" i="3"/>
  <c r="J11" i="4"/>
  <c r="W28" i="4"/>
  <c r="W43" i="4"/>
  <c r="W11" i="4"/>
  <c r="W19" i="4"/>
  <c r="E39" i="10"/>
  <c r="Q39" i="10" s="1"/>
  <c r="Q37" i="10"/>
  <c r="F170" i="10"/>
  <c r="F171" i="10"/>
  <c r="R48" i="2"/>
  <c r="V48" i="2"/>
  <c r="U48" i="2"/>
  <c r="AL48" i="2" s="1"/>
  <c r="AF4" i="8"/>
  <c r="F13" i="3"/>
  <c r="I33" i="3"/>
  <c r="I69" i="3"/>
  <c r="L43" i="4"/>
  <c r="L20" i="4"/>
  <c r="L28" i="4"/>
  <c r="L11" i="4"/>
  <c r="W20" i="4"/>
  <c r="J61" i="3"/>
  <c r="J63" i="3" s="1"/>
  <c r="A7" i="8"/>
  <c r="C60" i="2"/>
  <c r="R49" i="2"/>
  <c r="N24" i="9"/>
  <c r="L25" i="2"/>
  <c r="M61" i="3"/>
  <c r="J72" i="3"/>
  <c r="L19" i="4"/>
  <c r="F16" i="3"/>
  <c r="F124" i="3"/>
  <c r="K72" i="3"/>
  <c r="J70" i="6"/>
  <c r="V70" i="6"/>
  <c r="AH70" i="6"/>
  <c r="H61" i="3"/>
  <c r="N78" i="6"/>
  <c r="N80" i="6" s="1"/>
  <c r="Z34" i="6"/>
  <c r="L34" i="3"/>
  <c r="H25" i="3"/>
  <c r="H34" i="3" s="1"/>
  <c r="J33" i="3"/>
  <c r="J79" i="3" s="1"/>
  <c r="AN43" i="5"/>
  <c r="AN20" i="5"/>
  <c r="AN28" i="5"/>
  <c r="K60" i="2"/>
  <c r="K77" i="2"/>
  <c r="K78" i="2"/>
  <c r="I29" i="3"/>
  <c r="I25" i="3"/>
  <c r="I32" i="3" s="1"/>
  <c r="H22" i="3"/>
  <c r="M23" i="3"/>
  <c r="K28" i="3"/>
  <c r="L31" i="3"/>
  <c r="K67" i="3"/>
  <c r="E86" i="6"/>
  <c r="E77" i="6"/>
  <c r="E58" i="7"/>
  <c r="E72" i="7" s="1"/>
  <c r="AC19" i="5"/>
  <c r="AC20" i="5"/>
  <c r="AC28" i="5"/>
  <c r="AC11" i="5"/>
  <c r="AC93" i="6"/>
  <c r="AC85" i="6"/>
  <c r="J30" i="3"/>
  <c r="J20" i="3"/>
  <c r="I36" i="3"/>
  <c r="K25" i="3"/>
  <c r="L28" i="3"/>
  <c r="H30" i="3"/>
  <c r="M31" i="3"/>
  <c r="H40" i="3"/>
  <c r="F72" i="3"/>
  <c r="AG19" i="4"/>
  <c r="AP19" i="5"/>
  <c r="AP20" i="5"/>
  <c r="AD93" i="6"/>
  <c r="AD85" i="6"/>
  <c r="L68" i="3"/>
  <c r="L69" i="3" s="1"/>
  <c r="H27" i="3"/>
  <c r="G43" i="4"/>
  <c r="G19" i="4"/>
  <c r="G11" i="4"/>
  <c r="G20" i="4"/>
  <c r="AG28" i="4"/>
  <c r="AE28" i="5"/>
  <c r="AE11" i="5"/>
  <c r="AE20" i="5"/>
  <c r="AN19" i="5"/>
  <c r="AF11" i="8"/>
  <c r="M12" i="3"/>
  <c r="L30" i="3"/>
  <c r="L26" i="3"/>
  <c r="L22" i="3"/>
  <c r="L24" i="3"/>
  <c r="H24" i="3"/>
  <c r="K61" i="3"/>
  <c r="M22" i="3"/>
  <c r="L61" i="3"/>
  <c r="F19" i="4"/>
  <c r="AA3" i="5"/>
  <c r="J80" i="6"/>
  <c r="AH80" i="6"/>
  <c r="B6" i="7"/>
  <c r="B6" i="5"/>
  <c r="F28" i="3"/>
  <c r="F68" i="3" s="1"/>
  <c r="F69" i="3" s="1"/>
  <c r="F24" i="3"/>
  <c r="F35" i="3" s="1"/>
  <c r="F20" i="3"/>
  <c r="F29" i="3"/>
  <c r="F39" i="3" s="1"/>
  <c r="B6" i="4"/>
  <c r="V86" i="6"/>
  <c r="V77" i="6"/>
  <c r="V80" i="6" s="1"/>
  <c r="AH77" i="6"/>
  <c r="AH86" i="6"/>
  <c r="AI85" i="6"/>
  <c r="AI93" i="6"/>
  <c r="N43" i="5"/>
  <c r="N28" i="5"/>
  <c r="N11" i="5"/>
  <c r="AG18" i="6"/>
  <c r="AG79" i="6" s="1"/>
  <c r="S77" i="6"/>
  <c r="AS43" i="5"/>
  <c r="AS19" i="5"/>
  <c r="AS11" i="5"/>
  <c r="AS28" i="5"/>
  <c r="M70" i="6"/>
  <c r="Y70" i="6"/>
  <c r="Q34" i="6"/>
  <c r="Q70" i="6"/>
  <c r="AC70" i="6"/>
  <c r="N70" i="6"/>
  <c r="Z70" i="6"/>
  <c r="F80" i="6"/>
  <c r="R34" i="6"/>
  <c r="AD80" i="6"/>
  <c r="F78" i="6"/>
  <c r="R78" i="6"/>
  <c r="R80" i="6" s="1"/>
  <c r="AD78" i="6"/>
  <c r="F86" i="6"/>
  <c r="F77" i="6"/>
  <c r="R86" i="6"/>
  <c r="R77" i="6"/>
  <c r="AD77" i="6"/>
  <c r="AD86" i="6"/>
  <c r="G76" i="6"/>
  <c r="AE93" i="6"/>
  <c r="AE85" i="6"/>
  <c r="N34" i="6"/>
  <c r="S80" i="6"/>
  <c r="G69" i="7"/>
  <c r="AK20" i="4"/>
  <c r="F34" i="6"/>
  <c r="L86" i="6"/>
  <c r="L77" i="6"/>
  <c r="X86" i="6"/>
  <c r="X77" i="6"/>
  <c r="AJ86" i="6"/>
  <c r="AJ77" i="6"/>
  <c r="M76" i="6"/>
  <c r="Y76" i="6"/>
  <c r="H78" i="7"/>
  <c r="H67" i="7"/>
  <c r="I34" i="7"/>
  <c r="I102" i="7"/>
  <c r="AD70" i="6"/>
  <c r="I77" i="6"/>
  <c r="I86" i="6"/>
  <c r="U86" i="6"/>
  <c r="U77" i="6"/>
  <c r="U80" i="6" s="1"/>
  <c r="AG86" i="6"/>
  <c r="AG77" i="6"/>
  <c r="AG80" i="6" s="1"/>
  <c r="T93" i="6"/>
  <c r="T85" i="6"/>
  <c r="I78" i="7"/>
  <c r="I72" i="7"/>
  <c r="G61" i="7"/>
  <c r="Z78" i="6"/>
  <c r="I61" i="7"/>
  <c r="R70" i="6"/>
  <c r="P86" i="6"/>
  <c r="P77" i="6"/>
  <c r="P80" i="6" s="1"/>
  <c r="AA85" i="6"/>
  <c r="AA93" i="6"/>
  <c r="E78" i="7"/>
  <c r="H70" i="6"/>
  <c r="AF70" i="6"/>
  <c r="L70" i="6"/>
  <c r="L80" i="6"/>
  <c r="X78" i="6"/>
  <c r="X70" i="6"/>
  <c r="AJ80" i="6"/>
  <c r="AJ78" i="6"/>
  <c r="J26" i="7"/>
  <c r="J23" i="7"/>
  <c r="J20" i="7"/>
  <c r="J30" i="7"/>
  <c r="J27" i="7"/>
  <c r="J29" i="7"/>
  <c r="J25" i="7"/>
  <c r="J31" i="7"/>
  <c r="J28" i="7"/>
  <c r="J22" i="7"/>
  <c r="J24" i="7"/>
  <c r="Q78" i="6"/>
  <c r="Q80" i="6" s="1"/>
  <c r="AC78" i="6"/>
  <c r="AC80" i="6" s="1"/>
  <c r="I70" i="6"/>
  <c r="U70" i="6"/>
  <c r="AG70" i="6"/>
  <c r="M80" i="6"/>
  <c r="O77" i="6"/>
  <c r="O80" i="6" s="1"/>
  <c r="AA86" i="6"/>
  <c r="L93" i="6"/>
  <c r="K70" i="6"/>
  <c r="W70" i="6"/>
  <c r="AI70" i="6"/>
  <c r="AA80" i="6"/>
  <c r="G68" i="7"/>
  <c r="G15" i="7"/>
  <c r="G39" i="7" s="1"/>
  <c r="G16" i="7"/>
  <c r="G13" i="7"/>
  <c r="S76" i="6"/>
  <c r="H80" i="6"/>
  <c r="T80" i="6"/>
  <c r="O70" i="6"/>
  <c r="AA70" i="6"/>
  <c r="Y86" i="6"/>
  <c r="G77" i="6"/>
  <c r="G80" i="6" s="1"/>
  <c r="S86" i="6"/>
  <c r="AE86" i="6"/>
  <c r="AE77" i="6"/>
  <c r="AE80" i="6" s="1"/>
  <c r="H76" i="6"/>
  <c r="AF76" i="6"/>
  <c r="K30" i="7"/>
  <c r="K27" i="7"/>
  <c r="K24" i="7"/>
  <c r="K20" i="7"/>
  <c r="K23" i="7"/>
  <c r="K28" i="7"/>
  <c r="K26" i="7"/>
  <c r="K29" i="7"/>
  <c r="K25" i="7"/>
  <c r="G33" i="7"/>
  <c r="Q8" i="9"/>
  <c r="H86" i="6"/>
  <c r="H77" i="6"/>
  <c r="T86" i="6"/>
  <c r="AF86" i="6"/>
  <c r="AF77" i="6"/>
  <c r="AF80" i="6" s="1"/>
  <c r="I76" i="6"/>
  <c r="U76" i="6"/>
  <c r="AG93" i="6"/>
  <c r="AG85" i="6"/>
  <c r="N85" i="6"/>
  <c r="N93" i="6"/>
  <c r="AH93" i="6"/>
  <c r="AH85" i="6"/>
  <c r="J13" i="7"/>
  <c r="I80" i="6"/>
  <c r="P93" i="6"/>
  <c r="J15" i="7"/>
  <c r="K76" i="6"/>
  <c r="W76" i="6"/>
  <c r="G84" i="7"/>
  <c r="K77" i="6"/>
  <c r="K80" i="6" s="1"/>
  <c r="W86" i="6"/>
  <c r="W77" i="6"/>
  <c r="W80" i="6" s="1"/>
  <c r="AI77" i="6"/>
  <c r="AI80" i="6" s="1"/>
  <c r="AI86" i="6"/>
  <c r="X76" i="6"/>
  <c r="AJ85" i="6"/>
  <c r="AJ93" i="6"/>
  <c r="M12" i="7"/>
  <c r="M13" i="7"/>
  <c r="G36" i="7"/>
  <c r="L78" i="6"/>
  <c r="F70" i="6"/>
  <c r="Z77" i="6"/>
  <c r="R93" i="6"/>
  <c r="R85" i="6"/>
  <c r="H22" i="7"/>
  <c r="H28" i="7"/>
  <c r="H68" i="7" s="1"/>
  <c r="L61" i="7"/>
  <c r="G78" i="7"/>
  <c r="AB93" i="6"/>
  <c r="Y80" i="6"/>
  <c r="Q86" i="6"/>
  <c r="F85" i="6"/>
  <c r="H23" i="7"/>
  <c r="H31" i="7"/>
  <c r="H27" i="7"/>
  <c r="H29" i="7"/>
  <c r="H20" i="7"/>
  <c r="H24" i="7"/>
  <c r="H26" i="7"/>
  <c r="L32" i="7"/>
  <c r="L35" i="7" s="1"/>
  <c r="S70" i="6"/>
  <c r="O93" i="6"/>
  <c r="H15" i="7"/>
  <c r="M30" i="7"/>
  <c r="M23" i="7"/>
  <c r="M26" i="7"/>
  <c r="M24" i="7"/>
  <c r="M35" i="7" s="1"/>
  <c r="G35" i="7"/>
  <c r="F32" i="7"/>
  <c r="M28" i="7"/>
  <c r="N6" i="9"/>
  <c r="L13" i="7"/>
  <c r="L12" i="7"/>
  <c r="F124" i="7"/>
  <c r="I67" i="7"/>
  <c r="Q18" i="9"/>
  <c r="M77" i="6"/>
  <c r="Y77" i="6"/>
  <c r="F15" i="7"/>
  <c r="F68" i="7"/>
  <c r="F69" i="7" s="1"/>
  <c r="F29" i="7"/>
  <c r="F40" i="7" s="1"/>
  <c r="F25" i="7"/>
  <c r="G23" i="7"/>
  <c r="F26" i="7"/>
  <c r="G26" i="7"/>
  <c r="I30" i="7"/>
  <c r="I26" i="7"/>
  <c r="I22" i="7"/>
  <c r="I29" i="7"/>
  <c r="I40" i="7" s="1"/>
  <c r="BV6" i="9"/>
  <c r="BW6" i="9" s="1"/>
  <c r="N26" i="9"/>
  <c r="N10" i="9"/>
  <c r="L28" i="9"/>
  <c r="N28" i="9"/>
  <c r="L23" i="7"/>
  <c r="L102" i="7" s="1"/>
  <c r="L27" i="7"/>
  <c r="I30" i="9"/>
  <c r="H30" i="9"/>
  <c r="BR30" i="9" s="1"/>
  <c r="BM30" i="9"/>
  <c r="BO30" i="9" s="1"/>
  <c r="J80" i="2" s="1"/>
  <c r="K27" i="9"/>
  <c r="BM26" i="9"/>
  <c r="BO26" i="9" s="1"/>
  <c r="J76" i="2" s="1"/>
  <c r="K21" i="9"/>
  <c r="K19" i="9"/>
  <c r="K17" i="9"/>
  <c r="BM29" i="9"/>
  <c r="BO29" i="9" s="1"/>
  <c r="J79" i="2" s="1"/>
  <c r="K29" i="9"/>
  <c r="K20" i="9"/>
  <c r="K12" i="9"/>
  <c r="K15" i="9"/>
  <c r="K7" i="9"/>
  <c r="K30" i="9"/>
  <c r="K9" i="9"/>
  <c r="K22" i="9"/>
  <c r="K16" i="9"/>
  <c r="K11" i="9"/>
  <c r="K13" i="9"/>
  <c r="I15" i="9"/>
  <c r="K23" i="9"/>
  <c r="Q40" i="10"/>
  <c r="E42" i="10"/>
  <c r="Q42" i="10" s="1"/>
  <c r="N14" i="9"/>
  <c r="I18" i="9"/>
  <c r="E36" i="10"/>
  <c r="Q36" i="10" s="1"/>
  <c r="Q34" i="10"/>
  <c r="I24" i="9"/>
  <c r="Q52" i="10"/>
  <c r="F158" i="10"/>
  <c r="F159" i="10"/>
  <c r="H26" i="9"/>
  <c r="Q70" i="10"/>
  <c r="D158" i="10"/>
  <c r="D170" i="10"/>
  <c r="F165" i="10"/>
  <c r="F177" i="10"/>
  <c r="L18" i="2" l="1"/>
  <c r="L13" i="2"/>
  <c r="L26" i="2"/>
  <c r="U13" i="2"/>
  <c r="AL13" i="2" s="1"/>
  <c r="H22" i="9"/>
  <c r="AR24" i="2"/>
  <c r="AC24" i="2" s="1"/>
  <c r="AR25" i="2"/>
  <c r="AC25" i="2" s="1"/>
  <c r="M20" i="4"/>
  <c r="M26" i="4" s="1"/>
  <c r="AD22" i="2"/>
  <c r="F14" i="8" s="1"/>
  <c r="U17" i="6"/>
  <c r="U94" i="6" s="1"/>
  <c r="U18" i="6"/>
  <c r="U79" i="6" s="1"/>
  <c r="U81" i="6" s="1"/>
  <c r="U82" i="6" s="1"/>
  <c r="U108" i="6" s="1"/>
  <c r="AH20" i="5"/>
  <c r="AH31" i="5" s="1"/>
  <c r="L36" i="2"/>
  <c r="S17" i="6"/>
  <c r="S94" i="6" s="1"/>
  <c r="S95" i="6" s="1"/>
  <c r="S96" i="6" s="1"/>
  <c r="S101" i="6" s="1"/>
  <c r="S102" i="6" s="1"/>
  <c r="S103" i="6" s="1"/>
  <c r="AQ19" i="4"/>
  <c r="U11" i="4"/>
  <c r="U12" i="4" s="1"/>
  <c r="U15" i="4" s="1"/>
  <c r="U32" i="4" s="1"/>
  <c r="AH11" i="5"/>
  <c r="AH13" i="5" s="1"/>
  <c r="L37" i="2"/>
  <c r="T28" i="5"/>
  <c r="T55" i="5" s="1"/>
  <c r="AP28" i="4"/>
  <c r="AP47" i="4" s="1"/>
  <c r="U20" i="4"/>
  <c r="U19" i="4"/>
  <c r="AQ43" i="4"/>
  <c r="AQ58" i="4" s="1"/>
  <c r="U28" i="4"/>
  <c r="U48" i="4" s="1"/>
  <c r="C56" i="2"/>
  <c r="S20" i="4"/>
  <c r="S31" i="4" s="1"/>
  <c r="AQ43" i="5"/>
  <c r="AQ52" i="5" s="1"/>
  <c r="S11" i="4"/>
  <c r="S12" i="4" s="1"/>
  <c r="AF18" i="6"/>
  <c r="AF79" i="6" s="1"/>
  <c r="AF87" i="6" s="1"/>
  <c r="AF88" i="6" s="1"/>
  <c r="AQ20" i="4"/>
  <c r="AQ20" i="5"/>
  <c r="AQ21" i="5" s="1"/>
  <c r="S43" i="4"/>
  <c r="S59" i="6" s="1"/>
  <c r="R43" i="5"/>
  <c r="R58" i="5" s="1"/>
  <c r="C58" i="2"/>
  <c r="T43" i="5"/>
  <c r="T58" i="5" s="1"/>
  <c r="R19" i="5"/>
  <c r="T20" i="5"/>
  <c r="T21" i="5" s="1"/>
  <c r="AQ11" i="5"/>
  <c r="AQ12" i="5" s="1"/>
  <c r="AQ33" i="5" s="1"/>
  <c r="R20" i="5"/>
  <c r="R11" i="5"/>
  <c r="R12" i="5" s="1"/>
  <c r="C57" i="2"/>
  <c r="AF17" i="6"/>
  <c r="AQ28" i="5"/>
  <c r="AQ55" i="5" s="1"/>
  <c r="T17" i="6"/>
  <c r="T94" i="6" s="1"/>
  <c r="T95" i="6" s="1"/>
  <c r="T97" i="6" s="1"/>
  <c r="G19" i="5"/>
  <c r="AP43" i="4"/>
  <c r="AP58" i="4" s="1"/>
  <c r="H19" i="9"/>
  <c r="L19" i="9" s="1"/>
  <c r="AD19" i="4"/>
  <c r="C59" i="2"/>
  <c r="AQ28" i="4"/>
  <c r="AQ48" i="4" s="1"/>
  <c r="S28" i="4"/>
  <c r="S47" i="4" s="1"/>
  <c r="R18" i="2"/>
  <c r="U36" i="2"/>
  <c r="AL36" i="2" s="1"/>
  <c r="AH28" i="5"/>
  <c r="AH47" i="5" s="1"/>
  <c r="AR26" i="2"/>
  <c r="AC26" i="2" s="1"/>
  <c r="AR33" i="2"/>
  <c r="AC33" i="2" s="1"/>
  <c r="AR19" i="2"/>
  <c r="AC19" i="2" s="1"/>
  <c r="H43" i="5"/>
  <c r="H58" i="5" s="1"/>
  <c r="U26" i="2"/>
  <c r="AL26" i="2" s="1"/>
  <c r="M28" i="4"/>
  <c r="M55" i="4" s="1"/>
  <c r="AD26" i="2"/>
  <c r="F18" i="8" s="1"/>
  <c r="AD20" i="5"/>
  <c r="AD26" i="5" s="1"/>
  <c r="C71" i="2"/>
  <c r="S10" i="6"/>
  <c r="S11" i="6" s="1"/>
  <c r="S15" i="6" s="1"/>
  <c r="T11" i="5"/>
  <c r="T12" i="5" s="1"/>
  <c r="T15" i="5" s="1"/>
  <c r="T32" i="5" s="1"/>
  <c r="G28" i="5"/>
  <c r="G48" i="5" s="1"/>
  <c r="AR44" i="2"/>
  <c r="AC44" i="2" s="1"/>
  <c r="AR28" i="2"/>
  <c r="AC28" i="2" s="1"/>
  <c r="G20" i="5"/>
  <c r="AD28" i="5"/>
  <c r="AD48" i="5" s="1"/>
  <c r="F28" i="8"/>
  <c r="AD18" i="6"/>
  <c r="AD79" i="6" s="1"/>
  <c r="AD87" i="6" s="1"/>
  <c r="AD88" i="6" s="1"/>
  <c r="AD89" i="6" s="1"/>
  <c r="AD109" i="6" s="1"/>
  <c r="AR13" i="2"/>
  <c r="AC13" i="2" s="1"/>
  <c r="V13" i="2"/>
  <c r="J5" i="8" s="1"/>
  <c r="F11" i="5"/>
  <c r="F13" i="5" s="1"/>
  <c r="H7" i="9"/>
  <c r="BR7" i="9" s="1"/>
  <c r="G11" i="5"/>
  <c r="G12" i="5" s="1"/>
  <c r="AD11" i="5"/>
  <c r="AD13" i="5" s="1"/>
  <c r="AG17" i="6"/>
  <c r="AG94" i="6" s="1"/>
  <c r="AR20" i="4"/>
  <c r="T10" i="6"/>
  <c r="T11" i="6" s="1"/>
  <c r="T15" i="6" s="1"/>
  <c r="F19" i="5"/>
  <c r="C5" i="8"/>
  <c r="R13" i="2"/>
  <c r="H8" i="9"/>
  <c r="L8" i="9" s="1"/>
  <c r="AE18" i="6"/>
  <c r="AE25" i="6" s="1"/>
  <c r="AH43" i="5"/>
  <c r="AH58" i="5" s="1"/>
  <c r="H19" i="5"/>
  <c r="H26" i="5" s="1"/>
  <c r="M11" i="4"/>
  <c r="M13" i="4" s="1"/>
  <c r="F17" i="6"/>
  <c r="F94" i="6" s="1"/>
  <c r="F95" i="6" s="1"/>
  <c r="F97" i="6" s="1"/>
  <c r="AD10" i="6"/>
  <c r="AD12" i="6" s="1"/>
  <c r="I28" i="4"/>
  <c r="I48" i="4" s="1"/>
  <c r="AH17" i="6"/>
  <c r="AH94" i="6" s="1"/>
  <c r="AH95" i="6" s="1"/>
  <c r="C73" i="2"/>
  <c r="AR19" i="4"/>
  <c r="AP11" i="4"/>
  <c r="AP13" i="4" s="1"/>
  <c r="I20" i="4"/>
  <c r="I31" i="4" s="1"/>
  <c r="AE20" i="4"/>
  <c r="M43" i="4"/>
  <c r="M59" i="6" s="1"/>
  <c r="L10" i="9"/>
  <c r="AG11" i="5"/>
  <c r="AG13" i="5" s="1"/>
  <c r="U31" i="2"/>
  <c r="AL31" i="2" s="1"/>
  <c r="AJ19" i="4"/>
  <c r="AE28" i="4"/>
  <c r="AE47" i="4" s="1"/>
  <c r="AE10" i="6"/>
  <c r="AE12" i="6" s="1"/>
  <c r="F28" i="5"/>
  <c r="F48" i="5" s="1"/>
  <c r="Z18" i="6"/>
  <c r="Z79" i="6" s="1"/>
  <c r="Z87" i="6" s="1"/>
  <c r="Z88" i="6" s="1"/>
  <c r="AG28" i="5"/>
  <c r="AG47" i="5" s="1"/>
  <c r="AG19" i="5"/>
  <c r="AG26" i="5" s="1"/>
  <c r="AE11" i="4"/>
  <c r="AE13" i="4" s="1"/>
  <c r="V25" i="2"/>
  <c r="X25" i="2" s="1"/>
  <c r="M17" i="8" s="1"/>
  <c r="H10" i="6"/>
  <c r="H12" i="6" s="1"/>
  <c r="AD43" i="5"/>
  <c r="AD58" i="5" s="1"/>
  <c r="I23" i="9"/>
  <c r="L23" i="9" s="1"/>
  <c r="AG43" i="5"/>
  <c r="AG58" i="5" s="1"/>
  <c r="AE19" i="4"/>
  <c r="C10" i="8"/>
  <c r="F20" i="5"/>
  <c r="R26" i="2"/>
  <c r="AP20" i="4"/>
  <c r="AP26" i="4" s="1"/>
  <c r="AR28" i="4"/>
  <c r="AR55" i="4" s="1"/>
  <c r="AT28" i="4"/>
  <c r="AT55" i="4" s="1"/>
  <c r="F10" i="8"/>
  <c r="AE18" i="2"/>
  <c r="G10" i="8" s="1"/>
  <c r="V18" i="2"/>
  <c r="J10" i="8" s="1"/>
  <c r="U18" i="2"/>
  <c r="AL18" i="2" s="1"/>
  <c r="V37" i="2"/>
  <c r="R37" i="2"/>
  <c r="R19" i="4"/>
  <c r="H21" i="9"/>
  <c r="BR21" i="9" s="1"/>
  <c r="S19" i="5"/>
  <c r="S26" i="5" s="1"/>
  <c r="T19" i="4"/>
  <c r="T26" i="4" s="1"/>
  <c r="AP28" i="5"/>
  <c r="AP55" i="5" s="1"/>
  <c r="T28" i="4"/>
  <c r="T55" i="4" s="1"/>
  <c r="O17" i="6"/>
  <c r="O94" i="6" s="1"/>
  <c r="I43" i="4"/>
  <c r="I58" i="4" s="1"/>
  <c r="V26" i="2"/>
  <c r="X26" i="2" s="1"/>
  <c r="M18" i="8" s="1"/>
  <c r="R11" i="4"/>
  <c r="R12" i="4" s="1"/>
  <c r="R16" i="4" s="1"/>
  <c r="S43" i="5"/>
  <c r="S58" i="5" s="1"/>
  <c r="O10" i="6"/>
  <c r="O11" i="6" s="1"/>
  <c r="AR43" i="4"/>
  <c r="AR52" i="4" s="1"/>
  <c r="C69" i="2"/>
  <c r="J17" i="6"/>
  <c r="J94" i="6" s="1"/>
  <c r="U37" i="2"/>
  <c r="AL37" i="2" s="1"/>
  <c r="F10" i="6"/>
  <c r="F12" i="6" s="1"/>
  <c r="R28" i="4"/>
  <c r="R55" i="4" s="1"/>
  <c r="AP11" i="5"/>
  <c r="AP13" i="5" s="1"/>
  <c r="I11" i="4"/>
  <c r="I12" i="4" s="1"/>
  <c r="C68" i="2"/>
  <c r="T43" i="4"/>
  <c r="T58" i="4" s="1"/>
  <c r="Z17" i="6"/>
  <c r="Z94" i="6" s="1"/>
  <c r="T11" i="4"/>
  <c r="T12" i="4" s="1"/>
  <c r="T33" i="4" s="1"/>
  <c r="C17" i="8"/>
  <c r="S11" i="5"/>
  <c r="S13" i="5" s="1"/>
  <c r="S28" i="5"/>
  <c r="S48" i="5" s="1"/>
  <c r="U25" i="2"/>
  <c r="AL25" i="2" s="1"/>
  <c r="AN19" i="4"/>
  <c r="U28" i="5"/>
  <c r="U55" i="5" s="1"/>
  <c r="I22" i="9"/>
  <c r="L22" i="9" s="1"/>
  <c r="R36" i="2"/>
  <c r="U20" i="5"/>
  <c r="BR18" i="9"/>
  <c r="AD11" i="4"/>
  <c r="AD13" i="4" s="1"/>
  <c r="V36" i="2"/>
  <c r="AJ36" i="2" s="1"/>
  <c r="AD12" i="2"/>
  <c r="F4" i="8" s="1"/>
  <c r="C28" i="8"/>
  <c r="R20" i="4"/>
  <c r="R31" i="2"/>
  <c r="AD31" i="2"/>
  <c r="AE31" i="2" s="1"/>
  <c r="H17" i="9"/>
  <c r="BR17" i="9" s="1"/>
  <c r="U19" i="5"/>
  <c r="L31" i="2"/>
  <c r="V20" i="4"/>
  <c r="AD43" i="4"/>
  <c r="AD52" i="4" s="1"/>
  <c r="AR27" i="2"/>
  <c r="AC27" i="2" s="1"/>
  <c r="U43" i="5"/>
  <c r="U52" i="5" s="1"/>
  <c r="E28" i="5"/>
  <c r="E48" i="5" s="1"/>
  <c r="V31" i="2"/>
  <c r="J23" i="8" s="1"/>
  <c r="C70" i="2"/>
  <c r="AD20" i="4"/>
  <c r="C4" i="8"/>
  <c r="E19" i="4"/>
  <c r="AA10" i="6"/>
  <c r="AA12" i="6" s="1"/>
  <c r="C74" i="2"/>
  <c r="AD25" i="2"/>
  <c r="AE25" i="2" s="1"/>
  <c r="AH18" i="6"/>
  <c r="AH79" i="6" s="1"/>
  <c r="AH87" i="6" s="1"/>
  <c r="AH88" i="6" s="1"/>
  <c r="AH90" i="6" s="1"/>
  <c r="AH110" i="6" s="1"/>
  <c r="AR12" i="2"/>
  <c r="AC12" i="2" s="1"/>
  <c r="AR36" i="2"/>
  <c r="AC36" i="2" s="1"/>
  <c r="C3" i="8"/>
  <c r="V40" i="2"/>
  <c r="X40" i="2" s="1"/>
  <c r="AD39" i="2"/>
  <c r="AE39" i="2" s="1"/>
  <c r="S39" i="2" s="1"/>
  <c r="R12" i="2"/>
  <c r="C11" i="8"/>
  <c r="L43" i="2"/>
  <c r="U43" i="2"/>
  <c r="AL43" i="2" s="1"/>
  <c r="V43" i="2"/>
  <c r="X43" i="2" s="1"/>
  <c r="U12" i="2"/>
  <c r="AL12" i="2" s="1"/>
  <c r="C20" i="8"/>
  <c r="AD41" i="2"/>
  <c r="AE41" i="2" s="1"/>
  <c r="S41" i="2" s="1"/>
  <c r="R41" i="2"/>
  <c r="L28" i="2"/>
  <c r="V14" i="2"/>
  <c r="J6" i="8" s="1"/>
  <c r="C6" i="8"/>
  <c r="R39" i="2"/>
  <c r="V24" i="2"/>
  <c r="X24" i="2" s="1"/>
  <c r="M16" i="8" s="1"/>
  <c r="R43" i="2"/>
  <c r="L12" i="2"/>
  <c r="L40" i="2"/>
  <c r="AD11" i="2"/>
  <c r="F3" i="8" s="1"/>
  <c r="C72" i="2"/>
  <c r="C67" i="2"/>
  <c r="G48" i="4"/>
  <c r="C65" i="2"/>
  <c r="AR16" i="2"/>
  <c r="AC16" i="2" s="1"/>
  <c r="C66" i="2"/>
  <c r="C75" i="2"/>
  <c r="BR8" i="9"/>
  <c r="AR22" i="2"/>
  <c r="AC22" i="2" s="1"/>
  <c r="BR10" i="9"/>
  <c r="AR29" i="2"/>
  <c r="AC29" i="2" s="1"/>
  <c r="AR20" i="2"/>
  <c r="AC20" i="2" s="1"/>
  <c r="A10" i="8"/>
  <c r="C63" i="2"/>
  <c r="AR15" i="2"/>
  <c r="AC15" i="2" s="1"/>
  <c r="C64" i="2"/>
  <c r="AR14" i="2"/>
  <c r="AC14" i="2" s="1"/>
  <c r="AJ49" i="2"/>
  <c r="AK49" i="2" s="1"/>
  <c r="T49" i="2" s="1"/>
  <c r="AJ39" i="2"/>
  <c r="AK39" i="2" s="1"/>
  <c r="T39" i="2" s="1"/>
  <c r="G55" i="4"/>
  <c r="F81" i="6"/>
  <c r="F82" i="6" s="1"/>
  <c r="F108" i="6" s="1"/>
  <c r="AC58" i="5"/>
  <c r="AN12" i="5"/>
  <c r="AN33" i="5" s="1"/>
  <c r="E17" i="6"/>
  <c r="E43" i="6" s="1"/>
  <c r="F47" i="4"/>
  <c r="F48" i="4"/>
  <c r="U12" i="6"/>
  <c r="E20" i="5"/>
  <c r="E43" i="5"/>
  <c r="E52" i="5" s="1"/>
  <c r="R11" i="2"/>
  <c r="E43" i="4"/>
  <c r="E28" i="4"/>
  <c r="E20" i="4"/>
  <c r="E19" i="5"/>
  <c r="U11" i="2"/>
  <c r="AL11" i="2" s="1"/>
  <c r="E10" i="6"/>
  <c r="E11" i="6" s="1"/>
  <c r="E15" i="6" s="1"/>
  <c r="V11" i="2"/>
  <c r="X11" i="2" s="1"/>
  <c r="M3" i="8" s="1"/>
  <c r="R17" i="2"/>
  <c r="AA17" i="6"/>
  <c r="AA94" i="6" s="1"/>
  <c r="U41" i="2"/>
  <c r="AL41" i="2" s="1"/>
  <c r="L41" i="2"/>
  <c r="H19" i="4"/>
  <c r="V19" i="4"/>
  <c r="H20" i="4"/>
  <c r="U24" i="2"/>
  <c r="AL24" i="2" s="1"/>
  <c r="G17" i="6"/>
  <c r="G20" i="6" s="1"/>
  <c r="V17" i="2"/>
  <c r="AJ17" i="2" s="1"/>
  <c r="AD17" i="2"/>
  <c r="F9" i="8" s="1"/>
  <c r="G10" i="6"/>
  <c r="G11" i="6" s="1"/>
  <c r="G15" i="6" s="1"/>
  <c r="C9" i="8"/>
  <c r="F43" i="4"/>
  <c r="F52" i="4" s="1"/>
  <c r="V15" i="2"/>
  <c r="J7" i="8" s="1"/>
  <c r="H47" i="4"/>
  <c r="AE15" i="2"/>
  <c r="R28" i="2"/>
  <c r="C16" i="8"/>
  <c r="R15" i="2"/>
  <c r="H48" i="4"/>
  <c r="X41" i="2"/>
  <c r="L39" i="2"/>
  <c r="U39" i="2"/>
  <c r="AL39" i="2" s="1"/>
  <c r="L17" i="2"/>
  <c r="H11" i="4"/>
  <c r="H13" i="4" s="1"/>
  <c r="H11" i="9"/>
  <c r="BR11" i="9" s="1"/>
  <c r="F20" i="4"/>
  <c r="F21" i="4" s="1"/>
  <c r="F24" i="4" s="1"/>
  <c r="F102" i="4" s="1"/>
  <c r="U15" i="2"/>
  <c r="AL15" i="2" s="1"/>
  <c r="R14" i="2"/>
  <c r="AD24" i="2"/>
  <c r="H14" i="9"/>
  <c r="BR14" i="9" s="1"/>
  <c r="W43" i="5"/>
  <c r="W52" i="5" s="1"/>
  <c r="AD16" i="2"/>
  <c r="F8" i="8" s="1"/>
  <c r="U34" i="2"/>
  <c r="AL34" i="2" s="1"/>
  <c r="C7" i="8"/>
  <c r="R40" i="2"/>
  <c r="H17" i="6"/>
  <c r="H25" i="6" s="1"/>
  <c r="L14" i="2"/>
  <c r="H9" i="9"/>
  <c r="BR9" i="9" s="1"/>
  <c r="K20" i="5"/>
  <c r="V16" i="2"/>
  <c r="J8" i="8" s="1"/>
  <c r="AD28" i="2"/>
  <c r="F20" i="8" s="1"/>
  <c r="R34" i="2"/>
  <c r="U14" i="2"/>
  <c r="AL14" i="2" s="1"/>
  <c r="U40" i="2"/>
  <c r="AL40" i="2" s="1"/>
  <c r="H43" i="4"/>
  <c r="H52" i="4" s="1"/>
  <c r="R24" i="2"/>
  <c r="K11" i="5"/>
  <c r="K12" i="5" s="1"/>
  <c r="V28" i="2"/>
  <c r="AJ28" i="2" s="1"/>
  <c r="L15" i="2"/>
  <c r="F11" i="4"/>
  <c r="F12" i="4" s="1"/>
  <c r="F33" i="4" s="1"/>
  <c r="AR11" i="2"/>
  <c r="X20" i="4"/>
  <c r="X43" i="4"/>
  <c r="X58" i="4" s="1"/>
  <c r="BR16" i="9"/>
  <c r="Y20" i="4"/>
  <c r="X20" i="5"/>
  <c r="X31" i="5" s="1"/>
  <c r="K43" i="4"/>
  <c r="K52" i="4" s="1"/>
  <c r="X28" i="4"/>
  <c r="X55" i="4" s="1"/>
  <c r="K18" i="6"/>
  <c r="K79" i="6" s="1"/>
  <c r="K81" i="6" s="1"/>
  <c r="K82" i="6" s="1"/>
  <c r="K108" i="6" s="1"/>
  <c r="K28" i="4"/>
  <c r="K48" i="4" s="1"/>
  <c r="AT11" i="4"/>
  <c r="AT12" i="4" s="1"/>
  <c r="K17" i="6"/>
  <c r="K94" i="6" s="1"/>
  <c r="K19" i="4"/>
  <c r="AR21" i="2"/>
  <c r="AC21" i="2" s="1"/>
  <c r="AR23" i="2"/>
  <c r="AC23" i="2" s="1"/>
  <c r="AE21" i="5"/>
  <c r="AE24" i="5" s="1"/>
  <c r="AE102" i="5" s="1"/>
  <c r="P25" i="6"/>
  <c r="AR30" i="2"/>
  <c r="AC30" i="2" s="1"/>
  <c r="AR34" i="2"/>
  <c r="AC34" i="2" s="1"/>
  <c r="AF55" i="5"/>
  <c r="P20" i="6"/>
  <c r="P21" i="6" s="1"/>
  <c r="P22" i="6" s="1"/>
  <c r="AG33" i="4"/>
  <c r="AG34" i="4" s="1"/>
  <c r="AG107" i="4" s="1"/>
  <c r="L24" i="9"/>
  <c r="AK31" i="4"/>
  <c r="AE52" i="5"/>
  <c r="AG15" i="4"/>
  <c r="AG32" i="4" s="1"/>
  <c r="H13" i="9"/>
  <c r="L13" i="9" s="1"/>
  <c r="I12" i="9"/>
  <c r="H12" i="9"/>
  <c r="BR12" i="9" s="1"/>
  <c r="AF31" i="5"/>
  <c r="AR18" i="2"/>
  <c r="AC18" i="2" s="1"/>
  <c r="H25" i="9"/>
  <c r="I25" i="9"/>
  <c r="BR15" i="9"/>
  <c r="AF47" i="5"/>
  <c r="AR35" i="2"/>
  <c r="AC35" i="2" s="1"/>
  <c r="AK55" i="4"/>
  <c r="H6" i="9"/>
  <c r="I6" i="9"/>
  <c r="BN6" i="9"/>
  <c r="K12" i="4"/>
  <c r="K16" i="4" s="1"/>
  <c r="P11" i="6"/>
  <c r="P71" i="6" s="1"/>
  <c r="P72" i="6" s="1"/>
  <c r="P107" i="6" s="1"/>
  <c r="P112" i="6" s="1"/>
  <c r="P113" i="6" s="1"/>
  <c r="AD48" i="4"/>
  <c r="AD55" i="4"/>
  <c r="AN48" i="4"/>
  <c r="AN47" i="4"/>
  <c r="AN55" i="4"/>
  <c r="R16" i="2"/>
  <c r="L45" i="2"/>
  <c r="X10" i="6"/>
  <c r="X11" i="6" s="1"/>
  <c r="X71" i="6" s="1"/>
  <c r="X72" i="6" s="1"/>
  <c r="X107" i="6" s="1"/>
  <c r="X112" i="6" s="1"/>
  <c r="X113" i="6" s="1"/>
  <c r="P94" i="6"/>
  <c r="P95" i="6" s="1"/>
  <c r="P96" i="6" s="1"/>
  <c r="P101" i="6" s="1"/>
  <c r="P102" i="6" s="1"/>
  <c r="P103" i="6" s="1"/>
  <c r="P104" i="6" s="1"/>
  <c r="P111" i="6" s="1"/>
  <c r="F6" i="8"/>
  <c r="R22" i="2"/>
  <c r="O81" i="6"/>
  <c r="O82" i="6" s="1"/>
  <c r="O108" i="6" s="1"/>
  <c r="X17" i="6"/>
  <c r="X20" i="6" s="1"/>
  <c r="X23" i="6" s="1"/>
  <c r="AK28" i="5"/>
  <c r="AK55" i="5" s="1"/>
  <c r="V22" i="2"/>
  <c r="J14" i="8" s="1"/>
  <c r="P28" i="5"/>
  <c r="P55" i="5" s="1"/>
  <c r="K20" i="4"/>
  <c r="AI20" i="6"/>
  <c r="AI23" i="6" s="1"/>
  <c r="Y17" i="6"/>
  <c r="Y94" i="6" s="1"/>
  <c r="Y10" i="6"/>
  <c r="Y12" i="6" s="1"/>
  <c r="Y43" i="4"/>
  <c r="Y52" i="4" s="1"/>
  <c r="AN11" i="4"/>
  <c r="AN13" i="4" s="1"/>
  <c r="Y11" i="4"/>
  <c r="Y13" i="4" s="1"/>
  <c r="AN43" i="4"/>
  <c r="AN58" i="4" s="1"/>
  <c r="X12" i="4"/>
  <c r="X15" i="4" s="1"/>
  <c r="X32" i="4" s="1"/>
  <c r="U27" i="2"/>
  <c r="AL27" i="2" s="1"/>
  <c r="AI43" i="4"/>
  <c r="AI59" i="6" s="1"/>
  <c r="R45" i="2"/>
  <c r="Y19" i="4"/>
  <c r="P81" i="6"/>
  <c r="P82" i="6" s="1"/>
  <c r="P108" i="6" s="1"/>
  <c r="AN20" i="4"/>
  <c r="V27" i="2"/>
  <c r="J19" i="8" s="1"/>
  <c r="AI28" i="4"/>
  <c r="AI47" i="4" s="1"/>
  <c r="AD45" i="2"/>
  <c r="AE45" i="2" s="1"/>
  <c r="S45" i="2" s="1"/>
  <c r="V34" i="2"/>
  <c r="J26" i="8" s="1"/>
  <c r="AF11" i="6"/>
  <c r="AF15" i="6" s="1"/>
  <c r="P43" i="6"/>
  <c r="AK11" i="5"/>
  <c r="AK13" i="5" s="1"/>
  <c r="C14" i="8"/>
  <c r="AD27" i="2"/>
  <c r="F19" i="8" s="1"/>
  <c r="AI20" i="4"/>
  <c r="AI26" i="4" s="1"/>
  <c r="AE34" i="2"/>
  <c r="G26" i="8" s="1"/>
  <c r="AH12" i="6"/>
  <c r="V45" i="2"/>
  <c r="AJ45" i="2" s="1"/>
  <c r="AK45" i="2" s="1"/>
  <c r="T45" i="2" s="1"/>
  <c r="AF26" i="5"/>
  <c r="AK21" i="4"/>
  <c r="AK24" i="4" s="1"/>
  <c r="AK102" i="4" s="1"/>
  <c r="T81" i="6"/>
  <c r="T82" i="6" s="1"/>
  <c r="T108" i="6" s="1"/>
  <c r="AJ18" i="6"/>
  <c r="AJ79" i="6" s="1"/>
  <c r="AJ87" i="6" s="1"/>
  <c r="AJ88" i="6" s="1"/>
  <c r="AJ89" i="6" s="1"/>
  <c r="AJ109" i="6" s="1"/>
  <c r="J18" i="6"/>
  <c r="J79" i="6" s="1"/>
  <c r="J81" i="6" s="1"/>
  <c r="J82" i="6" s="1"/>
  <c r="J108" i="6" s="1"/>
  <c r="L34" i="2"/>
  <c r="X19" i="4"/>
  <c r="L22" i="2"/>
  <c r="R25" i="6"/>
  <c r="W19" i="5"/>
  <c r="M28" i="5"/>
  <c r="M55" i="5" s="1"/>
  <c r="F11" i="8"/>
  <c r="W20" i="5"/>
  <c r="AI87" i="6"/>
  <c r="AI88" i="6" s="1"/>
  <c r="AI89" i="6" s="1"/>
  <c r="AI109" i="6" s="1"/>
  <c r="M20" i="5"/>
  <c r="AF21" i="5"/>
  <c r="AF25" i="5" s="1"/>
  <c r="AI11" i="4"/>
  <c r="AI12" i="4" s="1"/>
  <c r="E12" i="4"/>
  <c r="E33" i="4" s="1"/>
  <c r="AT43" i="4"/>
  <c r="AT52" i="4" s="1"/>
  <c r="R81" i="6"/>
  <c r="R82" i="6" s="1"/>
  <c r="R108" i="6" s="1"/>
  <c r="W11" i="5"/>
  <c r="W12" i="5" s="1"/>
  <c r="V17" i="6"/>
  <c r="V94" i="6" s="1"/>
  <c r="Y48" i="4"/>
  <c r="R43" i="6"/>
  <c r="AJ43" i="5"/>
  <c r="AJ52" i="5" s="1"/>
  <c r="V10" i="6"/>
  <c r="V12" i="6" s="1"/>
  <c r="R33" i="2"/>
  <c r="P19" i="4"/>
  <c r="AF58" i="5"/>
  <c r="H55" i="5"/>
  <c r="R19" i="2"/>
  <c r="Y55" i="4"/>
  <c r="V58" i="4"/>
  <c r="H47" i="5"/>
  <c r="U19" i="2"/>
  <c r="AL19" i="2" s="1"/>
  <c r="V52" i="4"/>
  <c r="AA28" i="4"/>
  <c r="AA55" i="4" s="1"/>
  <c r="AR58" i="5"/>
  <c r="P43" i="4"/>
  <c r="P59" i="6" s="1"/>
  <c r="C26" i="8"/>
  <c r="V19" i="2"/>
  <c r="J11" i="8" s="1"/>
  <c r="V11" i="4"/>
  <c r="V13" i="4" s="1"/>
  <c r="AR21" i="5"/>
  <c r="AR24" i="5" s="1"/>
  <c r="AR102" i="5" s="1"/>
  <c r="AI43" i="6"/>
  <c r="P19" i="5"/>
  <c r="R30" i="2"/>
  <c r="AK13" i="4"/>
  <c r="Y19" i="5"/>
  <c r="Y28" i="5"/>
  <c r="Y11" i="5"/>
  <c r="Y13" i="5" s="1"/>
  <c r="Y20" i="5"/>
  <c r="C27" i="8"/>
  <c r="AD35" i="2"/>
  <c r="V35" i="2"/>
  <c r="U35" i="2"/>
  <c r="AL35" i="2" s="1"/>
  <c r="R35" i="2"/>
  <c r="L35" i="2"/>
  <c r="J20" i="5"/>
  <c r="AI94" i="6"/>
  <c r="AI95" i="6" s="1"/>
  <c r="AI97" i="6" s="1"/>
  <c r="C15" i="8"/>
  <c r="U23" i="2"/>
  <c r="AL23" i="2" s="1"/>
  <c r="AD23" i="2"/>
  <c r="V23" i="2"/>
  <c r="R23" i="2"/>
  <c r="L23" i="2"/>
  <c r="P28" i="4"/>
  <c r="P20" i="4"/>
  <c r="AI25" i="6"/>
  <c r="AR31" i="5"/>
  <c r="I28" i="5"/>
  <c r="I20" i="5"/>
  <c r="I43" i="5"/>
  <c r="I52" i="5" s="1"/>
  <c r="I19" i="5"/>
  <c r="AT28" i="5"/>
  <c r="AT20" i="5"/>
  <c r="AT43" i="5"/>
  <c r="AT11" i="5"/>
  <c r="AT19" i="5"/>
  <c r="C12" i="8"/>
  <c r="AD20" i="2"/>
  <c r="V20" i="2"/>
  <c r="U20" i="2"/>
  <c r="AL20" i="2" s="1"/>
  <c r="L20" i="2"/>
  <c r="R20" i="2"/>
  <c r="S79" i="6"/>
  <c r="S87" i="6" s="1"/>
  <c r="S88" i="6" s="1"/>
  <c r="S20" i="6"/>
  <c r="AO28" i="4"/>
  <c r="AO19" i="4"/>
  <c r="AO20" i="4"/>
  <c r="AO43" i="4"/>
  <c r="AO58" i="4" s="1"/>
  <c r="AI11" i="6"/>
  <c r="AI15" i="6" s="1"/>
  <c r="AI12" i="6"/>
  <c r="I17" i="6"/>
  <c r="AJ10" i="6"/>
  <c r="AJ12" i="6" s="1"/>
  <c r="I18" i="6"/>
  <c r="I79" i="6" s="1"/>
  <c r="I87" i="6" s="1"/>
  <c r="I88" i="6" s="1"/>
  <c r="AG59" i="6"/>
  <c r="AG58" i="4"/>
  <c r="AC28" i="4"/>
  <c r="AC43" i="4"/>
  <c r="AC19" i="4"/>
  <c r="AC20" i="4"/>
  <c r="AC11" i="4"/>
  <c r="AC12" i="4" s="1"/>
  <c r="AO20" i="5"/>
  <c r="AO43" i="5"/>
  <c r="AO28" i="5"/>
  <c r="AO11" i="5"/>
  <c r="AO19" i="5"/>
  <c r="L10" i="6"/>
  <c r="L12" i="6" s="1"/>
  <c r="L17" i="6"/>
  <c r="L94" i="6" s="1"/>
  <c r="L18" i="6"/>
  <c r="L79" i="6" s="1"/>
  <c r="L87" i="6" s="1"/>
  <c r="L88" i="6" s="1"/>
  <c r="AB18" i="6"/>
  <c r="AB17" i="6"/>
  <c r="AB10" i="6"/>
  <c r="AD33" i="2"/>
  <c r="V33" i="2"/>
  <c r="U33" i="2"/>
  <c r="AL33" i="2" s="1"/>
  <c r="L33" i="2"/>
  <c r="O11" i="4"/>
  <c r="O20" i="4"/>
  <c r="O31" i="4" s="1"/>
  <c r="AL20" i="5"/>
  <c r="L38" i="2"/>
  <c r="R38" i="2"/>
  <c r="U38" i="2"/>
  <c r="AL38" i="2" s="1"/>
  <c r="AD38" i="2"/>
  <c r="AE38" i="2" s="1"/>
  <c r="S38" i="2" s="1"/>
  <c r="U51" i="2"/>
  <c r="AL51" i="2" s="1"/>
  <c r="V51" i="2"/>
  <c r="AD51" i="2"/>
  <c r="AE51" i="2" s="1"/>
  <c r="S51" i="2" s="1"/>
  <c r="AD21" i="2"/>
  <c r="R21" i="2"/>
  <c r="V21" i="2"/>
  <c r="J13" i="8" s="1"/>
  <c r="C13" i="8"/>
  <c r="U21" i="2"/>
  <c r="AL21" i="2" s="1"/>
  <c r="L21" i="2"/>
  <c r="U52" i="2"/>
  <c r="AL52" i="2" s="1"/>
  <c r="R52" i="2"/>
  <c r="V52" i="2"/>
  <c r="X52" i="2" s="1"/>
  <c r="Q19" i="4"/>
  <c r="Q28" i="4"/>
  <c r="Q11" i="4"/>
  <c r="Q20" i="4"/>
  <c r="Q43" i="4"/>
  <c r="I11" i="5"/>
  <c r="I12" i="5" s="1"/>
  <c r="L52" i="2"/>
  <c r="O43" i="4"/>
  <c r="O59" i="6" s="1"/>
  <c r="L27" i="2"/>
  <c r="R27" i="2"/>
  <c r="AR13" i="4"/>
  <c r="AR12" i="4"/>
  <c r="O28" i="5"/>
  <c r="O19" i="5"/>
  <c r="O43" i="5"/>
  <c r="O11" i="5"/>
  <c r="O20" i="5"/>
  <c r="J11" i="5"/>
  <c r="J43" i="5"/>
  <c r="J19" i="5"/>
  <c r="J28" i="5"/>
  <c r="U46" i="2"/>
  <c r="AL46" i="2" s="1"/>
  <c r="AD46" i="2"/>
  <c r="AE46" i="2" s="1"/>
  <c r="S46" i="2" s="1"/>
  <c r="V46" i="2"/>
  <c r="L46" i="2"/>
  <c r="R46" i="2"/>
  <c r="AO11" i="4"/>
  <c r="AD30" i="2"/>
  <c r="V30" i="2"/>
  <c r="U30" i="2"/>
  <c r="AL30" i="2" s="1"/>
  <c r="L30" i="2"/>
  <c r="W18" i="6"/>
  <c r="W79" i="6" s="1"/>
  <c r="W81" i="6" s="1"/>
  <c r="W82" i="6" s="1"/>
  <c r="W108" i="6" s="1"/>
  <c r="W17" i="6"/>
  <c r="W10" i="6"/>
  <c r="W11" i="6" s="1"/>
  <c r="P20" i="5"/>
  <c r="P11" i="5"/>
  <c r="AF13" i="5"/>
  <c r="AF12" i="5"/>
  <c r="AL11" i="5"/>
  <c r="AL12" i="5" s="1"/>
  <c r="AL19" i="5"/>
  <c r="AL28" i="5"/>
  <c r="AL55" i="5" s="1"/>
  <c r="N26" i="5"/>
  <c r="N21" i="5"/>
  <c r="N22" i="5" s="1"/>
  <c r="N59" i="5" s="1"/>
  <c r="AK33" i="4"/>
  <c r="AK16" i="4"/>
  <c r="AK15" i="4"/>
  <c r="AK32" i="4" s="1"/>
  <c r="N31" i="5"/>
  <c r="R51" i="2"/>
  <c r="O28" i="4"/>
  <c r="O47" i="4" s="1"/>
  <c r="X12" i="2"/>
  <c r="M4" i="8" s="1"/>
  <c r="AJ12" i="2"/>
  <c r="AG12" i="6"/>
  <c r="AG11" i="6"/>
  <c r="AG15" i="6" s="1"/>
  <c r="AH43" i="4"/>
  <c r="AH58" i="4" s="1"/>
  <c r="AH20" i="4"/>
  <c r="AH19" i="4"/>
  <c r="AH11" i="4"/>
  <c r="AH12" i="4" s="1"/>
  <c r="AH28" i="4"/>
  <c r="AH48" i="4" s="1"/>
  <c r="AI28" i="5"/>
  <c r="AI11" i="5"/>
  <c r="AI20" i="5"/>
  <c r="AI19" i="5"/>
  <c r="AR13" i="5"/>
  <c r="AR12" i="5"/>
  <c r="C21" i="8"/>
  <c r="AD29" i="2"/>
  <c r="V29" i="2"/>
  <c r="U29" i="2"/>
  <c r="AL29" i="2" s="1"/>
  <c r="L29" i="2"/>
  <c r="R29" i="2"/>
  <c r="AJ11" i="4"/>
  <c r="AJ20" i="4"/>
  <c r="AJ43" i="4"/>
  <c r="AJ52" i="4" s="1"/>
  <c r="V44" i="2"/>
  <c r="U44" i="2"/>
  <c r="AL44" i="2" s="1"/>
  <c r="R44" i="2"/>
  <c r="AD44" i="2"/>
  <c r="AE44" i="2" s="1"/>
  <c r="S44" i="2" s="1"/>
  <c r="L44" i="2"/>
  <c r="AA28" i="5"/>
  <c r="AA19" i="5"/>
  <c r="AA21" i="5" s="1"/>
  <c r="AA11" i="5"/>
  <c r="AA43" i="5"/>
  <c r="AB28" i="5"/>
  <c r="AB19" i="5"/>
  <c r="AB11" i="5"/>
  <c r="AB13" i="5" s="1"/>
  <c r="AD42" i="2"/>
  <c r="AE42" i="2" s="1"/>
  <c r="S42" i="2" s="1"/>
  <c r="U42" i="2"/>
  <c r="AL42" i="2" s="1"/>
  <c r="R42" i="2"/>
  <c r="V42" i="2"/>
  <c r="R20" i="6"/>
  <c r="R21" i="6" s="1"/>
  <c r="R26" i="6" s="1"/>
  <c r="L20" i="5"/>
  <c r="L11" i="5"/>
  <c r="L19" i="5"/>
  <c r="L28" i="5"/>
  <c r="L43" i="5"/>
  <c r="AK58" i="4"/>
  <c r="AK52" i="4"/>
  <c r="AK43" i="5"/>
  <c r="AK58" i="5" s="1"/>
  <c r="L42" i="2"/>
  <c r="U16" i="2"/>
  <c r="AL16" i="2" s="1"/>
  <c r="L16" i="2"/>
  <c r="AC18" i="6"/>
  <c r="AC79" i="6" s="1"/>
  <c r="AC87" i="6" s="1"/>
  <c r="AC88" i="6" s="1"/>
  <c r="AC89" i="6" s="1"/>
  <c r="AC109" i="6" s="1"/>
  <c r="AC10" i="6"/>
  <c r="AC17" i="6"/>
  <c r="C24" i="8"/>
  <c r="V32" i="2"/>
  <c r="AD32" i="2"/>
  <c r="U32" i="2"/>
  <c r="AL32" i="2" s="1"/>
  <c r="L32" i="2"/>
  <c r="Q20" i="5"/>
  <c r="Q19" i="5"/>
  <c r="Q28" i="5"/>
  <c r="Q48" i="5" s="1"/>
  <c r="Q43" i="5"/>
  <c r="AM28" i="5"/>
  <c r="AM43" i="5"/>
  <c r="AM11" i="5"/>
  <c r="AM19" i="5"/>
  <c r="AM20" i="5"/>
  <c r="AK19" i="5"/>
  <c r="AK21" i="5" s="1"/>
  <c r="AK22" i="5" s="1"/>
  <c r="R11" i="6"/>
  <c r="AR48" i="5"/>
  <c r="AR47" i="5"/>
  <c r="N17" i="6"/>
  <c r="N94" i="6" s="1"/>
  <c r="N95" i="6" s="1"/>
  <c r="N96" i="6" s="1"/>
  <c r="N101" i="6" s="1"/>
  <c r="N102" i="6" s="1"/>
  <c r="N103" i="6" s="1"/>
  <c r="N104" i="6" s="1"/>
  <c r="N111" i="6" s="1"/>
  <c r="N10" i="6"/>
  <c r="AA20" i="4"/>
  <c r="AA11" i="4"/>
  <c r="AA19" i="4"/>
  <c r="AB20" i="5"/>
  <c r="AK47" i="4"/>
  <c r="M18" i="6"/>
  <c r="M10" i="6"/>
  <c r="M11" i="6" s="1"/>
  <c r="AB43" i="4"/>
  <c r="AB19" i="4"/>
  <c r="AB20" i="4"/>
  <c r="AB11" i="4"/>
  <c r="AB12" i="4" s="1"/>
  <c r="Z20" i="5"/>
  <c r="Z19" i="5"/>
  <c r="Z11" i="5"/>
  <c r="Z28" i="5"/>
  <c r="Y81" i="6"/>
  <c r="Y82" i="6" s="1"/>
  <c r="Y108" i="6" s="1"/>
  <c r="AG13" i="4"/>
  <c r="H12" i="5"/>
  <c r="H13" i="5"/>
  <c r="Q17" i="6"/>
  <c r="Q18" i="6"/>
  <c r="Q79" i="6" s="1"/>
  <c r="Q81" i="6" s="1"/>
  <c r="Q82" i="6" s="1"/>
  <c r="Q108" i="6" s="1"/>
  <c r="Q10" i="6"/>
  <c r="AS20" i="4"/>
  <c r="AS19" i="4"/>
  <c r="AS28" i="4"/>
  <c r="AS43" i="4"/>
  <c r="V11" i="5"/>
  <c r="V28" i="5"/>
  <c r="AL43" i="4"/>
  <c r="AL28" i="4"/>
  <c r="AL11" i="4"/>
  <c r="AL19" i="4"/>
  <c r="AL20" i="4"/>
  <c r="V19" i="5"/>
  <c r="V43" i="5"/>
  <c r="V58" i="5" s="1"/>
  <c r="L19" i="2"/>
  <c r="AF20" i="4"/>
  <c r="AF28" i="4"/>
  <c r="AF43" i="4"/>
  <c r="AF11" i="4"/>
  <c r="AF19" i="4"/>
  <c r="K19" i="5"/>
  <c r="K28" i="5"/>
  <c r="X43" i="5"/>
  <c r="X28" i="5"/>
  <c r="X11" i="5"/>
  <c r="M19" i="5"/>
  <c r="M43" i="5"/>
  <c r="N28" i="4"/>
  <c r="N19" i="4"/>
  <c r="N20" i="4"/>
  <c r="N11" i="4"/>
  <c r="N43" i="4"/>
  <c r="AD47" i="2"/>
  <c r="AE47" i="2" s="1"/>
  <c r="S47" i="2" s="1"/>
  <c r="V47" i="2"/>
  <c r="U47" i="2"/>
  <c r="AL47" i="2" s="1"/>
  <c r="R47" i="2"/>
  <c r="W48" i="5"/>
  <c r="W55" i="5"/>
  <c r="W47" i="5"/>
  <c r="AJ11" i="5"/>
  <c r="AJ28" i="5"/>
  <c r="AJ20" i="5"/>
  <c r="AJ26" i="5" s="1"/>
  <c r="Z19" i="4"/>
  <c r="Z11" i="4"/>
  <c r="Z43" i="4"/>
  <c r="Z28" i="4"/>
  <c r="Z20" i="4"/>
  <c r="AR26" i="5"/>
  <c r="AA81" i="6"/>
  <c r="AA82" i="6" s="1"/>
  <c r="AA108" i="6" s="1"/>
  <c r="AT20" i="4"/>
  <c r="AT26" i="4" s="1"/>
  <c r="V28" i="4"/>
  <c r="V48" i="4" s="1"/>
  <c r="O90" i="6"/>
  <c r="O110" i="6" s="1"/>
  <c r="AE26" i="5"/>
  <c r="P90" i="6"/>
  <c r="P110" i="6" s="1"/>
  <c r="AE31" i="5"/>
  <c r="G44" i="7"/>
  <c r="G79" i="7" s="1"/>
  <c r="G80" i="7" s="1"/>
  <c r="G43" i="7"/>
  <c r="F133" i="7"/>
  <c r="F98" i="7"/>
  <c r="T90" i="6"/>
  <c r="T110" i="6" s="1"/>
  <c r="T89" i="6"/>
  <c r="T109" i="6" s="1"/>
  <c r="N23" i="9"/>
  <c r="N30" i="9"/>
  <c r="L30" i="9"/>
  <c r="Q28" i="9"/>
  <c r="O28" i="9"/>
  <c r="BJ28" i="9"/>
  <c r="F34" i="7"/>
  <c r="F102" i="7"/>
  <c r="F42" i="7"/>
  <c r="N55" i="5"/>
  <c r="N47" i="5"/>
  <c r="N48" i="5"/>
  <c r="E87" i="6"/>
  <c r="K40" i="7"/>
  <c r="K34" i="7"/>
  <c r="BR24" i="9"/>
  <c r="N7" i="9"/>
  <c r="P28" i="9"/>
  <c r="M102" i="7"/>
  <c r="M33" i="7"/>
  <c r="Z12" i="6"/>
  <c r="Z11" i="6"/>
  <c r="N58" i="5"/>
  <c r="N52" i="5"/>
  <c r="F44" i="3"/>
  <c r="F43" i="3"/>
  <c r="E31" i="6"/>
  <c r="E32" i="3"/>
  <c r="E39" i="3"/>
  <c r="E36" i="3"/>
  <c r="L15" i="9"/>
  <c r="N15" i="9"/>
  <c r="E28" i="7"/>
  <c r="E25" i="7"/>
  <c r="E29" i="7"/>
  <c r="E22" i="7"/>
  <c r="E31" i="7"/>
  <c r="E27" i="7"/>
  <c r="E23" i="7"/>
  <c r="E26" i="7"/>
  <c r="E24" i="7"/>
  <c r="E30" i="7"/>
  <c r="N12" i="9"/>
  <c r="L68" i="7"/>
  <c r="L69" i="7" s="1"/>
  <c r="L15" i="7"/>
  <c r="L39" i="7" s="1"/>
  <c r="L16" i="7"/>
  <c r="I33" i="7"/>
  <c r="M85" i="6"/>
  <c r="M93" i="6"/>
  <c r="AN26" i="5"/>
  <c r="AN21" i="5"/>
  <c r="AN25" i="5" s="1"/>
  <c r="AN31" i="5"/>
  <c r="F84" i="7"/>
  <c r="F35" i="7"/>
  <c r="K36" i="7"/>
  <c r="J55" i="4"/>
  <c r="J48" i="4"/>
  <c r="J47" i="4"/>
  <c r="L20" i="9"/>
  <c r="N20" i="9"/>
  <c r="Q10" i="9"/>
  <c r="O10" i="9"/>
  <c r="F39" i="7"/>
  <c r="K93" i="6"/>
  <c r="K85" i="6"/>
  <c r="F41" i="7"/>
  <c r="AF93" i="6"/>
  <c r="AF85" i="6"/>
  <c r="Z80" i="6"/>
  <c r="G98" i="7"/>
  <c r="G133" i="7"/>
  <c r="AS13" i="5"/>
  <c r="AS12" i="5"/>
  <c r="I12" i="6"/>
  <c r="I11" i="6"/>
  <c r="N13" i="5"/>
  <c r="N12" i="5"/>
  <c r="F133" i="3"/>
  <c r="F98" i="3"/>
  <c r="E12" i="5"/>
  <c r="E13" i="5"/>
  <c r="N22" i="9"/>
  <c r="L124" i="7"/>
  <c r="L34" i="7"/>
  <c r="L33" i="7"/>
  <c r="W93" i="6"/>
  <c r="W85" i="6"/>
  <c r="BR26" i="9"/>
  <c r="L26" i="9"/>
  <c r="I36" i="7"/>
  <c r="I39" i="7"/>
  <c r="I32" i="7"/>
  <c r="I85" i="6"/>
  <c r="I93" i="6"/>
  <c r="H93" i="6"/>
  <c r="H85" i="6"/>
  <c r="AA89" i="6"/>
  <c r="AA109" i="6" s="1"/>
  <c r="AA90" i="6"/>
  <c r="AA110" i="6" s="1"/>
  <c r="N79" i="6"/>
  <c r="K11" i="6"/>
  <c r="K12" i="6"/>
  <c r="AS31" i="5"/>
  <c r="AS21" i="5"/>
  <c r="AS25" i="5" s="1"/>
  <c r="AS26" i="5"/>
  <c r="AQ13" i="4"/>
  <c r="AQ12" i="4"/>
  <c r="G31" i="4"/>
  <c r="G21" i="4"/>
  <c r="G22" i="4" s="1"/>
  <c r="G26" i="4"/>
  <c r="I40" i="3"/>
  <c r="I39" i="3"/>
  <c r="G11" i="8"/>
  <c r="S19" i="2"/>
  <c r="H81" i="6"/>
  <c r="H82" i="6" s="1"/>
  <c r="H108" i="6" s="1"/>
  <c r="H87" i="6"/>
  <c r="H88" i="6" s="1"/>
  <c r="K32" i="7"/>
  <c r="K35" i="7" s="1"/>
  <c r="K39" i="7"/>
  <c r="J35" i="7"/>
  <c r="AB52" i="5"/>
  <c r="AB58" i="5"/>
  <c r="G6" i="8"/>
  <c r="S14" i="2"/>
  <c r="AC13" i="5"/>
  <c r="AC12" i="5"/>
  <c r="F238" i="10"/>
  <c r="N17" i="9"/>
  <c r="T18" i="9"/>
  <c r="R18" i="9"/>
  <c r="F90" i="6"/>
  <c r="F110" i="6" s="1"/>
  <c r="F89" i="6"/>
  <c r="F109" i="6" s="1"/>
  <c r="F100" i="7"/>
  <c r="G41" i="7"/>
  <c r="G42" i="7"/>
  <c r="J36" i="7"/>
  <c r="J39" i="7"/>
  <c r="J32" i="7"/>
  <c r="F33" i="7"/>
  <c r="J12" i="6"/>
  <c r="J11" i="6"/>
  <c r="Z52" i="5"/>
  <c r="Z58" i="5"/>
  <c r="L40" i="3"/>
  <c r="H98" i="3"/>
  <c r="H133" i="3"/>
  <c r="E40" i="6"/>
  <c r="E11" i="7" s="1"/>
  <c r="E68" i="3"/>
  <c r="E69" i="3" s="1"/>
  <c r="E15" i="3"/>
  <c r="E40" i="3" s="1"/>
  <c r="E16" i="3"/>
  <c r="N11" i="9"/>
  <c r="J33" i="7"/>
  <c r="J102" i="7"/>
  <c r="J68" i="7"/>
  <c r="J69" i="7" s="1"/>
  <c r="AJ94" i="6"/>
  <c r="I124" i="7"/>
  <c r="R95" i="6"/>
  <c r="R97" i="6" s="1"/>
  <c r="L133" i="3"/>
  <c r="L98" i="3"/>
  <c r="L33" i="3"/>
  <c r="L102" i="3"/>
  <c r="H102" i="7"/>
  <c r="H33" i="7"/>
  <c r="AE95" i="6"/>
  <c r="AE96" i="6" s="1"/>
  <c r="AE101" i="6" s="1"/>
  <c r="AE102" i="6" s="1"/>
  <c r="AE103" i="6" s="1"/>
  <c r="AE104" i="6" s="1"/>
  <c r="AE111" i="6" s="1"/>
  <c r="G93" i="6"/>
  <c r="G85" i="6"/>
  <c r="AI52" i="5"/>
  <c r="AI58" i="5"/>
  <c r="U13" i="5"/>
  <c r="U12" i="5"/>
  <c r="AE13" i="5"/>
  <c r="AE12" i="5"/>
  <c r="AN52" i="5"/>
  <c r="AN58" i="5"/>
  <c r="N9" i="9"/>
  <c r="H35" i="7"/>
  <c r="AG87" i="6"/>
  <c r="AG88" i="6" s="1"/>
  <c r="AG90" i="6" s="1"/>
  <c r="AG110" i="6" s="1"/>
  <c r="AG81" i="6"/>
  <c r="AG82" i="6" s="1"/>
  <c r="AG108" i="6" s="1"/>
  <c r="AL52" i="5"/>
  <c r="AL58" i="5"/>
  <c r="AG55" i="4"/>
  <c r="AG48" i="4"/>
  <c r="AG47" i="4"/>
  <c r="X93" i="6"/>
  <c r="X85" i="6"/>
  <c r="P58" i="5"/>
  <c r="P52" i="5"/>
  <c r="Q14" i="9"/>
  <c r="N19" i="9"/>
  <c r="M34" i="7"/>
  <c r="M124" i="7"/>
  <c r="M36" i="7"/>
  <c r="L36" i="7"/>
  <c r="L18" i="9"/>
  <c r="O18" i="9"/>
  <c r="N16" i="9"/>
  <c r="L16" i="9"/>
  <c r="N21" i="9"/>
  <c r="K102" i="7"/>
  <c r="K68" i="7"/>
  <c r="K69" i="7" s="1"/>
  <c r="K33" i="7"/>
  <c r="K52" i="5"/>
  <c r="K58" i="5"/>
  <c r="AG31" i="4"/>
  <c r="AG26" i="4"/>
  <c r="AG21" i="4"/>
  <c r="AG22" i="4" s="1"/>
  <c r="AC26" i="5"/>
  <c r="AC21" i="5"/>
  <c r="AC24" i="5" s="1"/>
  <c r="AC102" i="5" s="1"/>
  <c r="AC31" i="5"/>
  <c r="AH8" i="8"/>
  <c r="G19" i="1"/>
  <c r="J132" i="3"/>
  <c r="I98" i="3"/>
  <c r="I133" i="3"/>
  <c r="G28" i="8"/>
  <c r="S36" i="2"/>
  <c r="Q26" i="9"/>
  <c r="O26" i="9"/>
  <c r="H32" i="7"/>
  <c r="H84" i="7" s="1"/>
  <c r="H36" i="7"/>
  <c r="H39" i="7"/>
  <c r="U59" i="6"/>
  <c r="U58" i="4"/>
  <c r="U52" i="4"/>
  <c r="M36" i="3"/>
  <c r="M32" i="3"/>
  <c r="AK26" i="4"/>
  <c r="L36" i="3"/>
  <c r="L39" i="3"/>
  <c r="L32" i="3"/>
  <c r="K100" i="3"/>
  <c r="F84" i="3"/>
  <c r="AD95" i="6"/>
  <c r="AD97" i="6" s="1"/>
  <c r="J41" i="3"/>
  <c r="J42" i="3"/>
  <c r="J98" i="3"/>
  <c r="J104" i="3" s="1"/>
  <c r="J133" i="3"/>
  <c r="AM26" i="4"/>
  <c r="AM21" i="4"/>
  <c r="AM25" i="4" s="1"/>
  <c r="AM31" i="4"/>
  <c r="N29" i="9"/>
  <c r="L29" i="9"/>
  <c r="P26" i="9"/>
  <c r="I100" i="7"/>
  <c r="I69" i="7"/>
  <c r="M15" i="7"/>
  <c r="M39" i="7" s="1"/>
  <c r="M68" i="7"/>
  <c r="M69" i="7" s="1"/>
  <c r="M16" i="7"/>
  <c r="U85" i="6"/>
  <c r="U93" i="6"/>
  <c r="S93" i="6"/>
  <c r="S85" i="6"/>
  <c r="F58" i="5"/>
  <c r="F52" i="5"/>
  <c r="AS13" i="4"/>
  <c r="AS12" i="4"/>
  <c r="F40" i="3"/>
  <c r="F42" i="3"/>
  <c r="F41" i="3"/>
  <c r="E35" i="6"/>
  <c r="N13" i="9"/>
  <c r="N27" i="9"/>
  <c r="L27" i="9"/>
  <c r="G34" i="7"/>
  <c r="G102" i="7"/>
  <c r="G40" i="7"/>
  <c r="G124" i="7"/>
  <c r="H40" i="7"/>
  <c r="H34" i="7"/>
  <c r="H124" i="7"/>
  <c r="R90" i="6"/>
  <c r="R110" i="6" s="1"/>
  <c r="R89" i="6"/>
  <c r="R109" i="6" s="1"/>
  <c r="T8" i="9"/>
  <c r="M100" i="7"/>
  <c r="Y85" i="6"/>
  <c r="Y93" i="6"/>
  <c r="U45" i="6"/>
  <c r="U46" i="6" s="1"/>
  <c r="U14" i="6"/>
  <c r="U44" i="6" s="1"/>
  <c r="AS47" i="5"/>
  <c r="AS48" i="5"/>
  <c r="AS55" i="5"/>
  <c r="G58" i="5"/>
  <c r="G52" i="5"/>
  <c r="AP58" i="5"/>
  <c r="AP52" i="5"/>
  <c r="K33" i="3"/>
  <c r="K102" i="3"/>
  <c r="K68" i="3"/>
  <c r="K69" i="3" s="1"/>
  <c r="J49" i="3"/>
  <c r="J106" i="3"/>
  <c r="J75" i="3"/>
  <c r="J134" i="3" s="1"/>
  <c r="G81" i="6"/>
  <c r="G82" i="6" s="1"/>
  <c r="G108" i="6" s="1"/>
  <c r="G87" i="6"/>
  <c r="G88" i="6" s="1"/>
  <c r="L12" i="4"/>
  <c r="L13" i="4"/>
  <c r="W21" i="4"/>
  <c r="W25" i="4" s="1"/>
  <c r="W26" i="4"/>
  <c r="W31" i="4"/>
  <c r="AM55" i="4"/>
  <c r="AM47" i="4"/>
  <c r="AM48" i="4"/>
  <c r="X50" i="2"/>
  <c r="AJ50" i="2"/>
  <c r="AK50" i="2" s="1"/>
  <c r="T50" i="2" s="1"/>
  <c r="M15" i="3"/>
  <c r="M39" i="3" s="1"/>
  <c r="M68" i="3"/>
  <c r="M69" i="3" s="1"/>
  <c r="M16" i="3"/>
  <c r="M33" i="3"/>
  <c r="M34" i="3"/>
  <c r="M40" i="3"/>
  <c r="M124" i="3"/>
  <c r="L55" i="4"/>
  <c r="L48" i="4"/>
  <c r="L47" i="4"/>
  <c r="X48" i="2"/>
  <c r="AJ48" i="2"/>
  <c r="AK48" i="2" s="1"/>
  <c r="T48" i="2" s="1"/>
  <c r="W13" i="4"/>
  <c r="W12" i="4"/>
  <c r="G32" i="3"/>
  <c r="G35" i="3" s="1"/>
  <c r="G36" i="3"/>
  <c r="H102" i="3"/>
  <c r="Y52" i="5"/>
  <c r="Y58" i="5"/>
  <c r="P12" i="4"/>
  <c r="P13" i="4"/>
  <c r="AP21" i="5"/>
  <c r="AP22" i="5" s="1"/>
  <c r="AP31" i="5"/>
  <c r="AP26" i="5"/>
  <c r="H32" i="3"/>
  <c r="H36" i="3"/>
  <c r="H39" i="3"/>
  <c r="AN47" i="5"/>
  <c r="AN48" i="5"/>
  <c r="AN55" i="5"/>
  <c r="W59" i="6"/>
  <c r="W58" i="4"/>
  <c r="W52" i="4"/>
  <c r="J80" i="3"/>
  <c r="H33" i="3"/>
  <c r="G102" i="3"/>
  <c r="Q6" i="9"/>
  <c r="J40" i="7"/>
  <c r="J34" i="7"/>
  <c r="J124" i="7"/>
  <c r="X87" i="6"/>
  <c r="X88" i="6" s="1"/>
  <c r="L100" i="7"/>
  <c r="V81" i="6"/>
  <c r="V82" i="6" s="1"/>
  <c r="V108" i="6" s="1"/>
  <c r="V87" i="6"/>
  <c r="V88" i="6" s="1"/>
  <c r="AS52" i="5"/>
  <c r="AS58" i="5"/>
  <c r="M13" i="5"/>
  <c r="M12" i="5"/>
  <c r="F33" i="3"/>
  <c r="F102" i="3"/>
  <c r="G13" i="4"/>
  <c r="G12" i="4"/>
  <c r="I84" i="3"/>
  <c r="I35" i="3"/>
  <c r="AB47" i="4"/>
  <c r="AB55" i="4"/>
  <c r="AB48" i="4"/>
  <c r="L59" i="6"/>
  <c r="L52" i="4"/>
  <c r="L58" i="4"/>
  <c r="W55" i="4"/>
  <c r="W48" i="4"/>
  <c r="W47" i="4"/>
  <c r="J31" i="4"/>
  <c r="J21" i="4"/>
  <c r="J24" i="4" s="1"/>
  <c r="J102" i="4" s="1"/>
  <c r="J26" i="4"/>
  <c r="AH45" i="6"/>
  <c r="AH46" i="6" s="1"/>
  <c r="AH15" i="6"/>
  <c r="AH14" i="6"/>
  <c r="AH44" i="6" s="1"/>
  <c r="G33" i="3"/>
  <c r="AA59" i="6"/>
  <c r="AA58" i="4"/>
  <c r="AA52" i="4"/>
  <c r="M94" i="6"/>
  <c r="X80" i="6"/>
  <c r="X81" i="6" s="1"/>
  <c r="X82" i="6" s="1"/>
  <c r="X108" i="6" s="1"/>
  <c r="H69" i="7"/>
  <c r="H100" i="7"/>
  <c r="R59" i="6"/>
  <c r="R58" i="4"/>
  <c r="R52" i="4"/>
  <c r="AE55" i="5"/>
  <c r="AE47" i="5"/>
  <c r="AE48" i="5"/>
  <c r="G59" i="6"/>
  <c r="G58" i="4"/>
  <c r="G52" i="4"/>
  <c r="AC47" i="5"/>
  <c r="AC55" i="5"/>
  <c r="AC48" i="5"/>
  <c r="L21" i="4"/>
  <c r="L25" i="4" s="1"/>
  <c r="L26" i="4"/>
  <c r="L31" i="4"/>
  <c r="I100" i="3"/>
  <c r="I34" i="3"/>
  <c r="Q24" i="9"/>
  <c r="O24" i="9"/>
  <c r="I102" i="3"/>
  <c r="J59" i="6"/>
  <c r="J52" i="4"/>
  <c r="J58" i="4"/>
  <c r="F100" i="3"/>
  <c r="H35" i="3"/>
  <c r="K32" i="3"/>
  <c r="K34" i="3"/>
  <c r="K39" i="3"/>
  <c r="K42" i="3"/>
  <c r="F5" i="8"/>
  <c r="AE13" i="2"/>
  <c r="K41" i="3"/>
  <c r="H124" i="3"/>
  <c r="G16" i="3"/>
  <c r="G15" i="3"/>
  <c r="G40" i="3" s="1"/>
  <c r="G68" i="3"/>
  <c r="G69" i="3" s="1"/>
  <c r="E32" i="6"/>
  <c r="E78" i="6" s="1"/>
  <c r="E80" i="6" s="1"/>
  <c r="E81" i="6" s="1"/>
  <c r="E34" i="3"/>
  <c r="E124" i="3"/>
  <c r="E102" i="3"/>
  <c r="E33" i="3"/>
  <c r="AM52" i="4"/>
  <c r="AM58" i="4"/>
  <c r="AE59" i="6"/>
  <c r="AE58" i="4"/>
  <c r="AE52" i="4"/>
  <c r="R47" i="5"/>
  <c r="R55" i="5"/>
  <c r="R48" i="5"/>
  <c r="I42" i="3"/>
  <c r="I41" i="3"/>
  <c r="Q13" i="5"/>
  <c r="Q12" i="5"/>
  <c r="AJ55" i="4"/>
  <c r="AJ48" i="4"/>
  <c r="AJ47" i="4"/>
  <c r="K40" i="3"/>
  <c r="J13" i="4"/>
  <c r="J12" i="4"/>
  <c r="M102" i="3"/>
  <c r="X38" i="2"/>
  <c r="AJ38" i="2"/>
  <c r="AK38" i="2" s="1"/>
  <c r="T38" i="2" s="1"/>
  <c r="Q25" i="9"/>
  <c r="AM12" i="4"/>
  <c r="AM13" i="4"/>
  <c r="AE22" i="2" l="1"/>
  <c r="L21" i="9"/>
  <c r="U71" i="6"/>
  <c r="U72" i="6" s="1"/>
  <c r="U107" i="6" s="1"/>
  <c r="U112" i="6" s="1"/>
  <c r="U113" i="6" s="1"/>
  <c r="BR19" i="9"/>
  <c r="R8" i="9"/>
  <c r="U20" i="6"/>
  <c r="U24" i="6" s="1"/>
  <c r="AH26" i="5"/>
  <c r="AH21" i="5"/>
  <c r="AH25" i="5" s="1"/>
  <c r="M21" i="4"/>
  <c r="M24" i="4" s="1"/>
  <c r="M102" i="4" s="1"/>
  <c r="M31" i="4"/>
  <c r="S43" i="6"/>
  <c r="U25" i="6"/>
  <c r="AQ52" i="4"/>
  <c r="H31" i="5"/>
  <c r="BR23" i="9"/>
  <c r="R47" i="4"/>
  <c r="T48" i="5"/>
  <c r="R48" i="4"/>
  <c r="AQ47" i="4"/>
  <c r="AQ58" i="5"/>
  <c r="S13" i="4"/>
  <c r="AQ15" i="5"/>
  <c r="AQ32" i="5" s="1"/>
  <c r="S26" i="4"/>
  <c r="S55" i="4"/>
  <c r="S21" i="4"/>
  <c r="S22" i="4" s="1"/>
  <c r="S23" i="4" s="1"/>
  <c r="S85" i="4" s="1"/>
  <c r="S48" i="4"/>
  <c r="U43" i="6"/>
  <c r="U47" i="6" s="1"/>
  <c r="U49" i="6" s="1"/>
  <c r="U87" i="6"/>
  <c r="U88" i="6" s="1"/>
  <c r="U90" i="6" s="1"/>
  <c r="U110" i="6" s="1"/>
  <c r="U33" i="4"/>
  <c r="U106" i="4" s="1"/>
  <c r="AD31" i="5"/>
  <c r="AD21" i="5"/>
  <c r="AD24" i="5" s="1"/>
  <c r="AD102" i="5" s="1"/>
  <c r="U55" i="4"/>
  <c r="AE26" i="4"/>
  <c r="U47" i="4"/>
  <c r="U48" i="5"/>
  <c r="AF25" i="6"/>
  <c r="AQ31" i="4"/>
  <c r="AP55" i="4"/>
  <c r="AJ13" i="2"/>
  <c r="P5" i="8" s="1"/>
  <c r="S25" i="6"/>
  <c r="M52" i="4"/>
  <c r="AF94" i="6"/>
  <c r="AF95" i="6" s="1"/>
  <c r="AF96" i="6" s="1"/>
  <c r="AF101" i="6" s="1"/>
  <c r="AF102" i="6" s="1"/>
  <c r="AF103" i="6" s="1"/>
  <c r="AF104" i="6" s="1"/>
  <c r="AF111" i="6" s="1"/>
  <c r="J17" i="8"/>
  <c r="X13" i="2"/>
  <c r="M5" i="8" s="1"/>
  <c r="F23" i="8"/>
  <c r="T47" i="5"/>
  <c r="AQ55" i="4"/>
  <c r="U31" i="4"/>
  <c r="U35" i="4" s="1"/>
  <c r="U26" i="4"/>
  <c r="AP48" i="4"/>
  <c r="AH12" i="5"/>
  <c r="AH33" i="5" s="1"/>
  <c r="U21" i="4"/>
  <c r="U24" i="4" s="1"/>
  <c r="U102" i="4" s="1"/>
  <c r="AQ16" i="5"/>
  <c r="U16" i="4"/>
  <c r="U13" i="4"/>
  <c r="R31" i="5"/>
  <c r="AE26" i="2"/>
  <c r="G18" i="8" s="1"/>
  <c r="AH48" i="5"/>
  <c r="AF81" i="6"/>
  <c r="AF82" i="6" s="1"/>
  <c r="AF108" i="6" s="1"/>
  <c r="AH52" i="5"/>
  <c r="I52" i="4"/>
  <c r="I59" i="6"/>
  <c r="F12" i="5"/>
  <c r="F15" i="5" s="1"/>
  <c r="F32" i="5" s="1"/>
  <c r="AD26" i="4"/>
  <c r="G31" i="5"/>
  <c r="Z71" i="6"/>
  <c r="Z72" i="6" s="1"/>
  <c r="Z107" i="6" s="1"/>
  <c r="Z112" i="6" s="1"/>
  <c r="Z113" i="6" s="1"/>
  <c r="AP12" i="4"/>
  <c r="AP15" i="4" s="1"/>
  <c r="AP32" i="4" s="1"/>
  <c r="AE12" i="4"/>
  <c r="AE33" i="4" s="1"/>
  <c r="O12" i="6"/>
  <c r="AD20" i="6"/>
  <c r="AD24" i="6" s="1"/>
  <c r="U21" i="5"/>
  <c r="U25" i="5" s="1"/>
  <c r="AQ26" i="5"/>
  <c r="AE20" i="6"/>
  <c r="AE24" i="6" s="1"/>
  <c r="T31" i="5"/>
  <c r="T35" i="5" s="1"/>
  <c r="AP31" i="4"/>
  <c r="S47" i="5"/>
  <c r="T26" i="5"/>
  <c r="M47" i="4"/>
  <c r="AR47" i="4"/>
  <c r="S12" i="5"/>
  <c r="S33" i="5" s="1"/>
  <c r="AG21" i="5"/>
  <c r="AG25" i="5" s="1"/>
  <c r="AP21" i="4"/>
  <c r="AP24" i="4" s="1"/>
  <c r="AP102" i="4" s="1"/>
  <c r="AG55" i="5"/>
  <c r="Z81" i="6"/>
  <c r="Z82" i="6" s="1"/>
  <c r="Z108" i="6" s="1"/>
  <c r="U31" i="5"/>
  <c r="AF20" i="6"/>
  <c r="AF24" i="6" s="1"/>
  <c r="AD81" i="6"/>
  <c r="AD82" i="6" s="1"/>
  <c r="AD108" i="6" s="1"/>
  <c r="AG48" i="5"/>
  <c r="M48" i="4"/>
  <c r="T52" i="5"/>
  <c r="AR21" i="4"/>
  <c r="AR25" i="4" s="1"/>
  <c r="AG31" i="5"/>
  <c r="AD25" i="6"/>
  <c r="R26" i="5"/>
  <c r="AD43" i="6"/>
  <c r="F31" i="5"/>
  <c r="G26" i="5"/>
  <c r="AD90" i="6"/>
  <c r="AD110" i="6" s="1"/>
  <c r="AF43" i="6"/>
  <c r="U58" i="5"/>
  <c r="T12" i="6"/>
  <c r="AD47" i="5"/>
  <c r="AD55" i="5"/>
  <c r="AQ48" i="5"/>
  <c r="H52" i="5"/>
  <c r="AP52" i="4"/>
  <c r="AQ47" i="5"/>
  <c r="T59" i="6"/>
  <c r="F17" i="8"/>
  <c r="U26" i="5"/>
  <c r="R13" i="5"/>
  <c r="T16" i="4"/>
  <c r="S52" i="4"/>
  <c r="R15" i="4"/>
  <c r="R32" i="4" s="1"/>
  <c r="S58" i="4"/>
  <c r="S45" i="6"/>
  <c r="S46" i="6" s="1"/>
  <c r="T71" i="6"/>
  <c r="T72" i="6" s="1"/>
  <c r="T107" i="6" s="1"/>
  <c r="T112" i="6" s="1"/>
  <c r="T113" i="6" s="1"/>
  <c r="AH55" i="5"/>
  <c r="R52" i="5"/>
  <c r="AQ26" i="4"/>
  <c r="R21" i="5"/>
  <c r="R24" i="5" s="1"/>
  <c r="R102" i="5" s="1"/>
  <c r="L17" i="9"/>
  <c r="AT48" i="4"/>
  <c r="T14" i="6"/>
  <c r="T44" i="6" s="1"/>
  <c r="S71" i="6"/>
  <c r="S72" i="6" s="1"/>
  <c r="S107" i="6" s="1"/>
  <c r="S112" i="6" s="1"/>
  <c r="S113" i="6" s="1"/>
  <c r="AQ13" i="5"/>
  <c r="AQ21" i="4"/>
  <c r="AQ24" i="4" s="1"/>
  <c r="AQ102" i="4" s="1"/>
  <c r="G21" i="5"/>
  <c r="G22" i="5" s="1"/>
  <c r="G27" i="5" s="1"/>
  <c r="AQ31" i="5"/>
  <c r="AT47" i="4"/>
  <c r="T45" i="6"/>
  <c r="T46" i="6" s="1"/>
  <c r="T20" i="6"/>
  <c r="T24" i="6" s="1"/>
  <c r="T43" i="6"/>
  <c r="E55" i="5"/>
  <c r="T25" i="6"/>
  <c r="U47" i="5"/>
  <c r="AR26" i="4"/>
  <c r="AR31" i="4"/>
  <c r="AE43" i="6"/>
  <c r="F25" i="6"/>
  <c r="F20" i="6"/>
  <c r="F21" i="6" s="1"/>
  <c r="F22" i="6" s="1"/>
  <c r="AG12" i="5"/>
  <c r="AG33" i="5" s="1"/>
  <c r="AE31" i="4"/>
  <c r="AG43" i="6"/>
  <c r="S18" i="2"/>
  <c r="AG25" i="6"/>
  <c r="AD12" i="5"/>
  <c r="AD15" i="5" s="1"/>
  <c r="AD32" i="5" s="1"/>
  <c r="AH20" i="6"/>
  <c r="AH21" i="6" s="1"/>
  <c r="AH22" i="6" s="1"/>
  <c r="AE79" i="6"/>
  <c r="AE81" i="6" s="1"/>
  <c r="AE82" i="6" s="1"/>
  <c r="AE108" i="6" s="1"/>
  <c r="T33" i="5"/>
  <c r="T34" i="5" s="1"/>
  <c r="T107" i="5" s="1"/>
  <c r="T16" i="5"/>
  <c r="AE21" i="4"/>
  <c r="AE24" i="4" s="1"/>
  <c r="AE102" i="4" s="1"/>
  <c r="AG20" i="6"/>
  <c r="AG21" i="6" s="1"/>
  <c r="AG22" i="6" s="1"/>
  <c r="G55" i="5"/>
  <c r="S12" i="6"/>
  <c r="G47" i="5"/>
  <c r="O20" i="6"/>
  <c r="O21" i="6" s="1"/>
  <c r="O22" i="6" s="1"/>
  <c r="M12" i="4"/>
  <c r="M33" i="4" s="1"/>
  <c r="BR22" i="9"/>
  <c r="O25" i="6"/>
  <c r="S14" i="6"/>
  <c r="S44" i="6" s="1"/>
  <c r="AE55" i="4"/>
  <c r="T31" i="4"/>
  <c r="AR48" i="4"/>
  <c r="T13" i="5"/>
  <c r="G13" i="5"/>
  <c r="J18" i="8"/>
  <c r="AD58" i="4"/>
  <c r="I21" i="4"/>
  <c r="I25" i="4" s="1"/>
  <c r="AE48" i="4"/>
  <c r="H21" i="5"/>
  <c r="H24" i="5" s="1"/>
  <c r="H102" i="5" s="1"/>
  <c r="AJ21" i="4"/>
  <c r="AJ22" i="4" s="1"/>
  <c r="AJ23" i="4" s="1"/>
  <c r="AJ26" i="2"/>
  <c r="P18" i="8" s="1"/>
  <c r="E21" i="4"/>
  <c r="E25" i="4" s="1"/>
  <c r="R31" i="4"/>
  <c r="L7" i="9"/>
  <c r="X18" i="2"/>
  <c r="M10" i="8" s="1"/>
  <c r="E47" i="5"/>
  <c r="T15" i="4"/>
  <c r="T32" i="4" s="1"/>
  <c r="AE11" i="6"/>
  <c r="AE15" i="6" s="1"/>
  <c r="AD11" i="6"/>
  <c r="AD71" i="6" s="1"/>
  <c r="AD72" i="6" s="1"/>
  <c r="AD107" i="6" s="1"/>
  <c r="AD112" i="6" s="1"/>
  <c r="AD113" i="6" s="1"/>
  <c r="F55" i="5"/>
  <c r="I47" i="4"/>
  <c r="AH25" i="6"/>
  <c r="AG52" i="5"/>
  <c r="Z20" i="6"/>
  <c r="Z24" i="6" s="1"/>
  <c r="X36" i="2"/>
  <c r="M28" i="8" s="1"/>
  <c r="Z25" i="6"/>
  <c r="F47" i="5"/>
  <c r="F43" i="6"/>
  <c r="J28" i="8"/>
  <c r="Z43" i="6"/>
  <c r="O43" i="6"/>
  <c r="H11" i="6"/>
  <c r="H45" i="6" s="1"/>
  <c r="H46" i="6" s="1"/>
  <c r="T47" i="4"/>
  <c r="AP12" i="5"/>
  <c r="AP16" i="5" s="1"/>
  <c r="I13" i="4"/>
  <c r="F21" i="5"/>
  <c r="F24" i="5" s="1"/>
  <c r="F102" i="5" s="1"/>
  <c r="T48" i="4"/>
  <c r="AD52" i="5"/>
  <c r="AJ18" i="2"/>
  <c r="P10" i="8" s="1"/>
  <c r="AJ25" i="2"/>
  <c r="AK25" i="2" s="1"/>
  <c r="S52" i="5"/>
  <c r="F26" i="5"/>
  <c r="I26" i="4"/>
  <c r="I55" i="4"/>
  <c r="T52" i="4"/>
  <c r="O8" i="9"/>
  <c r="BJ8" i="9" s="1"/>
  <c r="R21" i="4"/>
  <c r="R24" i="4" s="1"/>
  <c r="R102" i="4" s="1"/>
  <c r="M58" i="4"/>
  <c r="R13" i="4"/>
  <c r="R33" i="4"/>
  <c r="R106" i="4" s="1"/>
  <c r="S31" i="5"/>
  <c r="AR58" i="4"/>
  <c r="AP48" i="5"/>
  <c r="AP47" i="5"/>
  <c r="X37" i="2"/>
  <c r="AJ37" i="2"/>
  <c r="AK37" i="2" s="1"/>
  <c r="T37" i="2" s="1"/>
  <c r="F11" i="6"/>
  <c r="F45" i="6" s="1"/>
  <c r="F46" i="6" s="1"/>
  <c r="S21" i="5"/>
  <c r="S24" i="5" s="1"/>
  <c r="S102" i="5" s="1"/>
  <c r="S55" i="5"/>
  <c r="X31" i="2"/>
  <c r="M23" i="8" s="1"/>
  <c r="T21" i="4"/>
  <c r="T22" i="4" s="1"/>
  <c r="T27" i="4" s="1"/>
  <c r="AE12" i="2"/>
  <c r="G4" i="8" s="1"/>
  <c r="T13" i="4"/>
  <c r="AJ31" i="2"/>
  <c r="P23" i="8" s="1"/>
  <c r="AN31" i="4"/>
  <c r="AE11" i="2"/>
  <c r="G3" i="8" s="1"/>
  <c r="AJ40" i="2"/>
  <c r="AK40" i="2" s="1"/>
  <c r="T40" i="2" s="1"/>
  <c r="AD59" i="6"/>
  <c r="AH43" i="6"/>
  <c r="AH47" i="6" s="1"/>
  <c r="AH50" i="6" s="1"/>
  <c r="AH81" i="6"/>
  <c r="AH82" i="6" s="1"/>
  <c r="AH108" i="6" s="1"/>
  <c r="AD31" i="4"/>
  <c r="AD12" i="4"/>
  <c r="AD16" i="4" s="1"/>
  <c r="AH71" i="6"/>
  <c r="AH72" i="6" s="1"/>
  <c r="AH107" i="6" s="1"/>
  <c r="AH112" i="6" s="1"/>
  <c r="AH113" i="6" s="1"/>
  <c r="AH89" i="6"/>
  <c r="AH109" i="6" s="1"/>
  <c r="AD21" i="4"/>
  <c r="AD22" i="4" s="1"/>
  <c r="AD59" i="4" s="1"/>
  <c r="R26" i="4"/>
  <c r="AA11" i="6"/>
  <c r="AA71" i="6" s="1"/>
  <c r="AA72" i="6" s="1"/>
  <c r="AA107" i="6" s="1"/>
  <c r="AA112" i="6" s="1"/>
  <c r="AA113" i="6" s="1"/>
  <c r="V21" i="4"/>
  <c r="V25" i="4" s="1"/>
  <c r="AJ43" i="2"/>
  <c r="AK43" i="2" s="1"/>
  <c r="T43" i="2" s="1"/>
  <c r="J16" i="8"/>
  <c r="X14" i="2"/>
  <c r="M6" i="8" s="1"/>
  <c r="J9" i="8"/>
  <c r="J20" i="8"/>
  <c r="AJ24" i="2"/>
  <c r="P16" i="8" s="1"/>
  <c r="AE28" i="2"/>
  <c r="S28" i="2" s="1"/>
  <c r="AJ14" i="2"/>
  <c r="P6" i="8" s="1"/>
  <c r="X28" i="2"/>
  <c r="M20" i="8" s="1"/>
  <c r="L14" i="9"/>
  <c r="X22" i="2"/>
  <c r="M14" i="8" s="1"/>
  <c r="AJ22" i="2"/>
  <c r="P14" i="8" s="1"/>
  <c r="E31" i="5"/>
  <c r="L6" i="9"/>
  <c r="L9" i="9"/>
  <c r="L25" i="9"/>
  <c r="AJ34" i="2"/>
  <c r="AK34" i="2" s="1"/>
  <c r="X16" i="2"/>
  <c r="M8" i="8" s="1"/>
  <c r="X34" i="2"/>
  <c r="M26" i="8" s="1"/>
  <c r="AJ16" i="2"/>
  <c r="P8" i="8" s="1"/>
  <c r="K13" i="5"/>
  <c r="G71" i="6"/>
  <c r="G72" i="6" s="1"/>
  <c r="G107" i="6" s="1"/>
  <c r="G112" i="6" s="1"/>
  <c r="G113" i="6" s="1"/>
  <c r="E12" i="6"/>
  <c r="AN15" i="5"/>
  <c r="AN32" i="5" s="1"/>
  <c r="AN35" i="5" s="1"/>
  <c r="H26" i="4"/>
  <c r="E20" i="6"/>
  <c r="E24" i="6" s="1"/>
  <c r="E25" i="6"/>
  <c r="F13" i="4"/>
  <c r="W58" i="5"/>
  <c r="AN16" i="5"/>
  <c r="E94" i="6"/>
  <c r="E95" i="6" s="1"/>
  <c r="E96" i="6" s="1"/>
  <c r="E101" i="6" s="1"/>
  <c r="E102" i="6" s="1"/>
  <c r="E103" i="6" s="1"/>
  <c r="E21" i="5"/>
  <c r="E24" i="5" s="1"/>
  <c r="E102" i="5" s="1"/>
  <c r="AA25" i="6"/>
  <c r="AA43" i="6"/>
  <c r="G45" i="6"/>
  <c r="G46" i="6" s="1"/>
  <c r="E58" i="5"/>
  <c r="G14" i="6"/>
  <c r="G44" i="6" s="1"/>
  <c r="E26" i="5"/>
  <c r="J3" i="8"/>
  <c r="F58" i="4"/>
  <c r="F59" i="6"/>
  <c r="H31" i="4"/>
  <c r="G12" i="6"/>
  <c r="H12" i="4"/>
  <c r="H16" i="4" s="1"/>
  <c r="AJ11" i="2"/>
  <c r="AK11" i="2" s="1"/>
  <c r="AA20" i="6"/>
  <c r="AA24" i="6" s="1"/>
  <c r="F31" i="4"/>
  <c r="F26" i="4"/>
  <c r="H94" i="6"/>
  <c r="H95" i="6" s="1"/>
  <c r="H96" i="6" s="1"/>
  <c r="H101" i="6" s="1"/>
  <c r="H102" i="6" s="1"/>
  <c r="H103" i="6" s="1"/>
  <c r="H104" i="6" s="1"/>
  <c r="H111" i="6" s="1"/>
  <c r="E26" i="4"/>
  <c r="H43" i="6"/>
  <c r="E47" i="4"/>
  <c r="E48" i="4"/>
  <c r="E55" i="4"/>
  <c r="E52" i="4"/>
  <c r="E59" i="6"/>
  <c r="E69" i="6" s="1"/>
  <c r="E76" i="6" s="1"/>
  <c r="E82" i="6" s="1"/>
  <c r="E108" i="6" s="1"/>
  <c r="E58" i="4"/>
  <c r="Y20" i="6"/>
  <c r="Y21" i="6" s="1"/>
  <c r="Y22" i="6" s="1"/>
  <c r="H20" i="6"/>
  <c r="H21" i="6" s="1"/>
  <c r="H22" i="6" s="1"/>
  <c r="E31" i="4"/>
  <c r="H21" i="4"/>
  <c r="H22" i="4" s="1"/>
  <c r="V31" i="4"/>
  <c r="O14" i="9"/>
  <c r="AS11" i="2"/>
  <c r="AT11" i="2" s="1"/>
  <c r="AC11" i="2"/>
  <c r="S15" i="2"/>
  <c r="G7" i="8"/>
  <c r="V26" i="4"/>
  <c r="AJ27" i="2"/>
  <c r="AK27" i="2" s="1"/>
  <c r="L11" i="9"/>
  <c r="G25" i="6"/>
  <c r="H58" i="4"/>
  <c r="AG106" i="4"/>
  <c r="AE27" i="2"/>
  <c r="S27" i="2" s="1"/>
  <c r="AJ15" i="2"/>
  <c r="P7" i="8" s="1"/>
  <c r="X21" i="5"/>
  <c r="X25" i="5" s="1"/>
  <c r="AE16" i="2"/>
  <c r="G8" i="8" s="1"/>
  <c r="K21" i="5"/>
  <c r="K25" i="5" s="1"/>
  <c r="G94" i="6"/>
  <c r="G95" i="6" s="1"/>
  <c r="G96" i="6" s="1"/>
  <c r="G101" i="6" s="1"/>
  <c r="G102" i="6" s="1"/>
  <c r="G103" i="6" s="1"/>
  <c r="G104" i="6" s="1"/>
  <c r="G111" i="6" s="1"/>
  <c r="AE17" i="2"/>
  <c r="Y31" i="4"/>
  <c r="X15" i="2"/>
  <c r="M7" i="8" s="1"/>
  <c r="V12" i="4"/>
  <c r="V15" i="4" s="1"/>
  <c r="V32" i="4" s="1"/>
  <c r="X17" i="2"/>
  <c r="M9" i="8" s="1"/>
  <c r="G43" i="6"/>
  <c r="X26" i="4"/>
  <c r="AE24" i="2"/>
  <c r="F16" i="8"/>
  <c r="X59" i="6"/>
  <c r="H59" i="6"/>
  <c r="AJ19" i="2"/>
  <c r="P11" i="8" s="1"/>
  <c r="P23" i="6"/>
  <c r="K26" i="4"/>
  <c r="AB31" i="5"/>
  <c r="P26" i="6"/>
  <c r="X52" i="4"/>
  <c r="K87" i="6"/>
  <c r="K88" i="6" s="1"/>
  <c r="K89" i="6" s="1"/>
  <c r="K109" i="6" s="1"/>
  <c r="K47" i="4"/>
  <c r="X26" i="5"/>
  <c r="K55" i="4"/>
  <c r="X47" i="4"/>
  <c r="K59" i="6"/>
  <c r="K43" i="6"/>
  <c r="K20" i="6"/>
  <c r="K23" i="6" s="1"/>
  <c r="AT13" i="4"/>
  <c r="K25" i="6"/>
  <c r="AI58" i="4"/>
  <c r="K71" i="6"/>
  <c r="K72" i="6" s="1"/>
  <c r="K107" i="6" s="1"/>
  <c r="K112" i="6" s="1"/>
  <c r="K113" i="6" s="1"/>
  <c r="X48" i="4"/>
  <c r="BJ26" i="9"/>
  <c r="K58" i="4"/>
  <c r="BR13" i="9"/>
  <c r="AE22" i="5"/>
  <c r="AE23" i="5" s="1"/>
  <c r="AE85" i="5" s="1"/>
  <c r="Q87" i="6"/>
  <c r="Q88" i="6" s="1"/>
  <c r="Q89" i="6" s="1"/>
  <c r="Q109" i="6" s="1"/>
  <c r="AI52" i="4"/>
  <c r="AG35" i="4"/>
  <c r="AG36" i="4" s="1"/>
  <c r="L12" i="9"/>
  <c r="AE25" i="5"/>
  <c r="AT58" i="4"/>
  <c r="AK47" i="5"/>
  <c r="AK48" i="5"/>
  <c r="J87" i="6"/>
  <c r="J88" i="6" s="1"/>
  <c r="J89" i="6" s="1"/>
  <c r="J109" i="6" s="1"/>
  <c r="AH26" i="4"/>
  <c r="AI48" i="4"/>
  <c r="Y43" i="6"/>
  <c r="O25" i="9"/>
  <c r="X33" i="4"/>
  <c r="X106" i="4" s="1"/>
  <c r="AR25" i="5"/>
  <c r="K33" i="4"/>
  <c r="K106" i="4" s="1"/>
  <c r="F25" i="4"/>
  <c r="P24" i="6"/>
  <c r="AK35" i="4"/>
  <c r="AK38" i="4" s="1"/>
  <c r="P21" i="5"/>
  <c r="P24" i="5" s="1"/>
  <c r="P102" i="5" s="1"/>
  <c r="AC22" i="5"/>
  <c r="AC103" i="5" s="1"/>
  <c r="AI31" i="5"/>
  <c r="W21" i="5"/>
  <c r="W24" i="5" s="1"/>
  <c r="W102" i="5" s="1"/>
  <c r="AN12" i="4"/>
  <c r="AN16" i="4" s="1"/>
  <c r="AG45" i="6"/>
  <c r="AG46" i="6" s="1"/>
  <c r="X25" i="6"/>
  <c r="AG14" i="6"/>
  <c r="AG44" i="6" s="1"/>
  <c r="L11" i="6"/>
  <c r="L15" i="6" s="1"/>
  <c r="P18" i="9"/>
  <c r="AG71" i="6"/>
  <c r="AG72" i="6" s="1"/>
  <c r="AG107" i="6" s="1"/>
  <c r="AG112" i="6" s="1"/>
  <c r="AG113" i="6" s="1"/>
  <c r="S81" i="6"/>
  <c r="S82" i="6" s="1"/>
  <c r="S108" i="6" s="1"/>
  <c r="X12" i="6"/>
  <c r="I58" i="5"/>
  <c r="W12" i="6"/>
  <c r="J71" i="6"/>
  <c r="J72" i="6" s="1"/>
  <c r="J107" i="6" s="1"/>
  <c r="J112" i="6" s="1"/>
  <c r="J113" i="6" s="1"/>
  <c r="AI31" i="4"/>
  <c r="K31" i="5"/>
  <c r="AJ31" i="4"/>
  <c r="AL13" i="5"/>
  <c r="X43" i="6"/>
  <c r="BR25" i="9"/>
  <c r="AJ26" i="4"/>
  <c r="X94" i="6"/>
  <c r="X95" i="6" s="1"/>
  <c r="X96" i="6" s="1"/>
  <c r="X101" i="6" s="1"/>
  <c r="X102" i="6" s="1"/>
  <c r="X103" i="6" s="1"/>
  <c r="X104" i="6" s="1"/>
  <c r="X111" i="6" s="1"/>
  <c r="AI13" i="4"/>
  <c r="W31" i="5"/>
  <c r="AJ43" i="6"/>
  <c r="P14" i="6"/>
  <c r="P44" i="6" s="1"/>
  <c r="P47" i="6" s="1"/>
  <c r="P48" i="6" s="1"/>
  <c r="AI55" i="4"/>
  <c r="W13" i="5"/>
  <c r="M48" i="5"/>
  <c r="AJ81" i="6"/>
  <c r="AJ82" i="6" s="1"/>
  <c r="AJ108" i="6" s="1"/>
  <c r="X16" i="4"/>
  <c r="Y25" i="6"/>
  <c r="K15" i="4"/>
  <c r="K32" i="4" s="1"/>
  <c r="AB31" i="4"/>
  <c r="AH31" i="4"/>
  <c r="Y11" i="6"/>
  <c r="Y15" i="6" s="1"/>
  <c r="AR22" i="5"/>
  <c r="AR103" i="5" s="1"/>
  <c r="AF71" i="6"/>
  <c r="AF72" i="6" s="1"/>
  <c r="AF107" i="6" s="1"/>
  <c r="AF112" i="6" s="1"/>
  <c r="AF113" i="6" s="1"/>
  <c r="M21" i="5"/>
  <c r="M22" i="5" s="1"/>
  <c r="M27" i="5" s="1"/>
  <c r="AH55" i="4"/>
  <c r="P47" i="5"/>
  <c r="BR6" i="9"/>
  <c r="BT6" i="9" s="1"/>
  <c r="P15" i="6"/>
  <c r="P48" i="5"/>
  <c r="Y21" i="5"/>
  <c r="Y24" i="5" s="1"/>
  <c r="Y102" i="5" s="1"/>
  <c r="AJ20" i="6"/>
  <c r="AJ23" i="6" s="1"/>
  <c r="M12" i="6"/>
  <c r="P45" i="6"/>
  <c r="P46" i="6" s="1"/>
  <c r="O6" i="9"/>
  <c r="AJ25" i="6"/>
  <c r="I31" i="5"/>
  <c r="P26" i="4"/>
  <c r="M47" i="5"/>
  <c r="AI21" i="6"/>
  <c r="AI22" i="6" s="1"/>
  <c r="X27" i="2"/>
  <c r="M19" i="8" s="1"/>
  <c r="AH13" i="4"/>
  <c r="W26" i="5"/>
  <c r="AH52" i="4"/>
  <c r="AK25" i="4"/>
  <c r="E16" i="4"/>
  <c r="AN26" i="4"/>
  <c r="Y58" i="4"/>
  <c r="Y59" i="6"/>
  <c r="AB21" i="4"/>
  <c r="AB24" i="4" s="1"/>
  <c r="AB102" i="4" s="1"/>
  <c r="AH59" i="6"/>
  <c r="N27" i="5"/>
  <c r="N54" i="5" s="1"/>
  <c r="N63" i="5" s="1"/>
  <c r="N84" i="5" s="1"/>
  <c r="Y12" i="5"/>
  <c r="Y15" i="5" s="1"/>
  <c r="Y32" i="5" s="1"/>
  <c r="E15" i="4"/>
  <c r="E32" i="4" s="1"/>
  <c r="AA31" i="5"/>
  <c r="AN21" i="4"/>
  <c r="AN25" i="4" s="1"/>
  <c r="AL21" i="5"/>
  <c r="AL22" i="5" s="1"/>
  <c r="AL73" i="5" s="1"/>
  <c r="I71" i="6"/>
  <c r="I72" i="6" s="1"/>
  <c r="I107" i="6" s="1"/>
  <c r="I112" i="6" s="1"/>
  <c r="I113" i="6" s="1"/>
  <c r="AL47" i="5"/>
  <c r="S34" i="2"/>
  <c r="AN52" i="4"/>
  <c r="AL48" i="5"/>
  <c r="Y26" i="4"/>
  <c r="AF22" i="5"/>
  <c r="AK12" i="5"/>
  <c r="AK33" i="5" s="1"/>
  <c r="AC81" i="6"/>
  <c r="AC82" i="6" s="1"/>
  <c r="AC108" i="6" s="1"/>
  <c r="Y12" i="4"/>
  <c r="Y16" i="4" s="1"/>
  <c r="AJ21" i="2"/>
  <c r="AK21" i="2" s="1"/>
  <c r="K21" i="4"/>
  <c r="K25" i="4" s="1"/>
  <c r="AC90" i="6"/>
  <c r="AC110" i="6" s="1"/>
  <c r="X45" i="2"/>
  <c r="V52" i="5"/>
  <c r="AF14" i="6"/>
  <c r="AF44" i="6" s="1"/>
  <c r="I81" i="6"/>
  <c r="I82" i="6" s="1"/>
  <c r="I108" i="6" s="1"/>
  <c r="P31" i="5"/>
  <c r="X21" i="2"/>
  <c r="M13" i="8" s="1"/>
  <c r="O48" i="4"/>
  <c r="J25" i="6"/>
  <c r="K31" i="4"/>
  <c r="X21" i="4"/>
  <c r="X25" i="4" s="1"/>
  <c r="Y21" i="4"/>
  <c r="Y22" i="4" s="1"/>
  <c r="AF45" i="6"/>
  <c r="AF46" i="6" s="1"/>
  <c r="AF24" i="5"/>
  <c r="AF102" i="5" s="1"/>
  <c r="X19" i="2"/>
  <c r="M11" i="8" s="1"/>
  <c r="X31" i="4"/>
  <c r="X35" i="4" s="1"/>
  <c r="J20" i="6"/>
  <c r="J24" i="6" s="1"/>
  <c r="AI21" i="4"/>
  <c r="AI24" i="4" s="1"/>
  <c r="AI102" i="4" s="1"/>
  <c r="AI24" i="6"/>
  <c r="AA26" i="4"/>
  <c r="W20" i="6"/>
  <c r="W23" i="6" s="1"/>
  <c r="AK22" i="4"/>
  <c r="AK23" i="4" s="1"/>
  <c r="AK85" i="4" s="1"/>
  <c r="O55" i="4"/>
  <c r="J43" i="6"/>
  <c r="G24" i="4"/>
  <c r="G102" i="4" s="1"/>
  <c r="G103" i="4" s="1"/>
  <c r="AK52" i="5"/>
  <c r="J31" i="5"/>
  <c r="Y31" i="5"/>
  <c r="P31" i="4"/>
  <c r="AI14" i="6"/>
  <c r="AI44" i="6" s="1"/>
  <c r="AI47" i="6" s="1"/>
  <c r="AI50" i="6" s="1"/>
  <c r="AA47" i="4"/>
  <c r="I13" i="5"/>
  <c r="AI26" i="5"/>
  <c r="AG24" i="4"/>
  <c r="AG102" i="4" s="1"/>
  <c r="AG103" i="4" s="1"/>
  <c r="AJ59" i="6"/>
  <c r="K26" i="5"/>
  <c r="P21" i="4"/>
  <c r="P22" i="4" s="1"/>
  <c r="P23" i="4" s="1"/>
  <c r="P85" i="4" s="1"/>
  <c r="AI45" i="6"/>
  <c r="AI46" i="6" s="1"/>
  <c r="M31" i="5"/>
  <c r="AA21" i="4"/>
  <c r="AA22" i="4" s="1"/>
  <c r="AA23" i="4" s="1"/>
  <c r="O21" i="4"/>
  <c r="O24" i="4" s="1"/>
  <c r="O102" i="4" s="1"/>
  <c r="AB26" i="5"/>
  <c r="W25" i="6"/>
  <c r="AJ58" i="5"/>
  <c r="V11" i="6"/>
  <c r="V71" i="6" s="1"/>
  <c r="V72" i="6" s="1"/>
  <c r="V107" i="6" s="1"/>
  <c r="V112" i="6" s="1"/>
  <c r="V113" i="6" s="1"/>
  <c r="V25" i="6"/>
  <c r="AT31" i="4"/>
  <c r="O26" i="4"/>
  <c r="F16" i="4"/>
  <c r="P52" i="4"/>
  <c r="W94" i="6"/>
  <c r="W95" i="6" s="1"/>
  <c r="W97" i="6" s="1"/>
  <c r="AI90" i="6"/>
  <c r="AI110" i="6" s="1"/>
  <c r="R96" i="6"/>
  <c r="R101" i="6" s="1"/>
  <c r="R102" i="6" s="1"/>
  <c r="R103" i="6" s="1"/>
  <c r="R104" i="6" s="1"/>
  <c r="R111" i="6" s="1"/>
  <c r="V20" i="6"/>
  <c r="V24" i="6" s="1"/>
  <c r="AO52" i="4"/>
  <c r="P26" i="5"/>
  <c r="O58" i="4"/>
  <c r="F15" i="4"/>
  <c r="F32" i="4" s="1"/>
  <c r="AB21" i="5"/>
  <c r="AB25" i="5" s="1"/>
  <c r="P58" i="4"/>
  <c r="J21" i="5"/>
  <c r="J22" i="5" s="1"/>
  <c r="V43" i="6"/>
  <c r="AN24" i="5"/>
  <c r="AN102" i="5" s="1"/>
  <c r="L81" i="6"/>
  <c r="L82" i="6" s="1"/>
  <c r="L108" i="6" s="1"/>
  <c r="AF31" i="4"/>
  <c r="V55" i="4"/>
  <c r="R22" i="6"/>
  <c r="J26" i="5"/>
  <c r="AI21" i="5"/>
  <c r="AI25" i="5" s="1"/>
  <c r="AA48" i="4"/>
  <c r="AJ58" i="4"/>
  <c r="AT21" i="4"/>
  <c r="AT25" i="4" s="1"/>
  <c r="AA26" i="5"/>
  <c r="M71" i="6"/>
  <c r="M72" i="6" s="1"/>
  <c r="M107" i="6" s="1"/>
  <c r="M112" i="6" s="1"/>
  <c r="M113" i="6" s="1"/>
  <c r="O26" i="5"/>
  <c r="AF16" i="5"/>
  <c r="AF15" i="5"/>
  <c r="AF32" i="5" s="1"/>
  <c r="AF35" i="5" s="1"/>
  <c r="AF33" i="5"/>
  <c r="X47" i="2"/>
  <c r="AJ47" i="2"/>
  <c r="AK47" i="2" s="1"/>
  <c r="T47" i="2" s="1"/>
  <c r="Q12" i="4"/>
  <c r="Q13" i="4"/>
  <c r="Z21" i="4"/>
  <c r="Z22" i="4" s="1"/>
  <c r="Z26" i="4"/>
  <c r="Z31" i="4"/>
  <c r="AO26" i="5"/>
  <c r="AO31" i="5"/>
  <c r="AO21" i="5"/>
  <c r="AO22" i="5" s="1"/>
  <c r="L43" i="6"/>
  <c r="AJ31" i="5"/>
  <c r="AJ21" i="5"/>
  <c r="AJ24" i="5" s="1"/>
  <c r="AJ102" i="5" s="1"/>
  <c r="AB94" i="6"/>
  <c r="AB20" i="6"/>
  <c r="AB21" i="6" s="1"/>
  <c r="AB43" i="6"/>
  <c r="AB25" i="6"/>
  <c r="X52" i="5"/>
  <c r="X58" i="5"/>
  <c r="AS26" i="4"/>
  <c r="AS31" i="4"/>
  <c r="AS21" i="4"/>
  <c r="AS22" i="4" s="1"/>
  <c r="R15" i="6"/>
  <c r="R14" i="6"/>
  <c r="R44" i="6" s="1"/>
  <c r="R47" i="6" s="1"/>
  <c r="R50" i="6" s="1"/>
  <c r="R45" i="6"/>
  <c r="R46" i="6" s="1"/>
  <c r="Q58" i="5"/>
  <c r="Q52" i="5"/>
  <c r="L48" i="5"/>
  <c r="L55" i="5"/>
  <c r="L47" i="5"/>
  <c r="AR16" i="5"/>
  <c r="AR33" i="5"/>
  <c r="AR106" i="5" s="1"/>
  <c r="AL31" i="5"/>
  <c r="AL26" i="5"/>
  <c r="I94" i="6"/>
  <c r="I95" i="6" s="1"/>
  <c r="I96" i="6" s="1"/>
  <c r="I101" i="6" s="1"/>
  <c r="I102" i="6" s="1"/>
  <c r="I103" i="6" s="1"/>
  <c r="I104" i="6" s="1"/>
  <c r="I111" i="6" s="1"/>
  <c r="I43" i="6"/>
  <c r="I25" i="6"/>
  <c r="AC13" i="4"/>
  <c r="AB11" i="6"/>
  <c r="AB71" i="6" s="1"/>
  <c r="AB72" i="6" s="1"/>
  <c r="AB107" i="6" s="1"/>
  <c r="AB112" i="6" s="1"/>
  <c r="AB113" i="6" s="1"/>
  <c r="AB12" i="6"/>
  <c r="Q55" i="5"/>
  <c r="O47" i="5"/>
  <c r="O55" i="5"/>
  <c r="O48" i="5"/>
  <c r="V31" i="5"/>
  <c r="V26" i="5"/>
  <c r="V21" i="5"/>
  <c r="V25" i="5" s="1"/>
  <c r="M79" i="6"/>
  <c r="M43" i="6"/>
  <c r="M25" i="6"/>
  <c r="M20" i="6"/>
  <c r="T24" i="5"/>
  <c r="T102" i="5" s="1"/>
  <c r="T25" i="5"/>
  <c r="T22" i="5"/>
  <c r="AJ11" i="6"/>
  <c r="AJ45" i="6" s="1"/>
  <c r="AJ46" i="6" s="1"/>
  <c r="K48" i="5"/>
  <c r="K47" i="5"/>
  <c r="K55" i="5"/>
  <c r="R71" i="6"/>
  <c r="R72" i="6" s="1"/>
  <c r="R107" i="6" s="1"/>
  <c r="R112" i="6" s="1"/>
  <c r="R113" i="6" s="1"/>
  <c r="L26" i="5"/>
  <c r="L31" i="5"/>
  <c r="L21" i="5"/>
  <c r="L25" i="5" s="1"/>
  <c r="J12" i="8"/>
  <c r="X20" i="2"/>
  <c r="M12" i="8" s="1"/>
  <c r="AJ20" i="2"/>
  <c r="AH96" i="6"/>
  <c r="AH101" i="6" s="1"/>
  <c r="AH102" i="6" s="1"/>
  <c r="AH103" i="6" s="1"/>
  <c r="AH104" i="6" s="1"/>
  <c r="AH111" i="6" s="1"/>
  <c r="AH97" i="6"/>
  <c r="AQ24" i="5"/>
  <c r="AQ102" i="5" s="1"/>
  <c r="AQ25" i="5"/>
  <c r="Q47" i="5"/>
  <c r="AJ13" i="4"/>
  <c r="AJ12" i="4"/>
  <c r="AI48" i="5"/>
  <c r="AI55" i="5"/>
  <c r="AI47" i="5"/>
  <c r="P4" i="8"/>
  <c r="AK12" i="2"/>
  <c r="Q4" i="8" s="1"/>
  <c r="AJ23" i="2"/>
  <c r="X23" i="2"/>
  <c r="M15" i="8" s="1"/>
  <c r="J15" i="8"/>
  <c r="N26" i="4"/>
  <c r="N31" i="4"/>
  <c r="N21" i="4"/>
  <c r="N25" i="4" s="1"/>
  <c r="AF12" i="4"/>
  <c r="AF13" i="4"/>
  <c r="AL55" i="4"/>
  <c r="AL47" i="4"/>
  <c r="AL48" i="4"/>
  <c r="P9" i="8"/>
  <c r="AK17" i="2"/>
  <c r="AA13" i="4"/>
  <c r="AA12" i="4"/>
  <c r="AA15" i="4" s="1"/>
  <c r="AA32" i="4" s="1"/>
  <c r="AM31" i="5"/>
  <c r="AM26" i="5"/>
  <c r="F24" i="8"/>
  <c r="AE32" i="2"/>
  <c r="G14" i="8"/>
  <c r="S22" i="2"/>
  <c r="AJ42" i="2"/>
  <c r="AK42" i="2" s="1"/>
  <c r="T42" i="2" s="1"/>
  <c r="X42" i="2"/>
  <c r="AO26" i="4"/>
  <c r="AO21" i="4"/>
  <c r="AO25" i="4" s="1"/>
  <c r="AO31" i="4"/>
  <c r="AT58" i="5"/>
  <c r="AT52" i="5"/>
  <c r="I20" i="6"/>
  <c r="I21" i="6" s="1"/>
  <c r="I22" i="6" s="1"/>
  <c r="L20" i="6"/>
  <c r="L24" i="6" s="1"/>
  <c r="L25" i="6"/>
  <c r="O13" i="4"/>
  <c r="O12" i="4"/>
  <c r="O33" i="4" s="1"/>
  <c r="I21" i="5"/>
  <c r="I24" i="5" s="1"/>
  <c r="I102" i="5" s="1"/>
  <c r="AR15" i="5"/>
  <c r="AR32" i="5" s="1"/>
  <c r="AR35" i="5" s="1"/>
  <c r="AR37" i="5" s="1"/>
  <c r="F22" i="8"/>
  <c r="AE30" i="2"/>
  <c r="G21" i="6"/>
  <c r="G22" i="6" s="1"/>
  <c r="G24" i="6"/>
  <c r="G23" i="6"/>
  <c r="E14" i="6"/>
  <c r="E44" i="6" s="1"/>
  <c r="E47" i="6" s="1"/>
  <c r="E45" i="6"/>
  <c r="E46" i="6" s="1"/>
  <c r="V47" i="4"/>
  <c r="AO13" i="4"/>
  <c r="AO12" i="4"/>
  <c r="AO33" i="4" s="1"/>
  <c r="P55" i="4"/>
  <c r="P48" i="4"/>
  <c r="P47" i="4"/>
  <c r="F15" i="8"/>
  <c r="AE23" i="2"/>
  <c r="W43" i="6"/>
  <c r="W87" i="6"/>
  <c r="W88" i="6" s="1"/>
  <c r="W89" i="6" s="1"/>
  <c r="W109" i="6" s="1"/>
  <c r="AJ47" i="5"/>
  <c r="AJ55" i="5"/>
  <c r="AJ48" i="5"/>
  <c r="Q11" i="6"/>
  <c r="Q12" i="6"/>
  <c r="Q31" i="5"/>
  <c r="Q26" i="5"/>
  <c r="Q21" i="5"/>
  <c r="L13" i="5"/>
  <c r="L12" i="5"/>
  <c r="AB79" i="6"/>
  <c r="AO13" i="5"/>
  <c r="AO12" i="5"/>
  <c r="F12" i="8"/>
  <c r="AE20" i="2"/>
  <c r="AE35" i="2"/>
  <c r="F27" i="8"/>
  <c r="O31" i="5"/>
  <c r="AH21" i="4"/>
  <c r="AH22" i="4" s="1"/>
  <c r="AD96" i="6"/>
  <c r="AD101" i="6" s="1"/>
  <c r="AD102" i="6" s="1"/>
  <c r="AD103" i="6" s="1"/>
  <c r="AD104" i="6" s="1"/>
  <c r="AD111" i="6" s="1"/>
  <c r="AK26" i="5"/>
  <c r="M26" i="5"/>
  <c r="N25" i="5"/>
  <c r="AJ12" i="5"/>
  <c r="AJ13" i="5"/>
  <c r="N58" i="4"/>
  <c r="N59" i="6"/>
  <c r="N52" i="4"/>
  <c r="AL21" i="4"/>
  <c r="AL24" i="4" s="1"/>
  <c r="AL102" i="4" s="1"/>
  <c r="Z48" i="5"/>
  <c r="Z55" i="5"/>
  <c r="Z47" i="5"/>
  <c r="AJ44" i="2"/>
  <c r="AK44" i="2" s="1"/>
  <c r="T44" i="2" s="1"/>
  <c r="X44" i="2"/>
  <c r="P12" i="5"/>
  <c r="P13" i="5"/>
  <c r="O12" i="5"/>
  <c r="O13" i="5"/>
  <c r="AO55" i="5"/>
  <c r="AO48" i="5"/>
  <c r="AO47" i="5"/>
  <c r="AJ35" i="2"/>
  <c r="J27" i="8"/>
  <c r="X35" i="2"/>
  <c r="M27" i="8" s="1"/>
  <c r="AB12" i="5"/>
  <c r="AB15" i="5" s="1"/>
  <c r="AB32" i="5" s="1"/>
  <c r="AK31" i="5"/>
  <c r="N73" i="5"/>
  <c r="N116" i="5" s="1"/>
  <c r="N13" i="4"/>
  <c r="N12" i="4"/>
  <c r="AL26" i="4"/>
  <c r="AL31" i="4"/>
  <c r="Q20" i="6"/>
  <c r="Q21" i="6" s="1"/>
  <c r="Q25" i="6"/>
  <c r="Q94" i="6"/>
  <c r="Q43" i="6"/>
  <c r="Z13" i="5"/>
  <c r="Z12" i="5"/>
  <c r="AB55" i="5"/>
  <c r="AB47" i="5"/>
  <c r="AB48" i="5"/>
  <c r="AJ46" i="2"/>
  <c r="AK46" i="2" s="1"/>
  <c r="T46" i="2" s="1"/>
  <c r="X46" i="2"/>
  <c r="O52" i="5"/>
  <c r="O58" i="5"/>
  <c r="Q52" i="4"/>
  <c r="Q59" i="6"/>
  <c r="Q58" i="4"/>
  <c r="AO58" i="5"/>
  <c r="AO52" i="5"/>
  <c r="AT26" i="5"/>
  <c r="AT31" i="5"/>
  <c r="AT21" i="5"/>
  <c r="AF26" i="4"/>
  <c r="AF21" i="4"/>
  <c r="AF24" i="4" s="1"/>
  <c r="AF102" i="4" s="1"/>
  <c r="AL12" i="4"/>
  <c r="AL13" i="4"/>
  <c r="Z26" i="5"/>
  <c r="Z21" i="5"/>
  <c r="Z25" i="5" s="1"/>
  <c r="Z31" i="5"/>
  <c r="AM21" i="5"/>
  <c r="AM22" i="5" s="1"/>
  <c r="R23" i="6"/>
  <c r="R24" i="6"/>
  <c r="AI13" i="5"/>
  <c r="AI12" i="5"/>
  <c r="F13" i="8"/>
  <c r="AE21" i="2"/>
  <c r="AT12" i="5"/>
  <c r="AT13" i="5"/>
  <c r="N47" i="4"/>
  <c r="N48" i="4"/>
  <c r="N55" i="4"/>
  <c r="AF59" i="6"/>
  <c r="AF52" i="4"/>
  <c r="AF58" i="4"/>
  <c r="AL52" i="4"/>
  <c r="AL58" i="4"/>
  <c r="AM12" i="5"/>
  <c r="AM13" i="5"/>
  <c r="J24" i="8"/>
  <c r="X32" i="2"/>
  <c r="M24" i="8" s="1"/>
  <c r="AJ32" i="2"/>
  <c r="AA58" i="5"/>
  <c r="AA52" i="5"/>
  <c r="AK34" i="4"/>
  <c r="AK107" i="4" s="1"/>
  <c r="AK106" i="4"/>
  <c r="J55" i="5"/>
  <c r="J48" i="5"/>
  <c r="J47" i="5"/>
  <c r="AR33" i="4"/>
  <c r="AR16" i="4"/>
  <c r="AR15" i="4"/>
  <c r="AR32" i="4" s="1"/>
  <c r="Q55" i="4"/>
  <c r="Q47" i="4"/>
  <c r="Q48" i="4"/>
  <c r="AO55" i="4"/>
  <c r="AO48" i="4"/>
  <c r="AO47" i="4"/>
  <c r="T96" i="6"/>
  <c r="T101" i="6" s="1"/>
  <c r="T102" i="6" s="1"/>
  <c r="T103" i="6" s="1"/>
  <c r="T104" i="6" s="1"/>
  <c r="T111" i="6" s="1"/>
  <c r="M52" i="5"/>
  <c r="M58" i="5"/>
  <c r="AF47" i="4"/>
  <c r="AF48" i="4"/>
  <c r="AF55" i="4"/>
  <c r="V47" i="5"/>
  <c r="V55" i="5"/>
  <c r="V48" i="5"/>
  <c r="N12" i="6"/>
  <c r="N11" i="6"/>
  <c r="AM58" i="5"/>
  <c r="AM52" i="5"/>
  <c r="AA12" i="5"/>
  <c r="AA13" i="5"/>
  <c r="Q26" i="4"/>
  <c r="Q31" i="4"/>
  <c r="Q21" i="4"/>
  <c r="Q24" i="4" s="1"/>
  <c r="Q102" i="4" s="1"/>
  <c r="AC31" i="4"/>
  <c r="AC21" i="4"/>
  <c r="AC25" i="4" s="1"/>
  <c r="AC26" i="4"/>
  <c r="S23" i="6"/>
  <c r="S21" i="6"/>
  <c r="S24" i="6"/>
  <c r="AT55" i="5"/>
  <c r="AT48" i="5"/>
  <c r="AT47" i="5"/>
  <c r="I48" i="5"/>
  <c r="I47" i="5"/>
  <c r="I55" i="5"/>
  <c r="AA31" i="4"/>
  <c r="AB26" i="4"/>
  <c r="Y26" i="5"/>
  <c r="Z55" i="4"/>
  <c r="Z47" i="4"/>
  <c r="Z48" i="4"/>
  <c r="V12" i="5"/>
  <c r="V13" i="5"/>
  <c r="AM47" i="5"/>
  <c r="AM55" i="5"/>
  <c r="AM48" i="5"/>
  <c r="AC25" i="6"/>
  <c r="AC20" i="6"/>
  <c r="AC23" i="6" s="1"/>
  <c r="AC94" i="6"/>
  <c r="AC43" i="6"/>
  <c r="J52" i="5"/>
  <c r="J58" i="5"/>
  <c r="N20" i="6"/>
  <c r="N23" i="6" s="1"/>
  <c r="AC58" i="4"/>
  <c r="AC52" i="4"/>
  <c r="AC59" i="6"/>
  <c r="O52" i="4"/>
  <c r="N24" i="5"/>
  <c r="N102" i="5" s="1"/>
  <c r="N103" i="5" s="1"/>
  <c r="O21" i="5"/>
  <c r="O24" i="5" s="1"/>
  <c r="O102" i="5" s="1"/>
  <c r="N23" i="5"/>
  <c r="N85" i="5" s="1"/>
  <c r="W22" i="4"/>
  <c r="W27" i="4" s="1"/>
  <c r="I26" i="5"/>
  <c r="AH47" i="4"/>
  <c r="AJ52" i="2"/>
  <c r="AK52" i="2" s="1"/>
  <c r="T52" i="2" s="1"/>
  <c r="N97" i="6"/>
  <c r="AB13" i="4"/>
  <c r="N25" i="6"/>
  <c r="Z59" i="6"/>
  <c r="Z58" i="4"/>
  <c r="Z52" i="4"/>
  <c r="X12" i="5"/>
  <c r="X13" i="5"/>
  <c r="AS52" i="4"/>
  <c r="AS58" i="4"/>
  <c r="H15" i="5"/>
  <c r="H32" i="5" s="1"/>
  <c r="H35" i="5" s="1"/>
  <c r="H33" i="5"/>
  <c r="H16" i="5"/>
  <c r="AB59" i="6"/>
  <c r="AB58" i="4"/>
  <c r="AB52" i="4"/>
  <c r="AC11" i="6"/>
  <c r="AC12" i="6"/>
  <c r="AA47" i="5"/>
  <c r="AA55" i="5"/>
  <c r="AA48" i="5"/>
  <c r="J21" i="8"/>
  <c r="X29" i="2"/>
  <c r="M21" i="8" s="1"/>
  <c r="AJ29" i="2"/>
  <c r="J12" i="5"/>
  <c r="J13" i="5"/>
  <c r="J25" i="8"/>
  <c r="AJ33" i="2"/>
  <c r="X33" i="2"/>
  <c r="M25" i="8" s="1"/>
  <c r="AC55" i="4"/>
  <c r="AC47" i="4"/>
  <c r="AC48" i="4"/>
  <c r="Y55" i="5"/>
  <c r="Y47" i="5"/>
  <c r="Y48" i="5"/>
  <c r="N43" i="6"/>
  <c r="AI71" i="6"/>
  <c r="AI72" i="6" s="1"/>
  <c r="AI107" i="6" s="1"/>
  <c r="AI112" i="6" s="1"/>
  <c r="AI113" i="6" s="1"/>
  <c r="Z12" i="4"/>
  <c r="Z13" i="4"/>
  <c r="X47" i="5"/>
  <c r="X48" i="5"/>
  <c r="X55" i="5"/>
  <c r="AS47" i="4"/>
  <c r="AS48" i="4"/>
  <c r="AS55" i="4"/>
  <c r="L58" i="5"/>
  <c r="L52" i="5"/>
  <c r="F21" i="8"/>
  <c r="AE29" i="2"/>
  <c r="J22" i="8"/>
  <c r="X30" i="2"/>
  <c r="M22" i="8" s="1"/>
  <c r="AJ30" i="2"/>
  <c r="AJ51" i="2"/>
  <c r="AK51" i="2" s="1"/>
  <c r="T51" i="2" s="1"/>
  <c r="X51" i="2"/>
  <c r="AE33" i="2"/>
  <c r="F25" i="8"/>
  <c r="AI96" i="6"/>
  <c r="AI101" i="6" s="1"/>
  <c r="AI102" i="6" s="1"/>
  <c r="AI103" i="6" s="1"/>
  <c r="AI104" i="6" s="1"/>
  <c r="AI111" i="6" s="1"/>
  <c r="AQ22" i="5"/>
  <c r="AQ27" i="5" s="1"/>
  <c r="J22" i="4"/>
  <c r="J73" i="4" s="1"/>
  <c r="P97" i="6"/>
  <c r="AE97" i="6"/>
  <c r="AS24" i="5"/>
  <c r="AS102" i="5" s="1"/>
  <c r="J25" i="4"/>
  <c r="AK24" i="5"/>
  <c r="AK102" i="5" s="1"/>
  <c r="X21" i="6"/>
  <c r="X26" i="6" s="1"/>
  <c r="AK25" i="5"/>
  <c r="X24" i="6"/>
  <c r="F22" i="4"/>
  <c r="F103" i="4" s="1"/>
  <c r="K133" i="3"/>
  <c r="K98" i="3"/>
  <c r="M43" i="3"/>
  <c r="M44" i="3"/>
  <c r="G87" i="7"/>
  <c r="G135" i="7"/>
  <c r="G73" i="4"/>
  <c r="G27" i="4"/>
  <c r="G23" i="4"/>
  <c r="G85" i="4" s="1"/>
  <c r="G59" i="4"/>
  <c r="G65" i="4" s="1"/>
  <c r="G72" i="4" s="1"/>
  <c r="BJ27" i="9"/>
  <c r="AG73" i="4"/>
  <c r="AG23" i="4"/>
  <c r="AG85" i="4" s="1"/>
  <c r="AG27" i="4"/>
  <c r="AG59" i="4"/>
  <c r="AG65" i="4" s="1"/>
  <c r="AG72" i="4" s="1"/>
  <c r="AP23" i="5"/>
  <c r="AP27" i="5"/>
  <c r="AP59" i="5"/>
  <c r="AP65" i="5" s="1"/>
  <c r="AP72" i="5" s="1"/>
  <c r="G33" i="4"/>
  <c r="G15" i="4"/>
  <c r="G32" i="4" s="1"/>
  <c r="G35" i="4" s="1"/>
  <c r="G16" i="4"/>
  <c r="BJ24" i="9"/>
  <c r="P24" i="9"/>
  <c r="AL33" i="5"/>
  <c r="AL16" i="5"/>
  <c r="AL15" i="5"/>
  <c r="AL32" i="5" s="1"/>
  <c r="H41" i="7"/>
  <c r="H42" i="7"/>
  <c r="Y95" i="6"/>
  <c r="Y96" i="6" s="1"/>
  <c r="Y101" i="6" s="1"/>
  <c r="Y102" i="6" s="1"/>
  <c r="Y103" i="6" s="1"/>
  <c r="Y104" i="6" s="1"/>
  <c r="Y111" i="6" s="1"/>
  <c r="E32" i="7"/>
  <c r="E36" i="7"/>
  <c r="E34" i="6"/>
  <c r="E84" i="3"/>
  <c r="E100" i="3"/>
  <c r="AJ90" i="6"/>
  <c r="AJ110" i="6" s="1"/>
  <c r="G133" i="3"/>
  <c r="G98" i="3"/>
  <c r="T24" i="9"/>
  <c r="R24" i="9"/>
  <c r="S24" i="9" s="1"/>
  <c r="T6" i="9"/>
  <c r="R6" i="9"/>
  <c r="AP25" i="5"/>
  <c r="P20" i="8"/>
  <c r="AK28" i="2"/>
  <c r="U95" i="6"/>
  <c r="U96" i="6" s="1"/>
  <c r="U101" i="6" s="1"/>
  <c r="U102" i="6" s="1"/>
  <c r="U103" i="6" s="1"/>
  <c r="U104" i="6" s="1"/>
  <c r="U111" i="6" s="1"/>
  <c r="Z95" i="6"/>
  <c r="Z97" i="6" s="1"/>
  <c r="T14" i="9"/>
  <c r="R14" i="9"/>
  <c r="W18" i="9"/>
  <c r="U18" i="9"/>
  <c r="V18" i="9" s="1"/>
  <c r="AS22" i="5"/>
  <c r="H90" i="6"/>
  <c r="H110" i="6" s="1"/>
  <c r="H89" i="6"/>
  <c r="H109" i="6" s="1"/>
  <c r="M14" i="6"/>
  <c r="M44" i="6" s="1"/>
  <c r="M45" i="6"/>
  <c r="M46" i="6" s="1"/>
  <c r="M15" i="6"/>
  <c r="BJ10" i="9"/>
  <c r="P10" i="9"/>
  <c r="K124" i="7"/>
  <c r="L89" i="6"/>
  <c r="L109" i="6" s="1"/>
  <c r="L90" i="6"/>
  <c r="L110" i="6" s="1"/>
  <c r="Q27" i="9"/>
  <c r="O27" i="9"/>
  <c r="P27" i="9" s="1"/>
  <c r="Q29" i="9"/>
  <c r="O29" i="9"/>
  <c r="BJ29" i="9" s="1"/>
  <c r="H44" i="7"/>
  <c r="H79" i="7" s="1"/>
  <c r="H80" i="7" s="1"/>
  <c r="H43" i="7"/>
  <c r="K15" i="5"/>
  <c r="K32" i="5" s="1"/>
  <c r="K33" i="5"/>
  <c r="K16" i="5"/>
  <c r="Q11" i="9"/>
  <c r="O11" i="9"/>
  <c r="V95" i="6"/>
  <c r="V97" i="6" s="1"/>
  <c r="L44" i="7"/>
  <c r="L79" i="7" s="1"/>
  <c r="L80" i="7" s="1"/>
  <c r="L43" i="7"/>
  <c r="E44" i="3"/>
  <c r="E79" i="3" s="1"/>
  <c r="E80" i="3" s="1"/>
  <c r="E43" i="3"/>
  <c r="AC33" i="4"/>
  <c r="AC15" i="4"/>
  <c r="AC32" i="4" s="1"/>
  <c r="AC16" i="4"/>
  <c r="L22" i="4"/>
  <c r="W45" i="6"/>
  <c r="W46" i="6" s="1"/>
  <c r="W14" i="6"/>
  <c r="W44" i="6" s="1"/>
  <c r="W15" i="6"/>
  <c r="T106" i="4"/>
  <c r="T34" i="4"/>
  <c r="T107" i="4" s="1"/>
  <c r="L84" i="7"/>
  <c r="W71" i="6"/>
  <c r="W72" i="6" s="1"/>
  <c r="W107" i="6" s="1"/>
  <c r="W112" i="6" s="1"/>
  <c r="W113" i="6" s="1"/>
  <c r="S33" i="4"/>
  <c r="S15" i="4"/>
  <c r="S32" i="4" s="1"/>
  <c r="S35" i="4" s="1"/>
  <c r="S16" i="4"/>
  <c r="E15" i="5"/>
  <c r="E32" i="5" s="1"/>
  <c r="E33" i="5"/>
  <c r="E16" i="5"/>
  <c r="F43" i="7"/>
  <c r="F44" i="7"/>
  <c r="F79" i="7" s="1"/>
  <c r="F80" i="7" s="1"/>
  <c r="L95" i="6"/>
  <c r="L97" i="6" s="1"/>
  <c r="L98" i="7"/>
  <c r="L133" i="7"/>
  <c r="J16" i="4"/>
  <c r="J33" i="4"/>
  <c r="J15" i="4"/>
  <c r="J32" i="4" s="1"/>
  <c r="J35" i="4" s="1"/>
  <c r="AN106" i="5"/>
  <c r="AN34" i="5"/>
  <c r="AN107" i="5" s="1"/>
  <c r="J135" i="3"/>
  <c r="J87" i="3"/>
  <c r="AP24" i="5"/>
  <c r="AP102" i="5" s="1"/>
  <c r="L33" i="4"/>
  <c r="L15" i="4"/>
  <c r="L32" i="4" s="1"/>
  <c r="L35" i="4" s="1"/>
  <c r="L16" i="4"/>
  <c r="G33" i="5"/>
  <c r="G16" i="5"/>
  <c r="G15" i="5"/>
  <c r="G32" i="5" s="1"/>
  <c r="AC25" i="5"/>
  <c r="AJ95" i="6"/>
  <c r="AJ97" i="6" s="1"/>
  <c r="J84" i="7"/>
  <c r="J100" i="7"/>
  <c r="O95" i="6"/>
  <c r="O97" i="6" s="1"/>
  <c r="G25" i="4"/>
  <c r="R10" i="9"/>
  <c r="S10" i="9" s="1"/>
  <c r="T10" i="9"/>
  <c r="AN22" i="5"/>
  <c r="Q12" i="9"/>
  <c r="O12" i="9"/>
  <c r="G124" i="3"/>
  <c r="O23" i="9"/>
  <c r="P23" i="9" s="1"/>
  <c r="Q23" i="9"/>
  <c r="R33" i="5"/>
  <c r="R15" i="5"/>
  <c r="R32" i="5" s="1"/>
  <c r="R16" i="5"/>
  <c r="W8" i="9"/>
  <c r="U8" i="9"/>
  <c r="V8" i="9" s="1"/>
  <c r="L84" i="3"/>
  <c r="L100" i="3"/>
  <c r="L124" i="3"/>
  <c r="T26" i="9"/>
  <c r="R26" i="9"/>
  <c r="S26" i="9" s="1"/>
  <c r="K43" i="3"/>
  <c r="K44" i="3"/>
  <c r="K79" i="3" s="1"/>
  <c r="K80" i="3" s="1"/>
  <c r="Y89" i="6"/>
  <c r="Y109" i="6" s="1"/>
  <c r="Y90" i="6"/>
  <c r="Y110" i="6" s="1"/>
  <c r="AS33" i="4"/>
  <c r="AS16" i="4"/>
  <c r="AS15" i="4"/>
  <c r="AS32" i="4" s="1"/>
  <c r="I33" i="5"/>
  <c r="I15" i="5"/>
  <c r="I32" i="5" s="1"/>
  <c r="I16" i="5"/>
  <c r="AM22" i="4"/>
  <c r="L42" i="3"/>
  <c r="L41" i="3"/>
  <c r="E12" i="7"/>
  <c r="E13" i="7"/>
  <c r="J14" i="6"/>
  <c r="J44" i="6" s="1"/>
  <c r="J45" i="6"/>
  <c r="J46" i="6" s="1"/>
  <c r="J15" i="6"/>
  <c r="AF90" i="6"/>
  <c r="AF110" i="6" s="1"/>
  <c r="AF89" i="6"/>
  <c r="AF109" i="6" s="1"/>
  <c r="K42" i="7"/>
  <c r="K41" i="7"/>
  <c r="F79" i="3"/>
  <c r="F80" i="3" s="1"/>
  <c r="AG89" i="6"/>
  <c r="AG109" i="6" s="1"/>
  <c r="V89" i="6"/>
  <c r="V109" i="6" s="1"/>
  <c r="V90" i="6"/>
  <c r="V110" i="6" s="1"/>
  <c r="O13" i="9"/>
  <c r="P13" i="9" s="1"/>
  <c r="Q13" i="9"/>
  <c r="M133" i="7"/>
  <c r="M98" i="7"/>
  <c r="O9" i="9"/>
  <c r="Q9" i="9"/>
  <c r="L35" i="3"/>
  <c r="AB33" i="4"/>
  <c r="AB15" i="4"/>
  <c r="AB32" i="4" s="1"/>
  <c r="AB16" i="4"/>
  <c r="AA22" i="5"/>
  <c r="AA25" i="5"/>
  <c r="AA24" i="5"/>
  <c r="AA102" i="5" s="1"/>
  <c r="L44" i="3"/>
  <c r="L79" i="3" s="1"/>
  <c r="L80" i="3" s="1"/>
  <c r="L43" i="3"/>
  <c r="AI33" i="4"/>
  <c r="AI15" i="4"/>
  <c r="AI32" i="4" s="1"/>
  <c r="AI16" i="4"/>
  <c r="H43" i="3"/>
  <c r="H44" i="3"/>
  <c r="H79" i="3" s="1"/>
  <c r="H80" i="3" s="1"/>
  <c r="G39" i="3"/>
  <c r="I98" i="7"/>
  <c r="I133" i="7"/>
  <c r="AM24" i="4"/>
  <c r="AM102" i="4" s="1"/>
  <c r="AK23" i="5"/>
  <c r="AK59" i="5"/>
  <c r="AK65" i="5" s="1"/>
  <c r="AK72" i="5" s="1"/>
  <c r="AK27" i="5"/>
  <c r="M40" i="7"/>
  <c r="X89" i="6"/>
  <c r="X109" i="6" s="1"/>
  <c r="X90" i="6"/>
  <c r="X110" i="6" s="1"/>
  <c r="O17" i="9"/>
  <c r="Q17" i="9"/>
  <c r="I84" i="7"/>
  <c r="I35" i="7"/>
  <c r="O22" i="9"/>
  <c r="P22" i="9" s="1"/>
  <c r="Q22" i="9"/>
  <c r="K95" i="6"/>
  <c r="K97" i="6" s="1"/>
  <c r="O30" i="9"/>
  <c r="Q30" i="9"/>
  <c r="O45" i="6"/>
  <c r="O46" i="6" s="1"/>
  <c r="O14" i="6"/>
  <c r="O44" i="6" s="1"/>
  <c r="O15" i="6"/>
  <c r="J98" i="7"/>
  <c r="J133" i="7"/>
  <c r="P33" i="4"/>
  <c r="P15" i="4"/>
  <c r="P32" i="4" s="1"/>
  <c r="P16" i="4"/>
  <c r="Q33" i="5"/>
  <c r="Q15" i="5"/>
  <c r="Q32" i="5" s="1"/>
  <c r="Q16" i="5"/>
  <c r="K84" i="3"/>
  <c r="K35" i="3"/>
  <c r="K124" i="3"/>
  <c r="W33" i="5"/>
  <c r="W15" i="5"/>
  <c r="W32" i="5" s="1"/>
  <c r="W16" i="5"/>
  <c r="L24" i="4"/>
  <c r="L102" i="4" s="1"/>
  <c r="H98" i="7"/>
  <c r="H133" i="7"/>
  <c r="AQ106" i="5"/>
  <c r="AQ34" i="5"/>
  <c r="AQ107" i="5" s="1"/>
  <c r="H41" i="3"/>
  <c r="H42" i="3"/>
  <c r="G42" i="3"/>
  <c r="G41" i="3"/>
  <c r="W24" i="4"/>
  <c r="W102" i="4" s="1"/>
  <c r="F96" i="6"/>
  <c r="F101" i="6" s="1"/>
  <c r="F102" i="6" s="1"/>
  <c r="F103" i="6" s="1"/>
  <c r="F104" i="6" s="1"/>
  <c r="F111" i="6" s="1"/>
  <c r="AA95" i="6"/>
  <c r="AA97" i="6" s="1"/>
  <c r="M100" i="3"/>
  <c r="M84" i="3"/>
  <c r="M35" i="3"/>
  <c r="AG25" i="4"/>
  <c r="Q16" i="9"/>
  <c r="O16" i="9"/>
  <c r="BJ16" i="9" s="1"/>
  <c r="X45" i="6"/>
  <c r="X46" i="6" s="1"/>
  <c r="X14" i="6"/>
  <c r="X44" i="6" s="1"/>
  <c r="X15" i="6"/>
  <c r="I44" i="7"/>
  <c r="I79" i="7" s="1"/>
  <c r="I80" i="7" s="1"/>
  <c r="I43" i="7"/>
  <c r="E35" i="7"/>
  <c r="N65" i="5"/>
  <c r="N72" i="5" s="1"/>
  <c r="O7" i="9"/>
  <c r="Q7" i="9"/>
  <c r="P30" i="9"/>
  <c r="J44" i="7"/>
  <c r="J79" i="7" s="1"/>
  <c r="J80" i="7" s="1"/>
  <c r="J43" i="7"/>
  <c r="T28" i="9"/>
  <c r="R28" i="9"/>
  <c r="S28" i="9" s="1"/>
  <c r="AM15" i="4"/>
  <c r="AM32" i="4" s="1"/>
  <c r="AM35" i="4" s="1"/>
  <c r="AM33" i="4"/>
  <c r="AM16" i="4"/>
  <c r="M15" i="5"/>
  <c r="M32" i="5" s="1"/>
  <c r="M33" i="5"/>
  <c r="M16" i="5"/>
  <c r="O21" i="9"/>
  <c r="P21" i="9" s="1"/>
  <c r="Q21" i="9"/>
  <c r="F106" i="4"/>
  <c r="F34" i="4"/>
  <c r="F107" i="4" s="1"/>
  <c r="I33" i="4"/>
  <c r="I15" i="4"/>
  <c r="I32" i="4" s="1"/>
  <c r="I35" i="4" s="1"/>
  <c r="I16" i="4"/>
  <c r="G84" i="3"/>
  <c r="G100" i="3"/>
  <c r="M133" i="3"/>
  <c r="M98" i="3"/>
  <c r="AH15" i="4"/>
  <c r="AH32" i="4" s="1"/>
  <c r="AH33" i="4"/>
  <c r="AH16" i="4"/>
  <c r="S90" i="6"/>
  <c r="S110" i="6" s="1"/>
  <c r="S89" i="6"/>
  <c r="S109" i="6" s="1"/>
  <c r="M41" i="3"/>
  <c r="M42" i="3"/>
  <c r="Q19" i="9"/>
  <c r="O19" i="9"/>
  <c r="BJ19" i="9" s="1"/>
  <c r="Z90" i="6"/>
  <c r="Z110" i="6" s="1"/>
  <c r="Z89" i="6"/>
  <c r="Z109" i="6" s="1"/>
  <c r="G90" i="6"/>
  <c r="G110" i="6" s="1"/>
  <c r="G89" i="6"/>
  <c r="G109" i="6" s="1"/>
  <c r="I43" i="3"/>
  <c r="I44" i="3"/>
  <c r="I79" i="3" s="1"/>
  <c r="I80" i="3" s="1"/>
  <c r="I42" i="7"/>
  <c r="I41" i="7"/>
  <c r="N15" i="5"/>
  <c r="N32" i="5" s="1"/>
  <c r="N35" i="5" s="1"/>
  <c r="N33" i="5"/>
  <c r="N16" i="5"/>
  <c r="BJ30" i="9"/>
  <c r="L41" i="7"/>
  <c r="L42" i="7"/>
  <c r="K44" i="7"/>
  <c r="K79" i="7" s="1"/>
  <c r="K80" i="7" s="1"/>
  <c r="K43" i="7"/>
  <c r="AS33" i="5"/>
  <c r="AS15" i="5"/>
  <c r="AS32" i="5" s="1"/>
  <c r="AS35" i="5" s="1"/>
  <c r="AS16" i="5"/>
  <c r="E102" i="7"/>
  <c r="E33" i="7"/>
  <c r="Z14" i="6"/>
  <c r="Z44" i="6" s="1"/>
  <c r="Z45" i="6"/>
  <c r="Z46" i="6" s="1"/>
  <c r="Z15" i="6"/>
  <c r="P28" i="8"/>
  <c r="AK36" i="2"/>
  <c r="M44" i="7"/>
  <c r="M79" i="7" s="1"/>
  <c r="M80" i="7" s="1"/>
  <c r="M43" i="7"/>
  <c r="M42" i="7"/>
  <c r="M41" i="7"/>
  <c r="E133" i="3"/>
  <c r="E98" i="3"/>
  <c r="J41" i="7"/>
  <c r="J42" i="7"/>
  <c r="AC15" i="5"/>
  <c r="AC32" i="5" s="1"/>
  <c r="AC35" i="5" s="1"/>
  <c r="AC33" i="5"/>
  <c r="AC16" i="5"/>
  <c r="K84" i="7"/>
  <c r="K100" i="7"/>
  <c r="AQ33" i="4"/>
  <c r="AQ15" i="4"/>
  <c r="AQ32" i="4" s="1"/>
  <c r="AQ16" i="4"/>
  <c r="I90" i="6"/>
  <c r="I110" i="6" s="1"/>
  <c r="I89" i="6"/>
  <c r="I109" i="6" s="1"/>
  <c r="L40" i="7"/>
  <c r="O71" i="6"/>
  <c r="O72" i="6" s="1"/>
  <c r="O107" i="6" s="1"/>
  <c r="O112" i="6" s="1"/>
  <c r="O113" i="6" s="1"/>
  <c r="Q20" i="9"/>
  <c r="O20" i="9"/>
  <c r="P20" i="9" s="1"/>
  <c r="G17" i="8"/>
  <c r="S25" i="2"/>
  <c r="F73" i="3"/>
  <c r="F62" i="3"/>
  <c r="F63" i="3" s="1"/>
  <c r="F74" i="3"/>
  <c r="T25" i="9"/>
  <c r="R25" i="9"/>
  <c r="G5" i="8"/>
  <c r="S13" i="2"/>
  <c r="H84" i="3"/>
  <c r="H100" i="3"/>
  <c r="M84" i="7"/>
  <c r="W15" i="4"/>
  <c r="W32" i="4" s="1"/>
  <c r="W35" i="4" s="1"/>
  <c r="W33" i="4"/>
  <c r="W16" i="4"/>
  <c r="E35" i="3"/>
  <c r="K133" i="7"/>
  <c r="K98" i="7"/>
  <c r="AG95" i="6"/>
  <c r="AG97" i="6" s="1"/>
  <c r="N87" i="6"/>
  <c r="N88" i="6" s="1"/>
  <c r="N81" i="6"/>
  <c r="N82" i="6" s="1"/>
  <c r="N108" i="6" s="1"/>
  <c r="E124" i="7"/>
  <c r="E34" i="7"/>
  <c r="G23" i="8"/>
  <c r="S31" i="2"/>
  <c r="J95" i="6"/>
  <c r="J97" i="6" s="1"/>
  <c r="AT33" i="4"/>
  <c r="AT16" i="4"/>
  <c r="AT15" i="4"/>
  <c r="AT32" i="4" s="1"/>
  <c r="M95" i="6"/>
  <c r="M97" i="6" s="1"/>
  <c r="J48" i="3"/>
  <c r="J46" i="3"/>
  <c r="J47" i="3"/>
  <c r="E88" i="6"/>
  <c r="E70" i="6"/>
  <c r="E71" i="6" s="1"/>
  <c r="S97" i="6"/>
  <c r="S104" i="6"/>
  <c r="S111" i="6" s="1"/>
  <c r="S18" i="9"/>
  <c r="BJ18" i="9"/>
  <c r="AE33" i="5"/>
  <c r="AE15" i="5"/>
  <c r="AE32" i="5" s="1"/>
  <c r="AE35" i="5" s="1"/>
  <c r="AE16" i="5"/>
  <c r="U33" i="5"/>
  <c r="U15" i="5"/>
  <c r="U32" i="5" s="1"/>
  <c r="U16" i="5"/>
  <c r="K14" i="6"/>
  <c r="K44" i="6" s="1"/>
  <c r="K45" i="6"/>
  <c r="K46" i="6" s="1"/>
  <c r="K15" i="6"/>
  <c r="I45" i="6"/>
  <c r="I46" i="6" s="1"/>
  <c r="I14" i="6"/>
  <c r="I44" i="6" s="1"/>
  <c r="I15" i="6"/>
  <c r="E106" i="4"/>
  <c r="E34" i="4"/>
  <c r="E107" i="4" s="1"/>
  <c r="Q15" i="9"/>
  <c r="O15" i="9"/>
  <c r="E42" i="3"/>
  <c r="E41" i="3"/>
  <c r="G73" i="7"/>
  <c r="G62" i="7"/>
  <c r="G63" i="7" s="1"/>
  <c r="G132" i="7" s="1"/>
  <c r="G74" i="7"/>
  <c r="G104" i="7" s="1"/>
  <c r="G106" i="7" s="1"/>
  <c r="AH22" i="5" l="1"/>
  <c r="AH27" i="5" s="1"/>
  <c r="S26" i="2"/>
  <c r="M25" i="4"/>
  <c r="AK26" i="2"/>
  <c r="T26" i="2" s="1"/>
  <c r="U21" i="6"/>
  <c r="U26" i="6" s="1"/>
  <c r="AK31" i="2"/>
  <c r="T31" i="2" s="1"/>
  <c r="AD22" i="5"/>
  <c r="AD73" i="5" s="1"/>
  <c r="AH24" i="5"/>
  <c r="AH102" i="5" s="1"/>
  <c r="AH103" i="5" s="1"/>
  <c r="M22" i="4"/>
  <c r="M103" i="4" s="1"/>
  <c r="S47" i="6"/>
  <c r="S48" i="6" s="1"/>
  <c r="U23" i="6"/>
  <c r="U34" i="4"/>
  <c r="U107" i="4" s="1"/>
  <c r="R35" i="5"/>
  <c r="R38" i="5" s="1"/>
  <c r="P17" i="9"/>
  <c r="AF21" i="6"/>
  <c r="AF26" i="6" s="1"/>
  <c r="F16" i="5"/>
  <c r="S27" i="4"/>
  <c r="S46" i="4" s="1"/>
  <c r="U22" i="4"/>
  <c r="U73" i="4" s="1"/>
  <c r="S73" i="4"/>
  <c r="S116" i="4" s="1"/>
  <c r="S24" i="4"/>
  <c r="S102" i="4" s="1"/>
  <c r="S103" i="4" s="1"/>
  <c r="AD25" i="5"/>
  <c r="AF97" i="6"/>
  <c r="AD35" i="5"/>
  <c r="AD37" i="5" s="1"/>
  <c r="AK13" i="2"/>
  <c r="Q5" i="8" s="1"/>
  <c r="AH16" i="5"/>
  <c r="U25" i="4"/>
  <c r="AH15" i="5"/>
  <c r="AH32" i="5" s="1"/>
  <c r="AH35" i="5" s="1"/>
  <c r="AH37" i="5" s="1"/>
  <c r="U89" i="6"/>
  <c r="U109" i="6" s="1"/>
  <c r="AQ35" i="4"/>
  <c r="AQ37" i="4" s="1"/>
  <c r="S25" i="4"/>
  <c r="S59" i="4"/>
  <c r="S65" i="4" s="1"/>
  <c r="S72" i="4" s="1"/>
  <c r="AQ35" i="5"/>
  <c r="AQ36" i="5" s="1"/>
  <c r="AQ39" i="5" s="1"/>
  <c r="AQ40" i="5" s="1"/>
  <c r="AQ78" i="5" s="1"/>
  <c r="P17" i="8"/>
  <c r="G35" i="5"/>
  <c r="G37" i="5" s="1"/>
  <c r="Z21" i="6"/>
  <c r="Z22" i="6" s="1"/>
  <c r="F33" i="5"/>
  <c r="F106" i="5" s="1"/>
  <c r="AP33" i="4"/>
  <c r="AP106" i="4" s="1"/>
  <c r="AE16" i="4"/>
  <c r="AE15" i="4"/>
  <c r="AE32" i="4" s="1"/>
  <c r="AE35" i="4" s="1"/>
  <c r="AE36" i="4" s="1"/>
  <c r="AD23" i="6"/>
  <c r="AP16" i="4"/>
  <c r="O23" i="6"/>
  <c r="AP35" i="4"/>
  <c r="AP38" i="4" s="1"/>
  <c r="AE21" i="6"/>
  <c r="AE26" i="6" s="1"/>
  <c r="T23" i="6"/>
  <c r="AD21" i="6"/>
  <c r="AD26" i="6" s="1"/>
  <c r="U24" i="5"/>
  <c r="U102" i="5" s="1"/>
  <c r="AE23" i="6"/>
  <c r="AH23" i="6"/>
  <c r="T36" i="5"/>
  <c r="T39" i="5" s="1"/>
  <c r="T40" i="5" s="1"/>
  <c r="T78" i="5" s="1"/>
  <c r="T79" i="5" s="1"/>
  <c r="T80" i="5" s="1"/>
  <c r="T38" i="5"/>
  <c r="T37" i="5"/>
  <c r="F22" i="5"/>
  <c r="F103" i="5" s="1"/>
  <c r="AG24" i="5"/>
  <c r="AG102" i="5" s="1"/>
  <c r="T47" i="6"/>
  <c r="T50" i="6" s="1"/>
  <c r="Z23" i="6"/>
  <c r="E22" i="4"/>
  <c r="E73" i="4" s="1"/>
  <c r="E116" i="4" s="1"/>
  <c r="AF47" i="6"/>
  <c r="AF49" i="6" s="1"/>
  <c r="AF23" i="6"/>
  <c r="AQ25" i="4"/>
  <c r="AR22" i="4"/>
  <c r="AR59" i="4" s="1"/>
  <c r="AR65" i="4" s="1"/>
  <c r="AR72" i="4" s="1"/>
  <c r="U22" i="5"/>
  <c r="U23" i="5" s="1"/>
  <c r="U85" i="5" s="1"/>
  <c r="AR24" i="4"/>
  <c r="AR102" i="4" s="1"/>
  <c r="R35" i="4"/>
  <c r="R38" i="4" s="1"/>
  <c r="T35" i="4"/>
  <c r="T36" i="4" s="1"/>
  <c r="AG16" i="5"/>
  <c r="S16" i="5"/>
  <c r="S15" i="5"/>
  <c r="S32" i="5" s="1"/>
  <c r="S35" i="5" s="1"/>
  <c r="S37" i="5" s="1"/>
  <c r="AA15" i="6"/>
  <c r="F35" i="5"/>
  <c r="F36" i="5" s="1"/>
  <c r="AD25" i="4"/>
  <c r="AG47" i="6"/>
  <c r="AG50" i="6" s="1"/>
  <c r="AG15" i="5"/>
  <c r="AG32" i="5" s="1"/>
  <c r="AG35" i="5" s="1"/>
  <c r="AG37" i="5" s="1"/>
  <c r="AG22" i="5"/>
  <c r="AG27" i="5" s="1"/>
  <c r="AP22" i="4"/>
  <c r="AP59" i="4" s="1"/>
  <c r="AP65" i="4" s="1"/>
  <c r="AP72" i="4" s="1"/>
  <c r="T21" i="6"/>
  <c r="T26" i="6" s="1"/>
  <c r="U35" i="5"/>
  <c r="U37" i="5" s="1"/>
  <c r="AP25" i="4"/>
  <c r="R22" i="5"/>
  <c r="R73" i="5" s="1"/>
  <c r="R116" i="5" s="1"/>
  <c r="R34" i="4"/>
  <c r="R107" i="4" s="1"/>
  <c r="F26" i="6"/>
  <c r="AG23" i="6"/>
  <c r="AD16" i="5"/>
  <c r="G59" i="5"/>
  <c r="G65" i="5" s="1"/>
  <c r="G72" i="5" s="1"/>
  <c r="AG26" i="6"/>
  <c r="P25" i="9"/>
  <c r="T106" i="5"/>
  <c r="O47" i="6"/>
  <c r="O50" i="6" s="1"/>
  <c r="E24" i="4"/>
  <c r="E102" i="4" s="1"/>
  <c r="G23" i="5"/>
  <c r="G85" i="5" s="1"/>
  <c r="R25" i="5"/>
  <c r="I22" i="4"/>
  <c r="I59" i="4" s="1"/>
  <c r="I65" i="4" s="1"/>
  <c r="I72" i="4" s="1"/>
  <c r="G73" i="5"/>
  <c r="G116" i="5" s="1"/>
  <c r="AR35" i="4"/>
  <c r="AR36" i="4" s="1"/>
  <c r="AR39" i="4" s="1"/>
  <c r="AR40" i="4" s="1"/>
  <c r="AR78" i="4" s="1"/>
  <c r="AR79" i="4" s="1"/>
  <c r="AR80" i="4" s="1"/>
  <c r="AR117" i="4" s="1"/>
  <c r="S16" i="2"/>
  <c r="V24" i="4"/>
  <c r="V102" i="4" s="1"/>
  <c r="G24" i="5"/>
  <c r="G102" i="5" s="1"/>
  <c r="G103" i="5" s="1"/>
  <c r="AE25" i="4"/>
  <c r="F24" i="6"/>
  <c r="AQ22" i="4"/>
  <c r="AQ27" i="4" s="1"/>
  <c r="AQ49" i="4" s="1"/>
  <c r="AQ50" i="4" s="1"/>
  <c r="G25" i="5"/>
  <c r="AE22" i="4"/>
  <c r="AE73" i="4" s="1"/>
  <c r="AE116" i="4" s="1"/>
  <c r="AG24" i="6"/>
  <c r="F25" i="5"/>
  <c r="AD33" i="5"/>
  <c r="AD106" i="5" s="1"/>
  <c r="AE87" i="6"/>
  <c r="AE88" i="6" s="1"/>
  <c r="AE89" i="6" s="1"/>
  <c r="AE109" i="6" s="1"/>
  <c r="V22" i="4"/>
  <c r="V27" i="4" s="1"/>
  <c r="BJ14" i="9"/>
  <c r="H25" i="5"/>
  <c r="F71" i="6"/>
  <c r="F72" i="6" s="1"/>
  <c r="F107" i="6" s="1"/>
  <c r="F112" i="6" s="1"/>
  <c r="F113" i="6" s="1"/>
  <c r="AH26" i="6"/>
  <c r="O24" i="6"/>
  <c r="I24" i="4"/>
  <c r="I102" i="4" s="1"/>
  <c r="AJ25" i="4"/>
  <c r="AD65" i="4"/>
  <c r="AD72" i="4" s="1"/>
  <c r="AP15" i="5"/>
  <c r="AP32" i="5" s="1"/>
  <c r="AP35" i="5" s="1"/>
  <c r="AP37" i="5" s="1"/>
  <c r="F23" i="6"/>
  <c r="AJ24" i="4"/>
  <c r="AJ102" i="4" s="1"/>
  <c r="AJ103" i="4" s="1"/>
  <c r="AJ59" i="4"/>
  <c r="AJ65" i="4" s="1"/>
  <c r="AJ72" i="4" s="1"/>
  <c r="AH24" i="6"/>
  <c r="H22" i="5"/>
  <c r="H23" i="5" s="1"/>
  <c r="H85" i="5" s="1"/>
  <c r="AJ27" i="4"/>
  <c r="AJ54" i="4" s="1"/>
  <c r="AJ63" i="4" s="1"/>
  <c r="AJ84" i="4" s="1"/>
  <c r="P7" i="9"/>
  <c r="O26" i="6"/>
  <c r="M16" i="4"/>
  <c r="S11" i="2"/>
  <c r="M15" i="4"/>
  <c r="M32" i="4" s="1"/>
  <c r="M35" i="4" s="1"/>
  <c r="M38" i="4" s="1"/>
  <c r="AJ73" i="4"/>
  <c r="AJ116" i="4" s="1"/>
  <c r="S12" i="2"/>
  <c r="AK18" i="2"/>
  <c r="Q10" i="8" s="1"/>
  <c r="AK22" i="2"/>
  <c r="Q14" i="8" s="1"/>
  <c r="P8" i="9"/>
  <c r="AP73" i="5"/>
  <c r="AP116" i="5" s="1"/>
  <c r="R22" i="4"/>
  <c r="R103" i="4" s="1"/>
  <c r="AP33" i="5"/>
  <c r="AP106" i="5" s="1"/>
  <c r="AP85" i="5"/>
  <c r="H15" i="6"/>
  <c r="Z47" i="6"/>
  <c r="Z49" i="6" s="1"/>
  <c r="AD14" i="6"/>
  <c r="AD44" i="6" s="1"/>
  <c r="AD47" i="6" s="1"/>
  <c r="AD50" i="6" s="1"/>
  <c r="R25" i="4"/>
  <c r="AE71" i="6"/>
  <c r="AE72" i="6" s="1"/>
  <c r="AE107" i="6" s="1"/>
  <c r="AE112" i="6" s="1"/>
  <c r="AE113" i="6" s="1"/>
  <c r="AD45" i="6"/>
  <c r="AD46" i="6" s="1"/>
  <c r="AE14" i="6"/>
  <c r="AE44" i="6" s="1"/>
  <c r="AE47" i="6" s="1"/>
  <c r="AE49" i="6" s="1"/>
  <c r="H71" i="6"/>
  <c r="H72" i="6" s="1"/>
  <c r="H107" i="6" s="1"/>
  <c r="H112" i="6" s="1"/>
  <c r="H113" i="6" s="1"/>
  <c r="AD15" i="6"/>
  <c r="AE45" i="6"/>
  <c r="AE46" i="6" s="1"/>
  <c r="AD23" i="4"/>
  <c r="AD85" i="4" s="1"/>
  <c r="H14" i="6"/>
  <c r="H44" i="6" s="1"/>
  <c r="H47" i="6" s="1"/>
  <c r="H49" i="6" s="1"/>
  <c r="S8" i="9"/>
  <c r="AD73" i="4"/>
  <c r="AD116" i="4" s="1"/>
  <c r="AP103" i="5"/>
  <c r="F15" i="6"/>
  <c r="AK24" i="2"/>
  <c r="T24" i="2" s="1"/>
  <c r="AD15" i="4"/>
  <c r="AD32" i="4" s="1"/>
  <c r="AD35" i="4" s="1"/>
  <c r="AD36" i="4" s="1"/>
  <c r="AD33" i="4"/>
  <c r="AD34" i="4" s="1"/>
  <c r="AD107" i="4" s="1"/>
  <c r="T24" i="4"/>
  <c r="T102" i="4" s="1"/>
  <c r="T103" i="4" s="1"/>
  <c r="T108" i="4" s="1"/>
  <c r="T109" i="4" s="1"/>
  <c r="T114" i="4" s="1"/>
  <c r="T59" i="4"/>
  <c r="T65" i="4" s="1"/>
  <c r="T72" i="4" s="1"/>
  <c r="T73" i="4"/>
  <c r="T116" i="4" s="1"/>
  <c r="T23" i="4"/>
  <c r="T85" i="4" s="1"/>
  <c r="S22" i="5"/>
  <c r="S23" i="5" s="1"/>
  <c r="S85" i="5" s="1"/>
  <c r="F14" i="6"/>
  <c r="F44" i="6" s="1"/>
  <c r="F47" i="6" s="1"/>
  <c r="F50" i="6" s="1"/>
  <c r="T25" i="4"/>
  <c r="S25" i="5"/>
  <c r="AA14" i="6"/>
  <c r="AA44" i="6" s="1"/>
  <c r="AA47" i="6" s="1"/>
  <c r="AA49" i="6" s="1"/>
  <c r="AA45" i="6"/>
  <c r="AA46" i="6" s="1"/>
  <c r="AD27" i="4"/>
  <c r="AD46" i="4" s="1"/>
  <c r="G20" i="8"/>
  <c r="AD24" i="4"/>
  <c r="AD102" i="4" s="1"/>
  <c r="AD103" i="4" s="1"/>
  <c r="BJ6" i="9"/>
  <c r="AK14" i="2"/>
  <c r="T14" i="2" s="1"/>
  <c r="P3" i="8"/>
  <c r="AK15" i="2"/>
  <c r="Q7" i="8" s="1"/>
  <c r="G19" i="8"/>
  <c r="P13" i="8"/>
  <c r="P26" i="8"/>
  <c r="E35" i="5"/>
  <c r="E37" i="5" s="1"/>
  <c r="P14" i="9"/>
  <c r="BJ9" i="9"/>
  <c r="AK16" i="2"/>
  <c r="T16" i="2" s="1"/>
  <c r="BJ22" i="9"/>
  <c r="BJ11" i="9"/>
  <c r="BJ25" i="9"/>
  <c r="AB35" i="5"/>
  <c r="AB37" i="5" s="1"/>
  <c r="E21" i="6"/>
  <c r="E22" i="6" s="1"/>
  <c r="S25" i="9"/>
  <c r="V16" i="4"/>
  <c r="AA23" i="6"/>
  <c r="E72" i="6"/>
  <c r="E107" i="6" s="1"/>
  <c r="H33" i="4"/>
  <c r="H106" i="4" s="1"/>
  <c r="E85" i="6"/>
  <c r="E90" i="6" s="1"/>
  <c r="E110" i="6" s="1"/>
  <c r="E93" i="6"/>
  <c r="E97" i="6" s="1"/>
  <c r="E23" i="6"/>
  <c r="Y24" i="6"/>
  <c r="V35" i="4"/>
  <c r="V36" i="4" s="1"/>
  <c r="H27" i="4"/>
  <c r="H54" i="4" s="1"/>
  <c r="H63" i="4" s="1"/>
  <c r="H84" i="4" s="1"/>
  <c r="H59" i="4"/>
  <c r="H65" i="4" s="1"/>
  <c r="H72" i="4" s="1"/>
  <c r="H24" i="4"/>
  <c r="H102" i="4" s="1"/>
  <c r="H15" i="4"/>
  <c r="H32" i="4" s="1"/>
  <c r="H35" i="4" s="1"/>
  <c r="H38" i="4" s="1"/>
  <c r="G47" i="6"/>
  <c r="G48" i="6" s="1"/>
  <c r="E25" i="5"/>
  <c r="H25" i="4"/>
  <c r="AA21" i="6"/>
  <c r="AA26" i="6" s="1"/>
  <c r="K24" i="5"/>
  <c r="K102" i="5" s="1"/>
  <c r="E22" i="5"/>
  <c r="E27" i="5" s="1"/>
  <c r="Y26" i="6"/>
  <c r="H24" i="6"/>
  <c r="V33" i="4"/>
  <c r="V106" i="4" s="1"/>
  <c r="H26" i="6"/>
  <c r="F35" i="4"/>
  <c r="F37" i="4" s="1"/>
  <c r="H97" i="6"/>
  <c r="H23" i="6"/>
  <c r="E35" i="4"/>
  <c r="E36" i="4" s="1"/>
  <c r="K90" i="6"/>
  <c r="K110" i="6" s="1"/>
  <c r="X24" i="5"/>
  <c r="X102" i="5" s="1"/>
  <c r="X22" i="5"/>
  <c r="X73" i="5" s="1"/>
  <c r="X116" i="5" s="1"/>
  <c r="Y23" i="6"/>
  <c r="P19" i="8"/>
  <c r="G97" i="6"/>
  <c r="AK19" i="2"/>
  <c r="Q11" i="8" s="1"/>
  <c r="K22" i="5"/>
  <c r="K59" i="5" s="1"/>
  <c r="K65" i="5" s="1"/>
  <c r="K72" i="5" s="1"/>
  <c r="G16" i="8"/>
  <c r="S24" i="2"/>
  <c r="S14" i="9"/>
  <c r="G9" i="8"/>
  <c r="S17" i="2"/>
  <c r="H23" i="4"/>
  <c r="H85" i="4" s="1"/>
  <c r="H73" i="4"/>
  <c r="H116" i="4" s="1"/>
  <c r="J47" i="6"/>
  <c r="J49" i="6" s="1"/>
  <c r="AG37" i="4"/>
  <c r="AE59" i="5"/>
  <c r="AE65" i="5" s="1"/>
  <c r="AE72" i="5" s="1"/>
  <c r="AE104" i="5" s="1"/>
  <c r="AE146" i="5" s="1"/>
  <c r="AG38" i="4"/>
  <c r="W103" i="4"/>
  <c r="K47" i="6"/>
  <c r="K50" i="6" s="1"/>
  <c r="AE27" i="5"/>
  <c r="AE46" i="5" s="1"/>
  <c r="I26" i="6"/>
  <c r="Q90" i="6"/>
  <c r="Q110" i="6" s="1"/>
  <c r="AE103" i="5"/>
  <c r="AE73" i="5"/>
  <c r="AE116" i="5" s="1"/>
  <c r="K21" i="6"/>
  <c r="K26" i="6" s="1"/>
  <c r="AS25" i="4"/>
  <c r="K24" i="6"/>
  <c r="W23" i="4"/>
  <c r="W85" i="4" s="1"/>
  <c r="X34" i="4"/>
  <c r="X107" i="4" s="1"/>
  <c r="W73" i="4"/>
  <c r="W116" i="4" s="1"/>
  <c r="AN15" i="4"/>
  <c r="AN32" i="4" s="1"/>
  <c r="AN35" i="4" s="1"/>
  <c r="AN36" i="4" s="1"/>
  <c r="AN39" i="4" s="1"/>
  <c r="AN40" i="4" s="1"/>
  <c r="AN78" i="4" s="1"/>
  <c r="W59" i="4"/>
  <c r="W65" i="4" s="1"/>
  <c r="W72" i="4" s="1"/>
  <c r="W104" i="4" s="1"/>
  <c r="M59" i="5"/>
  <c r="M65" i="5" s="1"/>
  <c r="M72" i="5" s="1"/>
  <c r="P25" i="5"/>
  <c r="AI26" i="6"/>
  <c r="N22" i="4"/>
  <c r="N23" i="4" s="1"/>
  <c r="N85" i="4" s="1"/>
  <c r="P29" i="9"/>
  <c r="AJ24" i="6"/>
  <c r="N24" i="4"/>
  <c r="N102" i="4" s="1"/>
  <c r="AH35" i="4"/>
  <c r="AH38" i="4" s="1"/>
  <c r="W22" i="5"/>
  <c r="W23" i="5" s="1"/>
  <c r="W85" i="5" s="1"/>
  <c r="P50" i="6"/>
  <c r="AN33" i="4"/>
  <c r="AN106" i="4" s="1"/>
  <c r="Y15" i="4"/>
  <c r="Y32" i="4" s="1"/>
  <c r="Y35" i="4" s="1"/>
  <c r="Y38" i="4" s="1"/>
  <c r="Y33" i="4"/>
  <c r="Y34" i="4" s="1"/>
  <c r="Y107" i="4" s="1"/>
  <c r="Y25" i="5"/>
  <c r="Y22" i="5"/>
  <c r="Y73" i="5" s="1"/>
  <c r="W25" i="5"/>
  <c r="J90" i="6"/>
  <c r="J110" i="6" s="1"/>
  <c r="Y45" i="6"/>
  <c r="Y46" i="6" s="1"/>
  <c r="AK37" i="4"/>
  <c r="AK36" i="4"/>
  <c r="AK39" i="4" s="1"/>
  <c r="AK40" i="4" s="1"/>
  <c r="AK78" i="4" s="1"/>
  <c r="AK79" i="4" s="1"/>
  <c r="AK80" i="4" s="1"/>
  <c r="AK117" i="4" s="1"/>
  <c r="AR73" i="5"/>
  <c r="AR116" i="5" s="1"/>
  <c r="Y71" i="6"/>
  <c r="Y72" i="6" s="1"/>
  <c r="Y107" i="6" s="1"/>
  <c r="Y112" i="6" s="1"/>
  <c r="Y113" i="6" s="1"/>
  <c r="L71" i="6"/>
  <c r="L72" i="6" s="1"/>
  <c r="L107" i="6" s="1"/>
  <c r="L112" i="6" s="1"/>
  <c r="L113" i="6" s="1"/>
  <c r="BJ17" i="9"/>
  <c r="K34" i="4"/>
  <c r="K107" i="4" s="1"/>
  <c r="P22" i="5"/>
  <c r="P23" i="5" s="1"/>
  <c r="P85" i="5" s="1"/>
  <c r="X47" i="6"/>
  <c r="X49" i="6" s="1"/>
  <c r="L45" i="6"/>
  <c r="L46" i="6" s="1"/>
  <c r="Z22" i="5"/>
  <c r="Z27" i="5" s="1"/>
  <c r="J96" i="6"/>
  <c r="J101" i="6" s="1"/>
  <c r="J102" i="6" s="1"/>
  <c r="J103" i="6" s="1"/>
  <c r="J104" i="6" s="1"/>
  <c r="J111" i="6" s="1"/>
  <c r="M23" i="5"/>
  <c r="M85" i="5" s="1"/>
  <c r="AR27" i="5"/>
  <c r="AR54" i="5" s="1"/>
  <c r="AR63" i="5" s="1"/>
  <c r="AR84" i="5" s="1"/>
  <c r="AC23" i="5"/>
  <c r="AC85" i="5" s="1"/>
  <c r="BJ21" i="9"/>
  <c r="AN22" i="4"/>
  <c r="AN73" i="4" s="1"/>
  <c r="AN116" i="4" s="1"/>
  <c r="AN24" i="4"/>
  <c r="AN102" i="4" s="1"/>
  <c r="AC59" i="5"/>
  <c r="AC65" i="5" s="1"/>
  <c r="AC72" i="5" s="1"/>
  <c r="AC104" i="5" s="1"/>
  <c r="AC27" i="5"/>
  <c r="AC46" i="5" s="1"/>
  <c r="AC73" i="5"/>
  <c r="AC116" i="5" s="1"/>
  <c r="AH48" i="6"/>
  <c r="AK85" i="5"/>
  <c r="AI35" i="4"/>
  <c r="AI38" i="4" s="1"/>
  <c r="I35" i="5"/>
  <c r="I38" i="5" s="1"/>
  <c r="J21" i="6"/>
  <c r="J22" i="6" s="1"/>
  <c r="L14" i="6"/>
  <c r="L44" i="6" s="1"/>
  <c r="L47" i="6" s="1"/>
  <c r="L49" i="6" s="1"/>
  <c r="AK73" i="5"/>
  <c r="AK116" i="5" s="1"/>
  <c r="M25" i="5"/>
  <c r="AF103" i="5"/>
  <c r="J23" i="6"/>
  <c r="M24" i="5"/>
  <c r="M102" i="5" s="1"/>
  <c r="M103" i="5" s="1"/>
  <c r="M73" i="5"/>
  <c r="M116" i="5" s="1"/>
  <c r="AT22" i="4"/>
  <c r="AT23" i="4" s="1"/>
  <c r="AT85" i="4" s="1"/>
  <c r="P11" i="9"/>
  <c r="N46" i="5"/>
  <c r="AJ21" i="6"/>
  <c r="AJ26" i="6" s="1"/>
  <c r="V23" i="6"/>
  <c r="AL24" i="5"/>
  <c r="AL102" i="5" s="1"/>
  <c r="AL103" i="5" s="1"/>
  <c r="P19" i="9"/>
  <c r="AR36" i="5"/>
  <c r="AR39" i="5" s="1"/>
  <c r="AR40" i="5" s="1"/>
  <c r="AR78" i="5" s="1"/>
  <c r="AR134" i="5" s="1"/>
  <c r="AL27" i="5"/>
  <c r="AL46" i="5" s="1"/>
  <c r="P49" i="6"/>
  <c r="BJ7" i="9"/>
  <c r="AR38" i="5"/>
  <c r="W35" i="5"/>
  <c r="W38" i="5" s="1"/>
  <c r="Y14" i="6"/>
  <c r="Y44" i="6" s="1"/>
  <c r="Y47" i="6" s="1"/>
  <c r="Y49" i="6" s="1"/>
  <c r="AB35" i="4"/>
  <c r="AB38" i="4" s="1"/>
  <c r="K35" i="5"/>
  <c r="K38" i="5" s="1"/>
  <c r="AL23" i="5"/>
  <c r="AL85" i="5" s="1"/>
  <c r="K35" i="4"/>
  <c r="K37" i="4" s="1"/>
  <c r="AK59" i="4"/>
  <c r="AK65" i="4" s="1"/>
  <c r="AK72" i="4" s="1"/>
  <c r="AK104" i="4" s="1"/>
  <c r="AK146" i="4" s="1"/>
  <c r="AK103" i="4"/>
  <c r="AK108" i="4" s="1"/>
  <c r="AK109" i="4" s="1"/>
  <c r="Z24" i="5"/>
  <c r="Z102" i="5" s="1"/>
  <c r="W21" i="6"/>
  <c r="Y35" i="5"/>
  <c r="Y36" i="5" s="1"/>
  <c r="AK73" i="4"/>
  <c r="AK116" i="4" s="1"/>
  <c r="AR23" i="5"/>
  <c r="AR85" i="5" s="1"/>
  <c r="AK27" i="4"/>
  <c r="AK46" i="4" s="1"/>
  <c r="P6" i="9"/>
  <c r="Q35" i="5"/>
  <c r="Q38" i="5" s="1"/>
  <c r="G26" i="6"/>
  <c r="AB25" i="4"/>
  <c r="AF59" i="5"/>
  <c r="AF65" i="5" s="1"/>
  <c r="AF72" i="5" s="1"/>
  <c r="AF104" i="5" s="1"/>
  <c r="AF146" i="5" s="1"/>
  <c r="AL35" i="5"/>
  <c r="AL37" i="5" s="1"/>
  <c r="AB22" i="4"/>
  <c r="AB73" i="4" s="1"/>
  <c r="AF23" i="5"/>
  <c r="AF85" i="5" s="1"/>
  <c r="AJ71" i="6"/>
  <c r="AJ72" i="6" s="1"/>
  <c r="AJ107" i="6" s="1"/>
  <c r="AJ112" i="6" s="1"/>
  <c r="AJ113" i="6" s="1"/>
  <c r="AQ73" i="5"/>
  <c r="AQ116" i="5" s="1"/>
  <c r="AF27" i="5"/>
  <c r="AF46" i="5" s="1"/>
  <c r="AJ15" i="6"/>
  <c r="AQ103" i="5"/>
  <c r="AQ108" i="5" s="1"/>
  <c r="AQ109" i="5" s="1"/>
  <c r="AQ114" i="5" s="1"/>
  <c r="AA59" i="4"/>
  <c r="AA65" i="4" s="1"/>
  <c r="AA72" i="4" s="1"/>
  <c r="AB24" i="5"/>
  <c r="AB102" i="5" s="1"/>
  <c r="W24" i="6"/>
  <c r="S6" i="9"/>
  <c r="AR59" i="5"/>
  <c r="AR65" i="5" s="1"/>
  <c r="AR72" i="5" s="1"/>
  <c r="AF73" i="5"/>
  <c r="AF116" i="5" s="1"/>
  <c r="AJ14" i="6"/>
  <c r="AJ44" i="6" s="1"/>
  <c r="AJ47" i="6" s="1"/>
  <c r="AJ48" i="6" s="1"/>
  <c r="O16" i="4"/>
  <c r="AA27" i="4"/>
  <c r="AA54" i="4" s="1"/>
  <c r="AA63" i="4" s="1"/>
  <c r="AA84" i="4" s="1"/>
  <c r="AA24" i="4"/>
  <c r="AA102" i="4" s="1"/>
  <c r="AA103" i="4" s="1"/>
  <c r="AO25" i="5"/>
  <c r="N86" i="5"/>
  <c r="N141" i="5" s="1"/>
  <c r="O15" i="4"/>
  <c r="O32" i="4" s="1"/>
  <c r="O35" i="4" s="1"/>
  <c r="O37" i="4" s="1"/>
  <c r="Y16" i="5"/>
  <c r="R49" i="6"/>
  <c r="Y33" i="5"/>
  <c r="Y34" i="5" s="1"/>
  <c r="Y107" i="5" s="1"/>
  <c r="P35" i="4"/>
  <c r="P36" i="4" s="1"/>
  <c r="AK103" i="5"/>
  <c r="AO15" i="4"/>
  <c r="AO32" i="4" s="1"/>
  <c r="AO35" i="4" s="1"/>
  <c r="AO37" i="4" s="1"/>
  <c r="P25" i="4"/>
  <c r="O25" i="4"/>
  <c r="AO24" i="4"/>
  <c r="AO102" i="4" s="1"/>
  <c r="AA35" i="4"/>
  <c r="AA36" i="4" s="1"/>
  <c r="AB24" i="6"/>
  <c r="I47" i="6"/>
  <c r="I49" i="6" s="1"/>
  <c r="X97" i="6"/>
  <c r="AB23" i="6"/>
  <c r="AO16" i="4"/>
  <c r="AQ59" i="5"/>
  <c r="AQ65" i="5" s="1"/>
  <c r="AQ72" i="5" s="1"/>
  <c r="AQ104" i="5" s="1"/>
  <c r="AQ146" i="5" s="1"/>
  <c r="AK15" i="5"/>
  <c r="AK32" i="5" s="1"/>
  <c r="AK35" i="5" s="1"/>
  <c r="AK37" i="5" s="1"/>
  <c r="V45" i="6"/>
  <c r="V46" i="6" s="1"/>
  <c r="Y24" i="4"/>
  <c r="Y102" i="4" s="1"/>
  <c r="Y103" i="4" s="1"/>
  <c r="U22" i="6"/>
  <c r="AL59" i="5"/>
  <c r="AL65" i="5" s="1"/>
  <c r="AL72" i="5" s="1"/>
  <c r="AL74" i="5" s="1"/>
  <c r="AL139" i="5" s="1"/>
  <c r="AL149" i="5" s="1"/>
  <c r="AL150" i="5" s="1"/>
  <c r="P27" i="4"/>
  <c r="P54" i="4" s="1"/>
  <c r="P63" i="4" s="1"/>
  <c r="P84" i="4" s="1"/>
  <c r="P86" i="4" s="1"/>
  <c r="K24" i="4"/>
  <c r="K102" i="4" s="1"/>
  <c r="K22" i="4"/>
  <c r="O25" i="5"/>
  <c r="V22" i="5"/>
  <c r="AK16" i="5"/>
  <c r="Y25" i="4"/>
  <c r="P73" i="4"/>
  <c r="P116" i="4" s="1"/>
  <c r="P24" i="4"/>
  <c r="P102" i="4" s="1"/>
  <c r="P103" i="4" s="1"/>
  <c r="AI25" i="4"/>
  <c r="AI22" i="4"/>
  <c r="F59" i="4"/>
  <c r="F65" i="4" s="1"/>
  <c r="F72" i="4" s="1"/>
  <c r="F104" i="4" s="1"/>
  <c r="O22" i="4"/>
  <c r="O73" i="4" s="1"/>
  <c r="O116" i="4" s="1"/>
  <c r="P59" i="4"/>
  <c r="P65" i="4" s="1"/>
  <c r="P72" i="4" s="1"/>
  <c r="X24" i="4"/>
  <c r="X102" i="4" s="1"/>
  <c r="X22" i="4"/>
  <c r="AT35" i="4"/>
  <c r="AT36" i="4" s="1"/>
  <c r="AL25" i="5"/>
  <c r="V24" i="5"/>
  <c r="V102" i="5" s="1"/>
  <c r="AH27" i="4"/>
  <c r="AH46" i="4" s="1"/>
  <c r="AH59" i="4"/>
  <c r="AH65" i="4" s="1"/>
  <c r="AH72" i="4" s="1"/>
  <c r="AH23" i="4"/>
  <c r="AH85" i="4" s="1"/>
  <c r="AT24" i="4"/>
  <c r="AT102" i="4" s="1"/>
  <c r="M47" i="6"/>
  <c r="M50" i="6" s="1"/>
  <c r="U97" i="6"/>
  <c r="J27" i="4"/>
  <c r="J46" i="4" s="1"/>
  <c r="AA85" i="4"/>
  <c r="AJ85" i="4"/>
  <c r="V21" i="6"/>
  <c r="AI24" i="5"/>
  <c r="AI102" i="5" s="1"/>
  <c r="J103" i="4"/>
  <c r="AB22" i="5"/>
  <c r="J24" i="5"/>
  <c r="J102" i="5" s="1"/>
  <c r="J103" i="5" s="1"/>
  <c r="AA16" i="4"/>
  <c r="AI22" i="5"/>
  <c r="AI23" i="5" s="1"/>
  <c r="AI85" i="5" s="1"/>
  <c r="J25" i="5"/>
  <c r="M35" i="5"/>
  <c r="M36" i="5" s="1"/>
  <c r="AA33" i="4"/>
  <c r="AA106" i="4" s="1"/>
  <c r="AA73" i="4"/>
  <c r="AA116" i="4" s="1"/>
  <c r="AI48" i="6"/>
  <c r="AR34" i="5"/>
  <c r="AR107" i="5" s="1"/>
  <c r="AR108" i="5" s="1"/>
  <c r="AR109" i="5" s="1"/>
  <c r="V14" i="6"/>
  <c r="V44" i="6" s="1"/>
  <c r="V47" i="6" s="1"/>
  <c r="V49" i="6" s="1"/>
  <c r="AH49" i="6"/>
  <c r="W47" i="6"/>
  <c r="W49" i="6" s="1"/>
  <c r="U48" i="6"/>
  <c r="AI49" i="6"/>
  <c r="AS35" i="4"/>
  <c r="AS36" i="4" s="1"/>
  <c r="AS39" i="4" s="1"/>
  <c r="AS40" i="4" s="1"/>
  <c r="AS78" i="4" s="1"/>
  <c r="AH59" i="5"/>
  <c r="AH65" i="5" s="1"/>
  <c r="AH72" i="5" s="1"/>
  <c r="T12" i="2"/>
  <c r="W90" i="6"/>
  <c r="W110" i="6" s="1"/>
  <c r="V15" i="6"/>
  <c r="AA25" i="4"/>
  <c r="Z27" i="4"/>
  <c r="Z46" i="4" s="1"/>
  <c r="Z73" i="4"/>
  <c r="Z116" i="4" s="1"/>
  <c r="Z23" i="4"/>
  <c r="Z85" i="4" s="1"/>
  <c r="Z59" i="4"/>
  <c r="Z65" i="4" s="1"/>
  <c r="Z72" i="4" s="1"/>
  <c r="Q26" i="6"/>
  <c r="Q22" i="6"/>
  <c r="AO23" i="5"/>
  <c r="AO85" i="5" s="1"/>
  <c r="AO27" i="5"/>
  <c r="AO73" i="5"/>
  <c r="AO116" i="5" s="1"/>
  <c r="AO59" i="5"/>
  <c r="AO65" i="5" s="1"/>
  <c r="AO72" i="5" s="1"/>
  <c r="P22" i="8"/>
  <c r="AK30" i="2"/>
  <c r="AC45" i="6"/>
  <c r="AC46" i="6" s="1"/>
  <c r="AC15" i="6"/>
  <c r="AC14" i="6"/>
  <c r="AC44" i="6" s="1"/>
  <c r="AC47" i="6" s="1"/>
  <c r="AC71" i="6"/>
  <c r="AC72" i="6" s="1"/>
  <c r="AC107" i="6" s="1"/>
  <c r="AC112" i="6" s="1"/>
  <c r="AC113" i="6" s="1"/>
  <c r="AC95" i="6"/>
  <c r="AC97" i="6" s="1"/>
  <c r="AI15" i="5"/>
  <c r="AI32" i="5" s="1"/>
  <c r="AI35" i="5" s="1"/>
  <c r="AI33" i="5"/>
  <c r="AI16" i="5"/>
  <c r="AL16" i="4"/>
  <c r="AL15" i="4"/>
  <c r="AL32" i="4" s="1"/>
  <c r="AL35" i="4" s="1"/>
  <c r="AL33" i="4"/>
  <c r="P25" i="8"/>
  <c r="AK33" i="2"/>
  <c r="AC21" i="6"/>
  <c r="AC24" i="6"/>
  <c r="N15" i="6"/>
  <c r="N45" i="6"/>
  <c r="N46" i="6" s="1"/>
  <c r="N14" i="6"/>
  <c r="N44" i="6" s="1"/>
  <c r="N47" i="6" s="1"/>
  <c r="N48" i="6" s="1"/>
  <c r="N71" i="6"/>
  <c r="N72" i="6" s="1"/>
  <c r="N107" i="6" s="1"/>
  <c r="N112" i="6" s="1"/>
  <c r="N113" i="6" s="1"/>
  <c r="Z15" i="5"/>
  <c r="Z32" i="5" s="1"/>
  <c r="Z35" i="5" s="1"/>
  <c r="Z16" i="5"/>
  <c r="Z33" i="5"/>
  <c r="AB81" i="6"/>
  <c r="AB82" i="6" s="1"/>
  <c r="AB108" i="6" s="1"/>
  <c r="AB87" i="6"/>
  <c r="AB88" i="6" s="1"/>
  <c r="P15" i="8"/>
  <c r="AK23" i="2"/>
  <c r="Z15" i="4"/>
  <c r="Z32" i="4" s="1"/>
  <c r="Z35" i="4" s="1"/>
  <c r="Z33" i="4"/>
  <c r="Z16" i="4"/>
  <c r="AH24" i="4"/>
  <c r="AH102" i="4" s="1"/>
  <c r="AH103" i="4" s="1"/>
  <c r="AH25" i="4"/>
  <c r="L15" i="5"/>
  <c r="L32" i="5" s="1"/>
  <c r="L35" i="5" s="1"/>
  <c r="L16" i="5"/>
  <c r="L33" i="5"/>
  <c r="E48" i="6"/>
  <c r="E49" i="6"/>
  <c r="E50" i="6"/>
  <c r="L24" i="5"/>
  <c r="L102" i="5" s="1"/>
  <c r="T27" i="5"/>
  <c r="T73" i="5"/>
  <c r="T116" i="5" s="1"/>
  <c r="T59" i="5"/>
  <c r="T65" i="5" s="1"/>
  <c r="T72" i="5" s="1"/>
  <c r="T103" i="5"/>
  <c r="T108" i="5" s="1"/>
  <c r="T109" i="5" s="1"/>
  <c r="T114" i="5" s="1"/>
  <c r="T23" i="5"/>
  <c r="T85" i="5" s="1"/>
  <c r="AH23" i="5"/>
  <c r="AH85" i="5" s="1"/>
  <c r="G21" i="8"/>
  <c r="S29" i="2"/>
  <c r="AC24" i="4"/>
  <c r="AC102" i="4" s="1"/>
  <c r="AC22" i="4"/>
  <c r="AF25" i="4"/>
  <c r="O16" i="5"/>
  <c r="O33" i="5"/>
  <c r="O15" i="5"/>
  <c r="O32" i="5" s="1"/>
  <c r="O35" i="5" s="1"/>
  <c r="G24" i="8"/>
  <c r="S32" i="2"/>
  <c r="L22" i="5"/>
  <c r="AO24" i="5"/>
  <c r="AO102" i="5" s="1"/>
  <c r="U50" i="6"/>
  <c r="J16" i="5"/>
  <c r="J33" i="5"/>
  <c r="J15" i="5"/>
  <c r="J32" i="5" s="1"/>
  <c r="J35" i="5" s="1"/>
  <c r="AM23" i="5"/>
  <c r="AM85" i="5" s="1"/>
  <c r="AM59" i="5"/>
  <c r="AM65" i="5" s="1"/>
  <c r="AM72" i="5" s="1"/>
  <c r="AM27" i="5"/>
  <c r="AM73" i="5"/>
  <c r="AM116" i="5" s="1"/>
  <c r="AF22" i="4"/>
  <c r="Q95" i="6"/>
  <c r="Q97" i="6" s="1"/>
  <c r="Q24" i="5"/>
  <c r="Q102" i="5" s="1"/>
  <c r="Q22" i="5"/>
  <c r="AF33" i="4"/>
  <c r="AF15" i="4"/>
  <c r="AF32" i="4" s="1"/>
  <c r="AF35" i="4" s="1"/>
  <c r="AF16" i="4"/>
  <c r="AB22" i="6"/>
  <c r="AB26" i="6"/>
  <c r="Q33" i="4"/>
  <c r="Q16" i="4"/>
  <c r="Q15" i="4"/>
  <c r="Q32" i="4" s="1"/>
  <c r="Q35" i="4" s="1"/>
  <c r="P21" i="8"/>
  <c r="AK29" i="2"/>
  <c r="H34" i="5"/>
  <c r="H107" i="5" s="1"/>
  <c r="H106" i="5"/>
  <c r="P24" i="8"/>
  <c r="AK32" i="2"/>
  <c r="P16" i="5"/>
  <c r="P15" i="5"/>
  <c r="P32" i="5" s="1"/>
  <c r="P35" i="5" s="1"/>
  <c r="P36" i="5" s="1"/>
  <c r="P33" i="5"/>
  <c r="G15" i="8"/>
  <c r="S23" i="2"/>
  <c r="P12" i="8"/>
  <c r="AK20" i="2"/>
  <c r="M24" i="6"/>
  <c r="M21" i="6"/>
  <c r="M23" i="6"/>
  <c r="R48" i="6"/>
  <c r="H36" i="5"/>
  <c r="H37" i="5"/>
  <c r="H38" i="5"/>
  <c r="Q24" i="6"/>
  <c r="Q23" i="6"/>
  <c r="Q25" i="5"/>
  <c r="G22" i="8"/>
  <c r="S30" i="2"/>
  <c r="AM25" i="5"/>
  <c r="J59" i="4"/>
  <c r="J65" i="4" s="1"/>
  <c r="J72" i="4" s="1"/>
  <c r="J74" i="4" s="1"/>
  <c r="J139" i="4" s="1"/>
  <c r="N49" i="5"/>
  <c r="N50" i="5" s="1"/>
  <c r="V16" i="5"/>
  <c r="V15" i="5"/>
  <c r="V32" i="5" s="1"/>
  <c r="V35" i="5" s="1"/>
  <c r="V38" i="5" s="1"/>
  <c r="V33" i="5"/>
  <c r="Q22" i="4"/>
  <c r="Q103" i="4" s="1"/>
  <c r="AL22" i="4"/>
  <c r="AJ33" i="5"/>
  <c r="AJ15" i="5"/>
  <c r="AJ32" i="5" s="1"/>
  <c r="AJ35" i="5" s="1"/>
  <c r="AJ16" i="5"/>
  <c r="G27" i="8"/>
  <c r="S35" i="2"/>
  <c r="AB14" i="6"/>
  <c r="AB44" i="6" s="1"/>
  <c r="AB47" i="6" s="1"/>
  <c r="AB45" i="6"/>
  <c r="AB46" i="6" s="1"/>
  <c r="AB15" i="6"/>
  <c r="AF106" i="5"/>
  <c r="AF34" i="5"/>
  <c r="AF107" i="5" s="1"/>
  <c r="J23" i="4"/>
  <c r="J85" i="4" s="1"/>
  <c r="O22" i="5"/>
  <c r="O103" i="5" s="1"/>
  <c r="N21" i="6"/>
  <c r="N24" i="6"/>
  <c r="M34" i="4"/>
  <c r="M107" i="4" s="1"/>
  <c r="M106" i="4"/>
  <c r="S20" i="2"/>
  <c r="G12" i="8"/>
  <c r="AJ33" i="4"/>
  <c r="AJ16" i="4"/>
  <c r="AJ15" i="4"/>
  <c r="AJ32" i="4" s="1"/>
  <c r="AJ35" i="4" s="1"/>
  <c r="M87" i="6"/>
  <c r="M88" i="6" s="1"/>
  <c r="M81" i="6"/>
  <c r="M82" i="6" s="1"/>
  <c r="M108" i="6" s="1"/>
  <c r="AS73" i="4"/>
  <c r="AS116" i="4" s="1"/>
  <c r="AS59" i="4"/>
  <c r="AS65" i="4" s="1"/>
  <c r="AS72" i="4" s="1"/>
  <c r="AS27" i="4"/>
  <c r="AS23" i="4"/>
  <c r="AS85" i="4" s="1"/>
  <c r="AB95" i="6"/>
  <c r="AB97" i="6" s="1"/>
  <c r="AF36" i="5"/>
  <c r="AF38" i="5"/>
  <c r="AF37" i="5"/>
  <c r="AB16" i="5"/>
  <c r="L23" i="6"/>
  <c r="G25" i="8"/>
  <c r="S33" i="2"/>
  <c r="AR106" i="4"/>
  <c r="AR34" i="4"/>
  <c r="AR107" i="4" s="1"/>
  <c r="AM15" i="5"/>
  <c r="AM32" i="5" s="1"/>
  <c r="AM35" i="5" s="1"/>
  <c r="AM33" i="5"/>
  <c r="AM16" i="5"/>
  <c r="AT16" i="5"/>
  <c r="AT15" i="5"/>
  <c r="AT32" i="5" s="1"/>
  <c r="AT35" i="5" s="1"/>
  <c r="AT33" i="5"/>
  <c r="Q15" i="6"/>
  <c r="Q71" i="6"/>
  <c r="Q72" i="6" s="1"/>
  <c r="Q107" i="6" s="1"/>
  <c r="Q112" i="6" s="1"/>
  <c r="Q113" i="6" s="1"/>
  <c r="Q45" i="6"/>
  <c r="Q46" i="6" s="1"/>
  <c r="Q14" i="6"/>
  <c r="Q44" i="6" s="1"/>
  <c r="Q47" i="6" s="1"/>
  <c r="I25" i="5"/>
  <c r="I22" i="5"/>
  <c r="I103" i="5" s="1"/>
  <c r="I24" i="6"/>
  <c r="AS24" i="4"/>
  <c r="AS102" i="4" s="1"/>
  <c r="AS103" i="4" s="1"/>
  <c r="Q25" i="4"/>
  <c r="Z24" i="4"/>
  <c r="Z102" i="4" s="1"/>
  <c r="Z103" i="4" s="1"/>
  <c r="I97" i="6"/>
  <c r="AH73" i="4"/>
  <c r="AB33" i="5"/>
  <c r="AB106" i="5" s="1"/>
  <c r="X15" i="5"/>
  <c r="X32" i="5" s="1"/>
  <c r="X35" i="5" s="1"/>
  <c r="X33" i="5"/>
  <c r="X16" i="5"/>
  <c r="AA16" i="5"/>
  <c r="AA15" i="5"/>
  <c r="AA32" i="5" s="1"/>
  <c r="AA35" i="5" s="1"/>
  <c r="AA37" i="5" s="1"/>
  <c r="AA33" i="5"/>
  <c r="G13" i="8"/>
  <c r="S21" i="2"/>
  <c r="AT25" i="5"/>
  <c r="AT24" i="5"/>
  <c r="AT102" i="5" s="1"/>
  <c r="AT22" i="5"/>
  <c r="AL25" i="4"/>
  <c r="P27" i="8"/>
  <c r="AK35" i="2"/>
  <c r="AO15" i="5"/>
  <c r="AO32" i="5" s="1"/>
  <c r="AO35" i="5" s="1"/>
  <c r="AO33" i="5"/>
  <c r="AO16" i="5"/>
  <c r="Q9" i="8"/>
  <c r="T17" i="2"/>
  <c r="I23" i="6"/>
  <c r="AJ22" i="5"/>
  <c r="AJ103" i="5" s="1"/>
  <c r="AJ25" i="5"/>
  <c r="Z25" i="4"/>
  <c r="AM24" i="5"/>
  <c r="AM102" i="5" s="1"/>
  <c r="AM103" i="5" s="1"/>
  <c r="L21" i="6"/>
  <c r="L26" i="6" s="1"/>
  <c r="AC35" i="4"/>
  <c r="AC36" i="4" s="1"/>
  <c r="S22" i="6"/>
  <c r="S26" i="6"/>
  <c r="N15" i="4"/>
  <c r="N32" i="4" s="1"/>
  <c r="N35" i="4" s="1"/>
  <c r="N16" i="4"/>
  <c r="N33" i="4"/>
  <c r="AO22" i="4"/>
  <c r="X22" i="6"/>
  <c r="AH73" i="5"/>
  <c r="Y97" i="6"/>
  <c r="AQ23" i="5"/>
  <c r="AQ85" i="5" s="1"/>
  <c r="Z96" i="6"/>
  <c r="Z101" i="6" s="1"/>
  <c r="Z102" i="6" s="1"/>
  <c r="Z103" i="6" s="1"/>
  <c r="Z104" i="6" s="1"/>
  <c r="Z111" i="6" s="1"/>
  <c r="AJ96" i="6"/>
  <c r="AJ101" i="6" s="1"/>
  <c r="AJ102" i="6" s="1"/>
  <c r="AJ103" i="6" s="1"/>
  <c r="AJ104" i="6" s="1"/>
  <c r="AJ111" i="6" s="1"/>
  <c r="W96" i="6"/>
  <c r="W101" i="6" s="1"/>
  <c r="W102" i="6" s="1"/>
  <c r="W103" i="6" s="1"/>
  <c r="W104" i="6" s="1"/>
  <c r="W111" i="6" s="1"/>
  <c r="F73" i="4"/>
  <c r="F116" i="4" s="1"/>
  <c r="F27" i="4"/>
  <c r="F49" i="4" s="1"/>
  <c r="F50" i="4" s="1"/>
  <c r="F108" i="4"/>
  <c r="F109" i="4" s="1"/>
  <c r="F110" i="4" s="1"/>
  <c r="F23" i="4"/>
  <c r="F85" i="4" s="1"/>
  <c r="AK104" i="5"/>
  <c r="AK146" i="5" s="1"/>
  <c r="AM38" i="4"/>
  <c r="AM37" i="4"/>
  <c r="AM36" i="4"/>
  <c r="AM39" i="4" s="1"/>
  <c r="AM40" i="4" s="1"/>
  <c r="AM78" i="4" s="1"/>
  <c r="J38" i="4"/>
  <c r="J37" i="4"/>
  <c r="J36" i="4"/>
  <c r="AS37" i="5"/>
  <c r="AS36" i="5"/>
  <c r="AS39" i="5" s="1"/>
  <c r="AS40" i="5" s="1"/>
  <c r="AS78" i="5" s="1"/>
  <c r="AS38" i="5"/>
  <c r="S37" i="4"/>
  <c r="S36" i="4"/>
  <c r="S38" i="4"/>
  <c r="L36" i="4"/>
  <c r="L38" i="4"/>
  <c r="L37" i="4"/>
  <c r="W36" i="4"/>
  <c r="W38" i="4"/>
  <c r="W37" i="4"/>
  <c r="AC36" i="5"/>
  <c r="AC37" i="5"/>
  <c r="AC38" i="5"/>
  <c r="I135" i="3"/>
  <c r="I87" i="3"/>
  <c r="Q3" i="8"/>
  <c r="T11" i="2"/>
  <c r="M106" i="5"/>
  <c r="M34" i="5"/>
  <c r="M107" i="5" s="1"/>
  <c r="J104" i="7"/>
  <c r="J106" i="7" s="1"/>
  <c r="R30" i="9"/>
  <c r="T30" i="9"/>
  <c r="T46" i="4"/>
  <c r="T54" i="4"/>
  <c r="T63" i="4" s="1"/>
  <c r="T84" i="4" s="1"/>
  <c r="AE106" i="5"/>
  <c r="AE34" i="5"/>
  <c r="AE107" i="5" s="1"/>
  <c r="J45" i="3"/>
  <c r="S34" i="5"/>
  <c r="S107" i="5" s="1"/>
  <c r="S106" i="5"/>
  <c r="I73" i="3"/>
  <c r="I74" i="3"/>
  <c r="I62" i="3"/>
  <c r="I63" i="3" s="1"/>
  <c r="J87" i="7"/>
  <c r="J135" i="7"/>
  <c r="Q17" i="8"/>
  <c r="T25" i="2"/>
  <c r="P106" i="4"/>
  <c r="P34" i="4"/>
  <c r="P107" i="4" s="1"/>
  <c r="S30" i="9"/>
  <c r="AS34" i="4"/>
  <c r="AS107" i="4" s="1"/>
  <c r="AS106" i="4"/>
  <c r="G104" i="4"/>
  <c r="G74" i="4"/>
  <c r="G139" i="4" s="1"/>
  <c r="AL106" i="5"/>
  <c r="AL34" i="5"/>
  <c r="AL107" i="5" s="1"/>
  <c r="BJ20" i="9"/>
  <c r="AG116" i="4"/>
  <c r="N90" i="6"/>
  <c r="N110" i="6" s="1"/>
  <c r="N89" i="6"/>
  <c r="N109" i="6" s="1"/>
  <c r="M73" i="7"/>
  <c r="M74" i="7"/>
  <c r="M62" i="7"/>
  <c r="M63" i="7" s="1"/>
  <c r="M132" i="7" s="1"/>
  <c r="T16" i="9"/>
  <c r="R16" i="9"/>
  <c r="S16" i="9" s="1"/>
  <c r="K96" i="6"/>
  <c r="K101" i="6" s="1"/>
  <c r="K102" i="6" s="1"/>
  <c r="K103" i="6" s="1"/>
  <c r="K104" i="6" s="1"/>
  <c r="K111" i="6" s="1"/>
  <c r="T17" i="9"/>
  <c r="R17" i="9"/>
  <c r="S17" i="9" s="1"/>
  <c r="H135" i="3"/>
  <c r="H87" i="3"/>
  <c r="AG106" i="5"/>
  <c r="AG34" i="5"/>
  <c r="AG107" i="5" s="1"/>
  <c r="L34" i="4"/>
  <c r="L107" i="4" s="1"/>
  <c r="L106" i="4"/>
  <c r="L96" i="6"/>
  <c r="L101" i="6" s="1"/>
  <c r="L102" i="6" s="1"/>
  <c r="L103" i="6" s="1"/>
  <c r="L104" i="6" s="1"/>
  <c r="L111" i="6" s="1"/>
  <c r="V96" i="6"/>
  <c r="V101" i="6" s="1"/>
  <c r="V102" i="6" s="1"/>
  <c r="V103" i="6" s="1"/>
  <c r="V104" i="6" s="1"/>
  <c r="V111" i="6" s="1"/>
  <c r="AS27" i="5"/>
  <c r="AS23" i="5"/>
  <c r="AS85" i="5" s="1"/>
  <c r="AS73" i="5"/>
  <c r="AS103" i="5"/>
  <c r="AS59" i="5"/>
  <c r="AS65" i="5" s="1"/>
  <c r="AS72" i="5" s="1"/>
  <c r="W14" i="9"/>
  <c r="U14" i="9"/>
  <c r="V14" i="9" s="1"/>
  <c r="O106" i="4"/>
  <c r="O34" i="4"/>
  <c r="O107" i="4" s="1"/>
  <c r="AT106" i="4"/>
  <c r="AT34" i="4"/>
  <c r="AT107" i="4" s="1"/>
  <c r="I36" i="4"/>
  <c r="I38" i="4"/>
  <c r="I37" i="4"/>
  <c r="W106" i="4"/>
  <c r="W34" i="4"/>
  <c r="W107" i="4" s="1"/>
  <c r="W25" i="9"/>
  <c r="U25" i="9"/>
  <c r="V25" i="9" s="1"/>
  <c r="T20" i="9"/>
  <c r="R20" i="9"/>
  <c r="S20" i="9" s="1"/>
  <c r="M87" i="7"/>
  <c r="M135" i="7"/>
  <c r="AS34" i="5"/>
  <c r="AS107" i="5" s="1"/>
  <c r="AS106" i="5"/>
  <c r="J23" i="5"/>
  <c r="J85" i="5" s="1"/>
  <c r="J73" i="5"/>
  <c r="J27" i="5"/>
  <c r="J59" i="5"/>
  <c r="J65" i="5" s="1"/>
  <c r="J72" i="5" s="1"/>
  <c r="AH34" i="4"/>
  <c r="AH107" i="4" s="1"/>
  <c r="AH106" i="4"/>
  <c r="T21" i="9"/>
  <c r="R21" i="9"/>
  <c r="S21" i="9" s="1"/>
  <c r="T7" i="9"/>
  <c r="R7" i="9"/>
  <c r="S7" i="9" s="1"/>
  <c r="AH106" i="5"/>
  <c r="AH34" i="5"/>
  <c r="AH107" i="5" s="1"/>
  <c r="AG108" i="4"/>
  <c r="AG109" i="4" s="1"/>
  <c r="T22" i="9"/>
  <c r="R22" i="9"/>
  <c r="S22" i="9" s="1"/>
  <c r="Y73" i="4"/>
  <c r="Y23" i="4"/>
  <c r="Y85" i="4" s="1"/>
  <c r="Y27" i="4"/>
  <c r="Y59" i="4"/>
  <c r="Y65" i="4" s="1"/>
  <c r="Y72" i="4" s="1"/>
  <c r="I104" i="7"/>
  <c r="I106" i="7" s="1"/>
  <c r="H74" i="3"/>
  <c r="H104" i="3" s="1"/>
  <c r="H106" i="3" s="1"/>
  <c r="H62" i="3"/>
  <c r="H63" i="3" s="1"/>
  <c r="H73" i="3"/>
  <c r="R13" i="9"/>
  <c r="S13" i="9" s="1"/>
  <c r="T13" i="9"/>
  <c r="AP104" i="5"/>
  <c r="AP146" i="5" s="1"/>
  <c r="AN73" i="5"/>
  <c r="AN23" i="5"/>
  <c r="AN85" i="5" s="1"/>
  <c r="AN27" i="5"/>
  <c r="AN59" i="5"/>
  <c r="AN65" i="5" s="1"/>
  <c r="AN72" i="5" s="1"/>
  <c r="AN103" i="5"/>
  <c r="AN108" i="5" s="1"/>
  <c r="AN109" i="5" s="1"/>
  <c r="O96" i="6"/>
  <c r="O101" i="6" s="1"/>
  <c r="O102" i="6" s="1"/>
  <c r="O103" i="6" s="1"/>
  <c r="O104" i="6" s="1"/>
  <c r="O111" i="6" s="1"/>
  <c r="W6" i="9"/>
  <c r="U6" i="9"/>
  <c r="V6" i="9" s="1"/>
  <c r="G106" i="4"/>
  <c r="G34" i="4"/>
  <c r="G107" i="4" s="1"/>
  <c r="G108" i="4" s="1"/>
  <c r="G109" i="4" s="1"/>
  <c r="G89" i="7"/>
  <c r="G90" i="7" s="1"/>
  <c r="G91" i="7" s="1"/>
  <c r="G136" i="7" s="1"/>
  <c r="G88" i="7"/>
  <c r="Q13" i="8"/>
  <c r="T21" i="2"/>
  <c r="Q28" i="8"/>
  <c r="T36" i="2"/>
  <c r="U38" i="4"/>
  <c r="U37" i="4"/>
  <c r="U36" i="4"/>
  <c r="AK46" i="5"/>
  <c r="AK49" i="5"/>
  <c r="AK50" i="5" s="1"/>
  <c r="AK54" i="5"/>
  <c r="AK63" i="5" s="1"/>
  <c r="AK84" i="5" s="1"/>
  <c r="AO106" i="4"/>
  <c r="AO34" i="4"/>
  <c r="AO107" i="4" s="1"/>
  <c r="F87" i="7"/>
  <c r="F135" i="7"/>
  <c r="S106" i="4"/>
  <c r="S34" i="4"/>
  <c r="S107" i="4" s="1"/>
  <c r="L73" i="4"/>
  <c r="L103" i="4"/>
  <c r="L27" i="4"/>
  <c r="L23" i="4"/>
  <c r="L85" i="4" s="1"/>
  <c r="L59" i="4"/>
  <c r="L65" i="4" s="1"/>
  <c r="L72" i="4" s="1"/>
  <c r="H74" i="7"/>
  <c r="H62" i="7"/>
  <c r="H63" i="7" s="1"/>
  <c r="H132" i="7" s="1"/>
  <c r="H73" i="7"/>
  <c r="E41" i="7"/>
  <c r="E42" i="7"/>
  <c r="P9" i="9"/>
  <c r="G75" i="7"/>
  <c r="G134" i="7" s="1"/>
  <c r="G49" i="7"/>
  <c r="T15" i="9"/>
  <c r="R15" i="9"/>
  <c r="S15" i="9" s="1"/>
  <c r="J116" i="4"/>
  <c r="AN38" i="5"/>
  <c r="AN37" i="5"/>
  <c r="AN36" i="5"/>
  <c r="AN39" i="5" s="1"/>
  <c r="AN40" i="5" s="1"/>
  <c r="AN78" i="5" s="1"/>
  <c r="F75" i="3"/>
  <c r="F134" i="3" s="1"/>
  <c r="F49" i="3"/>
  <c r="AQ106" i="4"/>
  <c r="AQ34" i="4"/>
  <c r="AQ107" i="4" s="1"/>
  <c r="BJ13" i="9"/>
  <c r="AA23" i="5"/>
  <c r="AA85" i="5" s="1"/>
  <c r="AA103" i="5"/>
  <c r="AA59" i="5"/>
  <c r="AA65" i="5" s="1"/>
  <c r="AA72" i="5" s="1"/>
  <c r="AA27" i="5"/>
  <c r="AA73" i="5"/>
  <c r="F87" i="3"/>
  <c r="F135" i="3"/>
  <c r="E68" i="7"/>
  <c r="E69" i="7" s="1"/>
  <c r="E15" i="7"/>
  <c r="E84" i="7" s="1"/>
  <c r="E16" i="7"/>
  <c r="AM103" i="4"/>
  <c r="AM27" i="4"/>
  <c r="AM73" i="4"/>
  <c r="AM23" i="4"/>
  <c r="AM85" i="4" s="1"/>
  <c r="AM59" i="4"/>
  <c r="AM65" i="4" s="1"/>
  <c r="AM72" i="4" s="1"/>
  <c r="W26" i="9"/>
  <c r="U26" i="9"/>
  <c r="F62" i="7"/>
  <c r="F63" i="7" s="1"/>
  <c r="F132" i="7" s="1"/>
  <c r="F74" i="7"/>
  <c r="F73" i="7"/>
  <c r="H135" i="7"/>
  <c r="H87" i="7"/>
  <c r="AL116" i="5"/>
  <c r="AE36" i="5"/>
  <c r="AE37" i="5"/>
  <c r="AE38" i="5"/>
  <c r="M96" i="6"/>
  <c r="M101" i="6" s="1"/>
  <c r="M102" i="6" s="1"/>
  <c r="M103" i="6" s="1"/>
  <c r="M104" i="6" s="1"/>
  <c r="M111" i="6" s="1"/>
  <c r="AH4" i="8"/>
  <c r="C19" i="1"/>
  <c r="F132" i="3"/>
  <c r="N106" i="5"/>
  <c r="N34" i="5"/>
  <c r="N107" i="5" s="1"/>
  <c r="N108" i="5" s="1"/>
  <c r="N109" i="5" s="1"/>
  <c r="N104" i="5"/>
  <c r="N74" i="5"/>
  <c r="N139" i="5" s="1"/>
  <c r="Q26" i="8"/>
  <c r="T34" i="2"/>
  <c r="K135" i="3"/>
  <c r="K87" i="3"/>
  <c r="V26" i="9"/>
  <c r="U10" i="9"/>
  <c r="V10" i="9" s="1"/>
  <c r="W10" i="9"/>
  <c r="E74" i="3"/>
  <c r="E62" i="3"/>
  <c r="E63" i="3" s="1"/>
  <c r="E73" i="3"/>
  <c r="E100" i="7"/>
  <c r="G46" i="5"/>
  <c r="G54" i="5"/>
  <c r="G63" i="5" s="1"/>
  <c r="G84" i="5" s="1"/>
  <c r="M79" i="3"/>
  <c r="M80" i="3" s="1"/>
  <c r="G37" i="4"/>
  <c r="G36" i="4"/>
  <c r="G38" i="4"/>
  <c r="AD27" i="5"/>
  <c r="AD23" i="5"/>
  <c r="AD85" i="5" s="1"/>
  <c r="AD59" i="5"/>
  <c r="AD65" i="5" s="1"/>
  <c r="AD72" i="5" s="1"/>
  <c r="N36" i="5"/>
  <c r="N38" i="5"/>
  <c r="N37" i="5"/>
  <c r="AM106" i="4"/>
  <c r="AM34" i="4"/>
  <c r="AM107" i="4" s="1"/>
  <c r="H104" i="7"/>
  <c r="H106" i="7" s="1"/>
  <c r="K74" i="3"/>
  <c r="K104" i="3" s="1"/>
  <c r="K106" i="3" s="1"/>
  <c r="K62" i="3"/>
  <c r="K63" i="3" s="1"/>
  <c r="K73" i="3"/>
  <c r="R106" i="5"/>
  <c r="R34" i="5"/>
  <c r="R107" i="5" s="1"/>
  <c r="J106" i="4"/>
  <c r="J34" i="4"/>
  <c r="J107" i="4" s="1"/>
  <c r="E135" i="3"/>
  <c r="E87" i="3"/>
  <c r="T29" i="9"/>
  <c r="R29" i="9"/>
  <c r="S29" i="9" s="1"/>
  <c r="Q20" i="8"/>
  <c r="T28" i="2"/>
  <c r="BJ23" i="9"/>
  <c r="G49" i="4"/>
  <c r="G50" i="4" s="1"/>
  <c r="G46" i="4"/>
  <c r="G54" i="4"/>
  <c r="G63" i="4" s="1"/>
  <c r="G84" i="4" s="1"/>
  <c r="G86" i="4" s="1"/>
  <c r="M74" i="3"/>
  <c r="M62" i="3"/>
  <c r="M63" i="3" s="1"/>
  <c r="M73" i="3"/>
  <c r="AK106" i="5"/>
  <c r="AK34" i="5"/>
  <c r="AK107" i="5" s="1"/>
  <c r="P15" i="9"/>
  <c r="BJ15" i="9"/>
  <c r="M46" i="5"/>
  <c r="M54" i="5"/>
  <c r="M63" i="5" s="1"/>
  <c r="M84" i="5" s="1"/>
  <c r="AG96" i="6"/>
  <c r="AG101" i="6" s="1"/>
  <c r="AG102" i="6" s="1"/>
  <c r="AG103" i="6" s="1"/>
  <c r="AG104" i="6" s="1"/>
  <c r="AG111" i="6" s="1"/>
  <c r="K74" i="7"/>
  <c r="K73" i="7"/>
  <c r="K62" i="7"/>
  <c r="K63" i="7" s="1"/>
  <c r="K132" i="7" s="1"/>
  <c r="I106" i="4"/>
  <c r="I34" i="4"/>
  <c r="I107" i="4" s="1"/>
  <c r="AH46" i="5"/>
  <c r="AH54" i="5"/>
  <c r="AH63" i="5" s="1"/>
  <c r="AH84" i="5" s="1"/>
  <c r="I73" i="7"/>
  <c r="I62" i="7"/>
  <c r="I63" i="7" s="1"/>
  <c r="I132" i="7" s="1"/>
  <c r="I74" i="7"/>
  <c r="Q19" i="8"/>
  <c r="T27" i="2"/>
  <c r="AB106" i="4"/>
  <c r="AB34" i="4"/>
  <c r="AB107" i="4" s="1"/>
  <c r="AE34" i="4"/>
  <c r="AE107" i="4" s="1"/>
  <c r="AE106" i="4"/>
  <c r="Q23" i="8"/>
  <c r="L74" i="7"/>
  <c r="L62" i="7"/>
  <c r="L63" i="7" s="1"/>
  <c r="L132" i="7" s="1"/>
  <c r="L73" i="7"/>
  <c r="X18" i="9"/>
  <c r="Y18" i="9" s="1"/>
  <c r="Z18" i="9"/>
  <c r="U24" i="9"/>
  <c r="V24" i="9" s="1"/>
  <c r="W24" i="9"/>
  <c r="G116" i="4"/>
  <c r="AC106" i="5"/>
  <c r="AC34" i="5"/>
  <c r="AC107" i="5" s="1"/>
  <c r="AC108" i="5" s="1"/>
  <c r="AC109" i="5" s="1"/>
  <c r="K87" i="7"/>
  <c r="K135" i="7"/>
  <c r="M104" i="3"/>
  <c r="M106" i="3" s="1"/>
  <c r="X38" i="4"/>
  <c r="X37" i="4"/>
  <c r="X36" i="4"/>
  <c r="I135" i="7"/>
  <c r="I87" i="7"/>
  <c r="G44" i="3"/>
  <c r="G79" i="3" s="1"/>
  <c r="G80" i="3" s="1"/>
  <c r="G43" i="3"/>
  <c r="I106" i="5"/>
  <c r="I34" i="5"/>
  <c r="I107" i="5" s="1"/>
  <c r="BJ12" i="9"/>
  <c r="P12" i="9"/>
  <c r="G106" i="5"/>
  <c r="G34" i="5"/>
  <c r="G107" i="5" s="1"/>
  <c r="E34" i="5"/>
  <c r="E107" i="5" s="1"/>
  <c r="E106" i="5"/>
  <c r="L135" i="7"/>
  <c r="L87" i="7"/>
  <c r="T11" i="9"/>
  <c r="R11" i="9"/>
  <c r="S11" i="9" s="1"/>
  <c r="AP49" i="5"/>
  <c r="AP50" i="5" s="1"/>
  <c r="AP46" i="5"/>
  <c r="AP54" i="5"/>
  <c r="AP63" i="5" s="1"/>
  <c r="AP84" i="5" s="1"/>
  <c r="AG104" i="4"/>
  <c r="AG146" i="4" s="1"/>
  <c r="AG74" i="4"/>
  <c r="AG139" i="4" s="1"/>
  <c r="AG149" i="4" s="1"/>
  <c r="U34" i="5"/>
  <c r="U107" i="5" s="1"/>
  <c r="U106" i="5"/>
  <c r="P16" i="9"/>
  <c r="W28" i="9"/>
  <c r="U28" i="9"/>
  <c r="AI106" i="4"/>
  <c r="AI34" i="4"/>
  <c r="AI107" i="4" s="1"/>
  <c r="T9" i="9"/>
  <c r="R9" i="9"/>
  <c r="S9" i="9" s="1"/>
  <c r="T12" i="9"/>
  <c r="R12" i="9"/>
  <c r="S12" i="9" s="1"/>
  <c r="AQ46" i="5"/>
  <c r="AQ49" i="5"/>
  <c r="AQ50" i="5" s="1"/>
  <c r="AQ54" i="5"/>
  <c r="AQ63" i="5" s="1"/>
  <c r="AQ84" i="5" s="1"/>
  <c r="R27" i="9"/>
  <c r="T27" i="9"/>
  <c r="F104" i="3"/>
  <c r="F106" i="3" s="1"/>
  <c r="AG46" i="4"/>
  <c r="AG49" i="4"/>
  <c r="AG50" i="4" s="1"/>
  <c r="AG54" i="4"/>
  <c r="AG63" i="4" s="1"/>
  <c r="AG84" i="4" s="1"/>
  <c r="AG86" i="4" s="1"/>
  <c r="J73" i="7"/>
  <c r="J74" i="7"/>
  <c r="J62" i="7"/>
  <c r="J63" i="7" s="1"/>
  <c r="J132" i="7" s="1"/>
  <c r="L135" i="3"/>
  <c r="L87" i="3"/>
  <c r="K104" i="7"/>
  <c r="K106" i="7" s="1"/>
  <c r="T19" i="9"/>
  <c r="R19" i="9"/>
  <c r="S19" i="9" s="1"/>
  <c r="V28" i="9"/>
  <c r="W46" i="4"/>
  <c r="W49" i="4"/>
  <c r="W50" i="4" s="1"/>
  <c r="W54" i="4"/>
  <c r="W63" i="4" s="1"/>
  <c r="W84" i="4" s="1"/>
  <c r="AA96" i="6"/>
  <c r="AA101" i="6" s="1"/>
  <c r="AA102" i="6" s="1"/>
  <c r="AA103" i="6" s="1"/>
  <c r="AA104" i="6" s="1"/>
  <c r="AA111" i="6" s="1"/>
  <c r="W34" i="5"/>
  <c r="W107" i="5" s="1"/>
  <c r="W106" i="5"/>
  <c r="Q106" i="5"/>
  <c r="Q34" i="5"/>
  <c r="Q107" i="5" s="1"/>
  <c r="L74" i="3"/>
  <c r="L104" i="3" s="1"/>
  <c r="L106" i="3" s="1"/>
  <c r="L62" i="3"/>
  <c r="L63" i="3" s="1"/>
  <c r="L73" i="3"/>
  <c r="Z8" i="9"/>
  <c r="X8" i="9"/>
  <c r="Y8" i="9" s="1"/>
  <c r="T23" i="9"/>
  <c r="R23" i="9"/>
  <c r="S23" i="9" s="1"/>
  <c r="J89" i="3"/>
  <c r="J90" i="3" s="1"/>
  <c r="J91" i="3" s="1"/>
  <c r="J136" i="3" s="1"/>
  <c r="J88" i="3"/>
  <c r="AC106" i="4"/>
  <c r="AC34" i="4"/>
  <c r="AC107" i="4" s="1"/>
  <c r="K106" i="5"/>
  <c r="K34" i="5"/>
  <c r="K107" i="5" s="1"/>
  <c r="S27" i="9"/>
  <c r="AD103" i="5" l="1"/>
  <c r="S50" i="6"/>
  <c r="Q18" i="8"/>
  <c r="AH104" i="5"/>
  <c r="AH146" i="5" s="1"/>
  <c r="M27" i="4"/>
  <c r="AH49" i="5"/>
  <c r="AH50" i="5" s="1"/>
  <c r="M73" i="4"/>
  <c r="M116" i="4" s="1"/>
  <c r="T13" i="2"/>
  <c r="M59" i="4"/>
  <c r="M65" i="4" s="1"/>
  <c r="M72" i="4" s="1"/>
  <c r="M104" i="4" s="1"/>
  <c r="R36" i="5"/>
  <c r="R37" i="5"/>
  <c r="M23" i="4"/>
  <c r="M85" i="4" s="1"/>
  <c r="S49" i="6"/>
  <c r="AF22" i="6"/>
  <c r="AQ36" i="4"/>
  <c r="AQ39" i="4" s="1"/>
  <c r="AQ40" i="4" s="1"/>
  <c r="AQ78" i="4" s="1"/>
  <c r="AQ134" i="4" s="1"/>
  <c r="U59" i="4"/>
  <c r="U65" i="4" s="1"/>
  <c r="U72" i="4" s="1"/>
  <c r="U104" i="4" s="1"/>
  <c r="U23" i="4"/>
  <c r="U85" i="4" s="1"/>
  <c r="U103" i="4"/>
  <c r="U108" i="4" s="1"/>
  <c r="U109" i="4" s="1"/>
  <c r="U110" i="4" s="1"/>
  <c r="U27" i="4"/>
  <c r="U54" i="4" s="1"/>
  <c r="U63" i="4" s="1"/>
  <c r="U84" i="4" s="1"/>
  <c r="S54" i="4"/>
  <c r="S63" i="4" s="1"/>
  <c r="S84" i="4" s="1"/>
  <c r="S86" i="4" s="1"/>
  <c r="S93" i="4" s="1"/>
  <c r="S94" i="4" s="1"/>
  <c r="S95" i="4" s="1"/>
  <c r="G36" i="5"/>
  <c r="G39" i="5" s="1"/>
  <c r="G40" i="5" s="1"/>
  <c r="G78" i="5" s="1"/>
  <c r="G79" i="5" s="1"/>
  <c r="G80" i="5" s="1"/>
  <c r="S108" i="4"/>
  <c r="S109" i="4" s="1"/>
  <c r="S114" i="4" s="1"/>
  <c r="G38" i="5"/>
  <c r="S49" i="4"/>
  <c r="S50" i="4" s="1"/>
  <c r="S62" i="4" s="1"/>
  <c r="S77" i="4" s="1"/>
  <c r="S104" i="4"/>
  <c r="AH38" i="5"/>
  <c r="AD38" i="5"/>
  <c r="F34" i="5"/>
  <c r="F107" i="5" s="1"/>
  <c r="F108" i="5" s="1"/>
  <c r="F109" i="5" s="1"/>
  <c r="AD36" i="5"/>
  <c r="AD39" i="5" s="1"/>
  <c r="AD40" i="5" s="1"/>
  <c r="AD78" i="5" s="1"/>
  <c r="AH36" i="5"/>
  <c r="AH39" i="5" s="1"/>
  <c r="AH40" i="5" s="1"/>
  <c r="AH78" i="5" s="1"/>
  <c r="AH79" i="5" s="1"/>
  <c r="AH80" i="5" s="1"/>
  <c r="V49" i="4"/>
  <c r="V50" i="4" s="1"/>
  <c r="AP34" i="4"/>
  <c r="AP107" i="4" s="1"/>
  <c r="AQ37" i="5"/>
  <c r="AQ38" i="4"/>
  <c r="AQ38" i="5"/>
  <c r="Z26" i="6"/>
  <c r="E103" i="4"/>
  <c r="E108" i="4" s="1"/>
  <c r="E109" i="4" s="1"/>
  <c r="E114" i="4" s="1"/>
  <c r="S103" i="5"/>
  <c r="S108" i="5" s="1"/>
  <c r="S109" i="5" s="1"/>
  <c r="S114" i="5" s="1"/>
  <c r="U103" i="5"/>
  <c r="U108" i="5" s="1"/>
  <c r="U109" i="5" s="1"/>
  <c r="U114" i="5" s="1"/>
  <c r="R103" i="5"/>
  <c r="R108" i="5" s="1"/>
  <c r="R109" i="5" s="1"/>
  <c r="R110" i="5" s="1"/>
  <c r="AE22" i="6"/>
  <c r="U59" i="5"/>
  <c r="U65" i="5" s="1"/>
  <c r="U72" i="5" s="1"/>
  <c r="U104" i="5" s="1"/>
  <c r="AE23" i="4"/>
  <c r="AE85" i="4" s="1"/>
  <c r="AE59" i="4"/>
  <c r="AE65" i="4" s="1"/>
  <c r="AE72" i="4" s="1"/>
  <c r="AE104" i="4" s="1"/>
  <c r="AE146" i="4" s="1"/>
  <c r="F37" i="5"/>
  <c r="AE37" i="4"/>
  <c r="F38" i="5"/>
  <c r="S36" i="5"/>
  <c r="S39" i="5" s="1"/>
  <c r="S40" i="5" s="1"/>
  <c r="S78" i="5" s="1"/>
  <c r="S38" i="5"/>
  <c r="T37" i="4"/>
  <c r="AP36" i="4"/>
  <c r="AP39" i="4" s="1"/>
  <c r="AP40" i="4" s="1"/>
  <c r="AP78" i="4" s="1"/>
  <c r="AP79" i="4" s="1"/>
  <c r="AP80" i="4" s="1"/>
  <c r="AG49" i="6"/>
  <c r="AP37" i="4"/>
  <c r="S73" i="5"/>
  <c r="S116" i="5" s="1"/>
  <c r="AD22" i="6"/>
  <c r="AG49" i="5"/>
  <c r="AG50" i="5" s="1"/>
  <c r="AQ46" i="4"/>
  <c r="AQ62" i="4" s="1"/>
  <c r="AQ120" i="4" s="1"/>
  <c r="AQ121" i="4" s="1"/>
  <c r="AP23" i="4"/>
  <c r="AP85" i="4" s="1"/>
  <c r="AR104" i="4"/>
  <c r="AR146" i="4" s="1"/>
  <c r="AP27" i="4"/>
  <c r="AP49" i="4" s="1"/>
  <c r="AP50" i="4" s="1"/>
  <c r="AG59" i="5"/>
  <c r="AG65" i="5" s="1"/>
  <c r="AG72" i="5" s="1"/>
  <c r="AG104" i="5" s="1"/>
  <c r="AG146" i="5" s="1"/>
  <c r="U36" i="5"/>
  <c r="U39" i="5" s="1"/>
  <c r="U40" i="5" s="1"/>
  <c r="U78" i="5" s="1"/>
  <c r="F73" i="5"/>
  <c r="F116" i="5" s="1"/>
  <c r="AF48" i="6"/>
  <c r="AF51" i="6" s="1"/>
  <c r="AF52" i="6" s="1"/>
  <c r="T38" i="4"/>
  <c r="AG46" i="5"/>
  <c r="F23" i="5"/>
  <c r="F85" i="5" s="1"/>
  <c r="E59" i="4"/>
  <c r="E65" i="4" s="1"/>
  <c r="E72" i="4" s="1"/>
  <c r="E104" i="4" s="1"/>
  <c r="AQ103" i="4"/>
  <c r="AQ108" i="4" s="1"/>
  <c r="AQ109" i="4" s="1"/>
  <c r="AQ110" i="4" s="1"/>
  <c r="O49" i="6"/>
  <c r="O48" i="6"/>
  <c r="O51" i="6" s="1"/>
  <c r="O52" i="6" s="1"/>
  <c r="U38" i="5"/>
  <c r="AQ59" i="4"/>
  <c r="AQ65" i="4" s="1"/>
  <c r="AQ72" i="4" s="1"/>
  <c r="AQ104" i="4" s="1"/>
  <c r="AQ146" i="4" s="1"/>
  <c r="F59" i="5"/>
  <c r="F65" i="5" s="1"/>
  <c r="F72" i="5" s="1"/>
  <c r="T86" i="4"/>
  <c r="T93" i="4" s="1"/>
  <c r="T94" i="4" s="1"/>
  <c r="T95" i="4" s="1"/>
  <c r="AG73" i="5"/>
  <c r="AG116" i="5" s="1"/>
  <c r="AP73" i="4"/>
  <c r="AP116" i="4" s="1"/>
  <c r="F27" i="5"/>
  <c r="F46" i="5" s="1"/>
  <c r="U73" i="5"/>
  <c r="U116" i="5" s="1"/>
  <c r="AG54" i="5"/>
  <c r="AG63" i="5" s="1"/>
  <c r="AG84" i="5" s="1"/>
  <c r="R36" i="4"/>
  <c r="R39" i="4" s="1"/>
  <c r="R40" i="4" s="1"/>
  <c r="R78" i="4" s="1"/>
  <c r="R79" i="4" s="1"/>
  <c r="R80" i="4" s="1"/>
  <c r="R117" i="4" s="1"/>
  <c r="R27" i="5"/>
  <c r="R49" i="5" s="1"/>
  <c r="R50" i="5" s="1"/>
  <c r="AE38" i="4"/>
  <c r="AE90" i="6"/>
  <c r="AE110" i="6" s="1"/>
  <c r="U27" i="5"/>
  <c r="U49" i="5" s="1"/>
  <c r="U50" i="5" s="1"/>
  <c r="R37" i="4"/>
  <c r="AF50" i="6"/>
  <c r="I73" i="4"/>
  <c r="I116" i="4" s="1"/>
  <c r="AE27" i="4"/>
  <c r="AE54" i="4" s="1"/>
  <c r="AE63" i="4" s="1"/>
  <c r="AE84" i="4" s="1"/>
  <c r="R59" i="5"/>
  <c r="R65" i="5" s="1"/>
  <c r="R72" i="5" s="1"/>
  <c r="R104" i="5" s="1"/>
  <c r="AG38" i="5"/>
  <c r="S74" i="4"/>
  <c r="S139" i="4" s="1"/>
  <c r="E23" i="4"/>
  <c r="E85" i="4" s="1"/>
  <c r="I27" i="4"/>
  <c r="I46" i="4" s="1"/>
  <c r="AR37" i="4"/>
  <c r="AG36" i="5"/>
  <c r="AG39" i="5" s="1"/>
  <c r="AG40" i="5" s="1"/>
  <c r="AG78" i="5" s="1"/>
  <c r="R23" i="5"/>
  <c r="R85" i="5" s="1"/>
  <c r="AE103" i="4"/>
  <c r="AE108" i="4" s="1"/>
  <c r="AE109" i="4" s="1"/>
  <c r="AE114" i="4" s="1"/>
  <c r="AR23" i="4"/>
  <c r="AR85" i="4" s="1"/>
  <c r="AR27" i="4"/>
  <c r="AR49" i="4" s="1"/>
  <c r="AR50" i="4" s="1"/>
  <c r="AR73" i="4"/>
  <c r="AR116" i="4" s="1"/>
  <c r="E27" i="4"/>
  <c r="E46" i="4" s="1"/>
  <c r="AR103" i="4"/>
  <c r="AR108" i="4" s="1"/>
  <c r="AR109" i="4" s="1"/>
  <c r="AR114" i="4" s="1"/>
  <c r="T48" i="6"/>
  <c r="T51" i="6" s="1"/>
  <c r="T52" i="6" s="1"/>
  <c r="T49" i="6"/>
  <c r="G104" i="5"/>
  <c r="T22" i="6"/>
  <c r="H59" i="5"/>
  <c r="H65" i="5" s="1"/>
  <c r="H72" i="5" s="1"/>
  <c r="H104" i="5" s="1"/>
  <c r="AD104" i="4"/>
  <c r="I23" i="4"/>
  <c r="I85" i="4" s="1"/>
  <c r="AG23" i="5"/>
  <c r="AG85" i="5" s="1"/>
  <c r="H27" i="5"/>
  <c r="H49" i="5" s="1"/>
  <c r="H50" i="5" s="1"/>
  <c r="AP103" i="4"/>
  <c r="R59" i="4"/>
  <c r="R65" i="4" s="1"/>
  <c r="R72" i="4" s="1"/>
  <c r="R104" i="4" s="1"/>
  <c r="H73" i="5"/>
  <c r="H116" i="5" s="1"/>
  <c r="AP74" i="5"/>
  <c r="AP139" i="5" s="1"/>
  <c r="AP149" i="5" s="1"/>
  <c r="AP150" i="5" s="1"/>
  <c r="AG48" i="6"/>
  <c r="AG51" i="6" s="1"/>
  <c r="AG52" i="6" s="1"/>
  <c r="AG103" i="5"/>
  <c r="AG108" i="5" s="1"/>
  <c r="AG109" i="5" s="1"/>
  <c r="AG110" i="5" s="1"/>
  <c r="T104" i="4"/>
  <c r="G74" i="5"/>
  <c r="G139" i="5" s="1"/>
  <c r="V23" i="4"/>
  <c r="V85" i="4" s="1"/>
  <c r="V54" i="4"/>
  <c r="V63" i="4" s="1"/>
  <c r="V84" i="4" s="1"/>
  <c r="T22" i="2"/>
  <c r="AQ73" i="4"/>
  <c r="AQ116" i="4" s="1"/>
  <c r="AR133" i="4"/>
  <c r="V59" i="4"/>
  <c r="V65" i="4" s="1"/>
  <c r="V72" i="4" s="1"/>
  <c r="V104" i="4" s="1"/>
  <c r="V46" i="4"/>
  <c r="AQ23" i="4"/>
  <c r="AQ85" i="4" s="1"/>
  <c r="V103" i="4"/>
  <c r="AD34" i="5"/>
  <c r="AD107" i="5" s="1"/>
  <c r="AD108" i="5" s="1"/>
  <c r="AD109" i="5" s="1"/>
  <c r="R73" i="4"/>
  <c r="R116" i="4" s="1"/>
  <c r="R27" i="4"/>
  <c r="R46" i="4" s="1"/>
  <c r="AR38" i="4"/>
  <c r="I103" i="4"/>
  <c r="I108" i="4" s="1"/>
  <c r="I109" i="4" s="1"/>
  <c r="I110" i="4" s="1"/>
  <c r="I111" i="4" s="1"/>
  <c r="G108" i="5"/>
  <c r="G109" i="5" s="1"/>
  <c r="G110" i="5" s="1"/>
  <c r="G111" i="5" s="1"/>
  <c r="G86" i="5"/>
  <c r="G141" i="5" s="1"/>
  <c r="AQ54" i="4"/>
  <c r="AQ63" i="4" s="1"/>
  <c r="AQ84" i="4" s="1"/>
  <c r="V73" i="4"/>
  <c r="V116" i="4" s="1"/>
  <c r="AP34" i="5"/>
  <c r="AP107" i="5" s="1"/>
  <c r="AP108" i="5" s="1"/>
  <c r="AP109" i="5" s="1"/>
  <c r="G49" i="5"/>
  <c r="G50" i="5" s="1"/>
  <c r="G62" i="5" s="1"/>
  <c r="G120" i="5" s="1"/>
  <c r="G121" i="5" s="1"/>
  <c r="AR134" i="4"/>
  <c r="R108" i="4"/>
  <c r="R109" i="4" s="1"/>
  <c r="R114" i="4" s="1"/>
  <c r="T74" i="4"/>
  <c r="T139" i="4" s="1"/>
  <c r="AP36" i="5"/>
  <c r="AP39" i="5" s="1"/>
  <c r="AP40" i="5" s="1"/>
  <c r="AP78" i="5" s="1"/>
  <c r="AP134" i="5" s="1"/>
  <c r="Z50" i="6"/>
  <c r="F48" i="6"/>
  <c r="F51" i="6" s="1"/>
  <c r="F52" i="6" s="1"/>
  <c r="H103" i="5"/>
  <c r="H108" i="5" s="1"/>
  <c r="H109" i="5" s="1"/>
  <c r="H114" i="5" s="1"/>
  <c r="AD74" i="4"/>
  <c r="AD139" i="4" s="1"/>
  <c r="AP38" i="5"/>
  <c r="M37" i="4"/>
  <c r="AP86" i="5"/>
  <c r="AP141" i="5" s="1"/>
  <c r="AJ49" i="4"/>
  <c r="AJ50" i="4" s="1"/>
  <c r="T49" i="4"/>
  <c r="T50" i="4" s="1"/>
  <c r="T62" i="4" s="1"/>
  <c r="AJ104" i="4"/>
  <c r="AJ146" i="4" s="1"/>
  <c r="T18" i="2"/>
  <c r="R23" i="4"/>
  <c r="R85" i="4" s="1"/>
  <c r="AJ46" i="4"/>
  <c r="M36" i="4"/>
  <c r="M39" i="4" s="1"/>
  <c r="M40" i="4" s="1"/>
  <c r="M78" i="4" s="1"/>
  <c r="M79" i="4" s="1"/>
  <c r="M80" i="4" s="1"/>
  <c r="M117" i="4" s="1"/>
  <c r="AD49" i="4"/>
  <c r="AD50" i="4" s="1"/>
  <c r="AD62" i="4" s="1"/>
  <c r="AD77" i="4" s="1"/>
  <c r="AE50" i="6"/>
  <c r="Q16" i="8"/>
  <c r="AE48" i="6"/>
  <c r="AE51" i="6" s="1"/>
  <c r="AE52" i="6" s="1"/>
  <c r="AD37" i="4"/>
  <c r="AD106" i="4"/>
  <c r="AD48" i="6"/>
  <c r="AD51" i="6" s="1"/>
  <c r="AD52" i="6" s="1"/>
  <c r="AD49" i="6"/>
  <c r="Z48" i="6"/>
  <c r="Z51" i="6" s="1"/>
  <c r="Z52" i="6" s="1"/>
  <c r="AD38" i="4"/>
  <c r="S59" i="5"/>
  <c r="S65" i="5" s="1"/>
  <c r="S72" i="5" s="1"/>
  <c r="S104" i="5" s="1"/>
  <c r="F49" i="6"/>
  <c r="S27" i="5"/>
  <c r="S49" i="5" s="1"/>
  <c r="S50" i="5" s="1"/>
  <c r="T15" i="2"/>
  <c r="Q6" i="8"/>
  <c r="AD54" i="4"/>
  <c r="AD63" i="4" s="1"/>
  <c r="AD84" i="4" s="1"/>
  <c r="AD86" i="4" s="1"/>
  <c r="AD93" i="4" s="1"/>
  <c r="AD94" i="4" s="1"/>
  <c r="AD95" i="4" s="1"/>
  <c r="E36" i="5"/>
  <c r="E39" i="5" s="1"/>
  <c r="E40" i="5" s="1"/>
  <c r="E78" i="5" s="1"/>
  <c r="E38" i="5"/>
  <c r="Q8" i="8"/>
  <c r="AB36" i="5"/>
  <c r="AB39" i="5" s="1"/>
  <c r="AB40" i="5" s="1"/>
  <c r="AB78" i="5" s="1"/>
  <c r="AB38" i="5"/>
  <c r="E37" i="4"/>
  <c r="E26" i="6"/>
  <c r="G49" i="6"/>
  <c r="T19" i="2"/>
  <c r="H34" i="4"/>
  <c r="H107" i="4" s="1"/>
  <c r="V34" i="4"/>
  <c r="V107" i="4" s="1"/>
  <c r="H86" i="4"/>
  <c r="H141" i="4" s="1"/>
  <c r="E89" i="6"/>
  <c r="E109" i="6" s="1"/>
  <c r="H36" i="4"/>
  <c r="H39" i="4" s="1"/>
  <c r="H40" i="4" s="1"/>
  <c r="H78" i="4" s="1"/>
  <c r="H79" i="4" s="1"/>
  <c r="H80" i="4" s="1"/>
  <c r="X103" i="5"/>
  <c r="H46" i="4"/>
  <c r="E73" i="5"/>
  <c r="E116" i="5" s="1"/>
  <c r="H49" i="4"/>
  <c r="H50" i="4" s="1"/>
  <c r="V37" i="4"/>
  <c r="V38" i="4"/>
  <c r="X27" i="5"/>
  <c r="X46" i="5" s="1"/>
  <c r="X23" i="5"/>
  <c r="X85" i="5" s="1"/>
  <c r="AA50" i="6"/>
  <c r="E104" i="6"/>
  <c r="E111" i="6" s="1"/>
  <c r="H104" i="4"/>
  <c r="E23" i="5"/>
  <c r="E85" i="5" s="1"/>
  <c r="E103" i="5"/>
  <c r="E108" i="5" s="1"/>
  <c r="E109" i="5" s="1"/>
  <c r="E110" i="5" s="1"/>
  <c r="E38" i="4"/>
  <c r="AA22" i="6"/>
  <c r="F36" i="4"/>
  <c r="F39" i="4" s="1"/>
  <c r="F40" i="4" s="1"/>
  <c r="F78" i="4" s="1"/>
  <c r="F79" i="4" s="1"/>
  <c r="F80" i="4" s="1"/>
  <c r="G50" i="6"/>
  <c r="F38" i="4"/>
  <c r="E59" i="5"/>
  <c r="E65" i="5" s="1"/>
  <c r="E72" i="5" s="1"/>
  <c r="AA48" i="6"/>
  <c r="AA51" i="6" s="1"/>
  <c r="AA52" i="6" s="1"/>
  <c r="H37" i="4"/>
  <c r="H103" i="4"/>
  <c r="K104" i="5"/>
  <c r="H48" i="6"/>
  <c r="H51" i="6" s="1"/>
  <c r="H52" i="6" s="1"/>
  <c r="K23" i="5"/>
  <c r="K85" i="5" s="1"/>
  <c r="H50" i="6"/>
  <c r="X59" i="5"/>
  <c r="X65" i="5" s="1"/>
  <c r="X72" i="5" s="1"/>
  <c r="X74" i="5" s="1"/>
  <c r="X139" i="5" s="1"/>
  <c r="J48" i="6"/>
  <c r="J51" i="6" s="1"/>
  <c r="J52" i="6" s="1"/>
  <c r="K103" i="5"/>
  <c r="K108" i="5" s="1"/>
  <c r="K109" i="5" s="1"/>
  <c r="K110" i="5" s="1"/>
  <c r="K111" i="5" s="1"/>
  <c r="J50" i="6"/>
  <c r="H74" i="4"/>
  <c r="H139" i="4" s="1"/>
  <c r="K73" i="5"/>
  <c r="K116" i="5" s="1"/>
  <c r="K27" i="5"/>
  <c r="K46" i="5" s="1"/>
  <c r="W86" i="4"/>
  <c r="W93" i="4" s="1"/>
  <c r="W94" i="4" s="1"/>
  <c r="W95" i="4" s="1"/>
  <c r="K22" i="6"/>
  <c r="AG39" i="4"/>
  <c r="AG40" i="4" s="1"/>
  <c r="AG78" i="4" s="1"/>
  <c r="AG79" i="4" s="1"/>
  <c r="AG80" i="4" s="1"/>
  <c r="AG117" i="4" s="1"/>
  <c r="AE54" i="5"/>
  <c r="AE63" i="5" s="1"/>
  <c r="AE84" i="5" s="1"/>
  <c r="AE86" i="5" s="1"/>
  <c r="AE93" i="5" s="1"/>
  <c r="AE94" i="5" s="1"/>
  <c r="AE95" i="5" s="1"/>
  <c r="Y59" i="5"/>
  <c r="Y65" i="5" s="1"/>
  <c r="Y72" i="5" s="1"/>
  <c r="Y74" i="5" s="1"/>
  <c r="Y139" i="5" s="1"/>
  <c r="AE74" i="5"/>
  <c r="AE139" i="5" s="1"/>
  <c r="AE149" i="5" s="1"/>
  <c r="AE108" i="5"/>
  <c r="AE109" i="5" s="1"/>
  <c r="AE110" i="5" s="1"/>
  <c r="AE111" i="5" s="1"/>
  <c r="AE49" i="5"/>
  <c r="AE50" i="5" s="1"/>
  <c r="AE62" i="5" s="1"/>
  <c r="AE120" i="5" s="1"/>
  <c r="AE121" i="5" s="1"/>
  <c r="W59" i="5"/>
  <c r="W65" i="5" s="1"/>
  <c r="W72" i="5" s="1"/>
  <c r="W104" i="5" s="1"/>
  <c r="Y103" i="5"/>
  <c r="Y108" i="5" s="1"/>
  <c r="Y109" i="5" s="1"/>
  <c r="Y110" i="5" s="1"/>
  <c r="W108" i="4"/>
  <c r="W109" i="4" s="1"/>
  <c r="W114" i="4" s="1"/>
  <c r="W103" i="5"/>
  <c r="W108" i="5" s="1"/>
  <c r="W109" i="5" s="1"/>
  <c r="W110" i="5" s="1"/>
  <c r="K49" i="6"/>
  <c r="W27" i="5"/>
  <c r="W46" i="5" s="1"/>
  <c r="K48" i="6"/>
  <c r="AN38" i="4"/>
  <c r="AN37" i="4"/>
  <c r="Y23" i="5"/>
  <c r="Y85" i="5" s="1"/>
  <c r="G62" i="4"/>
  <c r="G77" i="4" s="1"/>
  <c r="W73" i="5"/>
  <c r="W116" i="5" s="1"/>
  <c r="N103" i="4"/>
  <c r="Y27" i="5"/>
  <c r="Y49" i="5" s="1"/>
  <c r="Y50" i="5" s="1"/>
  <c r="AC74" i="5"/>
  <c r="AC139" i="5" s="1"/>
  <c r="O23" i="4"/>
  <c r="O85" i="4" s="1"/>
  <c r="AH37" i="4"/>
  <c r="AI59" i="5"/>
  <c r="AI65" i="5" s="1"/>
  <c r="AI72" i="5" s="1"/>
  <c r="AI104" i="5" s="1"/>
  <c r="AI146" i="5" s="1"/>
  <c r="AH36" i="4"/>
  <c r="AO36" i="4"/>
  <c r="AO39" i="4" s="1"/>
  <c r="AO40" i="4" s="1"/>
  <c r="AO78" i="4" s="1"/>
  <c r="AO134" i="4" s="1"/>
  <c r="AN34" i="4"/>
  <c r="AN107" i="4" s="1"/>
  <c r="AK134" i="4"/>
  <c r="W74" i="4"/>
  <c r="W139" i="4" s="1"/>
  <c r="N27" i="4"/>
  <c r="N54" i="4" s="1"/>
  <c r="N63" i="4" s="1"/>
  <c r="N84" i="4" s="1"/>
  <c r="N86" i="4" s="1"/>
  <c r="N141" i="4" s="1"/>
  <c r="N73" i="4"/>
  <c r="N116" i="4" s="1"/>
  <c r="AJ22" i="6"/>
  <c r="N59" i="4"/>
  <c r="N65" i="4" s="1"/>
  <c r="N72" i="4" s="1"/>
  <c r="K36" i="4"/>
  <c r="AD108" i="4"/>
  <c r="AD109" i="4" s="1"/>
  <c r="AD114" i="4" s="1"/>
  <c r="Y38" i="5"/>
  <c r="AJ74" i="4"/>
  <c r="AJ139" i="4" s="1"/>
  <c r="AJ149" i="4" s="1"/>
  <c r="AI51" i="6"/>
  <c r="AI52" i="6" s="1"/>
  <c r="J104" i="4"/>
  <c r="P51" i="6"/>
  <c r="P52" i="6" s="1"/>
  <c r="T39" i="4"/>
  <c r="T40" i="4" s="1"/>
  <c r="T78" i="4" s="1"/>
  <c r="T79" i="4" s="1"/>
  <c r="T80" i="4" s="1"/>
  <c r="AR49" i="5"/>
  <c r="AR50" i="5" s="1"/>
  <c r="AR46" i="5"/>
  <c r="Q36" i="5"/>
  <c r="AF39" i="5"/>
  <c r="AF40" i="5" s="1"/>
  <c r="AF78" i="5" s="1"/>
  <c r="AF79" i="5" s="1"/>
  <c r="AF80" i="5" s="1"/>
  <c r="AF117" i="5" s="1"/>
  <c r="P59" i="5"/>
  <c r="P65" i="5" s="1"/>
  <c r="P72" i="5" s="1"/>
  <c r="P104" i="5" s="1"/>
  <c r="AF108" i="5"/>
  <c r="AF109" i="5" s="1"/>
  <c r="AF110" i="5" s="1"/>
  <c r="AF111" i="5" s="1"/>
  <c r="AA46" i="4"/>
  <c r="Y108" i="4"/>
  <c r="Y109" i="4" s="1"/>
  <c r="Y114" i="4" s="1"/>
  <c r="Y37" i="4"/>
  <c r="P103" i="5"/>
  <c r="AL54" i="5"/>
  <c r="AL63" i="5" s="1"/>
  <c r="AL84" i="5" s="1"/>
  <c r="AL86" i="5" s="1"/>
  <c r="Y36" i="4"/>
  <c r="Y106" i="4"/>
  <c r="AH51" i="6"/>
  <c r="AH52" i="6" s="1"/>
  <c r="AN103" i="4"/>
  <c r="AN27" i="4"/>
  <c r="AN49" i="4" s="1"/>
  <c r="AN50" i="4" s="1"/>
  <c r="AE39" i="5"/>
  <c r="AE40" i="5" s="1"/>
  <c r="AE78" i="5" s="1"/>
  <c r="AE79" i="5" s="1"/>
  <c r="AE80" i="5" s="1"/>
  <c r="AK86" i="5"/>
  <c r="AK93" i="5" s="1"/>
  <c r="AK94" i="5" s="1"/>
  <c r="AK95" i="5" s="1"/>
  <c r="AE39" i="4"/>
  <c r="AE40" i="4" s="1"/>
  <c r="AE78" i="4" s="1"/>
  <c r="AE79" i="4" s="1"/>
  <c r="AE80" i="4" s="1"/>
  <c r="AT59" i="4"/>
  <c r="AT65" i="4" s="1"/>
  <c r="AT72" i="4" s="1"/>
  <c r="AA49" i="4"/>
  <c r="AA50" i="4" s="1"/>
  <c r="Z23" i="5"/>
  <c r="Z85" i="5" s="1"/>
  <c r="Y37" i="5"/>
  <c r="Z59" i="5"/>
  <c r="Z65" i="5" s="1"/>
  <c r="Z72" i="5" s="1"/>
  <c r="Z104" i="5" s="1"/>
  <c r="AR79" i="5"/>
  <c r="AR80" i="5" s="1"/>
  <c r="AR117" i="5" s="1"/>
  <c r="AC49" i="5"/>
  <c r="AC50" i="5" s="1"/>
  <c r="AC62" i="5" s="1"/>
  <c r="AC120" i="5" s="1"/>
  <c r="AC121" i="5" s="1"/>
  <c r="AR133" i="5"/>
  <c r="Z103" i="5"/>
  <c r="AF54" i="5"/>
  <c r="AF63" i="5" s="1"/>
  <c r="AF84" i="5" s="1"/>
  <c r="AF86" i="5" s="1"/>
  <c r="AF93" i="5" s="1"/>
  <c r="AF94" i="5" s="1"/>
  <c r="M48" i="6"/>
  <c r="I36" i="5"/>
  <c r="M108" i="5"/>
  <c r="M109" i="5" s="1"/>
  <c r="M114" i="5" s="1"/>
  <c r="I37" i="5"/>
  <c r="I48" i="6"/>
  <c r="AN23" i="4"/>
  <c r="AN85" i="4" s="1"/>
  <c r="V48" i="6"/>
  <c r="M49" i="5"/>
  <c r="M50" i="5" s="1"/>
  <c r="M62" i="5" s="1"/>
  <c r="M120" i="5" s="1"/>
  <c r="M121" i="5" s="1"/>
  <c r="AR74" i="5"/>
  <c r="AR139" i="5" s="1"/>
  <c r="AR149" i="5" s="1"/>
  <c r="AR150" i="5" s="1"/>
  <c r="Y106" i="5"/>
  <c r="X48" i="6"/>
  <c r="AN59" i="4"/>
  <c r="AN65" i="4" s="1"/>
  <c r="AN72" i="4" s="1"/>
  <c r="Y48" i="6"/>
  <c r="AH104" i="4"/>
  <c r="AH146" i="4" s="1"/>
  <c r="P27" i="5"/>
  <c r="P49" i="5" s="1"/>
  <c r="P50" i="5" s="1"/>
  <c r="AK133" i="4"/>
  <c r="X50" i="6"/>
  <c r="V50" i="6"/>
  <c r="Y50" i="6"/>
  <c r="AL49" i="5"/>
  <c r="AL50" i="5" s="1"/>
  <c r="AL62" i="5" s="1"/>
  <c r="F111" i="4"/>
  <c r="F146" i="4" s="1"/>
  <c r="AI73" i="5"/>
  <c r="AI116" i="5" s="1"/>
  <c r="Z73" i="5"/>
  <c r="Z116" i="5" s="1"/>
  <c r="K38" i="4"/>
  <c r="Q37" i="5"/>
  <c r="P73" i="5"/>
  <c r="P116" i="5" s="1"/>
  <c r="M86" i="5"/>
  <c r="M93" i="5" s="1"/>
  <c r="M94" i="5" s="1"/>
  <c r="M95" i="5" s="1"/>
  <c r="I50" i="6"/>
  <c r="AT27" i="4"/>
  <c r="AT46" i="4" s="1"/>
  <c r="AL108" i="5"/>
  <c r="AL109" i="5" s="1"/>
  <c r="AL110" i="5" s="1"/>
  <c r="AL111" i="5" s="1"/>
  <c r="AK108" i="5"/>
  <c r="AK109" i="5" s="1"/>
  <c r="AK110" i="5" s="1"/>
  <c r="AK111" i="5" s="1"/>
  <c r="AT73" i="4"/>
  <c r="AT116" i="4" s="1"/>
  <c r="AI36" i="4"/>
  <c r="O59" i="5"/>
  <c r="O65" i="5" s="1"/>
  <c r="O72" i="5" s="1"/>
  <c r="O104" i="5" s="1"/>
  <c r="AL36" i="5"/>
  <c r="AL39" i="5" s="1"/>
  <c r="AL40" i="5" s="1"/>
  <c r="AL78" i="5" s="1"/>
  <c r="AL133" i="5" s="1"/>
  <c r="J26" i="6"/>
  <c r="P104" i="4"/>
  <c r="L50" i="6"/>
  <c r="AB59" i="4"/>
  <c r="AB65" i="4" s="1"/>
  <c r="AB72" i="4" s="1"/>
  <c r="AB104" i="4" s="1"/>
  <c r="AR86" i="5"/>
  <c r="AR93" i="5" s="1"/>
  <c r="AR94" i="5" s="1"/>
  <c r="AR95" i="5" s="1"/>
  <c r="AI37" i="4"/>
  <c r="O27" i="5"/>
  <c r="O54" i="5" s="1"/>
  <c r="O63" i="5" s="1"/>
  <c r="O84" i="5" s="1"/>
  <c r="AL38" i="5"/>
  <c r="AA104" i="4"/>
  <c r="AH74" i="4"/>
  <c r="AH139" i="4" s="1"/>
  <c r="AH149" i="4" s="1"/>
  <c r="AH150" i="4" s="1"/>
  <c r="AT103" i="4"/>
  <c r="AT108" i="4" s="1"/>
  <c r="AT109" i="4" s="1"/>
  <c r="AT114" i="4" s="1"/>
  <c r="V103" i="5"/>
  <c r="AB27" i="4"/>
  <c r="AB49" i="4" s="1"/>
  <c r="AB50" i="4" s="1"/>
  <c r="AJ86" i="4"/>
  <c r="AJ93" i="4" s="1"/>
  <c r="AJ94" i="4" s="1"/>
  <c r="AJ95" i="4" s="1"/>
  <c r="AB34" i="5"/>
  <c r="AB107" i="5" s="1"/>
  <c r="AI27" i="5"/>
  <c r="AI46" i="5" s="1"/>
  <c r="M74" i="5"/>
  <c r="M139" i="5" s="1"/>
  <c r="AB103" i="4"/>
  <c r="AB108" i="4" s="1"/>
  <c r="AB109" i="4" s="1"/>
  <c r="AC54" i="5"/>
  <c r="AC63" i="5" s="1"/>
  <c r="AC84" i="5" s="1"/>
  <c r="AC86" i="5" s="1"/>
  <c r="AC93" i="5" s="1"/>
  <c r="AC94" i="5" s="1"/>
  <c r="AC95" i="5" s="1"/>
  <c r="M49" i="6"/>
  <c r="T110" i="5"/>
  <c r="T111" i="5" s="1"/>
  <c r="S51" i="6"/>
  <c r="S52" i="6" s="1"/>
  <c r="AF49" i="5"/>
  <c r="AF50" i="5" s="1"/>
  <c r="AF62" i="5" s="1"/>
  <c r="AF77" i="5" s="1"/>
  <c r="K36" i="5"/>
  <c r="AB36" i="4"/>
  <c r="W36" i="5"/>
  <c r="AH54" i="4"/>
  <c r="AH63" i="4" s="1"/>
  <c r="AH84" i="4" s="1"/>
  <c r="AH86" i="4" s="1"/>
  <c r="AH141" i="4" s="1"/>
  <c r="P46" i="4"/>
  <c r="L48" i="6"/>
  <c r="W37" i="5"/>
  <c r="AK74" i="4"/>
  <c r="AK139" i="4" s="1"/>
  <c r="AK149" i="4" s="1"/>
  <c r="AK150" i="4" s="1"/>
  <c r="AO38" i="4"/>
  <c r="P49" i="4"/>
  <c r="P50" i="4" s="1"/>
  <c r="AK74" i="5"/>
  <c r="AK139" i="5" s="1"/>
  <c r="AK149" i="5" s="1"/>
  <c r="K37" i="5"/>
  <c r="AR104" i="5"/>
  <c r="AR146" i="5" s="1"/>
  <c r="AH74" i="5"/>
  <c r="AH139" i="5" s="1"/>
  <c r="AH149" i="5" s="1"/>
  <c r="AH150" i="5" s="1"/>
  <c r="AB37" i="4"/>
  <c r="N62" i="5"/>
  <c r="N77" i="5" s="1"/>
  <c r="U51" i="6"/>
  <c r="U52" i="6" s="1"/>
  <c r="AB23" i="4"/>
  <c r="AB85" i="4" s="1"/>
  <c r="W48" i="6"/>
  <c r="P38" i="4"/>
  <c r="AC38" i="4"/>
  <c r="AB96" i="6"/>
  <c r="AB101" i="6" s="1"/>
  <c r="AB102" i="6" s="1"/>
  <c r="AB103" i="6" s="1"/>
  <c r="AB104" i="6" s="1"/>
  <c r="AB111" i="6" s="1"/>
  <c r="AJ50" i="6"/>
  <c r="O103" i="4"/>
  <c r="O108" i="4" s="1"/>
  <c r="O109" i="4" s="1"/>
  <c r="O110" i="4" s="1"/>
  <c r="W26" i="6"/>
  <c r="W22" i="6"/>
  <c r="AJ49" i="6"/>
  <c r="O36" i="4"/>
  <c r="AA74" i="4"/>
  <c r="AA139" i="4" s="1"/>
  <c r="Z104" i="4"/>
  <c r="AS37" i="4"/>
  <c r="AK54" i="4"/>
  <c r="AK63" i="4" s="1"/>
  <c r="AK84" i="4" s="1"/>
  <c r="AK86" i="4" s="1"/>
  <c r="AK93" i="4" s="1"/>
  <c r="AK94" i="4" s="1"/>
  <c r="AK49" i="4"/>
  <c r="AK50" i="4" s="1"/>
  <c r="AK62" i="4" s="1"/>
  <c r="AF74" i="5"/>
  <c r="AF139" i="5" s="1"/>
  <c r="AF149" i="5" s="1"/>
  <c r="AF150" i="5" s="1"/>
  <c r="AK36" i="5"/>
  <c r="AK39" i="5" s="1"/>
  <c r="AK40" i="5" s="1"/>
  <c r="AK78" i="5" s="1"/>
  <c r="AK133" i="5" s="1"/>
  <c r="AI103" i="5"/>
  <c r="AQ74" i="5"/>
  <c r="AQ139" i="5" s="1"/>
  <c r="AQ149" i="5" s="1"/>
  <c r="AQ150" i="5" s="1"/>
  <c r="N50" i="6"/>
  <c r="U39" i="4"/>
  <c r="U40" i="4" s="1"/>
  <c r="U78" i="4" s="1"/>
  <c r="U79" i="4" s="1"/>
  <c r="U80" i="4" s="1"/>
  <c r="AH108" i="5"/>
  <c r="AH109" i="5" s="1"/>
  <c r="AH114" i="5" s="1"/>
  <c r="N49" i="6"/>
  <c r="AA86" i="4"/>
  <c r="AA141" i="4" s="1"/>
  <c r="V27" i="5"/>
  <c r="V46" i="5" s="1"/>
  <c r="AA38" i="4"/>
  <c r="I108" i="5"/>
  <c r="I109" i="5" s="1"/>
  <c r="I110" i="5" s="1"/>
  <c r="V73" i="5"/>
  <c r="V116" i="5" s="1"/>
  <c r="AA37" i="4"/>
  <c r="R51" i="6"/>
  <c r="R52" i="6" s="1"/>
  <c r="G51" i="6"/>
  <c r="G52" i="6" s="1"/>
  <c r="X27" i="4"/>
  <c r="X73" i="4"/>
  <c r="X116" i="4" s="1"/>
  <c r="X59" i="4"/>
  <c r="X65" i="4" s="1"/>
  <c r="X72" i="4" s="1"/>
  <c r="X103" i="4"/>
  <c r="X108" i="4" s="1"/>
  <c r="X109" i="4" s="1"/>
  <c r="X23" i="4"/>
  <c r="X85" i="4" s="1"/>
  <c r="AP104" i="4"/>
  <c r="AP146" i="4" s="1"/>
  <c r="V23" i="5"/>
  <c r="V85" i="5" s="1"/>
  <c r="O59" i="4"/>
  <c r="O65" i="4" s="1"/>
  <c r="O72" i="4" s="1"/>
  <c r="O74" i="4" s="1"/>
  <c r="O139" i="4" s="1"/>
  <c r="J108" i="4"/>
  <c r="J109" i="4" s="1"/>
  <c r="J110" i="4" s="1"/>
  <c r="J111" i="4" s="1"/>
  <c r="J54" i="4"/>
  <c r="J63" i="4" s="1"/>
  <c r="J84" i="4" s="1"/>
  <c r="J86" i="4" s="1"/>
  <c r="J141" i="4" s="1"/>
  <c r="O27" i="4"/>
  <c r="O49" i="4" s="1"/>
  <c r="O50" i="4" s="1"/>
  <c r="AH49" i="4"/>
  <c r="AH50" i="4" s="1"/>
  <c r="AH62" i="4" s="1"/>
  <c r="L22" i="6"/>
  <c r="J49" i="4"/>
  <c r="J50" i="4" s="1"/>
  <c r="J62" i="4" s="1"/>
  <c r="F54" i="4"/>
  <c r="F63" i="4" s="1"/>
  <c r="F84" i="4" s="1"/>
  <c r="F86" i="4" s="1"/>
  <c r="P108" i="4"/>
  <c r="P109" i="4" s="1"/>
  <c r="P114" i="4" s="1"/>
  <c r="AK38" i="5"/>
  <c r="P37" i="4"/>
  <c r="AT37" i="4"/>
  <c r="AT38" i="4"/>
  <c r="O38" i="4"/>
  <c r="N93" i="5"/>
  <c r="N94" i="5" s="1"/>
  <c r="N95" i="5" s="1"/>
  <c r="AI23" i="4"/>
  <c r="AI85" i="4" s="1"/>
  <c r="AI73" i="4"/>
  <c r="AI116" i="4" s="1"/>
  <c r="AI59" i="4"/>
  <c r="AI65" i="4" s="1"/>
  <c r="AI72" i="4" s="1"/>
  <c r="AI27" i="4"/>
  <c r="AI103" i="4"/>
  <c r="AI108" i="4" s="1"/>
  <c r="AI109" i="4" s="1"/>
  <c r="AI110" i="4" s="1"/>
  <c r="AL104" i="5"/>
  <c r="AL146" i="5" s="1"/>
  <c r="Z54" i="4"/>
  <c r="Z63" i="4" s="1"/>
  <c r="Z84" i="4" s="1"/>
  <c r="Z86" i="4" s="1"/>
  <c r="Z93" i="4" s="1"/>
  <c r="Z94" i="4" s="1"/>
  <c r="Z95" i="4" s="1"/>
  <c r="V59" i="5"/>
  <c r="V65" i="5" s="1"/>
  <c r="V72" i="5" s="1"/>
  <c r="W50" i="6"/>
  <c r="AO49" i="5"/>
  <c r="AO50" i="5" s="1"/>
  <c r="P74" i="4"/>
  <c r="P139" i="4" s="1"/>
  <c r="K73" i="4"/>
  <c r="K116" i="4" s="1"/>
  <c r="K59" i="4"/>
  <c r="K65" i="4" s="1"/>
  <c r="K72" i="4" s="1"/>
  <c r="K103" i="4"/>
  <c r="K108" i="4" s="1"/>
  <c r="K109" i="4" s="1"/>
  <c r="K114" i="4" s="1"/>
  <c r="K27" i="4"/>
  <c r="K23" i="4"/>
  <c r="K85" i="4" s="1"/>
  <c r="E39" i="4"/>
  <c r="E40" i="4" s="1"/>
  <c r="E78" i="4" s="1"/>
  <c r="E79" i="4" s="1"/>
  <c r="E80" i="4" s="1"/>
  <c r="AC37" i="4"/>
  <c r="AB27" i="5"/>
  <c r="AB23" i="5"/>
  <c r="AB85" i="5" s="1"/>
  <c r="AB73" i="5"/>
  <c r="AB116" i="5" s="1"/>
  <c r="AB59" i="5"/>
  <c r="AB65" i="5" s="1"/>
  <c r="AB72" i="5" s="1"/>
  <c r="AS38" i="4"/>
  <c r="Z49" i="4"/>
  <c r="Z50" i="4" s="1"/>
  <c r="Z62" i="4" s="1"/>
  <c r="Z77" i="4" s="1"/>
  <c r="M104" i="5"/>
  <c r="V36" i="5"/>
  <c r="AS108" i="4"/>
  <c r="AS109" i="4" s="1"/>
  <c r="AS114" i="4" s="1"/>
  <c r="AP62" i="5"/>
  <c r="AP120" i="5" s="1"/>
  <c r="AP121" i="5" s="1"/>
  <c r="AH116" i="5"/>
  <c r="V37" i="5"/>
  <c r="M37" i="5"/>
  <c r="AQ125" i="5"/>
  <c r="AQ127" i="5" s="1"/>
  <c r="AB103" i="5"/>
  <c r="AA36" i="5"/>
  <c r="AH108" i="4"/>
  <c r="AH109" i="4" s="1"/>
  <c r="AH114" i="4" s="1"/>
  <c r="M38" i="5"/>
  <c r="AA38" i="5"/>
  <c r="AO74" i="5"/>
  <c r="AO139" i="5" s="1"/>
  <c r="AO149" i="5" s="1"/>
  <c r="AO150" i="5" s="1"/>
  <c r="V22" i="6"/>
  <c r="V26" i="6"/>
  <c r="Z74" i="4"/>
  <c r="Z139" i="4" s="1"/>
  <c r="AA34" i="4"/>
  <c r="AA107" i="4" s="1"/>
  <c r="AA108" i="4" s="1"/>
  <c r="AA109" i="4" s="1"/>
  <c r="AA110" i="4" s="1"/>
  <c r="AA111" i="4" s="1"/>
  <c r="Q96" i="6"/>
  <c r="Q101" i="6" s="1"/>
  <c r="Q102" i="6" s="1"/>
  <c r="Q103" i="6" s="1"/>
  <c r="Q104" i="6" s="1"/>
  <c r="Q111" i="6" s="1"/>
  <c r="AO104" i="5"/>
  <c r="AO146" i="5" s="1"/>
  <c r="AC96" i="6"/>
  <c r="AC101" i="6" s="1"/>
  <c r="AC102" i="6" s="1"/>
  <c r="AC103" i="6" s="1"/>
  <c r="AC104" i="6" s="1"/>
  <c r="AC111" i="6" s="1"/>
  <c r="Z36" i="4"/>
  <c r="Z37" i="4"/>
  <c r="Z38" i="4"/>
  <c r="Q37" i="4"/>
  <c r="Q38" i="4"/>
  <c r="Q36" i="4"/>
  <c r="N37" i="4"/>
  <c r="N36" i="4"/>
  <c r="N38" i="4"/>
  <c r="T128" i="4"/>
  <c r="T130" i="4" s="1"/>
  <c r="T125" i="4"/>
  <c r="T127" i="4" s="1"/>
  <c r="T129" i="4"/>
  <c r="T131" i="4" s="1"/>
  <c r="AC48" i="6"/>
  <c r="AC50" i="6"/>
  <c r="AC49" i="6"/>
  <c r="AJ37" i="5"/>
  <c r="AJ36" i="5"/>
  <c r="AJ38" i="5"/>
  <c r="AB49" i="6"/>
  <c r="AB48" i="6"/>
  <c r="AB50" i="6"/>
  <c r="AM38" i="5"/>
  <c r="AM36" i="5"/>
  <c r="AM39" i="5" s="1"/>
  <c r="AM40" i="5" s="1"/>
  <c r="AM78" i="5" s="1"/>
  <c r="AM37" i="5"/>
  <c r="Q27" i="8"/>
  <c r="T35" i="2"/>
  <c r="AM34" i="5"/>
  <c r="AM107" i="5" s="1"/>
  <c r="AM108" i="5" s="1"/>
  <c r="AM109" i="5" s="1"/>
  <c r="AM106" i="5"/>
  <c r="Z46" i="5"/>
  <c r="Z49" i="5"/>
  <c r="Z50" i="5" s="1"/>
  <c r="Z54" i="5"/>
  <c r="Z63" i="5" s="1"/>
  <c r="Z84" i="5" s="1"/>
  <c r="AI106" i="5"/>
  <c r="AI34" i="5"/>
  <c r="AI107" i="5" s="1"/>
  <c r="X36" i="5"/>
  <c r="X38" i="5"/>
  <c r="Q34" i="4"/>
  <c r="Q107" i="4" s="1"/>
  <c r="Q108" i="4" s="1"/>
  <c r="Q109" i="4" s="1"/>
  <c r="Q106" i="4"/>
  <c r="L73" i="5"/>
  <c r="L116" i="5" s="1"/>
  <c r="L27" i="5"/>
  <c r="L59" i="5"/>
  <c r="L65" i="5" s="1"/>
  <c r="L72" i="5" s="1"/>
  <c r="L23" i="5"/>
  <c r="L85" i="5" s="1"/>
  <c r="L103" i="5"/>
  <c r="AI38" i="5"/>
  <c r="AI36" i="5"/>
  <c r="AI37" i="5"/>
  <c r="I27" i="5"/>
  <c r="I23" i="5"/>
  <c r="I85" i="5" s="1"/>
  <c r="I73" i="5"/>
  <c r="I116" i="5" s="1"/>
  <c r="I59" i="5"/>
  <c r="I65" i="5" s="1"/>
  <c r="I72" i="5" s="1"/>
  <c r="M22" i="6"/>
  <c r="M26" i="6"/>
  <c r="AF59" i="4"/>
  <c r="AF65" i="4" s="1"/>
  <c r="AF72" i="4" s="1"/>
  <c r="AF103" i="4"/>
  <c r="AF23" i="4"/>
  <c r="AF85" i="4" s="1"/>
  <c r="AF73" i="4"/>
  <c r="AF116" i="4" s="1"/>
  <c r="AF27" i="4"/>
  <c r="E51" i="6"/>
  <c r="E52" i="6" s="1"/>
  <c r="AT103" i="5"/>
  <c r="AT23" i="5"/>
  <c r="AT85" i="5" s="1"/>
  <c r="AT59" i="5"/>
  <c r="AT65" i="5" s="1"/>
  <c r="AT72" i="5" s="1"/>
  <c r="AT27" i="5"/>
  <c r="AT73" i="5"/>
  <c r="AT116" i="5" s="1"/>
  <c r="L106" i="5"/>
  <c r="L34" i="5"/>
  <c r="L107" i="5" s="1"/>
  <c r="AH116" i="4"/>
  <c r="AO54" i="5"/>
  <c r="AO63" i="5" s="1"/>
  <c r="AO84" i="5" s="1"/>
  <c r="AO86" i="5" s="1"/>
  <c r="AO93" i="5" s="1"/>
  <c r="AO94" i="5" s="1"/>
  <c r="P38" i="5"/>
  <c r="O23" i="5"/>
  <c r="O85" i="5" s="1"/>
  <c r="F46" i="4"/>
  <c r="F62" i="4" s="1"/>
  <c r="Q49" i="6"/>
  <c r="Q48" i="6"/>
  <c r="Q50" i="6"/>
  <c r="AJ34" i="4"/>
  <c r="AJ107" i="4" s="1"/>
  <c r="AJ108" i="4" s="1"/>
  <c r="AJ109" i="4" s="1"/>
  <c r="AJ106" i="4"/>
  <c r="Q12" i="8"/>
  <c r="T20" i="2"/>
  <c r="Q24" i="8"/>
  <c r="T32" i="2"/>
  <c r="AM46" i="5"/>
  <c r="AM54" i="5"/>
  <c r="AM63" i="5" s="1"/>
  <c r="AM84" i="5" s="1"/>
  <c r="AM86" i="5" s="1"/>
  <c r="AM49" i="5"/>
  <c r="AM50" i="5" s="1"/>
  <c r="AB89" i="6"/>
  <c r="AB109" i="6" s="1"/>
  <c r="AB90" i="6"/>
  <c r="AB110" i="6" s="1"/>
  <c r="T110" i="4"/>
  <c r="T111" i="4" s="1"/>
  <c r="N106" i="4"/>
  <c r="N34" i="4"/>
  <c r="N107" i="4" s="1"/>
  <c r="AJ36" i="4"/>
  <c r="AJ38" i="4"/>
  <c r="AJ37" i="4"/>
  <c r="Q15" i="8"/>
  <c r="T23" i="2"/>
  <c r="Q25" i="8"/>
  <c r="T33" i="2"/>
  <c r="AO46" i="5"/>
  <c r="AQ129" i="5"/>
  <c r="AQ131" i="5" s="1"/>
  <c r="P37" i="5"/>
  <c r="O73" i="5"/>
  <c r="O116" i="5" s="1"/>
  <c r="X37" i="5"/>
  <c r="AJ73" i="5"/>
  <c r="AJ116" i="5" s="1"/>
  <c r="AJ23" i="5"/>
  <c r="AJ85" i="5" s="1"/>
  <c r="AJ27" i="5"/>
  <c r="AJ59" i="5"/>
  <c r="AJ65" i="5" s="1"/>
  <c r="AJ72" i="5" s="1"/>
  <c r="AM74" i="5"/>
  <c r="AM139" i="5" s="1"/>
  <c r="AM149" i="5" s="1"/>
  <c r="AM150" i="5" s="1"/>
  <c r="AM104" i="5"/>
  <c r="AM146" i="5" s="1"/>
  <c r="O34" i="5"/>
  <c r="O107" i="5" s="1"/>
  <c r="O108" i="5" s="1"/>
  <c r="O109" i="5" s="1"/>
  <c r="O106" i="5"/>
  <c r="T104" i="5"/>
  <c r="T74" i="5"/>
  <c r="T139" i="5" s="1"/>
  <c r="L37" i="5"/>
  <c r="L36" i="5"/>
  <c r="L38" i="5"/>
  <c r="X34" i="5"/>
  <c r="X107" i="5" s="1"/>
  <c r="X106" i="5"/>
  <c r="F74" i="4"/>
  <c r="F139" i="4" s="1"/>
  <c r="M90" i="6"/>
  <c r="M110" i="6" s="1"/>
  <c r="M89" i="6"/>
  <c r="M109" i="6" s="1"/>
  <c r="N22" i="6"/>
  <c r="N26" i="6"/>
  <c r="AO103" i="5"/>
  <c r="AC22" i="6"/>
  <c r="AC26" i="6"/>
  <c r="Z106" i="5"/>
  <c r="Z34" i="5"/>
  <c r="Z107" i="5" s="1"/>
  <c r="AS108" i="5"/>
  <c r="AS109" i="5" s="1"/>
  <c r="AS110" i="5" s="1"/>
  <c r="AS111" i="5" s="1"/>
  <c r="AJ34" i="5"/>
  <c r="AJ107" i="5" s="1"/>
  <c r="AJ108" i="5" s="1"/>
  <c r="AJ109" i="5" s="1"/>
  <c r="AJ110" i="5" s="1"/>
  <c r="AJ106" i="5"/>
  <c r="H39" i="5"/>
  <c r="H40" i="5" s="1"/>
  <c r="H78" i="5" s="1"/>
  <c r="H79" i="5" s="1"/>
  <c r="H80" i="5" s="1"/>
  <c r="H117" i="5" s="1"/>
  <c r="AF36" i="4"/>
  <c r="AF38" i="4"/>
  <c r="AF37" i="4"/>
  <c r="J37" i="5"/>
  <c r="J36" i="5"/>
  <c r="J38" i="5"/>
  <c r="T49" i="5"/>
  <c r="T50" i="5" s="1"/>
  <c r="T46" i="5"/>
  <c r="T54" i="5"/>
  <c r="T63" i="5" s="1"/>
  <c r="T84" i="5" s="1"/>
  <c r="T86" i="5" s="1"/>
  <c r="AG150" i="4"/>
  <c r="AA34" i="5"/>
  <c r="AA107" i="5" s="1"/>
  <c r="AA108" i="5" s="1"/>
  <c r="AA109" i="5" s="1"/>
  <c r="AA106" i="5"/>
  <c r="AT106" i="5"/>
  <c r="AT34" i="5"/>
  <c r="AT107" i="5" s="1"/>
  <c r="AL59" i="4"/>
  <c r="AL65" i="4" s="1"/>
  <c r="AL72" i="4" s="1"/>
  <c r="AL104" i="4" s="1"/>
  <c r="AL146" i="4" s="1"/>
  <c r="AL73" i="4"/>
  <c r="AL23" i="4"/>
  <c r="AL85" i="4" s="1"/>
  <c r="AL27" i="4"/>
  <c r="AL103" i="4"/>
  <c r="P106" i="5"/>
  <c r="P34" i="5"/>
  <c r="P107" i="5" s="1"/>
  <c r="AF106" i="4"/>
  <c r="AF34" i="4"/>
  <c r="AF107" i="4" s="1"/>
  <c r="J106" i="5"/>
  <c r="J34" i="5"/>
  <c r="J107" i="5" s="1"/>
  <c r="J108" i="5" s="1"/>
  <c r="J109" i="5" s="1"/>
  <c r="Z38" i="5"/>
  <c r="Z36" i="5"/>
  <c r="Z37" i="5"/>
  <c r="AL106" i="4"/>
  <c r="AL34" i="4"/>
  <c r="AL107" i="4" s="1"/>
  <c r="AQ110" i="5"/>
  <c r="AQ111" i="5" s="1"/>
  <c r="AO59" i="4"/>
  <c r="AO65" i="4" s="1"/>
  <c r="AO72" i="4" s="1"/>
  <c r="AO27" i="4"/>
  <c r="AO23" i="4"/>
  <c r="AO85" i="4" s="1"/>
  <c r="AO103" i="4"/>
  <c r="AO108" i="4" s="1"/>
  <c r="AO109" i="4" s="1"/>
  <c r="AO73" i="4"/>
  <c r="AO116" i="4" s="1"/>
  <c r="AT36" i="5"/>
  <c r="AT39" i="5" s="1"/>
  <c r="AT40" i="5" s="1"/>
  <c r="AT78" i="5" s="1"/>
  <c r="AT79" i="5" s="1"/>
  <c r="AT80" i="5" s="1"/>
  <c r="AT38" i="5"/>
  <c r="AT37" i="5"/>
  <c r="AS49" i="4"/>
  <c r="AS50" i="4" s="1"/>
  <c r="AS46" i="4"/>
  <c r="AS54" i="4"/>
  <c r="AS63" i="4" s="1"/>
  <c r="AS84" i="4" s="1"/>
  <c r="AS86" i="4" s="1"/>
  <c r="Q27" i="4"/>
  <c r="Q23" i="4"/>
  <c r="Q85" i="4" s="1"/>
  <c r="Q73" i="4"/>
  <c r="Q116" i="4" s="1"/>
  <c r="Q59" i="4"/>
  <c r="Q65" i="4" s="1"/>
  <c r="Q72" i="4" s="1"/>
  <c r="Q21" i="8"/>
  <c r="T29" i="2"/>
  <c r="Q103" i="5"/>
  <c r="Q108" i="5" s="1"/>
  <c r="Q109" i="5" s="1"/>
  <c r="Q27" i="5"/>
  <c r="Q23" i="5"/>
  <c r="Q85" i="5" s="1"/>
  <c r="Q59" i="5"/>
  <c r="Q65" i="5" s="1"/>
  <c r="Q72" i="5" s="1"/>
  <c r="Q73" i="5"/>
  <c r="Q116" i="5" s="1"/>
  <c r="AC27" i="4"/>
  <c r="AC23" i="4"/>
  <c r="AC85" i="4" s="1"/>
  <c r="AC73" i="4"/>
  <c r="AC116" i="4" s="1"/>
  <c r="AC59" i="4"/>
  <c r="AC65" i="4" s="1"/>
  <c r="AC72" i="4" s="1"/>
  <c r="AC103" i="4"/>
  <c r="AC108" i="4" s="1"/>
  <c r="AC109" i="4" s="1"/>
  <c r="Z34" i="4"/>
  <c r="Z107" i="4" s="1"/>
  <c r="Z108" i="4" s="1"/>
  <c r="Z109" i="4" s="1"/>
  <c r="Z106" i="4"/>
  <c r="AL37" i="4"/>
  <c r="AL38" i="4"/>
  <c r="AL36" i="4"/>
  <c r="AL39" i="4" s="1"/>
  <c r="AL40" i="4" s="1"/>
  <c r="AL78" i="4" s="1"/>
  <c r="Q22" i="8"/>
  <c r="T30" i="2"/>
  <c r="AH86" i="5"/>
  <c r="AH93" i="5" s="1"/>
  <c r="AH94" i="5" s="1"/>
  <c r="AH95" i="5" s="1"/>
  <c r="AO106" i="5"/>
  <c r="AO34" i="5"/>
  <c r="AO107" i="5" s="1"/>
  <c r="AS104" i="4"/>
  <c r="AS146" i="4" s="1"/>
  <c r="AS74" i="4"/>
  <c r="AS139" i="4" s="1"/>
  <c r="AS149" i="4" s="1"/>
  <c r="AS150" i="4" s="1"/>
  <c r="V34" i="5"/>
  <c r="V107" i="5" s="1"/>
  <c r="V106" i="5"/>
  <c r="AH62" i="5"/>
  <c r="AH77" i="5" s="1"/>
  <c r="AO38" i="5"/>
  <c r="AO37" i="5"/>
  <c r="AO36" i="5"/>
  <c r="AO39" i="5" s="1"/>
  <c r="AO40" i="5" s="1"/>
  <c r="AO78" i="5" s="1"/>
  <c r="O38" i="5"/>
  <c r="O36" i="5"/>
  <c r="O37" i="5"/>
  <c r="AN134" i="4"/>
  <c r="AN133" i="4"/>
  <c r="AN79" i="4"/>
  <c r="AN80" i="4" s="1"/>
  <c r="AN117" i="4" s="1"/>
  <c r="S39" i="4"/>
  <c r="S40" i="4" s="1"/>
  <c r="S78" i="4" s="1"/>
  <c r="S79" i="4" s="1"/>
  <c r="S80" i="4" s="1"/>
  <c r="AQ86" i="5"/>
  <c r="AQ93" i="5" s="1"/>
  <c r="AQ94" i="5" s="1"/>
  <c r="AQ95" i="5" s="1"/>
  <c r="F114" i="4"/>
  <c r="F129" i="4" s="1"/>
  <c r="F131" i="4" s="1"/>
  <c r="E112" i="6"/>
  <c r="E113" i="6" s="1"/>
  <c r="AQ124" i="5"/>
  <c r="AQ126" i="5" s="1"/>
  <c r="R39" i="5"/>
  <c r="R40" i="5" s="1"/>
  <c r="R78" i="5" s="1"/>
  <c r="R79" i="5" s="1"/>
  <c r="R80" i="5" s="1"/>
  <c r="V27" i="9"/>
  <c r="G73" i="3"/>
  <c r="G74" i="3"/>
  <c r="G62" i="3"/>
  <c r="G63" i="3" s="1"/>
  <c r="AD74" i="5"/>
  <c r="AD139" i="5" s="1"/>
  <c r="AD104" i="5"/>
  <c r="L116" i="4"/>
  <c r="AG114" i="4"/>
  <c r="AG110" i="4"/>
  <c r="AG111" i="4" s="1"/>
  <c r="M49" i="7"/>
  <c r="M75" i="7"/>
  <c r="M134" i="7" s="1"/>
  <c r="L39" i="4"/>
  <c r="L40" i="4" s="1"/>
  <c r="L78" i="4" s="1"/>
  <c r="AQ128" i="5"/>
  <c r="AQ130" i="5" s="1"/>
  <c r="J75" i="7"/>
  <c r="J134" i="7" s="1"/>
  <c r="J49" i="7"/>
  <c r="G135" i="3"/>
  <c r="G87" i="3"/>
  <c r="X39" i="4"/>
  <c r="X40" i="4" s="1"/>
  <c r="X78" i="4" s="1"/>
  <c r="AN104" i="5"/>
  <c r="AN146" i="5" s="1"/>
  <c r="AN74" i="5"/>
  <c r="AN139" i="5" s="1"/>
  <c r="AN149" i="5" s="1"/>
  <c r="AN150" i="5" s="1"/>
  <c r="J104" i="5"/>
  <c r="J74" i="5"/>
  <c r="J139" i="5" s="1"/>
  <c r="W17" i="9"/>
  <c r="U17" i="9"/>
  <c r="V17" i="9" s="1"/>
  <c r="AH7" i="8"/>
  <c r="F19" i="1"/>
  <c r="I132" i="3"/>
  <c r="L89" i="3"/>
  <c r="L88" i="3"/>
  <c r="AM134" i="4"/>
  <c r="AM133" i="4"/>
  <c r="AM79" i="4"/>
  <c r="AM80" i="4" s="1"/>
  <c r="W23" i="9"/>
  <c r="U23" i="9"/>
  <c r="V23" i="9" s="1"/>
  <c r="I75" i="3"/>
  <c r="I134" i="3" s="1"/>
  <c r="I49" i="3"/>
  <c r="I104" i="3"/>
  <c r="I106" i="3" s="1"/>
  <c r="AB116" i="4"/>
  <c r="AA18" i="9"/>
  <c r="AB18" i="9" s="1"/>
  <c r="AC18" i="9"/>
  <c r="AD49" i="5"/>
  <c r="AD50" i="5" s="1"/>
  <c r="AD46" i="5"/>
  <c r="AD54" i="5"/>
  <c r="AD63" i="5" s="1"/>
  <c r="AD84" i="5" s="1"/>
  <c r="AD86" i="5" s="1"/>
  <c r="H89" i="7"/>
  <c r="H90" i="7" s="1"/>
  <c r="H91" i="7" s="1"/>
  <c r="H136" i="7" s="1"/>
  <c r="H88" i="7"/>
  <c r="E98" i="7"/>
  <c r="E133" i="7"/>
  <c r="G110" i="4"/>
  <c r="G111" i="4" s="1"/>
  <c r="G146" i="4" s="1"/>
  <c r="G114" i="4"/>
  <c r="Y46" i="4"/>
  <c r="Y49" i="4"/>
  <c r="Y50" i="4" s="1"/>
  <c r="Y54" i="4"/>
  <c r="Y63" i="4" s="1"/>
  <c r="Y84" i="4" s="1"/>
  <c r="Y86" i="4" s="1"/>
  <c r="J46" i="5"/>
  <c r="J49" i="5"/>
  <c r="J50" i="5" s="1"/>
  <c r="J54" i="5"/>
  <c r="J63" i="5" s="1"/>
  <c r="J84" i="5" s="1"/>
  <c r="J86" i="5" s="1"/>
  <c r="Z25" i="9"/>
  <c r="X25" i="9"/>
  <c r="Y25" i="9" s="1"/>
  <c r="AT39" i="4"/>
  <c r="AT40" i="4" s="1"/>
  <c r="AT78" i="4" s="1"/>
  <c r="M46" i="4"/>
  <c r="M49" i="4"/>
  <c r="M50" i="4" s="1"/>
  <c r="M54" i="4"/>
  <c r="M63" i="4" s="1"/>
  <c r="M84" i="4" s="1"/>
  <c r="V39" i="4"/>
  <c r="V40" i="4" s="1"/>
  <c r="V78" i="4" s="1"/>
  <c r="Z10" i="9"/>
  <c r="X10" i="9"/>
  <c r="Y10" i="9" s="1"/>
  <c r="Z28" i="9"/>
  <c r="X28" i="9"/>
  <c r="Y28" i="9" s="1"/>
  <c r="W19" i="9"/>
  <c r="U19" i="9"/>
  <c r="V19" i="9" s="1"/>
  <c r="W13" i="9"/>
  <c r="U13" i="9"/>
  <c r="V13" i="9" s="1"/>
  <c r="L90" i="3"/>
  <c r="L91" i="3" s="1"/>
  <c r="L136" i="3" s="1"/>
  <c r="AG141" i="4"/>
  <c r="AG93" i="4"/>
  <c r="AG94" i="4" s="1"/>
  <c r="AG95" i="4" s="1"/>
  <c r="W9" i="9"/>
  <c r="U9" i="9"/>
  <c r="V9" i="9" s="1"/>
  <c r="W29" i="9"/>
  <c r="U29" i="9"/>
  <c r="V29" i="9" s="1"/>
  <c r="M87" i="3"/>
  <c r="M135" i="3"/>
  <c r="N114" i="5"/>
  <c r="N110" i="5"/>
  <c r="N111" i="5" s="1"/>
  <c r="N146" i="5" s="1"/>
  <c r="AN116" i="5"/>
  <c r="J116" i="5"/>
  <c r="AS104" i="5"/>
  <c r="AS146" i="5" s="1"/>
  <c r="AS74" i="5"/>
  <c r="AS139" i="5" s="1"/>
  <c r="AS149" i="5" s="1"/>
  <c r="AS150" i="5" s="1"/>
  <c r="J99" i="3"/>
  <c r="J112" i="3"/>
  <c r="J101" i="3"/>
  <c r="J94" i="3"/>
  <c r="J108" i="3"/>
  <c r="J122" i="3"/>
  <c r="J109" i="3"/>
  <c r="J97" i="3"/>
  <c r="J103" i="3" s="1"/>
  <c r="J105" i="3" s="1"/>
  <c r="AC39" i="5"/>
  <c r="AC40" i="5" s="1"/>
  <c r="AC78" i="5" s="1"/>
  <c r="AM46" i="4"/>
  <c r="AM49" i="4"/>
  <c r="AM50" i="4" s="1"/>
  <c r="AM54" i="4"/>
  <c r="AM63" i="4" s="1"/>
  <c r="AM84" i="4" s="1"/>
  <c r="AM86" i="4" s="1"/>
  <c r="U116" i="4"/>
  <c r="AS133" i="4"/>
  <c r="AS79" i="4"/>
  <c r="AS80" i="4" s="1"/>
  <c r="AS134" i="4"/>
  <c r="AC8" i="9"/>
  <c r="AA8" i="9"/>
  <c r="AB8" i="9" s="1"/>
  <c r="AH10" i="8"/>
  <c r="L132" i="3"/>
  <c r="I19" i="1"/>
  <c r="E88" i="3"/>
  <c r="E89" i="3"/>
  <c r="E90" i="3" s="1"/>
  <c r="E91" i="3" s="1"/>
  <c r="E136" i="3" s="1"/>
  <c r="F90" i="7"/>
  <c r="F91" i="7" s="1"/>
  <c r="F136" i="7" s="1"/>
  <c r="E46" i="5"/>
  <c r="E49" i="5"/>
  <c r="E50" i="5" s="1"/>
  <c r="E54" i="5"/>
  <c r="E63" i="5" s="1"/>
  <c r="E84" i="5" s="1"/>
  <c r="F88" i="3"/>
  <c r="F89" i="3"/>
  <c r="F90" i="3" s="1"/>
  <c r="F91" i="3" s="1"/>
  <c r="F136" i="3" s="1"/>
  <c r="H49" i="7"/>
  <c r="H75" i="7"/>
  <c r="H134" i="7" s="1"/>
  <c r="T124" i="4"/>
  <c r="T126" i="4" s="1"/>
  <c r="F46" i="3"/>
  <c r="F47" i="3"/>
  <c r="F48" i="3"/>
  <c r="Y104" i="4"/>
  <c r="Y74" i="4"/>
  <c r="Y139" i="4" s="1"/>
  <c r="M104" i="7"/>
  <c r="M106" i="7" s="1"/>
  <c r="L75" i="3"/>
  <c r="L134" i="3" s="1"/>
  <c r="L49" i="3"/>
  <c r="AG62" i="4"/>
  <c r="AD39" i="4"/>
  <c r="AD40" i="4" s="1"/>
  <c r="AD78" i="4" s="1"/>
  <c r="W11" i="9"/>
  <c r="U11" i="9"/>
  <c r="V11" i="9" s="1"/>
  <c r="X24" i="9"/>
  <c r="Y24" i="9" s="1"/>
  <c r="Z24" i="9"/>
  <c r="G39" i="4"/>
  <c r="G40" i="4" s="1"/>
  <c r="G78" i="4" s="1"/>
  <c r="F75" i="7"/>
  <c r="F134" i="7" s="1"/>
  <c r="F49" i="7"/>
  <c r="F104" i="7"/>
  <c r="F106" i="7" s="1"/>
  <c r="AA116" i="5"/>
  <c r="AN79" i="5"/>
  <c r="AN80" i="5" s="1"/>
  <c r="AN133" i="5"/>
  <c r="AN134" i="5"/>
  <c r="W15" i="9"/>
  <c r="U15" i="9"/>
  <c r="V15" i="9" s="1"/>
  <c r="F88" i="7"/>
  <c r="F89" i="7"/>
  <c r="Y116" i="4"/>
  <c r="AS116" i="5"/>
  <c r="K49" i="3"/>
  <c r="K75" i="3"/>
  <c r="K134" i="3" s="1"/>
  <c r="AM116" i="4"/>
  <c r="W27" i="9"/>
  <c r="U27" i="9"/>
  <c r="AD116" i="5"/>
  <c r="X26" i="9"/>
  <c r="Y26" i="9" s="1"/>
  <c r="Z26" i="9"/>
  <c r="I49" i="7"/>
  <c r="I75" i="7"/>
  <c r="I134" i="7" s="1"/>
  <c r="AH3" i="8"/>
  <c r="B19" i="1"/>
  <c r="E132" i="3"/>
  <c r="AA46" i="5"/>
  <c r="AA49" i="5"/>
  <c r="AA50" i="5" s="1"/>
  <c r="AA54" i="5"/>
  <c r="AA63" i="5" s="1"/>
  <c r="AA84" i="5" s="1"/>
  <c r="AA86" i="5" s="1"/>
  <c r="W7" i="9"/>
  <c r="U7" i="9"/>
  <c r="V7" i="9" s="1"/>
  <c r="H89" i="3"/>
  <c r="H88" i="3"/>
  <c r="AR114" i="5"/>
  <c r="AR110" i="5"/>
  <c r="AR111" i="5" s="1"/>
  <c r="W39" i="4"/>
  <c r="W40" i="4" s="1"/>
  <c r="W78" i="4" s="1"/>
  <c r="J90" i="7"/>
  <c r="J91" i="7" s="1"/>
  <c r="J136" i="7" s="1"/>
  <c r="W12" i="9"/>
  <c r="U12" i="9"/>
  <c r="V12" i="9" s="1"/>
  <c r="E39" i="7"/>
  <c r="E40" i="7"/>
  <c r="AQ133" i="5"/>
  <c r="AQ79" i="5"/>
  <c r="AQ80" i="5" s="1"/>
  <c r="AQ134" i="5"/>
  <c r="AK114" i="4"/>
  <c r="AK110" i="4"/>
  <c r="AK111" i="4" s="1"/>
  <c r="L89" i="7"/>
  <c r="L90" i="7" s="1"/>
  <c r="L91" i="7" s="1"/>
  <c r="L136" i="7" s="1"/>
  <c r="L88" i="7"/>
  <c r="K89" i="7"/>
  <c r="K90" i="7" s="1"/>
  <c r="K91" i="7" s="1"/>
  <c r="K136" i="7" s="1"/>
  <c r="K88" i="7"/>
  <c r="L49" i="7"/>
  <c r="L75" i="7"/>
  <c r="L134" i="7" s="1"/>
  <c r="K49" i="7"/>
  <c r="K75" i="7"/>
  <c r="K134" i="7" s="1"/>
  <c r="AH11" i="8"/>
  <c r="M132" i="3"/>
  <c r="J19" i="1"/>
  <c r="E75" i="3"/>
  <c r="E134" i="3" s="1"/>
  <c r="E49" i="3"/>
  <c r="L104" i="7"/>
  <c r="L106" i="7" s="1"/>
  <c r="AM74" i="4"/>
  <c r="AM139" i="4" s="1"/>
  <c r="AM149" i="4" s="1"/>
  <c r="AM150" i="4" s="1"/>
  <c r="AM104" i="4"/>
  <c r="AM146" i="4" s="1"/>
  <c r="AA104" i="5"/>
  <c r="AA74" i="5"/>
  <c r="AA139" i="5" s="1"/>
  <c r="G47" i="7"/>
  <c r="G48" i="7"/>
  <c r="G46" i="7"/>
  <c r="G45" i="7" s="1"/>
  <c r="L74" i="4"/>
  <c r="L139" i="4" s="1"/>
  <c r="L104" i="4"/>
  <c r="AK62" i="5"/>
  <c r="Y116" i="5"/>
  <c r="H90" i="3"/>
  <c r="H91" i="3" s="1"/>
  <c r="H136" i="3" s="1"/>
  <c r="W22" i="9"/>
  <c r="U22" i="9"/>
  <c r="V22" i="9" s="1"/>
  <c r="W21" i="9"/>
  <c r="U21" i="9"/>
  <c r="I39" i="4"/>
  <c r="I40" i="4" s="1"/>
  <c r="I78" i="4" s="1"/>
  <c r="AS49" i="5"/>
  <c r="AS50" i="5" s="1"/>
  <c r="AS46" i="5"/>
  <c r="AS54" i="5"/>
  <c r="AS63" i="5" s="1"/>
  <c r="AS84" i="5" s="1"/>
  <c r="AS86" i="5" s="1"/>
  <c r="J39" i="4"/>
  <c r="J40" i="4" s="1"/>
  <c r="J78" i="4" s="1"/>
  <c r="G141" i="4"/>
  <c r="G93" i="4"/>
  <c r="G94" i="4" s="1"/>
  <c r="G95" i="4" s="1"/>
  <c r="L46" i="4"/>
  <c r="L49" i="4"/>
  <c r="L50" i="4" s="1"/>
  <c r="L54" i="4"/>
  <c r="L63" i="4" s="1"/>
  <c r="L84" i="4" s="1"/>
  <c r="L86" i="4" s="1"/>
  <c r="Z6" i="9"/>
  <c r="X6" i="9"/>
  <c r="Y6" i="9" s="1"/>
  <c r="AN110" i="5"/>
  <c r="AN111" i="5" s="1"/>
  <c r="AN114" i="5"/>
  <c r="H49" i="3"/>
  <c r="H75" i="3"/>
  <c r="H134" i="3" s="1"/>
  <c r="W16" i="9"/>
  <c r="U16" i="9"/>
  <c r="V16" i="9" s="1"/>
  <c r="I104" i="4"/>
  <c r="W20" i="9"/>
  <c r="U20" i="9"/>
  <c r="V20" i="9" s="1"/>
  <c r="Z14" i="9"/>
  <c r="X14" i="9"/>
  <c r="Y14" i="9" s="1"/>
  <c r="L108" i="4"/>
  <c r="L109" i="4" s="1"/>
  <c r="W30" i="9"/>
  <c r="U30" i="9"/>
  <c r="V30" i="9" s="1"/>
  <c r="AS133" i="5"/>
  <c r="AS134" i="5"/>
  <c r="AS79" i="5"/>
  <c r="AS80" i="5" s="1"/>
  <c r="AQ62" i="5"/>
  <c r="AC114" i="5"/>
  <c r="AC110" i="5"/>
  <c r="AC111" i="5" s="1"/>
  <c r="AC146" i="5" s="1"/>
  <c r="T125" i="5"/>
  <c r="T127" i="5" s="1"/>
  <c r="T124" i="5"/>
  <c r="T128" i="5"/>
  <c r="T130" i="5" s="1"/>
  <c r="T129" i="5"/>
  <c r="T131" i="5" s="1"/>
  <c r="AM108" i="4"/>
  <c r="AM109" i="4" s="1"/>
  <c r="AN46" i="5"/>
  <c r="AN49" i="5"/>
  <c r="AN50" i="5" s="1"/>
  <c r="AN54" i="5"/>
  <c r="AN63" i="5" s="1"/>
  <c r="AN84" i="5" s="1"/>
  <c r="AN86" i="5" s="1"/>
  <c r="M108" i="4"/>
  <c r="M109" i="4" s="1"/>
  <c r="W62" i="4"/>
  <c r="I88" i="7"/>
  <c r="I89" i="7"/>
  <c r="I90" i="7"/>
  <c r="I91" i="7" s="1"/>
  <c r="I136" i="7" s="1"/>
  <c r="M49" i="3"/>
  <c r="M75" i="3"/>
  <c r="M134" i="3" s="1"/>
  <c r="AH9" i="8"/>
  <c r="K132" i="3"/>
  <c r="H19" i="1"/>
  <c r="N39" i="5"/>
  <c r="N40" i="5" s="1"/>
  <c r="N78" i="5" s="1"/>
  <c r="K89" i="3"/>
  <c r="K90" i="3" s="1"/>
  <c r="K91" i="3" s="1"/>
  <c r="K136" i="3" s="1"/>
  <c r="K88" i="3"/>
  <c r="P93" i="4"/>
  <c r="P94" i="4" s="1"/>
  <c r="P95" i="4" s="1"/>
  <c r="P141" i="4"/>
  <c r="AH6" i="8"/>
  <c r="E19" i="1"/>
  <c r="H132" i="3"/>
  <c r="M88" i="7"/>
  <c r="M89" i="7"/>
  <c r="M90" i="7" s="1"/>
  <c r="M91" i="7" s="1"/>
  <c r="M136" i="7" s="1"/>
  <c r="T117" i="5"/>
  <c r="J89" i="7"/>
  <c r="J88" i="7"/>
  <c r="E104" i="3"/>
  <c r="E106" i="3" s="1"/>
  <c r="I88" i="3"/>
  <c r="I89" i="3"/>
  <c r="I90" i="3" s="1"/>
  <c r="I91" i="3" s="1"/>
  <c r="I136" i="3" s="1"/>
  <c r="F39" i="5"/>
  <c r="F40" i="5" s="1"/>
  <c r="F78" i="5" s="1"/>
  <c r="M86" i="4" l="1"/>
  <c r="M74" i="4"/>
  <c r="M139" i="4" s="1"/>
  <c r="AQ133" i="4"/>
  <c r="AQ79" i="4"/>
  <c r="AQ80" i="4" s="1"/>
  <c r="AQ117" i="4" s="1"/>
  <c r="U111" i="4"/>
  <c r="U49" i="4"/>
  <c r="U50" i="4" s="1"/>
  <c r="U114" i="4"/>
  <c r="U128" i="4" s="1"/>
  <c r="U130" i="4" s="1"/>
  <c r="U46" i="4"/>
  <c r="U62" i="4" s="1"/>
  <c r="U74" i="4"/>
  <c r="U139" i="4" s="1"/>
  <c r="S141" i="4"/>
  <c r="U86" i="4"/>
  <c r="U93" i="4" s="1"/>
  <c r="U94" i="4" s="1"/>
  <c r="U95" i="4" s="1"/>
  <c r="V62" i="4"/>
  <c r="V77" i="4" s="1"/>
  <c r="S110" i="4"/>
  <c r="S111" i="4" s="1"/>
  <c r="S146" i="4" s="1"/>
  <c r="AP108" i="4"/>
  <c r="AP109" i="4" s="1"/>
  <c r="AP114" i="4" s="1"/>
  <c r="AP124" i="4" s="1"/>
  <c r="AP126" i="4" s="1"/>
  <c r="E110" i="4"/>
  <c r="E111" i="4" s="1"/>
  <c r="E146" i="4" s="1"/>
  <c r="G146" i="5"/>
  <c r="AE86" i="4"/>
  <c r="AE93" i="4" s="1"/>
  <c r="AE94" i="4" s="1"/>
  <c r="AE95" i="4" s="1"/>
  <c r="I54" i="4"/>
  <c r="I63" i="4" s="1"/>
  <c r="I84" i="4" s="1"/>
  <c r="I86" i="4" s="1"/>
  <c r="I93" i="4" s="1"/>
  <c r="I94" i="4" s="1"/>
  <c r="I95" i="4" s="1"/>
  <c r="I49" i="4"/>
  <c r="I50" i="4" s="1"/>
  <c r="I62" i="4" s="1"/>
  <c r="I120" i="4" s="1"/>
  <c r="I121" i="4" s="1"/>
  <c r="R46" i="5"/>
  <c r="R62" i="5" s="1"/>
  <c r="R120" i="5" s="1"/>
  <c r="R121" i="5" s="1"/>
  <c r="U54" i="5"/>
  <c r="U63" i="5" s="1"/>
  <c r="U84" i="5" s="1"/>
  <c r="U86" i="5" s="1"/>
  <c r="U141" i="5" s="1"/>
  <c r="R54" i="5"/>
  <c r="R63" i="5" s="1"/>
  <c r="R84" i="5" s="1"/>
  <c r="R86" i="5" s="1"/>
  <c r="R141" i="5" s="1"/>
  <c r="T146" i="4"/>
  <c r="AG62" i="5"/>
  <c r="AG77" i="5" s="1"/>
  <c r="AE74" i="4"/>
  <c r="AE139" i="4" s="1"/>
  <c r="AE149" i="4" s="1"/>
  <c r="AE150" i="4" s="1"/>
  <c r="AP134" i="4"/>
  <c r="AP133" i="4"/>
  <c r="I74" i="4"/>
  <c r="I139" i="4" s="1"/>
  <c r="AR46" i="4"/>
  <c r="AR62" i="4" s="1"/>
  <c r="AR120" i="4" s="1"/>
  <c r="AR121" i="4" s="1"/>
  <c r="AP54" i="4"/>
  <c r="AP63" i="4" s="1"/>
  <c r="AP84" i="4" s="1"/>
  <c r="AP86" i="4" s="1"/>
  <c r="AP141" i="4" s="1"/>
  <c r="E54" i="4"/>
  <c r="E63" i="4" s="1"/>
  <c r="E84" i="4" s="1"/>
  <c r="E86" i="4" s="1"/>
  <c r="E141" i="4" s="1"/>
  <c r="AP46" i="4"/>
  <c r="AP62" i="4" s="1"/>
  <c r="R125" i="4"/>
  <c r="R127" i="4" s="1"/>
  <c r="U46" i="5"/>
  <c r="U62" i="5" s="1"/>
  <c r="U77" i="5" s="1"/>
  <c r="AQ111" i="4"/>
  <c r="F74" i="5"/>
  <c r="F139" i="5" s="1"/>
  <c r="E128" i="4"/>
  <c r="E130" i="4" s="1"/>
  <c r="E74" i="4"/>
  <c r="E139" i="4" s="1"/>
  <c r="AG86" i="5"/>
  <c r="AG93" i="5" s="1"/>
  <c r="AG94" i="5" s="1"/>
  <c r="AG95" i="5" s="1"/>
  <c r="T141" i="4"/>
  <c r="F49" i="5"/>
  <c r="F50" i="5" s="1"/>
  <c r="F62" i="5" s="1"/>
  <c r="F104" i="5"/>
  <c r="E125" i="4"/>
  <c r="E127" i="4" s="1"/>
  <c r="AG111" i="5"/>
  <c r="R129" i="4"/>
  <c r="R131" i="4" s="1"/>
  <c r="E124" i="4"/>
  <c r="E126" i="4" s="1"/>
  <c r="R49" i="4"/>
  <c r="R50" i="4" s="1"/>
  <c r="R62" i="4" s="1"/>
  <c r="R120" i="4" s="1"/>
  <c r="R121" i="4" s="1"/>
  <c r="AG74" i="5"/>
  <c r="AG139" i="5" s="1"/>
  <c r="AG149" i="5" s="1"/>
  <c r="AG150" i="5" s="1"/>
  <c r="R111" i="5"/>
  <c r="R146" i="5" s="1"/>
  <c r="U74" i="5"/>
  <c r="U139" i="5" s="1"/>
  <c r="F54" i="5"/>
  <c r="F63" i="5" s="1"/>
  <c r="F84" i="5" s="1"/>
  <c r="F86" i="5" s="1"/>
  <c r="F141" i="5" s="1"/>
  <c r="E129" i="4"/>
  <c r="E131" i="4" s="1"/>
  <c r="AP74" i="4"/>
  <c r="AP139" i="4" s="1"/>
  <c r="AP149" i="4" s="1"/>
  <c r="AP150" i="4" s="1"/>
  <c r="E49" i="4"/>
  <c r="E50" i="4" s="1"/>
  <c r="E62" i="4" s="1"/>
  <c r="E77" i="4" s="1"/>
  <c r="V86" i="4"/>
  <c r="V93" i="4" s="1"/>
  <c r="V94" i="4" s="1"/>
  <c r="V95" i="4" s="1"/>
  <c r="AE46" i="4"/>
  <c r="AR54" i="4"/>
  <c r="AR63" i="4" s="1"/>
  <c r="AR84" i="4" s="1"/>
  <c r="AR86" i="4" s="1"/>
  <c r="AR93" i="4" s="1"/>
  <c r="AR94" i="4" s="1"/>
  <c r="AR95" i="4" s="1"/>
  <c r="R74" i="5"/>
  <c r="R139" i="5" s="1"/>
  <c r="AP133" i="5"/>
  <c r="AR74" i="4"/>
  <c r="AR139" i="4" s="1"/>
  <c r="AR149" i="4" s="1"/>
  <c r="AR150" i="4" s="1"/>
  <c r="AE49" i="4"/>
  <c r="AE50" i="4" s="1"/>
  <c r="H74" i="5"/>
  <c r="H139" i="5" s="1"/>
  <c r="V108" i="4"/>
  <c r="V109" i="4" s="1"/>
  <c r="V110" i="4" s="1"/>
  <c r="V111" i="4" s="1"/>
  <c r="V146" i="4" s="1"/>
  <c r="AQ86" i="4"/>
  <c r="AQ93" i="4" s="1"/>
  <c r="AQ94" i="4" s="1"/>
  <c r="AQ95" i="4" s="1"/>
  <c r="H54" i="5"/>
  <c r="H63" i="5" s="1"/>
  <c r="H84" i="5" s="1"/>
  <c r="H86" i="5" s="1"/>
  <c r="H93" i="5" s="1"/>
  <c r="H94" i="5" s="1"/>
  <c r="H46" i="5"/>
  <c r="H62" i="5" s="1"/>
  <c r="H124" i="5"/>
  <c r="H126" i="5" s="1"/>
  <c r="R74" i="4"/>
  <c r="R139" i="4" s="1"/>
  <c r="R128" i="4"/>
  <c r="R130" i="4" s="1"/>
  <c r="R124" i="4"/>
  <c r="R126" i="4" s="1"/>
  <c r="R134" i="4" s="1"/>
  <c r="AP114" i="5"/>
  <c r="AP124" i="5" s="1"/>
  <c r="AP126" i="5" s="1"/>
  <c r="AP110" i="5"/>
  <c r="AP111" i="5" s="1"/>
  <c r="AD120" i="4"/>
  <c r="AD121" i="4" s="1"/>
  <c r="AQ74" i="4"/>
  <c r="AQ139" i="4" s="1"/>
  <c r="AQ149" i="4" s="1"/>
  <c r="AQ150" i="4" s="1"/>
  <c r="G93" i="5"/>
  <c r="G94" i="5" s="1"/>
  <c r="G95" i="5" s="1"/>
  <c r="G114" i="5"/>
  <c r="G128" i="5" s="1"/>
  <c r="G130" i="5" s="1"/>
  <c r="V74" i="4"/>
  <c r="V139" i="4" s="1"/>
  <c r="AJ62" i="4"/>
  <c r="AJ77" i="4" s="1"/>
  <c r="R54" i="4"/>
  <c r="R63" i="4" s="1"/>
  <c r="R84" i="4" s="1"/>
  <c r="R86" i="4" s="1"/>
  <c r="R110" i="4"/>
  <c r="R111" i="4" s="1"/>
  <c r="R146" i="4" s="1"/>
  <c r="AP93" i="5"/>
  <c r="AP94" i="5" s="1"/>
  <c r="AP95" i="5" s="1"/>
  <c r="AP79" i="5"/>
  <c r="AP80" i="5" s="1"/>
  <c r="AP117" i="5" s="1"/>
  <c r="AD141" i="4"/>
  <c r="S74" i="5"/>
  <c r="S139" i="5" s="1"/>
  <c r="S54" i="5"/>
  <c r="S63" i="5" s="1"/>
  <c r="S84" i="5" s="1"/>
  <c r="S86" i="5" s="1"/>
  <c r="S93" i="5" s="1"/>
  <c r="S94" i="5" s="1"/>
  <c r="S95" i="5" s="1"/>
  <c r="S46" i="5"/>
  <c r="S62" i="5" s="1"/>
  <c r="H108" i="4"/>
  <c r="H109" i="4" s="1"/>
  <c r="H114" i="4" s="1"/>
  <c r="H128" i="4" s="1"/>
  <c r="H130" i="4" s="1"/>
  <c r="E74" i="5"/>
  <c r="E139" i="5" s="1"/>
  <c r="H93" i="4"/>
  <c r="H94" i="4" s="1"/>
  <c r="H95" i="4" s="1"/>
  <c r="X104" i="5"/>
  <c r="X108" i="5"/>
  <c r="X109" i="5" s="1"/>
  <c r="X110" i="5" s="1"/>
  <c r="X111" i="5" s="1"/>
  <c r="X49" i="5"/>
  <c r="X50" i="5" s="1"/>
  <c r="X62" i="5" s="1"/>
  <c r="X120" i="5" s="1"/>
  <c r="X121" i="5" s="1"/>
  <c r="AE114" i="5"/>
  <c r="AE124" i="5" s="1"/>
  <c r="H62" i="4"/>
  <c r="E86" i="5"/>
  <c r="E93" i="5" s="1"/>
  <c r="E94" i="5" s="1"/>
  <c r="E95" i="5" s="1"/>
  <c r="E104" i="5"/>
  <c r="E146" i="5" s="1"/>
  <c r="K146" i="5"/>
  <c r="X54" i="5"/>
  <c r="X63" i="5" s="1"/>
  <c r="X84" i="5" s="1"/>
  <c r="X86" i="5" s="1"/>
  <c r="X93" i="5" s="1"/>
  <c r="X94" i="5" s="1"/>
  <c r="X95" i="5" s="1"/>
  <c r="E111" i="5"/>
  <c r="Y104" i="5"/>
  <c r="Y146" i="5" s="1"/>
  <c r="W141" i="4"/>
  <c r="K74" i="5"/>
  <c r="K139" i="5" s="1"/>
  <c r="Y111" i="5"/>
  <c r="K49" i="5"/>
  <c r="K50" i="5" s="1"/>
  <c r="K62" i="5" s="1"/>
  <c r="K120" i="5" s="1"/>
  <c r="K121" i="5" s="1"/>
  <c r="K54" i="5"/>
  <c r="K63" i="5" s="1"/>
  <c r="K84" i="5" s="1"/>
  <c r="K86" i="5" s="1"/>
  <c r="K93" i="5" s="1"/>
  <c r="K94" i="5" s="1"/>
  <c r="K95" i="5" s="1"/>
  <c r="AE141" i="5"/>
  <c r="W111" i="5"/>
  <c r="O39" i="4"/>
  <c r="O40" i="4" s="1"/>
  <c r="O78" i="4" s="1"/>
  <c r="O79" i="4" s="1"/>
  <c r="O80" i="4" s="1"/>
  <c r="AE150" i="5"/>
  <c r="G120" i="4"/>
  <c r="G121" i="4" s="1"/>
  <c r="AR110" i="4"/>
  <c r="AR111" i="4" s="1"/>
  <c r="W74" i="5"/>
  <c r="W139" i="5" s="1"/>
  <c r="K51" i="6"/>
  <c r="K52" i="6" s="1"/>
  <c r="Y46" i="5"/>
  <c r="Y62" i="5" s="1"/>
  <c r="Y77" i="5" s="1"/>
  <c r="J146" i="4"/>
  <c r="AR62" i="5"/>
  <c r="AR77" i="5" s="1"/>
  <c r="AR135" i="5" s="1"/>
  <c r="AR147" i="5" s="1"/>
  <c r="N74" i="4"/>
  <c r="N139" i="4" s="1"/>
  <c r="W110" i="4"/>
  <c r="W111" i="4" s="1"/>
  <c r="W146" i="4" s="1"/>
  <c r="W54" i="5"/>
  <c r="W63" i="5" s="1"/>
  <c r="W84" i="5" s="1"/>
  <c r="W86" i="5" s="1"/>
  <c r="W141" i="5" s="1"/>
  <c r="I39" i="5"/>
  <c r="I40" i="5" s="1"/>
  <c r="I78" i="5" s="1"/>
  <c r="I79" i="5" s="1"/>
  <c r="I80" i="5" s="1"/>
  <c r="I117" i="5" s="1"/>
  <c r="AA62" i="4"/>
  <c r="AA77" i="4" s="1"/>
  <c r="Y39" i="5"/>
  <c r="Y40" i="5" s="1"/>
  <c r="Y78" i="5" s="1"/>
  <c r="Y79" i="5" s="1"/>
  <c r="Y80" i="5" s="1"/>
  <c r="Y117" i="5" s="1"/>
  <c r="AN108" i="4"/>
  <c r="AN109" i="4" s="1"/>
  <c r="AN114" i="4" s="1"/>
  <c r="AN128" i="4" s="1"/>
  <c r="AN130" i="4" s="1"/>
  <c r="W49" i="5"/>
  <c r="W50" i="5" s="1"/>
  <c r="W62" i="5" s="1"/>
  <c r="M141" i="5"/>
  <c r="N108" i="4"/>
  <c r="N109" i="4" s="1"/>
  <c r="N114" i="4" s="1"/>
  <c r="Y54" i="5"/>
  <c r="Y63" i="5" s="1"/>
  <c r="Y84" i="5" s="1"/>
  <c r="Y86" i="5" s="1"/>
  <c r="Y141" i="5" s="1"/>
  <c r="AF114" i="5"/>
  <c r="AF124" i="5" s="1"/>
  <c r="AH39" i="4"/>
  <c r="AH40" i="4" s="1"/>
  <c r="AH78" i="4" s="1"/>
  <c r="AH79" i="4" s="1"/>
  <c r="AH80" i="4" s="1"/>
  <c r="AH117" i="4" s="1"/>
  <c r="X51" i="6"/>
  <c r="X52" i="6" s="1"/>
  <c r="K39" i="4"/>
  <c r="K40" i="4" s="1"/>
  <c r="K78" i="4" s="1"/>
  <c r="K79" i="4" s="1"/>
  <c r="K80" i="4" s="1"/>
  <c r="K117" i="4" s="1"/>
  <c r="AK114" i="5"/>
  <c r="AK124" i="5" s="1"/>
  <c r="AK126" i="5" s="1"/>
  <c r="K39" i="5"/>
  <c r="K40" i="5" s="1"/>
  <c r="K78" i="5" s="1"/>
  <c r="K79" i="5" s="1"/>
  <c r="K80" i="5" s="1"/>
  <c r="O49" i="5"/>
  <c r="O50" i="5" s="1"/>
  <c r="AJ150" i="4"/>
  <c r="AO133" i="4"/>
  <c r="O46" i="5"/>
  <c r="N104" i="4"/>
  <c r="AO79" i="4"/>
  <c r="AO80" i="4" s="1"/>
  <c r="AO117" i="4" s="1"/>
  <c r="AD110" i="4"/>
  <c r="AD111" i="4" s="1"/>
  <c r="AD146" i="4" s="1"/>
  <c r="M110" i="5"/>
  <c r="M111" i="5" s="1"/>
  <c r="M146" i="5" s="1"/>
  <c r="AB54" i="4"/>
  <c r="AB63" i="4" s="1"/>
  <c r="AB84" i="4" s="1"/>
  <c r="AB86" i="4" s="1"/>
  <c r="AB141" i="4" s="1"/>
  <c r="AK141" i="4"/>
  <c r="AJ51" i="6"/>
  <c r="AJ52" i="6" s="1"/>
  <c r="Q39" i="4"/>
  <c r="Q40" i="4" s="1"/>
  <c r="Q78" i="4" s="1"/>
  <c r="Q79" i="4" s="1"/>
  <c r="Q80" i="4" s="1"/>
  <c r="Q117" i="4" s="1"/>
  <c r="AB46" i="4"/>
  <c r="AB62" i="4" s="1"/>
  <c r="Y110" i="4"/>
  <c r="Y111" i="4" s="1"/>
  <c r="Y146" i="4" s="1"/>
  <c r="Q39" i="5"/>
  <c r="Q40" i="5" s="1"/>
  <c r="Q78" i="5" s="1"/>
  <c r="Q79" i="5" s="1"/>
  <c r="Q80" i="5" s="1"/>
  <c r="AK141" i="5"/>
  <c r="AK134" i="5"/>
  <c r="N46" i="4"/>
  <c r="N49" i="4"/>
  <c r="N50" i="4" s="1"/>
  <c r="AL79" i="5"/>
  <c r="AL80" i="5" s="1"/>
  <c r="AN46" i="4"/>
  <c r="AN62" i="4" s="1"/>
  <c r="AN77" i="4" s="1"/>
  <c r="AN81" i="4" s="1"/>
  <c r="AL134" i="5"/>
  <c r="P108" i="5"/>
  <c r="P109" i="5" s="1"/>
  <c r="P114" i="5" s="1"/>
  <c r="M51" i="6"/>
  <c r="M52" i="6" s="1"/>
  <c r="Y39" i="4"/>
  <c r="Y40" i="4" s="1"/>
  <c r="Y78" i="4" s="1"/>
  <c r="Y79" i="4" s="1"/>
  <c r="Y80" i="4" s="1"/>
  <c r="Y117" i="4" s="1"/>
  <c r="AC141" i="5"/>
  <c r="Z86" i="5"/>
  <c r="Z93" i="5" s="1"/>
  <c r="Z94" i="5" s="1"/>
  <c r="Z95" i="5" s="1"/>
  <c r="AN54" i="4"/>
  <c r="AN63" i="4" s="1"/>
  <c r="AN84" i="4" s="1"/>
  <c r="AN86" i="4" s="1"/>
  <c r="AN141" i="4" s="1"/>
  <c r="AT74" i="4"/>
  <c r="AT139" i="4" s="1"/>
  <c r="AI39" i="4"/>
  <c r="AI40" i="4" s="1"/>
  <c r="AI78" i="4" s="1"/>
  <c r="AI79" i="4" s="1"/>
  <c r="AI80" i="4" s="1"/>
  <c r="AI117" i="4" s="1"/>
  <c r="P110" i="4"/>
  <c r="P111" i="4" s="1"/>
  <c r="P146" i="4" s="1"/>
  <c r="AL141" i="5"/>
  <c r="AL93" i="5"/>
  <c r="AL94" i="5" s="1"/>
  <c r="AL95" i="5" s="1"/>
  <c r="Y51" i="6"/>
  <c r="Y52" i="6" s="1"/>
  <c r="AI39" i="5"/>
  <c r="AI40" i="5" s="1"/>
  <c r="AI78" i="5" s="1"/>
  <c r="AI79" i="5" s="1"/>
  <c r="AI80" i="5" s="1"/>
  <c r="AI117" i="5" s="1"/>
  <c r="I51" i="6"/>
  <c r="I52" i="6" s="1"/>
  <c r="U110" i="5"/>
  <c r="U111" i="5" s="1"/>
  <c r="U146" i="5" s="1"/>
  <c r="AJ111" i="5"/>
  <c r="AJ39" i="4"/>
  <c r="AJ40" i="4" s="1"/>
  <c r="AJ78" i="4" s="1"/>
  <c r="AJ79" i="4" s="1"/>
  <c r="AJ80" i="4" s="1"/>
  <c r="W51" i="6"/>
  <c r="W52" i="6" s="1"/>
  <c r="AG79" i="5"/>
  <c r="AG80" i="5" s="1"/>
  <c r="AT104" i="4"/>
  <c r="AT146" i="4" s="1"/>
  <c r="I114" i="5"/>
  <c r="I125" i="5" s="1"/>
  <c r="I127" i="5" s="1"/>
  <c r="L51" i="6"/>
  <c r="L52" i="6" s="1"/>
  <c r="O111" i="4"/>
  <c r="J114" i="4"/>
  <c r="J129" i="4" s="1"/>
  <c r="J131" i="4" s="1"/>
  <c r="V51" i="6"/>
  <c r="V52" i="6" s="1"/>
  <c r="AJ39" i="5"/>
  <c r="AJ40" i="5" s="1"/>
  <c r="AJ78" i="5" s="1"/>
  <c r="AJ79" i="5" s="1"/>
  <c r="AJ80" i="5" s="1"/>
  <c r="AJ117" i="5" s="1"/>
  <c r="AF39" i="4"/>
  <c r="AF40" i="4" s="1"/>
  <c r="AF78" i="4" s="1"/>
  <c r="AF79" i="4" s="1"/>
  <c r="AF80" i="4" s="1"/>
  <c r="AB74" i="4"/>
  <c r="AB139" i="4" s="1"/>
  <c r="AE77" i="5"/>
  <c r="AE89" i="5" s="1"/>
  <c r="AE142" i="5" s="1"/>
  <c r="AT54" i="4"/>
  <c r="AT63" i="4" s="1"/>
  <c r="AT84" i="4" s="1"/>
  <c r="AT86" i="4" s="1"/>
  <c r="AT93" i="4" s="1"/>
  <c r="AT94" i="4" s="1"/>
  <c r="AT95" i="4" s="1"/>
  <c r="AT49" i="4"/>
  <c r="AT50" i="4" s="1"/>
  <c r="AT62" i="4" s="1"/>
  <c r="K114" i="5"/>
  <c r="K124" i="5" s="1"/>
  <c r="K126" i="5" s="1"/>
  <c r="AH110" i="5"/>
  <c r="AH111" i="5" s="1"/>
  <c r="AJ141" i="4"/>
  <c r="AF141" i="5"/>
  <c r="AI74" i="5"/>
  <c r="AI139" i="5" s="1"/>
  <c r="AI149" i="5" s="1"/>
  <c r="AI150" i="5" s="1"/>
  <c r="Z108" i="5"/>
  <c r="Z109" i="5" s="1"/>
  <c r="Z110" i="5" s="1"/>
  <c r="Z111" i="5" s="1"/>
  <c r="Z146" i="5" s="1"/>
  <c r="AC39" i="4"/>
  <c r="AC40" i="4" s="1"/>
  <c r="AC78" i="4" s="1"/>
  <c r="AC79" i="4" s="1"/>
  <c r="AC80" i="4" s="1"/>
  <c r="AC117" i="4" s="1"/>
  <c r="AA39" i="4"/>
  <c r="AA40" i="4" s="1"/>
  <c r="AA78" i="4" s="1"/>
  <c r="AA79" i="4" s="1"/>
  <c r="AA80" i="4" s="1"/>
  <c r="P54" i="5"/>
  <c r="P63" i="5" s="1"/>
  <c r="P84" i="5" s="1"/>
  <c r="P86" i="5" s="1"/>
  <c r="P93" i="5" s="1"/>
  <c r="P94" i="5" s="1"/>
  <c r="P95" i="5" s="1"/>
  <c r="I114" i="4"/>
  <c r="I125" i="4" s="1"/>
  <c r="I127" i="4" s="1"/>
  <c r="AA146" i="4"/>
  <c r="W39" i="5"/>
  <c r="W40" i="5" s="1"/>
  <c r="W78" i="5" s="1"/>
  <c r="W79" i="5" s="1"/>
  <c r="W80" i="5" s="1"/>
  <c r="AA93" i="4"/>
  <c r="AA94" i="4" s="1"/>
  <c r="AA95" i="4" s="1"/>
  <c r="O104" i="4"/>
  <c r="P46" i="5"/>
  <c r="P62" i="5" s="1"/>
  <c r="P120" i="5" s="1"/>
  <c r="P121" i="5" s="1"/>
  <c r="P74" i="5"/>
  <c r="P139" i="5" s="1"/>
  <c r="AN74" i="4"/>
  <c r="AN139" i="4" s="1"/>
  <c r="AN149" i="4" s="1"/>
  <c r="AN150" i="4" s="1"/>
  <c r="AN104" i="4"/>
  <c r="AN146" i="4" s="1"/>
  <c r="Z74" i="5"/>
  <c r="Z139" i="5" s="1"/>
  <c r="AK79" i="5"/>
  <c r="AK80" i="5" s="1"/>
  <c r="AK96" i="5" s="1"/>
  <c r="V74" i="5"/>
  <c r="V139" i="5" s="1"/>
  <c r="N120" i="5"/>
  <c r="N121" i="5" s="1"/>
  <c r="AB39" i="4"/>
  <c r="AB40" i="4" s="1"/>
  <c r="AB78" i="4" s="1"/>
  <c r="AB79" i="4" s="1"/>
  <c r="AB80" i="4" s="1"/>
  <c r="V108" i="5"/>
  <c r="V109" i="5" s="1"/>
  <c r="V110" i="5" s="1"/>
  <c r="V111" i="5" s="1"/>
  <c r="AP77" i="5"/>
  <c r="AI49" i="5"/>
  <c r="AI50" i="5" s="1"/>
  <c r="AI62" i="5" s="1"/>
  <c r="AI77" i="5" s="1"/>
  <c r="AB108" i="5"/>
  <c r="AB109" i="5" s="1"/>
  <c r="AB110" i="5" s="1"/>
  <c r="AB111" i="5" s="1"/>
  <c r="AQ114" i="4"/>
  <c r="AQ129" i="4" s="1"/>
  <c r="AQ131" i="4" s="1"/>
  <c r="V39" i="5"/>
  <c r="V40" i="5" s="1"/>
  <c r="V78" i="5" s="1"/>
  <c r="V79" i="5" s="1"/>
  <c r="V80" i="5" s="1"/>
  <c r="V117" i="5" s="1"/>
  <c r="AA114" i="4"/>
  <c r="AA128" i="4" s="1"/>
  <c r="AA130" i="4" s="1"/>
  <c r="AL114" i="5"/>
  <c r="AL124" i="5" s="1"/>
  <c r="AL126" i="5" s="1"/>
  <c r="AK150" i="5"/>
  <c r="AI54" i="5"/>
  <c r="AI63" i="5" s="1"/>
  <c r="AI84" i="5" s="1"/>
  <c r="AI86" i="5" s="1"/>
  <c r="AI141" i="5" s="1"/>
  <c r="O114" i="4"/>
  <c r="O124" i="4" s="1"/>
  <c r="O126" i="4" s="1"/>
  <c r="AS114" i="5"/>
  <c r="AS128" i="5" s="1"/>
  <c r="AS130" i="5" s="1"/>
  <c r="G77" i="5"/>
  <c r="G81" i="5" s="1"/>
  <c r="AE110" i="4"/>
  <c r="AE111" i="4" s="1"/>
  <c r="AR141" i="5"/>
  <c r="AI111" i="4"/>
  <c r="R114" i="5"/>
  <c r="R129" i="5" s="1"/>
  <c r="R131" i="5" s="1"/>
  <c r="P62" i="4"/>
  <c r="H129" i="5"/>
  <c r="H131" i="5" s="1"/>
  <c r="T146" i="5"/>
  <c r="O54" i="4"/>
  <c r="O63" i="4" s="1"/>
  <c r="O84" i="4" s="1"/>
  <c r="O86" i="4" s="1"/>
  <c r="P39" i="4"/>
  <c r="P40" i="4" s="1"/>
  <c r="P78" i="4" s="1"/>
  <c r="P79" i="4" s="1"/>
  <c r="P80" i="4" s="1"/>
  <c r="N51" i="6"/>
  <c r="N52" i="6" s="1"/>
  <c r="M77" i="5"/>
  <c r="Y114" i="5"/>
  <c r="Y124" i="5" s="1"/>
  <c r="V104" i="5"/>
  <c r="O46" i="4"/>
  <c r="O62" i="4" s="1"/>
  <c r="M39" i="5"/>
  <c r="M40" i="5" s="1"/>
  <c r="M78" i="5" s="1"/>
  <c r="M79" i="5" s="1"/>
  <c r="M80" i="5" s="1"/>
  <c r="AQ141" i="5"/>
  <c r="AS62" i="4"/>
  <c r="AS120" i="4" s="1"/>
  <c r="AS121" i="4" s="1"/>
  <c r="T62" i="5"/>
  <c r="T120" i="5" s="1"/>
  <c r="T121" i="5" s="1"/>
  <c r="J39" i="5"/>
  <c r="J40" i="5" s="1"/>
  <c r="J78" i="5" s="1"/>
  <c r="J79" i="5" s="1"/>
  <c r="J80" i="5" s="1"/>
  <c r="J117" i="5" s="1"/>
  <c r="AA39" i="5"/>
  <c r="AA40" i="5" s="1"/>
  <c r="AA78" i="5" s="1"/>
  <c r="AA79" i="5" s="1"/>
  <c r="AA80" i="5" s="1"/>
  <c r="AA117" i="5" s="1"/>
  <c r="V54" i="5"/>
  <c r="V63" i="5" s="1"/>
  <c r="V84" i="5" s="1"/>
  <c r="V86" i="5" s="1"/>
  <c r="V49" i="5"/>
  <c r="V50" i="5" s="1"/>
  <c r="V62" i="5" s="1"/>
  <c r="V120" i="5" s="1"/>
  <c r="V121" i="5" s="1"/>
  <c r="AS62" i="5"/>
  <c r="AS77" i="5" s="1"/>
  <c r="AO62" i="5"/>
  <c r="AO120" i="5" s="1"/>
  <c r="AO121" i="5" s="1"/>
  <c r="AH93" i="4"/>
  <c r="AH94" i="4" s="1"/>
  <c r="AH95" i="4" s="1"/>
  <c r="AI108" i="5"/>
  <c r="AI109" i="5" s="1"/>
  <c r="AI110" i="5" s="1"/>
  <c r="AI111" i="5" s="1"/>
  <c r="F141" i="4"/>
  <c r="F93" i="4"/>
  <c r="F94" i="4" s="1"/>
  <c r="F95" i="4" s="1"/>
  <c r="K110" i="4"/>
  <c r="K111" i="4" s="1"/>
  <c r="AI104" i="4"/>
  <c r="AI146" i="4" s="1"/>
  <c r="AI74" i="4"/>
  <c r="AI139" i="4" s="1"/>
  <c r="AI149" i="4" s="1"/>
  <c r="K49" i="4"/>
  <c r="K50" i="4" s="1"/>
  <c r="K46" i="4"/>
  <c r="K54" i="4"/>
  <c r="K63" i="4" s="1"/>
  <c r="K84" i="4" s="1"/>
  <c r="K86" i="4" s="1"/>
  <c r="K74" i="4"/>
  <c r="K139" i="4" s="1"/>
  <c r="K104" i="4"/>
  <c r="X74" i="4"/>
  <c r="X139" i="4" s="1"/>
  <c r="X104" i="4"/>
  <c r="X46" i="4"/>
  <c r="X49" i="4"/>
  <c r="X50" i="4" s="1"/>
  <c r="X54" i="4"/>
  <c r="X63" i="4" s="1"/>
  <c r="X84" i="4" s="1"/>
  <c r="X86" i="4" s="1"/>
  <c r="W114" i="5"/>
  <c r="W125" i="5" s="1"/>
  <c r="W127" i="5" s="1"/>
  <c r="K124" i="4"/>
  <c r="K126" i="4" s="1"/>
  <c r="T134" i="4"/>
  <c r="AQ77" i="4"/>
  <c r="AS110" i="4"/>
  <c r="AS111" i="4" s="1"/>
  <c r="N93" i="4"/>
  <c r="N94" i="4" s="1"/>
  <c r="N95" i="4" s="1"/>
  <c r="K125" i="4"/>
  <c r="K127" i="4" s="1"/>
  <c r="H128" i="5"/>
  <c r="H130" i="5" s="1"/>
  <c r="H125" i="5"/>
  <c r="H127" i="5" s="1"/>
  <c r="AI114" i="4"/>
  <c r="AI129" i="4" s="1"/>
  <c r="AI131" i="4" s="1"/>
  <c r="H110" i="5"/>
  <c r="H111" i="5" s="1"/>
  <c r="H146" i="5" s="1"/>
  <c r="AI49" i="4"/>
  <c r="AI50" i="4" s="1"/>
  <c r="AI46" i="4"/>
  <c r="AI54" i="4"/>
  <c r="AI63" i="4" s="1"/>
  <c r="AI84" i="4" s="1"/>
  <c r="AI86" i="4" s="1"/>
  <c r="K128" i="4"/>
  <c r="K130" i="4" s="1"/>
  <c r="F124" i="4"/>
  <c r="F126" i="4" s="1"/>
  <c r="O74" i="5"/>
  <c r="O139" i="5" s="1"/>
  <c r="K129" i="4"/>
  <c r="K131" i="4" s="1"/>
  <c r="X114" i="4"/>
  <c r="X125" i="4" s="1"/>
  <c r="X127" i="4" s="1"/>
  <c r="X110" i="4"/>
  <c r="X111" i="4" s="1"/>
  <c r="S125" i="5"/>
  <c r="S127" i="5" s="1"/>
  <c r="S128" i="5"/>
  <c r="S130" i="5" s="1"/>
  <c r="S124" i="5"/>
  <c r="S126" i="5" s="1"/>
  <c r="X39" i="5"/>
  <c r="X40" i="5" s="1"/>
  <c r="X78" i="5" s="1"/>
  <c r="X79" i="5" s="1"/>
  <c r="X80" i="5" s="1"/>
  <c r="X117" i="5" s="1"/>
  <c r="Z120" i="4"/>
  <c r="Z121" i="4" s="1"/>
  <c r="AH110" i="4"/>
  <c r="AH111" i="4" s="1"/>
  <c r="AR96" i="5"/>
  <c r="E114" i="5"/>
  <c r="E129" i="5" s="1"/>
  <c r="E131" i="5" s="1"/>
  <c r="S110" i="5"/>
  <c r="S111" i="5" s="1"/>
  <c r="S146" i="5" s="1"/>
  <c r="AM62" i="5"/>
  <c r="AM120" i="5" s="1"/>
  <c r="AM121" i="5" s="1"/>
  <c r="AB51" i="6"/>
  <c r="AB52" i="6" s="1"/>
  <c r="AB46" i="5"/>
  <c r="AB49" i="5"/>
  <c r="AB50" i="5" s="1"/>
  <c r="AB54" i="5"/>
  <c r="AB63" i="5" s="1"/>
  <c r="AB84" i="5" s="1"/>
  <c r="AB86" i="5" s="1"/>
  <c r="AF120" i="5"/>
  <c r="AF121" i="5" s="1"/>
  <c r="AB74" i="5"/>
  <c r="AB139" i="5" s="1"/>
  <c r="AB104" i="5"/>
  <c r="AH120" i="5"/>
  <c r="AH121" i="5" s="1"/>
  <c r="Y124" i="4"/>
  <c r="Y126" i="4" s="1"/>
  <c r="AG114" i="5"/>
  <c r="AG124" i="5" s="1"/>
  <c r="AG126" i="5" s="1"/>
  <c r="AG134" i="5" s="1"/>
  <c r="P39" i="5"/>
  <c r="P40" i="5" s="1"/>
  <c r="P78" i="5" s="1"/>
  <c r="P79" i="5" s="1"/>
  <c r="P80" i="5" s="1"/>
  <c r="AO141" i="5"/>
  <c r="Z141" i="4"/>
  <c r="AC114" i="4"/>
  <c r="AC125" i="4" s="1"/>
  <c r="AC127" i="4" s="1"/>
  <c r="AC110" i="4"/>
  <c r="AC111" i="4" s="1"/>
  <c r="AA114" i="5"/>
  <c r="AA125" i="5" s="1"/>
  <c r="AA127" i="5" s="1"/>
  <c r="AA110" i="5"/>
  <c r="AA111" i="5" s="1"/>
  <c r="AA146" i="5" s="1"/>
  <c r="AT125" i="4"/>
  <c r="AT127" i="4" s="1"/>
  <c r="AT124" i="4"/>
  <c r="AT126" i="4" s="1"/>
  <c r="AT128" i="4"/>
  <c r="AT130" i="4" s="1"/>
  <c r="Q110" i="5"/>
  <c r="Q111" i="5" s="1"/>
  <c r="Q114" i="5"/>
  <c r="Q125" i="5" s="1"/>
  <c r="Q127" i="5" s="1"/>
  <c r="AO114" i="4"/>
  <c r="AO128" i="4" s="1"/>
  <c r="AO130" i="4" s="1"/>
  <c r="AO110" i="4"/>
  <c r="AO111" i="4" s="1"/>
  <c r="O110" i="5"/>
  <c r="O111" i="5" s="1"/>
  <c r="O146" i="5" s="1"/>
  <c r="O114" i="5"/>
  <c r="O124" i="5" s="1"/>
  <c r="O126" i="5" s="1"/>
  <c r="Z110" i="4"/>
  <c r="Z111" i="4" s="1"/>
  <c r="Z146" i="4" s="1"/>
  <c r="Z114" i="4"/>
  <c r="AF108" i="4"/>
  <c r="AF109" i="4" s="1"/>
  <c r="L39" i="5"/>
  <c r="L40" i="5" s="1"/>
  <c r="L78" i="5" s="1"/>
  <c r="L79" i="5" s="1"/>
  <c r="L80" i="5" s="1"/>
  <c r="AJ46" i="5"/>
  <c r="AJ54" i="5"/>
  <c r="AJ63" i="5" s="1"/>
  <c r="AJ84" i="5" s="1"/>
  <c r="AJ86" i="5" s="1"/>
  <c r="AJ49" i="5"/>
  <c r="AJ50" i="5" s="1"/>
  <c r="AH141" i="5"/>
  <c r="AS93" i="4"/>
  <c r="AS94" i="4" s="1"/>
  <c r="AS95" i="4" s="1"/>
  <c r="AS141" i="4"/>
  <c r="O39" i="5"/>
  <c r="O40" i="5" s="1"/>
  <c r="O78" i="5" s="1"/>
  <c r="O79" i="5" s="1"/>
  <c r="O80" i="5" s="1"/>
  <c r="O117" i="5" s="1"/>
  <c r="T141" i="5"/>
  <c r="T93" i="5"/>
  <c r="T94" i="5" s="1"/>
  <c r="Q104" i="5"/>
  <c r="Q74" i="5"/>
  <c r="Q139" i="5" s="1"/>
  <c r="Q51" i="6"/>
  <c r="Q52" i="6" s="1"/>
  <c r="AC77" i="5"/>
  <c r="S120" i="4"/>
  <c r="S121" i="4" s="1"/>
  <c r="S129" i="5"/>
  <c r="S131" i="5" s="1"/>
  <c r="J93" i="4"/>
  <c r="J94" i="4" s="1"/>
  <c r="J95" i="4" s="1"/>
  <c r="AO133" i="5"/>
  <c r="AO134" i="5"/>
  <c r="AO79" i="5"/>
  <c r="AO80" i="5" s="1"/>
  <c r="AO117" i="5" s="1"/>
  <c r="AL134" i="4"/>
  <c r="AL133" i="4"/>
  <c r="AL79" i="4"/>
  <c r="AL80" i="4" s="1"/>
  <c r="AL74" i="4"/>
  <c r="AL139" i="4" s="1"/>
  <c r="AL149" i="4" s="1"/>
  <c r="AL150" i="4" s="1"/>
  <c r="AL116" i="4"/>
  <c r="AC51" i="6"/>
  <c r="AC52" i="6" s="1"/>
  <c r="O86" i="5"/>
  <c r="O141" i="5" s="1"/>
  <c r="AP117" i="4"/>
  <c r="Q104" i="4"/>
  <c r="Q74" i="4"/>
  <c r="Q139" i="4" s="1"/>
  <c r="AJ104" i="5"/>
  <c r="AJ146" i="5" s="1"/>
  <c r="AJ74" i="5"/>
  <c r="AJ139" i="5" s="1"/>
  <c r="AJ149" i="5" s="1"/>
  <c r="AF74" i="4"/>
  <c r="AF139" i="4" s="1"/>
  <c r="AF149" i="4" s="1"/>
  <c r="AF104" i="4"/>
  <c r="AF146" i="4" s="1"/>
  <c r="L74" i="5"/>
  <c r="L139" i="5" s="1"/>
  <c r="L104" i="5"/>
  <c r="Z62" i="5"/>
  <c r="N39" i="4"/>
  <c r="N40" i="4" s="1"/>
  <c r="N78" i="4" s="1"/>
  <c r="N79" i="4" s="1"/>
  <c r="N80" i="4" s="1"/>
  <c r="N117" i="4" s="1"/>
  <c r="AC74" i="4"/>
  <c r="AC139" i="4" s="1"/>
  <c r="AC104" i="4"/>
  <c r="AO46" i="4"/>
  <c r="AO49" i="4"/>
  <c r="AO50" i="4" s="1"/>
  <c r="AO54" i="4"/>
  <c r="AO63" i="4" s="1"/>
  <c r="AO84" i="4" s="1"/>
  <c r="AO86" i="4" s="1"/>
  <c r="L46" i="5"/>
  <c r="L54" i="5"/>
  <c r="L63" i="5" s="1"/>
  <c r="L84" i="5" s="1"/>
  <c r="L86" i="5" s="1"/>
  <c r="L49" i="5"/>
  <c r="L50" i="5" s="1"/>
  <c r="AO104" i="4"/>
  <c r="AO146" i="4" s="1"/>
  <c r="AO74" i="4"/>
  <c r="AO139" i="4" s="1"/>
  <c r="AO149" i="4" s="1"/>
  <c r="AO150" i="4" s="1"/>
  <c r="AT46" i="5"/>
  <c r="AT54" i="5"/>
  <c r="AT63" i="5" s="1"/>
  <c r="AT84" i="5" s="1"/>
  <c r="AT86" i="5" s="1"/>
  <c r="AT49" i="5"/>
  <c r="AT50" i="5" s="1"/>
  <c r="AM110" i="5"/>
  <c r="AM111" i="5" s="1"/>
  <c r="AM114" i="5"/>
  <c r="Q46" i="4"/>
  <c r="Q49" i="4"/>
  <c r="Q50" i="4" s="1"/>
  <c r="Q54" i="4"/>
  <c r="Q63" i="4" s="1"/>
  <c r="Q84" i="4" s="1"/>
  <c r="Q86" i="4" s="1"/>
  <c r="AT104" i="5"/>
  <c r="AT74" i="5"/>
  <c r="AT139" i="5" s="1"/>
  <c r="I104" i="5"/>
  <c r="I74" i="5"/>
  <c r="I139" i="5" s="1"/>
  <c r="AC49" i="4"/>
  <c r="AC50" i="4" s="1"/>
  <c r="AC46" i="4"/>
  <c r="AC54" i="4"/>
  <c r="AC63" i="4" s="1"/>
  <c r="AC84" i="4" s="1"/>
  <c r="AC86" i="4" s="1"/>
  <c r="AJ110" i="4"/>
  <c r="AJ111" i="4" s="1"/>
  <c r="AJ114" i="4"/>
  <c r="Q110" i="4"/>
  <c r="Q111" i="4" s="1"/>
  <c r="Q114" i="4"/>
  <c r="Q129" i="4" s="1"/>
  <c r="Q131" i="4" s="1"/>
  <c r="AL108" i="4"/>
  <c r="AL109" i="4" s="1"/>
  <c r="I49" i="5"/>
  <c r="I50" i="5" s="1"/>
  <c r="I46" i="5"/>
  <c r="I54" i="5"/>
  <c r="I63" i="5" s="1"/>
  <c r="I84" i="5" s="1"/>
  <c r="I86" i="5" s="1"/>
  <c r="AT110" i="4"/>
  <c r="AT111" i="4" s="1"/>
  <c r="AD62" i="5"/>
  <c r="AD120" i="5" s="1"/>
  <c r="AD121" i="5" s="1"/>
  <c r="AO108" i="5"/>
  <c r="AO109" i="5" s="1"/>
  <c r="Q54" i="5"/>
  <c r="Q63" i="5" s="1"/>
  <c r="Q84" i="5" s="1"/>
  <c r="Q86" i="5" s="1"/>
  <c r="Q49" i="5"/>
  <c r="Q50" i="5" s="1"/>
  <c r="Q46" i="5"/>
  <c r="Z39" i="5"/>
  <c r="Z40" i="5" s="1"/>
  <c r="Z78" i="5" s="1"/>
  <c r="AF54" i="4"/>
  <c r="AF63" i="4" s="1"/>
  <c r="AF84" i="4" s="1"/>
  <c r="AF86" i="4" s="1"/>
  <c r="AF46" i="4"/>
  <c r="AF49" i="4"/>
  <c r="AF50" i="4" s="1"/>
  <c r="AM79" i="5"/>
  <c r="AM80" i="5" s="1"/>
  <c r="AM133" i="5"/>
  <c r="AM134" i="5"/>
  <c r="AL49" i="4"/>
  <c r="AL50" i="4" s="1"/>
  <c r="AL54" i="4"/>
  <c r="AL63" i="4" s="1"/>
  <c r="AL84" i="4" s="1"/>
  <c r="AL86" i="4" s="1"/>
  <c r="AL46" i="4"/>
  <c r="AJ114" i="5"/>
  <c r="I111" i="5"/>
  <c r="AT108" i="5"/>
  <c r="AT109" i="5" s="1"/>
  <c r="AM93" i="5"/>
  <c r="AM94" i="5" s="1"/>
  <c r="AM95" i="5" s="1"/>
  <c r="AM141" i="5"/>
  <c r="L108" i="5"/>
  <c r="L109" i="5" s="1"/>
  <c r="Z39" i="4"/>
  <c r="Z40" i="4" s="1"/>
  <c r="Z78" i="4" s="1"/>
  <c r="E133" i="4"/>
  <c r="F125" i="4"/>
  <c r="F127" i="4" s="1"/>
  <c r="F128" i="4"/>
  <c r="AT129" i="4"/>
  <c r="AT131" i="4" s="1"/>
  <c r="E134" i="4"/>
  <c r="AS128" i="4"/>
  <c r="AS130" i="4" s="1"/>
  <c r="AS124" i="4"/>
  <c r="AS126" i="4" s="1"/>
  <c r="AS125" i="4"/>
  <c r="AS127" i="4" s="1"/>
  <c r="AS129" i="4"/>
  <c r="AS131" i="4" s="1"/>
  <c r="AQ96" i="5"/>
  <c r="AQ117" i="5"/>
  <c r="F114" i="5"/>
  <c r="F110" i="5"/>
  <c r="F111" i="5" s="1"/>
  <c r="F77" i="4"/>
  <c r="F120" i="4"/>
  <c r="F121" i="4" s="1"/>
  <c r="G117" i="5"/>
  <c r="I79" i="4"/>
  <c r="I80" i="4" s="1"/>
  <c r="Z13" i="9"/>
  <c r="X13" i="9"/>
  <c r="Y13" i="9" s="1"/>
  <c r="AN117" i="5"/>
  <c r="N79" i="5"/>
  <c r="N80" i="5" s="1"/>
  <c r="J62" i="5"/>
  <c r="AQ120" i="5"/>
  <c r="AQ121" i="5" s="1"/>
  <c r="AQ77" i="5"/>
  <c r="X30" i="9"/>
  <c r="Y30" i="9" s="1"/>
  <c r="Z30" i="9"/>
  <c r="M125" i="5"/>
  <c r="M127" i="5" s="1"/>
  <c r="M128" i="5"/>
  <c r="M130" i="5" s="1"/>
  <c r="M124" i="5"/>
  <c r="M126" i="5" s="1"/>
  <c r="M129" i="5"/>
  <c r="M131" i="5" s="1"/>
  <c r="AC79" i="5"/>
  <c r="AC80" i="5" s="1"/>
  <c r="G112" i="7"/>
  <c r="G101" i="7"/>
  <c r="G97" i="7"/>
  <c r="G103" i="7" s="1"/>
  <c r="G105" i="7" s="1"/>
  <c r="G99" i="7"/>
  <c r="G109" i="7"/>
  <c r="G108" i="7"/>
  <c r="G122" i="7"/>
  <c r="G94" i="7"/>
  <c r="AC26" i="9"/>
  <c r="AA26" i="9"/>
  <c r="AB26" i="9" s="1"/>
  <c r="AM93" i="4"/>
  <c r="AM94" i="4" s="1"/>
  <c r="AM95" i="4" s="1"/>
  <c r="AM141" i="4"/>
  <c r="AH81" i="5"/>
  <c r="AH89" i="5"/>
  <c r="AH142" i="5" s="1"/>
  <c r="AN124" i="5"/>
  <c r="AN126" i="5" s="1"/>
  <c r="AN128" i="5"/>
  <c r="AN130" i="5" s="1"/>
  <c r="AN125" i="5"/>
  <c r="AN127" i="5" s="1"/>
  <c r="AN129" i="5"/>
  <c r="AN131" i="5" s="1"/>
  <c r="AO95" i="5"/>
  <c r="AR128" i="5"/>
  <c r="AR130" i="5" s="1"/>
  <c r="AR124" i="5"/>
  <c r="AR126" i="5" s="1"/>
  <c r="AR125" i="5"/>
  <c r="AR127" i="5" s="1"/>
  <c r="AR129" i="5"/>
  <c r="AR131" i="5" s="1"/>
  <c r="X7" i="9"/>
  <c r="Y7" i="9" s="1"/>
  <c r="Z7" i="9"/>
  <c r="I48" i="7"/>
  <c r="I47" i="7"/>
  <c r="I46" i="7"/>
  <c r="I45" i="7" s="1"/>
  <c r="AK77" i="4"/>
  <c r="AK135" i="4" s="1"/>
  <c r="AK147" i="4" s="1"/>
  <c r="AK120" i="4"/>
  <c r="AK121" i="4" s="1"/>
  <c r="X79" i="4"/>
  <c r="X80" i="4" s="1"/>
  <c r="AN141" i="5"/>
  <c r="AN93" i="5"/>
  <c r="AN94" i="5" s="1"/>
  <c r="AN95" i="5" s="1"/>
  <c r="W79" i="4"/>
  <c r="W80" i="4" s="1"/>
  <c r="AA24" i="9"/>
  <c r="AB24" i="9" s="1"/>
  <c r="AC24" i="9"/>
  <c r="G88" i="3"/>
  <c r="G89" i="3"/>
  <c r="M46" i="3"/>
  <c r="M48" i="3"/>
  <c r="M47" i="3"/>
  <c r="L114" i="4"/>
  <c r="L110" i="4"/>
  <c r="L111" i="4" s="1"/>
  <c r="L146" i="4" s="1"/>
  <c r="Z16" i="9"/>
  <c r="X16" i="9"/>
  <c r="Y16" i="9" s="1"/>
  <c r="AB79" i="5"/>
  <c r="AB80" i="5" s="1"/>
  <c r="AG120" i="4"/>
  <c r="AG121" i="4" s="1"/>
  <c r="AG77" i="4"/>
  <c r="AC10" i="9"/>
  <c r="AA10" i="9"/>
  <c r="AB10" i="9" s="1"/>
  <c r="J48" i="7"/>
  <c r="J47" i="7"/>
  <c r="J46" i="7"/>
  <c r="L48" i="3"/>
  <c r="L46" i="3"/>
  <c r="L47" i="3"/>
  <c r="E62" i="5"/>
  <c r="Y141" i="4"/>
  <c r="Y93" i="4"/>
  <c r="Y94" i="4" s="1"/>
  <c r="Y95" i="4" s="1"/>
  <c r="AN62" i="5"/>
  <c r="AC14" i="9"/>
  <c r="AA14" i="9"/>
  <c r="AB14" i="9" s="1"/>
  <c r="E43" i="7"/>
  <c r="E44" i="7"/>
  <c r="E79" i="7" s="1"/>
  <c r="E80" i="7" s="1"/>
  <c r="H117" i="4"/>
  <c r="H46" i="7"/>
  <c r="H45" i="7" s="1"/>
  <c r="H48" i="7"/>
  <c r="H47" i="7"/>
  <c r="AM62" i="4"/>
  <c r="AR129" i="4"/>
  <c r="AR131" i="4" s="1"/>
  <c r="AR124" i="4"/>
  <c r="AR126" i="4" s="1"/>
  <c r="AR128" i="4"/>
  <c r="AR130" i="4" s="1"/>
  <c r="AR125" i="4"/>
  <c r="AR127" i="4" s="1"/>
  <c r="N128" i="5"/>
  <c r="N130" i="5" s="1"/>
  <c r="N129" i="5"/>
  <c r="N131" i="5" s="1"/>
  <c r="N124" i="5"/>
  <c r="N126" i="5" s="1"/>
  <c r="N125" i="5"/>
  <c r="N127" i="5" s="1"/>
  <c r="V79" i="4"/>
  <c r="V80" i="4" s="1"/>
  <c r="S125" i="4"/>
  <c r="S127" i="4" s="1"/>
  <c r="S128" i="4"/>
  <c r="S130" i="4" s="1"/>
  <c r="S124" i="4"/>
  <c r="S129" i="4"/>
  <c r="S131" i="4" s="1"/>
  <c r="AM117" i="4"/>
  <c r="E79" i="5"/>
  <c r="E80" i="5" s="1"/>
  <c r="V21" i="9"/>
  <c r="AC129" i="5"/>
  <c r="AC131" i="5" s="1"/>
  <c r="AC125" i="5"/>
  <c r="AC127" i="5" s="1"/>
  <c r="AC128" i="5"/>
  <c r="AC130" i="5" s="1"/>
  <c r="AC124" i="5"/>
  <c r="AC126" i="5" s="1"/>
  <c r="I146" i="4"/>
  <c r="AA6" i="9"/>
  <c r="AB6" i="9" s="1"/>
  <c r="AC6" i="9"/>
  <c r="X21" i="9"/>
  <c r="Y21" i="9" s="1"/>
  <c r="Z21" i="9"/>
  <c r="L46" i="7"/>
  <c r="L48" i="7"/>
  <c r="L47" i="7"/>
  <c r="AK128" i="4"/>
  <c r="AK130" i="4" s="1"/>
  <c r="AK124" i="4"/>
  <c r="AK126" i="4" s="1"/>
  <c r="AK125" i="4"/>
  <c r="AK127" i="4" s="1"/>
  <c r="AK129" i="4"/>
  <c r="AK131" i="4" s="1"/>
  <c r="AA141" i="5"/>
  <c r="AA93" i="5"/>
  <c r="AA94" i="5" s="1"/>
  <c r="AA95" i="5" s="1"/>
  <c r="AT117" i="5"/>
  <c r="AS117" i="4"/>
  <c r="AE117" i="4"/>
  <c r="Z29" i="9"/>
  <c r="X29" i="9"/>
  <c r="Y29" i="9" s="1"/>
  <c r="M93" i="4"/>
  <c r="M94" i="4" s="1"/>
  <c r="M141" i="4"/>
  <c r="Y62" i="4"/>
  <c r="AD141" i="5"/>
  <c r="AD93" i="5"/>
  <c r="AD94" i="5" s="1"/>
  <c r="AD95" i="5" s="1"/>
  <c r="Z23" i="9"/>
  <c r="X23" i="9"/>
  <c r="Y23" i="9" s="1"/>
  <c r="M114" i="4"/>
  <c r="M110" i="4"/>
  <c r="M111" i="4" s="1"/>
  <c r="M146" i="4" s="1"/>
  <c r="J79" i="4"/>
  <c r="J80" i="4" s="1"/>
  <c r="AK120" i="5"/>
  <c r="AK121" i="5" s="1"/>
  <c r="AK77" i="5"/>
  <c r="E47" i="3"/>
  <c r="E48" i="3"/>
  <c r="E46" i="3"/>
  <c r="AG96" i="4"/>
  <c r="G79" i="4"/>
  <c r="G80" i="4" s="1"/>
  <c r="G89" i="4" s="1"/>
  <c r="G142" i="4" s="1"/>
  <c r="Z11" i="9"/>
  <c r="X11" i="9"/>
  <c r="Y11" i="9" s="1"/>
  <c r="S81" i="4"/>
  <c r="S89" i="4"/>
  <c r="S142" i="4" s="1"/>
  <c r="W129" i="4"/>
  <c r="W131" i="4" s="1"/>
  <c r="W125" i="4"/>
  <c r="W127" i="4" s="1"/>
  <c r="W124" i="4"/>
  <c r="W126" i="4" s="1"/>
  <c r="W128" i="4"/>
  <c r="W130" i="4" s="1"/>
  <c r="AK95" i="4"/>
  <c r="AK96" i="4"/>
  <c r="X19" i="9"/>
  <c r="Y19" i="9" s="1"/>
  <c r="Z19" i="9"/>
  <c r="AD114" i="5"/>
  <c r="AD110" i="5"/>
  <c r="AD111" i="5" s="1"/>
  <c r="AD146" i="5" s="1"/>
  <c r="M48" i="7"/>
  <c r="M47" i="7"/>
  <c r="M46" i="7"/>
  <c r="W77" i="4"/>
  <c r="W120" i="4"/>
  <c r="W121" i="4" s="1"/>
  <c r="R117" i="5"/>
  <c r="L141" i="4"/>
  <c r="L93" i="4"/>
  <c r="L94" i="4" s="1"/>
  <c r="L95" i="4" s="1"/>
  <c r="S117" i="4"/>
  <c r="S96" i="4"/>
  <c r="S98" i="4" s="1"/>
  <c r="S145" i="4" s="1"/>
  <c r="X12" i="9"/>
  <c r="Y12" i="9" s="1"/>
  <c r="Z12" i="9"/>
  <c r="AA62" i="5"/>
  <c r="U117" i="4"/>
  <c r="F45" i="3"/>
  <c r="AF8" i="9"/>
  <c r="AD8" i="9"/>
  <c r="AE8" i="9" s="1"/>
  <c r="J127" i="3"/>
  <c r="J128" i="3" s="1"/>
  <c r="J129" i="3" s="1"/>
  <c r="J126" i="3"/>
  <c r="J125" i="3"/>
  <c r="J123" i="3"/>
  <c r="M89" i="3"/>
  <c r="M90" i="3" s="1"/>
  <c r="M91" i="3" s="1"/>
  <c r="M136" i="3" s="1"/>
  <c r="M88" i="3"/>
  <c r="M62" i="4"/>
  <c r="AD79" i="5"/>
  <c r="AD80" i="5" s="1"/>
  <c r="G128" i="4"/>
  <c r="G130" i="4" s="1"/>
  <c r="G129" i="4"/>
  <c r="G131" i="4" s="1"/>
  <c r="G125" i="4"/>
  <c r="G127" i="4" s="1"/>
  <c r="G124" i="4"/>
  <c r="G126" i="4" s="1"/>
  <c r="R133" i="4"/>
  <c r="AS117" i="5"/>
  <c r="P125" i="4"/>
  <c r="P127" i="4" s="1"/>
  <c r="P129" i="4"/>
  <c r="P131" i="4" s="1"/>
  <c r="P124" i="4"/>
  <c r="P126" i="4" s="1"/>
  <c r="P128" i="4"/>
  <c r="P130" i="4" s="1"/>
  <c r="T96" i="4"/>
  <c r="T117" i="4"/>
  <c r="Z27" i="9"/>
  <c r="X27" i="9"/>
  <c r="Y27" i="9" s="1"/>
  <c r="U79" i="5"/>
  <c r="U80" i="5" s="1"/>
  <c r="AD79" i="4"/>
  <c r="AD80" i="4" s="1"/>
  <c r="AF95" i="5"/>
  <c r="AF96" i="5"/>
  <c r="AT79" i="4"/>
  <c r="AT80" i="4" s="1"/>
  <c r="AT134" i="4"/>
  <c r="J120" i="4"/>
  <c r="J121" i="4" s="1"/>
  <c r="J77" i="4"/>
  <c r="Z17" i="9"/>
  <c r="X17" i="9"/>
  <c r="Y17" i="9" s="1"/>
  <c r="AG129" i="4"/>
  <c r="AG131" i="4" s="1"/>
  <c r="AG128" i="4"/>
  <c r="AG130" i="4" s="1"/>
  <c r="AG125" i="4"/>
  <c r="AG127" i="4" s="1"/>
  <c r="AG124" i="4"/>
  <c r="AH5" i="8"/>
  <c r="D19" i="1"/>
  <c r="G132" i="3"/>
  <c r="F79" i="5"/>
  <c r="F80" i="5" s="1"/>
  <c r="AH117" i="5"/>
  <c r="AH96" i="5"/>
  <c r="AH98" i="5" s="1"/>
  <c r="AH145" i="5" s="1"/>
  <c r="X20" i="9"/>
  <c r="Y20" i="9" s="1"/>
  <c r="Z20" i="9"/>
  <c r="L62" i="4"/>
  <c r="AH124" i="5"/>
  <c r="AH129" i="5"/>
  <c r="AH131" i="5" s="1"/>
  <c r="AH125" i="5"/>
  <c r="AH127" i="5" s="1"/>
  <c r="AH128" i="5"/>
  <c r="AH130" i="5" s="1"/>
  <c r="AD124" i="4"/>
  <c r="AD126" i="4" s="1"/>
  <c r="AD129" i="4"/>
  <c r="AD131" i="4" s="1"/>
  <c r="AD128" i="4"/>
  <c r="AD130" i="4" s="1"/>
  <c r="AD125" i="4"/>
  <c r="AD127" i="4" s="1"/>
  <c r="U128" i="5"/>
  <c r="U130" i="5" s="1"/>
  <c r="U124" i="5"/>
  <c r="U126" i="5" s="1"/>
  <c r="U125" i="5"/>
  <c r="U127" i="5" s="1"/>
  <c r="U129" i="5"/>
  <c r="U131" i="5" s="1"/>
  <c r="W146" i="5"/>
  <c r="F47" i="7"/>
  <c r="F48" i="7"/>
  <c r="F46" i="7"/>
  <c r="F45" i="7" s="1"/>
  <c r="AH77" i="4"/>
  <c r="AH120" i="4"/>
  <c r="AH121" i="4" s="1"/>
  <c r="J137" i="3"/>
  <c r="AA28" i="9"/>
  <c r="AB28" i="9" s="1"/>
  <c r="AC28" i="9"/>
  <c r="AF18" i="9"/>
  <c r="AD18" i="9"/>
  <c r="AE18" i="9" s="1"/>
  <c r="I47" i="3"/>
  <c r="I48" i="3"/>
  <c r="I46" i="3"/>
  <c r="L79" i="4"/>
  <c r="L80" i="4" s="1"/>
  <c r="G75" i="3"/>
  <c r="G134" i="3" s="1"/>
  <c r="G49" i="3"/>
  <c r="G104" i="3"/>
  <c r="G106" i="3" s="1"/>
  <c r="AM114" i="4"/>
  <c r="AM110" i="4"/>
  <c r="AM111" i="4" s="1"/>
  <c r="T133" i="4"/>
  <c r="K48" i="7"/>
  <c r="K46" i="7"/>
  <c r="K47" i="7"/>
  <c r="U146" i="4"/>
  <c r="Z15" i="9"/>
  <c r="X15" i="9"/>
  <c r="Y15" i="9" s="1"/>
  <c r="Y129" i="4"/>
  <c r="Y131" i="4" s="1"/>
  <c r="AE125" i="4"/>
  <c r="AE127" i="4" s="1"/>
  <c r="AE124" i="4"/>
  <c r="AE129" i="4"/>
  <c r="AE131" i="4" s="1"/>
  <c r="AE128" i="4"/>
  <c r="AE130" i="4" s="1"/>
  <c r="AB114" i="4"/>
  <c r="AB110" i="4"/>
  <c r="AB111" i="4" s="1"/>
  <c r="AB146" i="4" s="1"/>
  <c r="AF81" i="5"/>
  <c r="AF89" i="5"/>
  <c r="AF142" i="5" s="1"/>
  <c r="AA25" i="9"/>
  <c r="AB25" i="9" s="1"/>
  <c r="AC25" i="9"/>
  <c r="G90" i="3"/>
  <c r="G91" i="3" s="1"/>
  <c r="G136" i="3" s="1"/>
  <c r="T126" i="5"/>
  <c r="T134" i="5" s="1"/>
  <c r="T133" i="5"/>
  <c r="AH128" i="4"/>
  <c r="AH130" i="4" s="1"/>
  <c r="AH125" i="4"/>
  <c r="AH127" i="4" s="1"/>
  <c r="AH129" i="4"/>
  <c r="AH131" i="4" s="1"/>
  <c r="AH124" i="4"/>
  <c r="H48" i="3"/>
  <c r="H47" i="3"/>
  <c r="H46" i="3"/>
  <c r="S79" i="5"/>
  <c r="S80" i="5" s="1"/>
  <c r="J113" i="3"/>
  <c r="J115" i="3" s="1"/>
  <c r="J117" i="3"/>
  <c r="J118" i="3" s="1"/>
  <c r="J114" i="3"/>
  <c r="Y128" i="4"/>
  <c r="Y130" i="4" s="1"/>
  <c r="J114" i="5"/>
  <c r="J110" i="5"/>
  <c r="J111" i="5" s="1"/>
  <c r="J146" i="5" s="1"/>
  <c r="T77" i="4"/>
  <c r="T120" i="4"/>
  <c r="T121" i="4" s="1"/>
  <c r="E117" i="4"/>
  <c r="AS141" i="5"/>
  <c r="AS93" i="5"/>
  <c r="AS94" i="5" s="1"/>
  <c r="AS95" i="5" s="1"/>
  <c r="X22" i="9"/>
  <c r="Y22" i="9" s="1"/>
  <c r="Z22" i="9"/>
  <c r="AE117" i="5"/>
  <c r="AE96" i="5"/>
  <c r="F117" i="4"/>
  <c r="K48" i="3"/>
  <c r="K46" i="3"/>
  <c r="K47" i="3"/>
  <c r="Y125" i="4"/>
  <c r="Y127" i="4" s="1"/>
  <c r="Z9" i="9"/>
  <c r="X9" i="9"/>
  <c r="Y9" i="9" s="1"/>
  <c r="J141" i="5"/>
  <c r="J93" i="5"/>
  <c r="J94" i="5" s="1"/>
  <c r="AL120" i="5"/>
  <c r="AL121" i="5" s="1"/>
  <c r="AL77" i="5"/>
  <c r="U129" i="4" l="1"/>
  <c r="U131" i="4" s="1"/>
  <c r="U141" i="4"/>
  <c r="U124" i="4"/>
  <c r="U126" i="4" s="1"/>
  <c r="AQ89" i="4"/>
  <c r="AQ142" i="4" s="1"/>
  <c r="AP110" i="4"/>
  <c r="AP111" i="4" s="1"/>
  <c r="U125" i="4"/>
  <c r="U127" i="4" s="1"/>
  <c r="U134" i="4" s="1"/>
  <c r="V120" i="4"/>
  <c r="V121" i="4" s="1"/>
  <c r="AP125" i="4"/>
  <c r="AP127" i="4" s="1"/>
  <c r="AP128" i="4"/>
  <c r="AP130" i="4" s="1"/>
  <c r="AP129" i="4"/>
  <c r="AP131" i="4" s="1"/>
  <c r="R77" i="5"/>
  <c r="R81" i="5" s="1"/>
  <c r="R90" i="5" s="1"/>
  <c r="R143" i="5" s="1"/>
  <c r="AG81" i="5"/>
  <c r="AG140" i="5" s="1"/>
  <c r="I141" i="4"/>
  <c r="AE141" i="4"/>
  <c r="AE96" i="4"/>
  <c r="V141" i="4"/>
  <c r="U93" i="5"/>
  <c r="U94" i="5" s="1"/>
  <c r="U95" i="5" s="1"/>
  <c r="U120" i="5"/>
  <c r="U121" i="5" s="1"/>
  <c r="AG120" i="5"/>
  <c r="AG121" i="5" s="1"/>
  <c r="AP128" i="5"/>
  <c r="AP130" i="5" s="1"/>
  <c r="R93" i="5"/>
  <c r="R94" i="5" s="1"/>
  <c r="R95" i="5" s="1"/>
  <c r="AG141" i="5"/>
  <c r="AE62" i="4"/>
  <c r="AE120" i="4" s="1"/>
  <c r="AE121" i="4" s="1"/>
  <c r="AR77" i="4"/>
  <c r="AR135" i="4" s="1"/>
  <c r="AR147" i="4" s="1"/>
  <c r="F93" i="5"/>
  <c r="F94" i="5" s="1"/>
  <c r="F95" i="5" s="1"/>
  <c r="E120" i="4"/>
  <c r="E121" i="4" s="1"/>
  <c r="G124" i="5"/>
  <c r="G126" i="5" s="1"/>
  <c r="G134" i="5" s="1"/>
  <c r="G136" i="5" s="1"/>
  <c r="G148" i="5" s="1"/>
  <c r="AP93" i="4"/>
  <c r="AP94" i="4" s="1"/>
  <c r="AP95" i="4" s="1"/>
  <c r="R77" i="4"/>
  <c r="R89" i="4" s="1"/>
  <c r="R142" i="4" s="1"/>
  <c r="G129" i="5"/>
  <c r="G131" i="5" s="1"/>
  <c r="AR141" i="4"/>
  <c r="AR96" i="4"/>
  <c r="E93" i="4"/>
  <c r="E94" i="4" s="1"/>
  <c r="E95" i="4" s="1"/>
  <c r="F146" i="5"/>
  <c r="V114" i="4"/>
  <c r="V128" i="4" s="1"/>
  <c r="V130" i="4" s="1"/>
  <c r="AQ141" i="4"/>
  <c r="AQ96" i="4"/>
  <c r="AQ98" i="4" s="1"/>
  <c r="AQ145" i="4" s="1"/>
  <c r="AP129" i="5"/>
  <c r="AP131" i="5" s="1"/>
  <c r="AP135" i="5"/>
  <c r="AP147" i="5" s="1"/>
  <c r="AP125" i="5"/>
  <c r="AP127" i="5" s="1"/>
  <c r="AP96" i="5"/>
  <c r="AP97" i="5" s="1"/>
  <c r="AP144" i="5" s="1"/>
  <c r="H141" i="5"/>
  <c r="G125" i="5"/>
  <c r="G127" i="5" s="1"/>
  <c r="R93" i="4"/>
  <c r="R94" i="4" s="1"/>
  <c r="R141" i="4"/>
  <c r="AJ120" i="4"/>
  <c r="AJ121" i="4" s="1"/>
  <c r="G96" i="5"/>
  <c r="G97" i="5" s="1"/>
  <c r="G144" i="5" s="1"/>
  <c r="S141" i="5"/>
  <c r="H110" i="4"/>
  <c r="H111" i="4" s="1"/>
  <c r="H146" i="4" s="1"/>
  <c r="X114" i="5"/>
  <c r="X125" i="5" s="1"/>
  <c r="X127" i="5" s="1"/>
  <c r="X146" i="5"/>
  <c r="K77" i="5"/>
  <c r="K89" i="5" s="1"/>
  <c r="K142" i="5" s="1"/>
  <c r="E141" i="5"/>
  <c r="AE128" i="5"/>
  <c r="AE130" i="5" s="1"/>
  <c r="AE125" i="5"/>
  <c r="AE127" i="5" s="1"/>
  <c r="X77" i="5"/>
  <c r="X89" i="5" s="1"/>
  <c r="X142" i="5" s="1"/>
  <c r="AE129" i="5"/>
  <c r="AE131" i="5" s="1"/>
  <c r="H96" i="4"/>
  <c r="X141" i="5"/>
  <c r="H124" i="4"/>
  <c r="H126" i="4" s="1"/>
  <c r="H134" i="4" s="1"/>
  <c r="H129" i="4"/>
  <c r="H131" i="4" s="1"/>
  <c r="H77" i="4"/>
  <c r="H120" i="4"/>
  <c r="H121" i="4" s="1"/>
  <c r="H125" i="4"/>
  <c r="H127" i="4" s="1"/>
  <c r="K141" i="5"/>
  <c r="I124" i="4"/>
  <c r="I126" i="4" s="1"/>
  <c r="O62" i="5"/>
  <c r="O77" i="5" s="1"/>
  <c r="O81" i="5" s="1"/>
  <c r="AF125" i="5"/>
  <c r="AF127" i="5" s="1"/>
  <c r="N110" i="4"/>
  <c r="N111" i="4" s="1"/>
  <c r="N146" i="4" s="1"/>
  <c r="AN129" i="4"/>
  <c r="AN131" i="4" s="1"/>
  <c r="H133" i="4"/>
  <c r="AN125" i="4"/>
  <c r="AN127" i="4" s="1"/>
  <c r="AA120" i="4"/>
  <c r="AA121" i="4" s="1"/>
  <c r="AK125" i="5"/>
  <c r="AK127" i="5" s="1"/>
  <c r="AK129" i="5"/>
  <c r="AK131" i="5" s="1"/>
  <c r="AG117" i="5"/>
  <c r="AG136" i="5" s="1"/>
  <c r="AG148" i="5" s="1"/>
  <c r="AR120" i="5"/>
  <c r="AR121" i="5" s="1"/>
  <c r="I129" i="4"/>
  <c r="I131" i="4" s="1"/>
  <c r="W93" i="5"/>
  <c r="W94" i="5" s="1"/>
  <c r="W95" i="5" s="1"/>
  <c r="AF129" i="5"/>
  <c r="AF131" i="5" s="1"/>
  <c r="AL128" i="5"/>
  <c r="AL130" i="5" s="1"/>
  <c r="AE81" i="5"/>
  <c r="AE140" i="5" s="1"/>
  <c r="AK117" i="5"/>
  <c r="AK135" i="5" s="1"/>
  <c r="AK147" i="5" s="1"/>
  <c r="AA129" i="4"/>
  <c r="AA131" i="4" s="1"/>
  <c r="AF128" i="5"/>
  <c r="AF130" i="5" s="1"/>
  <c r="Y93" i="5"/>
  <c r="Y94" i="5" s="1"/>
  <c r="Y95" i="5" s="1"/>
  <c r="AK128" i="5"/>
  <c r="AK130" i="5" s="1"/>
  <c r="AN110" i="4"/>
  <c r="AN111" i="4" s="1"/>
  <c r="AA124" i="4"/>
  <c r="AA126" i="4" s="1"/>
  <c r="AA125" i="4"/>
  <c r="AA127" i="4" s="1"/>
  <c r="AN124" i="4"/>
  <c r="AN126" i="4" s="1"/>
  <c r="AN89" i="4"/>
  <c r="AN142" i="4" s="1"/>
  <c r="P110" i="5"/>
  <c r="P111" i="5" s="1"/>
  <c r="P146" i="5" s="1"/>
  <c r="G89" i="5"/>
  <c r="G142" i="5" s="1"/>
  <c r="AL129" i="5"/>
  <c r="AL131" i="5" s="1"/>
  <c r="I128" i="5"/>
  <c r="I130" i="5" s="1"/>
  <c r="K129" i="5"/>
  <c r="K131" i="5" s="1"/>
  <c r="AL125" i="5"/>
  <c r="AL127" i="5" s="1"/>
  <c r="I129" i="5"/>
  <c r="I131" i="5" s="1"/>
  <c r="W134" i="4"/>
  <c r="AL96" i="5"/>
  <c r="AL97" i="5" s="1"/>
  <c r="AL144" i="5" s="1"/>
  <c r="AI120" i="5"/>
  <c r="AI121" i="5" s="1"/>
  <c r="AE98" i="5"/>
  <c r="AE145" i="5" s="1"/>
  <c r="Z141" i="5"/>
  <c r="AT141" i="4"/>
  <c r="AN135" i="4"/>
  <c r="AN147" i="4" s="1"/>
  <c r="AN136" i="4"/>
  <c r="AN148" i="4" s="1"/>
  <c r="AG96" i="5"/>
  <c r="AG97" i="5" s="1"/>
  <c r="AG144" i="5" s="1"/>
  <c r="AH96" i="4"/>
  <c r="AH97" i="4" s="1"/>
  <c r="AH144" i="4" s="1"/>
  <c r="AN120" i="4"/>
  <c r="AN121" i="4" s="1"/>
  <c r="AG89" i="5"/>
  <c r="AG142" i="5" s="1"/>
  <c r="AL117" i="5"/>
  <c r="AL136" i="5" s="1"/>
  <c r="AL148" i="5" s="1"/>
  <c r="V146" i="5"/>
  <c r="I124" i="5"/>
  <c r="I126" i="5" s="1"/>
  <c r="I128" i="4"/>
  <c r="I130" i="4" s="1"/>
  <c r="N62" i="4"/>
  <c r="AN93" i="4"/>
  <c r="AN94" i="4" s="1"/>
  <c r="AN95" i="4" s="1"/>
  <c r="AG133" i="5"/>
  <c r="AB93" i="4"/>
  <c r="AB94" i="4" s="1"/>
  <c r="AB95" i="4" s="1"/>
  <c r="P141" i="5"/>
  <c r="AE126" i="4"/>
  <c r="AE134" i="4" s="1"/>
  <c r="AE133" i="4"/>
  <c r="J124" i="4"/>
  <c r="J126" i="4" s="1"/>
  <c r="J128" i="4"/>
  <c r="J130" i="4" s="1"/>
  <c r="J134" i="4" s="1"/>
  <c r="AF126" i="5"/>
  <c r="AF134" i="5" s="1"/>
  <c r="AF136" i="5" s="1"/>
  <c r="AF148" i="5" s="1"/>
  <c r="AF133" i="5"/>
  <c r="AF135" i="5" s="1"/>
  <c r="AF147" i="5" s="1"/>
  <c r="AH126" i="4"/>
  <c r="AH134" i="4" s="1"/>
  <c r="AH136" i="4" s="1"/>
  <c r="AH148" i="4" s="1"/>
  <c r="AH133" i="4"/>
  <c r="AH135" i="4" s="1"/>
  <c r="AH147" i="4" s="1"/>
  <c r="AP89" i="5"/>
  <c r="AP142" i="5" s="1"/>
  <c r="AP81" i="5"/>
  <c r="AP140" i="5" s="1"/>
  <c r="H134" i="5"/>
  <c r="O146" i="4"/>
  <c r="O128" i="4"/>
  <c r="O130" i="4" s="1"/>
  <c r="O125" i="4"/>
  <c r="O127" i="4" s="1"/>
  <c r="O134" i="4" s="1"/>
  <c r="I62" i="5"/>
  <c r="I77" i="5" s="1"/>
  <c r="O129" i="4"/>
  <c r="O131" i="4" s="1"/>
  <c r="AH126" i="5"/>
  <c r="AH134" i="5" s="1"/>
  <c r="AH136" i="5" s="1"/>
  <c r="AH148" i="5" s="1"/>
  <c r="AH133" i="5"/>
  <c r="AH135" i="5" s="1"/>
  <c r="AH147" i="5" s="1"/>
  <c r="Y129" i="5"/>
  <c r="Y131" i="5" s="1"/>
  <c r="AE126" i="5"/>
  <c r="AE134" i="5" s="1"/>
  <c r="AE136" i="5" s="1"/>
  <c r="AE148" i="5" s="1"/>
  <c r="AE133" i="5"/>
  <c r="AE135" i="5" s="1"/>
  <c r="AE147" i="5" s="1"/>
  <c r="AG126" i="4"/>
  <c r="AG134" i="4" s="1"/>
  <c r="AG136" i="4" s="1"/>
  <c r="AG148" i="4" s="1"/>
  <c r="AG133" i="4"/>
  <c r="AG135" i="4" s="1"/>
  <c r="AG147" i="4" s="1"/>
  <c r="J125" i="4"/>
  <c r="J127" i="4" s="1"/>
  <c r="Y125" i="5"/>
  <c r="Y127" i="5" s="1"/>
  <c r="R124" i="5"/>
  <c r="R126" i="5" s="1"/>
  <c r="AP136" i="5"/>
  <c r="AP148" i="5" s="1"/>
  <c r="AI93" i="5"/>
  <c r="AI94" i="5" s="1"/>
  <c r="AI95" i="5" s="1"/>
  <c r="Z114" i="5"/>
  <c r="Z125" i="5" s="1"/>
  <c r="Z127" i="5" s="1"/>
  <c r="K128" i="5"/>
  <c r="K130" i="5" s="1"/>
  <c r="AS125" i="5"/>
  <c r="AS127" i="5" s="1"/>
  <c r="AQ128" i="4"/>
  <c r="AQ130" i="4" s="1"/>
  <c r="AS129" i="5"/>
  <c r="AS131" i="5" s="1"/>
  <c r="K125" i="5"/>
  <c r="K127" i="5" s="1"/>
  <c r="K134" i="5" s="1"/>
  <c r="P77" i="5"/>
  <c r="P81" i="5" s="1"/>
  <c r="V114" i="5"/>
  <c r="V124" i="5" s="1"/>
  <c r="Y128" i="5"/>
  <c r="Y130" i="5" s="1"/>
  <c r="AO77" i="5"/>
  <c r="AO81" i="5" s="1"/>
  <c r="AQ124" i="4"/>
  <c r="AQ126" i="4" s="1"/>
  <c r="AS124" i="5"/>
  <c r="AS126" i="5" s="1"/>
  <c r="AS77" i="4"/>
  <c r="AS81" i="4" s="1"/>
  <c r="AB114" i="5"/>
  <c r="AB128" i="5" s="1"/>
  <c r="AB130" i="5" s="1"/>
  <c r="R125" i="5"/>
  <c r="R127" i="5" s="1"/>
  <c r="R128" i="5"/>
  <c r="R130" i="5" s="1"/>
  <c r="AQ125" i="4"/>
  <c r="AQ127" i="4" s="1"/>
  <c r="V93" i="5"/>
  <c r="V94" i="5" s="1"/>
  <c r="V95" i="5" s="1"/>
  <c r="V141" i="5"/>
  <c r="AS120" i="5"/>
  <c r="AS121" i="5" s="1"/>
  <c r="K134" i="4"/>
  <c r="M81" i="5"/>
  <c r="M90" i="5" s="1"/>
  <c r="M143" i="5" s="1"/>
  <c r="O77" i="4"/>
  <c r="O89" i="4" s="1"/>
  <c r="O142" i="4" s="1"/>
  <c r="O120" i="4"/>
  <c r="O121" i="4" s="1"/>
  <c r="AM77" i="5"/>
  <c r="AM81" i="5" s="1"/>
  <c r="P120" i="4"/>
  <c r="P121" i="4" s="1"/>
  <c r="P77" i="4"/>
  <c r="P89" i="4" s="1"/>
  <c r="P142" i="4" s="1"/>
  <c r="W129" i="5"/>
  <c r="W131" i="5" s="1"/>
  <c r="O125" i="5"/>
  <c r="O127" i="5" s="1"/>
  <c r="O141" i="4"/>
  <c r="O93" i="4"/>
  <c r="O94" i="4" s="1"/>
  <c r="O95" i="4" s="1"/>
  <c r="O129" i="5"/>
  <c r="O131" i="5" s="1"/>
  <c r="X129" i="4"/>
  <c r="X131" i="4" s="1"/>
  <c r="K62" i="4"/>
  <c r="K120" i="4" s="1"/>
  <c r="K121" i="4" s="1"/>
  <c r="F96" i="4"/>
  <c r="F97" i="4" s="1"/>
  <c r="F144" i="4" s="1"/>
  <c r="AQ135" i="4"/>
  <c r="AQ147" i="4" s="1"/>
  <c r="AQ81" i="4"/>
  <c r="AQ140" i="4" s="1"/>
  <c r="K133" i="4"/>
  <c r="AS135" i="5"/>
  <c r="AS147" i="5" s="1"/>
  <c r="AG125" i="5"/>
  <c r="AG127" i="5" s="1"/>
  <c r="AG129" i="5"/>
  <c r="AG131" i="5" s="1"/>
  <c r="AI114" i="5"/>
  <c r="AG128" i="5"/>
  <c r="AG130" i="5" s="1"/>
  <c r="T77" i="5"/>
  <c r="T136" i="5" s="1"/>
  <c r="T148" i="5" s="1"/>
  <c r="AP77" i="4"/>
  <c r="AP136" i="4" s="1"/>
  <c r="AP148" i="4" s="1"/>
  <c r="AP120" i="4"/>
  <c r="AP121" i="4" s="1"/>
  <c r="S134" i="5"/>
  <c r="Q125" i="4"/>
  <c r="Q127" i="4" s="1"/>
  <c r="AC129" i="4"/>
  <c r="AC131" i="4" s="1"/>
  <c r="X128" i="4"/>
  <c r="X130" i="4" s="1"/>
  <c r="H77" i="5"/>
  <c r="H120" i="5"/>
  <c r="H121" i="5" s="1"/>
  <c r="AI125" i="4"/>
  <c r="AI127" i="4" s="1"/>
  <c r="AC62" i="4"/>
  <c r="AC77" i="4" s="1"/>
  <c r="X141" i="4"/>
  <c r="X93" i="4"/>
  <c r="X94" i="4" s="1"/>
  <c r="X95" i="4" s="1"/>
  <c r="AI150" i="4"/>
  <c r="Q124" i="4"/>
  <c r="Q126" i="4" s="1"/>
  <c r="K141" i="4"/>
  <c r="K93" i="4"/>
  <c r="K94" i="4" s="1"/>
  <c r="O128" i="5"/>
  <c r="O130" i="5" s="1"/>
  <c r="AI124" i="4"/>
  <c r="Q128" i="4"/>
  <c r="Q130" i="4" s="1"/>
  <c r="AI128" i="4"/>
  <c r="AI130" i="4" s="1"/>
  <c r="W128" i="5"/>
  <c r="W130" i="5" s="1"/>
  <c r="AI141" i="4"/>
  <c r="AI93" i="4"/>
  <c r="AI94" i="4" s="1"/>
  <c r="W124" i="5"/>
  <c r="W126" i="5" s="1"/>
  <c r="W134" i="5" s="1"/>
  <c r="AB62" i="5"/>
  <c r="AI62" i="4"/>
  <c r="X146" i="4"/>
  <c r="S133" i="5"/>
  <c r="X96" i="5"/>
  <c r="H133" i="5"/>
  <c r="X62" i="4"/>
  <c r="X124" i="4"/>
  <c r="K146" i="4"/>
  <c r="AC124" i="4"/>
  <c r="AC133" i="4" s="1"/>
  <c r="AC128" i="4"/>
  <c r="AC130" i="4" s="1"/>
  <c r="E124" i="5"/>
  <c r="E126" i="5" s="1"/>
  <c r="AO96" i="5"/>
  <c r="Y120" i="5"/>
  <c r="Y121" i="5" s="1"/>
  <c r="AO124" i="4"/>
  <c r="AO126" i="4" s="1"/>
  <c r="AT133" i="4"/>
  <c r="AA129" i="5"/>
  <c r="AA131" i="5" s="1"/>
  <c r="AD77" i="5"/>
  <c r="AD89" i="5" s="1"/>
  <c r="AD142" i="5" s="1"/>
  <c r="AB93" i="5"/>
  <c r="AB94" i="5" s="1"/>
  <c r="AB95" i="5" s="1"/>
  <c r="AB141" i="5"/>
  <c r="AO125" i="4"/>
  <c r="AO127" i="4" s="1"/>
  <c r="V77" i="5"/>
  <c r="V81" i="5" s="1"/>
  <c r="AO129" i="4"/>
  <c r="AO131" i="4" s="1"/>
  <c r="E128" i="5"/>
  <c r="E130" i="5" s="1"/>
  <c r="E134" i="5" s="1"/>
  <c r="AB146" i="5"/>
  <c r="E125" i="5"/>
  <c r="E127" i="5" s="1"/>
  <c r="O93" i="5"/>
  <c r="O94" i="5" s="1"/>
  <c r="O95" i="5" s="1"/>
  <c r="AT62" i="5"/>
  <c r="AT120" i="5" s="1"/>
  <c r="AT121" i="5" s="1"/>
  <c r="Q146" i="5"/>
  <c r="Q146" i="4"/>
  <c r="H96" i="5"/>
  <c r="H95" i="5"/>
  <c r="AK136" i="4"/>
  <c r="AK148" i="4" s="1"/>
  <c r="AQ135" i="5"/>
  <c r="AQ147" i="5" s="1"/>
  <c r="AF110" i="4"/>
  <c r="AF111" i="4" s="1"/>
  <c r="AF114" i="4"/>
  <c r="AF141" i="4"/>
  <c r="AF93" i="4"/>
  <c r="AF94" i="4" s="1"/>
  <c r="AF95" i="4" s="1"/>
  <c r="M134" i="5"/>
  <c r="AL62" i="4"/>
  <c r="Z79" i="5"/>
  <c r="Z80" i="5" s="1"/>
  <c r="N125" i="4"/>
  <c r="N127" i="4" s="1"/>
  <c r="N128" i="4"/>
  <c r="N129" i="4"/>
  <c r="N131" i="4" s="1"/>
  <c r="N124" i="4"/>
  <c r="N126" i="4" s="1"/>
  <c r="Z125" i="4"/>
  <c r="Z127" i="4" s="1"/>
  <c r="Z129" i="4"/>
  <c r="Z131" i="4" s="1"/>
  <c r="Z124" i="4"/>
  <c r="Z126" i="4" s="1"/>
  <c r="Z128" i="4"/>
  <c r="Z130" i="4" s="1"/>
  <c r="U134" i="5"/>
  <c r="AF98" i="5"/>
  <c r="AF145" i="5" s="1"/>
  <c r="AS96" i="4"/>
  <c r="AL141" i="4"/>
  <c r="AL93" i="4"/>
  <c r="AL94" i="4" s="1"/>
  <c r="AL95" i="4" s="1"/>
  <c r="Q62" i="5"/>
  <c r="Q93" i="4"/>
  <c r="Q94" i="4" s="1"/>
  <c r="Q141" i="4"/>
  <c r="AL117" i="4"/>
  <c r="Z79" i="4"/>
  <c r="Z80" i="4" s="1"/>
  <c r="AO141" i="4"/>
  <c r="AO93" i="4"/>
  <c r="AO94" i="4" s="1"/>
  <c r="I146" i="5"/>
  <c r="AJ128" i="4"/>
  <c r="AJ130" i="4" s="1"/>
  <c r="AJ129" i="4"/>
  <c r="AJ131" i="4" s="1"/>
  <c r="AJ124" i="4"/>
  <c r="AJ125" i="4"/>
  <c r="AJ127" i="4" s="1"/>
  <c r="AO62" i="4"/>
  <c r="L114" i="5"/>
  <c r="L110" i="5"/>
  <c r="L111" i="5" s="1"/>
  <c r="L146" i="5" s="1"/>
  <c r="AJ125" i="5"/>
  <c r="AJ127" i="5" s="1"/>
  <c r="L93" i="5"/>
  <c r="L94" i="5" s="1"/>
  <c r="L95" i="5" s="1"/>
  <c r="L141" i="5"/>
  <c r="Z120" i="5"/>
  <c r="Z121" i="5" s="1"/>
  <c r="Z77" i="5"/>
  <c r="N96" i="4"/>
  <c r="AJ129" i="5"/>
  <c r="AJ131" i="5" s="1"/>
  <c r="AO110" i="5"/>
  <c r="AO111" i="5" s="1"/>
  <c r="AO114" i="5"/>
  <c r="AM124" i="5"/>
  <c r="AM126" i="5" s="1"/>
  <c r="AM125" i="5"/>
  <c r="AM127" i="5" s="1"/>
  <c r="AM129" i="5"/>
  <c r="AM131" i="5" s="1"/>
  <c r="AM128" i="5"/>
  <c r="AM130" i="5" s="1"/>
  <c r="AJ128" i="5"/>
  <c r="AJ130" i="5" s="1"/>
  <c r="Q124" i="5"/>
  <c r="Q126" i="5" s="1"/>
  <c r="I77" i="4"/>
  <c r="AM96" i="5"/>
  <c r="AM117" i="5"/>
  <c r="AF117" i="4"/>
  <c r="T95" i="5"/>
  <c r="T96" i="5"/>
  <c r="AJ93" i="5"/>
  <c r="AJ94" i="5" s="1"/>
  <c r="AJ141" i="5"/>
  <c r="AC146" i="4"/>
  <c r="I141" i="5"/>
  <c r="I93" i="5"/>
  <c r="I94" i="5" s="1"/>
  <c r="AJ96" i="4"/>
  <c r="AJ98" i="4" s="1"/>
  <c r="AJ145" i="4" s="1"/>
  <c r="AJ117" i="4"/>
  <c r="AF150" i="4"/>
  <c r="AF62" i="4"/>
  <c r="AJ150" i="5"/>
  <c r="AC141" i="4"/>
  <c r="AC93" i="4"/>
  <c r="AC94" i="4" s="1"/>
  <c r="AL110" i="4"/>
  <c r="AL111" i="4" s="1"/>
  <c r="AL114" i="4"/>
  <c r="AJ124" i="5"/>
  <c r="Q93" i="5"/>
  <c r="Q94" i="5" s="1"/>
  <c r="Q95" i="5" s="1"/>
  <c r="Q141" i="5"/>
  <c r="Q62" i="4"/>
  <c r="AA128" i="5"/>
  <c r="AA130" i="5" s="1"/>
  <c r="AA124" i="5"/>
  <c r="AA126" i="5" s="1"/>
  <c r="AA134" i="5" s="1"/>
  <c r="Q129" i="5"/>
  <c r="Q131" i="5" s="1"/>
  <c r="L62" i="5"/>
  <c r="Q128" i="5"/>
  <c r="Q130" i="5" s="1"/>
  <c r="AC134" i="5"/>
  <c r="N134" i="5"/>
  <c r="AJ62" i="5"/>
  <c r="P128" i="5"/>
  <c r="P124" i="5"/>
  <c r="P126" i="5" s="1"/>
  <c r="P129" i="5"/>
  <c r="P131" i="5" s="1"/>
  <c r="P125" i="5"/>
  <c r="P127" i="5" s="1"/>
  <c r="AC89" i="5"/>
  <c r="AC142" i="5" s="1"/>
  <c r="AT110" i="5"/>
  <c r="AT111" i="5" s="1"/>
  <c r="AT146" i="5" s="1"/>
  <c r="AT114" i="5"/>
  <c r="AT141" i="5"/>
  <c r="AT93" i="5"/>
  <c r="AT94" i="5" s="1"/>
  <c r="L117" i="5"/>
  <c r="U133" i="4"/>
  <c r="V134" i="4"/>
  <c r="M89" i="5"/>
  <c r="M142" i="5" s="1"/>
  <c r="P134" i="4"/>
  <c r="W133" i="4"/>
  <c r="AF97" i="5"/>
  <c r="AF144" i="5" s="1"/>
  <c r="AA96" i="5"/>
  <c r="T136" i="4"/>
  <c r="T148" i="4" s="1"/>
  <c r="F130" i="4"/>
  <c r="F134" i="4" s="1"/>
  <c r="F136" i="4" s="1"/>
  <c r="F148" i="4" s="1"/>
  <c r="F133" i="4"/>
  <c r="F135" i="4" s="1"/>
  <c r="F147" i="4" s="1"/>
  <c r="AQ136" i="5"/>
  <c r="AQ148" i="5" s="1"/>
  <c r="E135" i="4"/>
  <c r="E147" i="4" s="1"/>
  <c r="AC81" i="5"/>
  <c r="AC140" i="5" s="1"/>
  <c r="AS96" i="5"/>
  <c r="AS97" i="5" s="1"/>
  <c r="AS144" i="5" s="1"/>
  <c r="AD134" i="4"/>
  <c r="G134" i="4"/>
  <c r="J116" i="3"/>
  <c r="J119" i="3"/>
  <c r="J120" i="3" s="1"/>
  <c r="J138" i="3" s="1"/>
  <c r="G20" i="1" s="1"/>
  <c r="AT120" i="4"/>
  <c r="AT121" i="4" s="1"/>
  <c r="AT77" i="4"/>
  <c r="J117" i="4"/>
  <c r="J96" i="4"/>
  <c r="J98" i="4" s="1"/>
  <c r="J145" i="4" s="1"/>
  <c r="AA23" i="9"/>
  <c r="AB23" i="9" s="1"/>
  <c r="AC23" i="9"/>
  <c r="V96" i="4"/>
  <c r="V117" i="4"/>
  <c r="K117" i="5"/>
  <c r="K96" i="5"/>
  <c r="E135" i="7"/>
  <c r="E87" i="7"/>
  <c r="L124" i="4"/>
  <c r="L126" i="4" s="1"/>
  <c r="L125" i="4"/>
  <c r="L127" i="4" s="1"/>
  <c r="L129" i="4"/>
  <c r="L131" i="4" s="1"/>
  <c r="L128" i="4"/>
  <c r="AM129" i="4"/>
  <c r="AM131" i="4" s="1"/>
  <c r="AM125" i="4"/>
  <c r="AM127" i="4" s="1"/>
  <c r="AM128" i="4"/>
  <c r="AM130" i="4" s="1"/>
  <c r="AM124" i="4"/>
  <c r="AM126" i="4" s="1"/>
  <c r="AA17" i="9"/>
  <c r="AB17" i="9" s="1"/>
  <c r="AC17" i="9"/>
  <c r="L45" i="7"/>
  <c r="E73" i="7"/>
  <c r="E74" i="7"/>
  <c r="E62" i="7"/>
  <c r="E63" i="7" s="1"/>
  <c r="E132" i="7" s="1"/>
  <c r="W117" i="4"/>
  <c r="W96" i="4"/>
  <c r="W97" i="4" s="1"/>
  <c r="W144" i="4" s="1"/>
  <c r="I109" i="7"/>
  <c r="I94" i="7"/>
  <c r="I112" i="7"/>
  <c r="I101" i="7"/>
  <c r="I97" i="7"/>
  <c r="I108" i="7"/>
  <c r="I122" i="7"/>
  <c r="I103" i="7"/>
  <c r="I105" i="7" s="1"/>
  <c r="I99" i="7"/>
  <c r="AA89" i="4"/>
  <c r="AA142" i="4" s="1"/>
  <c r="AA81" i="4"/>
  <c r="AM120" i="4"/>
  <c r="AM121" i="4" s="1"/>
  <c r="AM77" i="4"/>
  <c r="AM135" i="4" s="1"/>
  <c r="AM147" i="4" s="1"/>
  <c r="AN120" i="5"/>
  <c r="AN121" i="5" s="1"/>
  <c r="AN77" i="5"/>
  <c r="L45" i="3"/>
  <c r="AF26" i="9"/>
  <c r="AD26" i="9"/>
  <c r="AE26" i="9" s="1"/>
  <c r="G117" i="7"/>
  <c r="G114" i="7"/>
  <c r="G116" i="7"/>
  <c r="G115" i="7"/>
  <c r="G119" i="7" s="1"/>
  <c r="G120" i="7" s="1"/>
  <c r="G138" i="7" s="1"/>
  <c r="G113" i="7"/>
  <c r="G118" i="7"/>
  <c r="AC117" i="5"/>
  <c r="AC96" i="5"/>
  <c r="F124" i="5"/>
  <c r="F126" i="5" s="1"/>
  <c r="F128" i="5"/>
  <c r="F129" i="5"/>
  <c r="F131" i="5" s="1"/>
  <c r="F125" i="5"/>
  <c r="F127" i="5" s="1"/>
  <c r="AJ81" i="4"/>
  <c r="AJ89" i="4"/>
  <c r="AJ142" i="4" s="1"/>
  <c r="AB117" i="4"/>
  <c r="S77" i="5"/>
  <c r="S120" i="5"/>
  <c r="S121" i="5" s="1"/>
  <c r="K45" i="3"/>
  <c r="J128" i="5"/>
  <c r="J130" i="5" s="1"/>
  <c r="J125" i="5"/>
  <c r="J127" i="5" s="1"/>
  <c r="J129" i="5"/>
  <c r="J131" i="5" s="1"/>
  <c r="J124" i="5"/>
  <c r="T135" i="4"/>
  <c r="T147" i="4" s="1"/>
  <c r="AD133" i="4"/>
  <c r="U96" i="4"/>
  <c r="M45" i="7"/>
  <c r="AC11" i="9"/>
  <c r="AA11" i="9"/>
  <c r="AB11" i="9" s="1"/>
  <c r="AC16" i="9"/>
  <c r="AA16" i="9"/>
  <c r="AB16" i="9" s="1"/>
  <c r="AF24" i="9"/>
  <c r="AD24" i="9"/>
  <c r="AE24" i="9" s="1"/>
  <c r="AC133" i="5"/>
  <c r="F108" i="7"/>
  <c r="F99" i="7"/>
  <c r="F109" i="7"/>
  <c r="F94" i="7"/>
  <c r="F101" i="7"/>
  <c r="F97" i="7"/>
  <c r="F103" i="7" s="1"/>
  <c r="F105" i="7" s="1"/>
  <c r="F122" i="7"/>
  <c r="F112" i="7"/>
  <c r="L120" i="4"/>
  <c r="L121" i="4" s="1"/>
  <c r="L77" i="4"/>
  <c r="AA29" i="9"/>
  <c r="AB29" i="9" s="1"/>
  <c r="AC29" i="9"/>
  <c r="F81" i="4"/>
  <c r="F89" i="4"/>
  <c r="F142" i="4" s="1"/>
  <c r="AC20" i="9"/>
  <c r="AA20" i="9"/>
  <c r="AB20" i="9" s="1"/>
  <c r="J81" i="4"/>
  <c r="J89" i="4"/>
  <c r="J142" i="4" s="1"/>
  <c r="T98" i="4"/>
  <c r="T145" i="4" s="1"/>
  <c r="T81" i="4"/>
  <c r="T89" i="4"/>
  <c r="T142" i="4" s="1"/>
  <c r="T97" i="4"/>
  <c r="T144" i="4" s="1"/>
  <c r="H45" i="3"/>
  <c r="AD117" i="4"/>
  <c r="AD96" i="4"/>
  <c r="AA120" i="5"/>
  <c r="AA121" i="5" s="1"/>
  <c r="AA77" i="5"/>
  <c r="Y120" i="4"/>
  <c r="Y121" i="4" s="1"/>
  <c r="Y77" i="4"/>
  <c r="AN140" i="4"/>
  <c r="AN90" i="4"/>
  <c r="AN143" i="4" s="1"/>
  <c r="S126" i="4"/>
  <c r="S134" i="4" s="1"/>
  <c r="S136" i="4" s="1"/>
  <c r="S148" i="4" s="1"/>
  <c r="S133" i="4"/>
  <c r="S135" i="4" s="1"/>
  <c r="S147" i="4" s="1"/>
  <c r="J45" i="7"/>
  <c r="AG97" i="4"/>
  <c r="AG144" i="4" s="1"/>
  <c r="AG89" i="4"/>
  <c r="AG142" i="4" s="1"/>
  <c r="AG81" i="4"/>
  <c r="AG98" i="4"/>
  <c r="AG145" i="4" s="1"/>
  <c r="AB117" i="5"/>
  <c r="AR136" i="5"/>
  <c r="AR148" i="5" s="1"/>
  <c r="Y133" i="4"/>
  <c r="AA30" i="9"/>
  <c r="AC30" i="9"/>
  <c r="G140" i="5"/>
  <c r="G90" i="5"/>
  <c r="G143" i="5" s="1"/>
  <c r="U120" i="4"/>
  <c r="U121" i="4" s="1"/>
  <c r="U77" i="4"/>
  <c r="F77" i="5"/>
  <c r="F120" i="5"/>
  <c r="F121" i="5" s="1"/>
  <c r="Q117" i="5"/>
  <c r="AL89" i="5"/>
  <c r="AL142" i="5" s="1"/>
  <c r="AL81" i="5"/>
  <c r="J95" i="5"/>
  <c r="J96" i="5"/>
  <c r="Y89" i="5"/>
  <c r="Y142" i="5" s="1"/>
  <c r="Y81" i="5"/>
  <c r="U117" i="5"/>
  <c r="W77" i="5"/>
  <c r="W120" i="5"/>
  <c r="W121" i="5" s="1"/>
  <c r="AA117" i="4"/>
  <c r="AA96" i="4"/>
  <c r="AA98" i="4" s="1"/>
  <c r="AA145" i="4" s="1"/>
  <c r="G117" i="4"/>
  <c r="G96" i="4"/>
  <c r="E45" i="3"/>
  <c r="M125" i="4"/>
  <c r="M127" i="4" s="1"/>
  <c r="M128" i="4"/>
  <c r="M129" i="4"/>
  <c r="M131" i="4" s="1"/>
  <c r="M124" i="4"/>
  <c r="M126" i="4" s="1"/>
  <c r="AC21" i="9"/>
  <c r="AA21" i="9"/>
  <c r="AB21" i="9" s="1"/>
  <c r="H112" i="7"/>
  <c r="H101" i="7"/>
  <c r="H109" i="7"/>
  <c r="H99" i="7"/>
  <c r="H108" i="7"/>
  <c r="H97" i="7"/>
  <c r="H103" i="7" s="1"/>
  <c r="H105" i="7" s="1"/>
  <c r="H122" i="7"/>
  <c r="H94" i="7"/>
  <c r="AS89" i="5"/>
  <c r="AS142" i="5" s="1"/>
  <c r="AS81" i="5"/>
  <c r="AH97" i="5"/>
  <c r="AH144" i="5" s="1"/>
  <c r="Y134" i="4"/>
  <c r="G137" i="7"/>
  <c r="AN96" i="5"/>
  <c r="W89" i="4"/>
  <c r="W142" i="4" s="1"/>
  <c r="W81" i="4"/>
  <c r="L117" i="4"/>
  <c r="L96" i="4"/>
  <c r="AF140" i="5"/>
  <c r="AF90" i="5"/>
  <c r="AF143" i="5" s="1"/>
  <c r="I45" i="3"/>
  <c r="AT96" i="4"/>
  <c r="AT117" i="4"/>
  <c r="U133" i="5"/>
  <c r="F108" i="3"/>
  <c r="F103" i="3"/>
  <c r="F99" i="3"/>
  <c r="F112" i="3"/>
  <c r="F101" i="3"/>
  <c r="F97" i="3"/>
  <c r="F94" i="3"/>
  <c r="F105" i="3"/>
  <c r="F122" i="3"/>
  <c r="F109" i="3"/>
  <c r="AA12" i="9"/>
  <c r="AC12" i="9"/>
  <c r="AC19" i="9"/>
  <c r="AA19" i="9"/>
  <c r="AB19" i="9" s="1"/>
  <c r="M96" i="4"/>
  <c r="M95" i="4"/>
  <c r="E120" i="5"/>
  <c r="E121" i="5" s="1"/>
  <c r="E77" i="5"/>
  <c r="AD81" i="4"/>
  <c r="M120" i="4"/>
  <c r="M121" i="4" s="1"/>
  <c r="M77" i="4"/>
  <c r="P133" i="4"/>
  <c r="S117" i="5"/>
  <c r="S96" i="5"/>
  <c r="F117" i="5"/>
  <c r="Y96" i="4"/>
  <c r="S97" i="4"/>
  <c r="S144" i="4" s="1"/>
  <c r="G133" i="4"/>
  <c r="V89" i="4"/>
  <c r="V142" i="4" s="1"/>
  <c r="W117" i="5"/>
  <c r="AE97" i="5"/>
  <c r="AE144" i="5" s="1"/>
  <c r="AD89" i="4"/>
  <c r="AD142" i="4" s="1"/>
  <c r="AH90" i="5"/>
  <c r="AH143" i="5" s="1"/>
  <c r="AH140" i="5"/>
  <c r="AQ97" i="5"/>
  <c r="AQ144" i="5" s="1"/>
  <c r="AQ98" i="5"/>
  <c r="AQ145" i="5" s="1"/>
  <c r="AQ81" i="5"/>
  <c r="AQ89" i="5"/>
  <c r="AQ142" i="5" s="1"/>
  <c r="O117" i="4"/>
  <c r="N96" i="5"/>
  <c r="N117" i="5"/>
  <c r="N81" i="5"/>
  <c r="N89" i="5"/>
  <c r="N142" i="5" s="1"/>
  <c r="K45" i="7"/>
  <c r="AF25" i="9"/>
  <c r="AD25" i="9"/>
  <c r="AE25" i="9" s="1"/>
  <c r="P96" i="4"/>
  <c r="P117" i="4"/>
  <c r="U89" i="5"/>
  <c r="U142" i="5" s="1"/>
  <c r="AQ136" i="4"/>
  <c r="AQ148" i="4" s="1"/>
  <c r="AR98" i="5"/>
  <c r="AR145" i="5" s="1"/>
  <c r="AR97" i="5"/>
  <c r="AR144" i="5" s="1"/>
  <c r="AR89" i="5"/>
  <c r="AR142" i="5" s="1"/>
  <c r="AR81" i="5"/>
  <c r="AF14" i="9"/>
  <c r="AD14" i="9"/>
  <c r="AE14" i="9" s="1"/>
  <c r="M45" i="3"/>
  <c r="AK89" i="4"/>
  <c r="AK142" i="4" s="1"/>
  <c r="AK98" i="4"/>
  <c r="AK145" i="4" s="1"/>
  <c r="AK81" i="4"/>
  <c r="AK97" i="4"/>
  <c r="AK144" i="4" s="1"/>
  <c r="G123" i="7"/>
  <c r="G125" i="7"/>
  <c r="G126" i="7" s="1"/>
  <c r="G127" i="7"/>
  <c r="G128" i="7" s="1"/>
  <c r="G129" i="7" s="1"/>
  <c r="M117" i="5"/>
  <c r="M96" i="5"/>
  <c r="E89" i="4"/>
  <c r="E142" i="4" s="1"/>
  <c r="E81" i="4"/>
  <c r="I117" i="4"/>
  <c r="I96" i="4"/>
  <c r="AA22" i="9"/>
  <c r="AB22" i="9" s="1"/>
  <c r="AC22" i="9"/>
  <c r="AF28" i="9"/>
  <c r="AD28" i="9"/>
  <c r="AE28" i="9" s="1"/>
  <c r="AM96" i="4"/>
  <c r="AA9" i="9"/>
  <c r="AB9" i="9" s="1"/>
  <c r="AC9" i="9"/>
  <c r="AB120" i="4"/>
  <c r="AB121" i="4" s="1"/>
  <c r="AB77" i="4"/>
  <c r="AB124" i="4"/>
  <c r="AB128" i="4"/>
  <c r="AB130" i="4" s="1"/>
  <c r="AB129" i="4"/>
  <c r="AB131" i="4" s="1"/>
  <c r="AB125" i="4"/>
  <c r="AB127" i="4" s="1"/>
  <c r="AH81" i="4"/>
  <c r="AH89" i="4"/>
  <c r="AH142" i="4" s="1"/>
  <c r="AC27" i="9"/>
  <c r="AA27" i="9"/>
  <c r="AB27" i="9" s="1"/>
  <c r="AD117" i="5"/>
  <c r="AD96" i="5"/>
  <c r="AK89" i="5"/>
  <c r="AK142" i="5" s="1"/>
  <c r="AK97" i="5"/>
  <c r="AK144" i="5" s="1"/>
  <c r="AK98" i="5"/>
  <c r="AK145" i="5" s="1"/>
  <c r="AK81" i="5"/>
  <c r="V81" i="4"/>
  <c r="E117" i="5"/>
  <c r="E96" i="5"/>
  <c r="V133" i="4"/>
  <c r="AI89" i="5"/>
  <c r="AI142" i="5" s="1"/>
  <c r="AI81" i="5"/>
  <c r="Y126" i="5"/>
  <c r="AS136" i="5"/>
  <c r="AS148" i="5" s="1"/>
  <c r="M133" i="5"/>
  <c r="E136" i="4"/>
  <c r="E148" i="4" s="1"/>
  <c r="AI8" i="9"/>
  <c r="AG8" i="9"/>
  <c r="AH8" i="9" s="1"/>
  <c r="G48" i="3"/>
  <c r="G47" i="3"/>
  <c r="G46" i="3"/>
  <c r="G45" i="3" s="1"/>
  <c r="J120" i="5"/>
  <c r="J121" i="5" s="1"/>
  <c r="J77" i="5"/>
  <c r="AD128" i="5"/>
  <c r="AD130" i="5" s="1"/>
  <c r="AD124" i="5"/>
  <c r="AD129" i="5"/>
  <c r="AD131" i="5" s="1"/>
  <c r="AD125" i="5"/>
  <c r="AD127" i="5" s="1"/>
  <c r="P96" i="5"/>
  <c r="P117" i="5"/>
  <c r="AC15" i="9"/>
  <c r="AA15" i="9"/>
  <c r="AB15" i="9" s="1"/>
  <c r="U81" i="5"/>
  <c r="AI18" i="9"/>
  <c r="AG18" i="9"/>
  <c r="AH18" i="9" s="1"/>
  <c r="G81" i="4"/>
  <c r="S140" i="4"/>
  <c r="S90" i="4"/>
  <c r="S143" i="4" s="1"/>
  <c r="AD6" i="9"/>
  <c r="AE6" i="9" s="1"/>
  <c r="AF6" i="9"/>
  <c r="AD10" i="9"/>
  <c r="AE10" i="9" s="1"/>
  <c r="AF10" i="9"/>
  <c r="G133" i="5"/>
  <c r="G135" i="5" s="1"/>
  <c r="G147" i="5" s="1"/>
  <c r="X117" i="4"/>
  <c r="AA7" i="9"/>
  <c r="AB7" i="9" s="1"/>
  <c r="AC7" i="9"/>
  <c r="N133" i="5"/>
  <c r="AA13" i="9"/>
  <c r="AB13" i="9" s="1"/>
  <c r="AC13" i="9"/>
  <c r="R140" i="5" l="1"/>
  <c r="U96" i="5"/>
  <c r="R89" i="5"/>
  <c r="R142" i="5" s="1"/>
  <c r="AG90" i="5"/>
  <c r="AG143" i="5" s="1"/>
  <c r="AE77" i="4"/>
  <c r="AE89" i="4" s="1"/>
  <c r="AE142" i="4" s="1"/>
  <c r="R96" i="5"/>
  <c r="R98" i="5" s="1"/>
  <c r="R145" i="5" s="1"/>
  <c r="AR89" i="4"/>
  <c r="AR142" i="4" s="1"/>
  <c r="AR98" i="4"/>
  <c r="AR145" i="4" s="1"/>
  <c r="AP96" i="4"/>
  <c r="AP98" i="4" s="1"/>
  <c r="AP145" i="4" s="1"/>
  <c r="R136" i="4"/>
  <c r="R148" i="4" s="1"/>
  <c r="AR97" i="4"/>
  <c r="AR144" i="4" s="1"/>
  <c r="AR136" i="4"/>
  <c r="AR148" i="4" s="1"/>
  <c r="R135" i="4"/>
  <c r="R147" i="4" s="1"/>
  <c r="F96" i="5"/>
  <c r="F98" i="5" s="1"/>
  <c r="F145" i="5" s="1"/>
  <c r="AR81" i="4"/>
  <c r="AR140" i="4" s="1"/>
  <c r="R81" i="4"/>
  <c r="R140" i="4" s="1"/>
  <c r="AQ97" i="4"/>
  <c r="AQ144" i="4" s="1"/>
  <c r="E96" i="4"/>
  <c r="E98" i="4" s="1"/>
  <c r="E145" i="4" s="1"/>
  <c r="V129" i="4"/>
  <c r="V131" i="4" s="1"/>
  <c r="V124" i="4"/>
  <c r="V126" i="4" s="1"/>
  <c r="V125" i="4"/>
  <c r="V127" i="4" s="1"/>
  <c r="AP98" i="5"/>
  <c r="AP145" i="5" s="1"/>
  <c r="G98" i="5"/>
  <c r="G145" i="5" s="1"/>
  <c r="R95" i="4"/>
  <c r="R96" i="4"/>
  <c r="X128" i="5"/>
  <c r="X130" i="5" s="1"/>
  <c r="K81" i="5"/>
  <c r="K90" i="5" s="1"/>
  <c r="K143" i="5" s="1"/>
  <c r="X124" i="5"/>
  <c r="X126" i="5" s="1"/>
  <c r="X134" i="5" s="1"/>
  <c r="X136" i="5" s="1"/>
  <c r="X148" i="5" s="1"/>
  <c r="X129" i="5"/>
  <c r="X131" i="5" s="1"/>
  <c r="K97" i="5"/>
  <c r="K144" i="5" s="1"/>
  <c r="H97" i="4"/>
  <c r="H144" i="4" s="1"/>
  <c r="X81" i="5"/>
  <c r="X140" i="5" s="1"/>
  <c r="H136" i="4"/>
  <c r="H148" i="4" s="1"/>
  <c r="H98" i="4"/>
  <c r="H145" i="4" s="1"/>
  <c r="X98" i="5"/>
  <c r="X145" i="5" s="1"/>
  <c r="H135" i="4"/>
  <c r="H147" i="4" s="1"/>
  <c r="H89" i="4"/>
  <c r="H142" i="4" s="1"/>
  <c r="H81" i="4"/>
  <c r="O89" i="5"/>
  <c r="O142" i="5" s="1"/>
  <c r="O120" i="5"/>
  <c r="O121" i="5" s="1"/>
  <c r="AG135" i="5"/>
  <c r="AG147" i="5" s="1"/>
  <c r="AK136" i="5"/>
  <c r="AK148" i="5" s="1"/>
  <c r="I134" i="4"/>
  <c r="I136" i="4" s="1"/>
  <c r="I148" i="4" s="1"/>
  <c r="AP90" i="5"/>
  <c r="AP143" i="5" s="1"/>
  <c r="AS89" i="4"/>
  <c r="AS142" i="4" s="1"/>
  <c r="AE90" i="5"/>
  <c r="AE143" i="5" s="1"/>
  <c r="AA134" i="4"/>
  <c r="AA136" i="4" s="1"/>
  <c r="AA148" i="4" s="1"/>
  <c r="W96" i="5"/>
  <c r="W98" i="5" s="1"/>
  <c r="W145" i="5" s="1"/>
  <c r="I133" i="5"/>
  <c r="I135" i="5" s="1"/>
  <c r="I147" i="5" s="1"/>
  <c r="AB96" i="4"/>
  <c r="AB97" i="4" s="1"/>
  <c r="AB144" i="4" s="1"/>
  <c r="W136" i="4"/>
  <c r="W148" i="4" s="1"/>
  <c r="I133" i="4"/>
  <c r="I135" i="4" s="1"/>
  <c r="I147" i="4" s="1"/>
  <c r="AA133" i="4"/>
  <c r="AA135" i="4" s="1"/>
  <c r="AA147" i="4" s="1"/>
  <c r="Y96" i="5"/>
  <c r="Y98" i="5" s="1"/>
  <c r="Y145" i="5" s="1"/>
  <c r="AG98" i="5"/>
  <c r="AG145" i="5" s="1"/>
  <c r="AP135" i="4"/>
  <c r="AP147" i="4" s="1"/>
  <c r="AL135" i="5"/>
  <c r="AL147" i="5" s="1"/>
  <c r="Z124" i="5"/>
  <c r="Z126" i="5" s="1"/>
  <c r="Z134" i="5" s="1"/>
  <c r="AH98" i="4"/>
  <c r="AH145" i="4" s="1"/>
  <c r="AL98" i="5"/>
  <c r="AL145" i="5" s="1"/>
  <c r="AB125" i="5"/>
  <c r="AB127" i="5" s="1"/>
  <c r="O81" i="4"/>
  <c r="O90" i="4" s="1"/>
  <c r="O143" i="4" s="1"/>
  <c r="AS98" i="4"/>
  <c r="AS145" i="4" s="1"/>
  <c r="AN96" i="4"/>
  <c r="AN98" i="4" s="1"/>
  <c r="AN145" i="4" s="1"/>
  <c r="I134" i="5"/>
  <c r="I136" i="5" s="1"/>
  <c r="I148" i="5" s="1"/>
  <c r="X96" i="4"/>
  <c r="H136" i="5"/>
  <c r="H148" i="5" s="1"/>
  <c r="P81" i="4"/>
  <c r="P90" i="4" s="1"/>
  <c r="P143" i="4" s="1"/>
  <c r="O133" i="4"/>
  <c r="O135" i="4" s="1"/>
  <c r="O147" i="4" s="1"/>
  <c r="Z128" i="5"/>
  <c r="Z130" i="5" s="1"/>
  <c r="Z129" i="5"/>
  <c r="Z131" i="5" s="1"/>
  <c r="AI96" i="5"/>
  <c r="AI98" i="5" s="1"/>
  <c r="AI145" i="5" s="1"/>
  <c r="AS135" i="4"/>
  <c r="AS147" i="4" s="1"/>
  <c r="N77" i="4"/>
  <c r="N98" i="4" s="1"/>
  <c r="N145" i="4" s="1"/>
  <c r="N120" i="4"/>
  <c r="N121" i="4" s="1"/>
  <c r="M140" i="5"/>
  <c r="AS136" i="4"/>
  <c r="AS148" i="4" s="1"/>
  <c r="AI126" i="4"/>
  <c r="AI134" i="4" s="1"/>
  <c r="AI133" i="4"/>
  <c r="K133" i="5"/>
  <c r="K135" i="5" s="1"/>
  <c r="K147" i="5" s="1"/>
  <c r="K77" i="4"/>
  <c r="K89" i="4" s="1"/>
  <c r="K142" i="4" s="1"/>
  <c r="J133" i="4"/>
  <c r="J135" i="4" s="1"/>
  <c r="J147" i="4" s="1"/>
  <c r="I120" i="5"/>
  <c r="I121" i="5" s="1"/>
  <c r="AJ126" i="5"/>
  <c r="AJ134" i="5" s="1"/>
  <c r="AJ133" i="5"/>
  <c r="Y133" i="5"/>
  <c r="Y135" i="5" s="1"/>
  <c r="Y147" i="5" s="1"/>
  <c r="Y134" i="5"/>
  <c r="Y136" i="5" s="1"/>
  <c r="Y148" i="5" s="1"/>
  <c r="AJ126" i="4"/>
  <c r="AJ134" i="4" s="1"/>
  <c r="AJ136" i="4" s="1"/>
  <c r="AJ148" i="4" s="1"/>
  <c r="AJ133" i="4"/>
  <c r="AJ135" i="4" s="1"/>
  <c r="AJ147" i="4" s="1"/>
  <c r="AO97" i="5"/>
  <c r="AO144" i="5" s="1"/>
  <c r="P98" i="5"/>
  <c r="P145" i="5" s="1"/>
  <c r="V129" i="5"/>
  <c r="V131" i="5" s="1"/>
  <c r="V125" i="5"/>
  <c r="V127" i="5" s="1"/>
  <c r="P89" i="5"/>
  <c r="P142" i="5" s="1"/>
  <c r="R134" i="5"/>
  <c r="R136" i="5" s="1"/>
  <c r="R148" i="5" s="1"/>
  <c r="V128" i="5"/>
  <c r="V130" i="5" s="1"/>
  <c r="AC120" i="4"/>
  <c r="AC121" i="4" s="1"/>
  <c r="AO89" i="5"/>
  <c r="AO142" i="5" s="1"/>
  <c r="R133" i="5"/>
  <c r="R135" i="5" s="1"/>
  <c r="R147" i="5" s="1"/>
  <c r="N136" i="5"/>
  <c r="N148" i="5" s="1"/>
  <c r="T135" i="5"/>
  <c r="T147" i="5" s="1"/>
  <c r="Y136" i="4"/>
  <c r="Y148" i="4" s="1"/>
  <c r="F98" i="4"/>
  <c r="F145" i="4" s="1"/>
  <c r="AO136" i="5"/>
  <c r="AO148" i="5" s="1"/>
  <c r="AB129" i="5"/>
  <c r="AB131" i="5" s="1"/>
  <c r="AB124" i="5"/>
  <c r="AB126" i="5" s="1"/>
  <c r="AB134" i="5" s="1"/>
  <c r="AT77" i="5"/>
  <c r="AT89" i="5" s="1"/>
  <c r="AT142" i="5" s="1"/>
  <c r="V96" i="5"/>
  <c r="V98" i="5" s="1"/>
  <c r="V145" i="5" s="1"/>
  <c r="AC126" i="4"/>
  <c r="AC134" i="4" s="1"/>
  <c r="AC136" i="4" s="1"/>
  <c r="AC148" i="4" s="1"/>
  <c r="AB96" i="5"/>
  <c r="V135" i="4"/>
  <c r="V147" i="4" s="1"/>
  <c r="AM89" i="5"/>
  <c r="AM142" i="5" s="1"/>
  <c r="AI129" i="5"/>
  <c r="AI131" i="5" s="1"/>
  <c r="Q134" i="4"/>
  <c r="J136" i="4"/>
  <c r="J148" i="4" s="1"/>
  <c r="Q134" i="5"/>
  <c r="O134" i="5"/>
  <c r="O136" i="5" s="1"/>
  <c r="O148" i="5" s="1"/>
  <c r="O96" i="4"/>
  <c r="O98" i="4" s="1"/>
  <c r="O145" i="4" s="1"/>
  <c r="O133" i="5"/>
  <c r="O135" i="5" s="1"/>
  <c r="O147" i="5" s="1"/>
  <c r="AQ90" i="4"/>
  <c r="AQ143" i="4" s="1"/>
  <c r="Q133" i="5"/>
  <c r="AM135" i="5"/>
  <c r="AM147" i="5" s="1"/>
  <c r="AD135" i="4"/>
  <c r="AD147" i="4" s="1"/>
  <c r="X97" i="5"/>
  <c r="X144" i="5" s="1"/>
  <c r="AI124" i="5"/>
  <c r="AI128" i="5"/>
  <c r="AI130" i="5" s="1"/>
  <c r="P97" i="5"/>
  <c r="P144" i="5" s="1"/>
  <c r="W133" i="5"/>
  <c r="W135" i="5" s="1"/>
  <c r="W147" i="5" s="1"/>
  <c r="AI125" i="5"/>
  <c r="AI127" i="5" s="1"/>
  <c r="G136" i="4"/>
  <c r="G148" i="4" s="1"/>
  <c r="I97" i="4"/>
  <c r="I144" i="4" s="1"/>
  <c r="AP81" i="4"/>
  <c r="AP89" i="4"/>
  <c r="AP142" i="4" s="1"/>
  <c r="AD136" i="4"/>
  <c r="AD148" i="4" s="1"/>
  <c r="T81" i="5"/>
  <c r="T89" i="5"/>
  <c r="T142" i="5" s="1"/>
  <c r="V89" i="5"/>
  <c r="V142" i="5" s="1"/>
  <c r="I81" i="4"/>
  <c r="I140" i="4" s="1"/>
  <c r="AI120" i="4"/>
  <c r="AI121" i="4" s="1"/>
  <c r="AI77" i="4"/>
  <c r="AC135" i="4"/>
  <c r="AC147" i="4" s="1"/>
  <c r="AB77" i="5"/>
  <c r="AB120" i="5"/>
  <c r="AB121" i="5" s="1"/>
  <c r="Q133" i="4"/>
  <c r="AO98" i="5"/>
  <c r="AO145" i="5" s="1"/>
  <c r="AJ97" i="4"/>
  <c r="AJ144" i="4" s="1"/>
  <c r="U136" i="5"/>
  <c r="U148" i="5" s="1"/>
  <c r="X126" i="4"/>
  <c r="X134" i="4" s="1"/>
  <c r="X133" i="4"/>
  <c r="X120" i="4"/>
  <c r="X121" i="4" s="1"/>
  <c r="X77" i="4"/>
  <c r="H81" i="5"/>
  <c r="H89" i="5"/>
  <c r="H142" i="5" s="1"/>
  <c r="AA133" i="5"/>
  <c r="AA135" i="5" s="1"/>
  <c r="AA147" i="5" s="1"/>
  <c r="AC90" i="5"/>
  <c r="AC143" i="5" s="1"/>
  <c r="H135" i="5"/>
  <c r="H147" i="5" s="1"/>
  <c r="AI95" i="4"/>
  <c r="AI96" i="4"/>
  <c r="K95" i="4"/>
  <c r="K96" i="4"/>
  <c r="Z134" i="4"/>
  <c r="AD81" i="5"/>
  <c r="AD90" i="5" s="1"/>
  <c r="AD143" i="5" s="1"/>
  <c r="AC135" i="5"/>
  <c r="AC147" i="5" s="1"/>
  <c r="I89" i="4"/>
  <c r="I142" i="4" s="1"/>
  <c r="K136" i="5"/>
  <c r="K148" i="5" s="1"/>
  <c r="H98" i="5"/>
  <c r="H145" i="5" s="1"/>
  <c r="H97" i="5"/>
  <c r="H144" i="5" s="1"/>
  <c r="Z133" i="4"/>
  <c r="O96" i="5"/>
  <c r="O97" i="5" s="1"/>
  <c r="O144" i="5" s="1"/>
  <c r="I98" i="4"/>
  <c r="I145" i="4" s="1"/>
  <c r="AO135" i="5"/>
  <c r="AO147" i="5" s="1"/>
  <c r="AL96" i="4"/>
  <c r="AS90" i="4"/>
  <c r="AS143" i="4" s="1"/>
  <c r="AS140" i="4"/>
  <c r="AD97" i="5"/>
  <c r="AD144" i="5" s="1"/>
  <c r="E133" i="5"/>
  <c r="E135" i="5" s="1"/>
  <c r="E147" i="5" s="1"/>
  <c r="AS98" i="5"/>
  <c r="AS145" i="5" s="1"/>
  <c r="S135" i="5"/>
  <c r="S147" i="5" s="1"/>
  <c r="E136" i="5"/>
  <c r="E148" i="5" s="1"/>
  <c r="AT135" i="4"/>
  <c r="AT147" i="4" s="1"/>
  <c r="W136" i="5"/>
  <c r="W148" i="5" s="1"/>
  <c r="AL125" i="4"/>
  <c r="AL127" i="4" s="1"/>
  <c r="AL129" i="4"/>
  <c r="AL131" i="4" s="1"/>
  <c r="AL128" i="4"/>
  <c r="AL130" i="4" s="1"/>
  <c r="AL124" i="4"/>
  <c r="AL126" i="4" s="1"/>
  <c r="AF96" i="4"/>
  <c r="Q120" i="4"/>
  <c r="Q121" i="4" s="1"/>
  <c r="Q77" i="4"/>
  <c r="AO120" i="4"/>
  <c r="AO121" i="4" s="1"/>
  <c r="AO77" i="4"/>
  <c r="J97" i="4"/>
  <c r="J144" i="4" s="1"/>
  <c r="AF120" i="4"/>
  <c r="AF121" i="4" s="1"/>
  <c r="AF77" i="4"/>
  <c r="AJ95" i="5"/>
  <c r="AJ96" i="5"/>
  <c r="I89" i="5"/>
  <c r="I142" i="5" s="1"/>
  <c r="I81" i="5"/>
  <c r="N130" i="4"/>
  <c r="N134" i="4" s="1"/>
  <c r="N133" i="4"/>
  <c r="G135" i="4"/>
  <c r="G147" i="4" s="1"/>
  <c r="AO124" i="5"/>
  <c r="AO126" i="5" s="1"/>
  <c r="AO128" i="5"/>
  <c r="AO130" i="5" s="1"/>
  <c r="AO129" i="5"/>
  <c r="AO131" i="5" s="1"/>
  <c r="AO125" i="5"/>
  <c r="AO127" i="5" s="1"/>
  <c r="L125" i="5"/>
  <c r="L127" i="5" s="1"/>
  <c r="L124" i="5"/>
  <c r="L126" i="5" s="1"/>
  <c r="L129" i="5"/>
  <c r="L131" i="5" s="1"/>
  <c r="L128" i="5"/>
  <c r="AS97" i="4"/>
  <c r="AS144" i="4" s="1"/>
  <c r="V136" i="4"/>
  <c r="V148" i="4" s="1"/>
  <c r="Z81" i="5"/>
  <c r="Z96" i="5"/>
  <c r="Z117" i="5"/>
  <c r="AD98" i="5"/>
  <c r="AD145" i="5" s="1"/>
  <c r="AC95" i="4"/>
  <c r="AC96" i="4"/>
  <c r="AC97" i="4" s="1"/>
  <c r="AC144" i="4" s="1"/>
  <c r="X133" i="5"/>
  <c r="X135" i="5" s="1"/>
  <c r="X147" i="5" s="1"/>
  <c r="AL120" i="4"/>
  <c r="AL121" i="4" s="1"/>
  <c r="AL77" i="4"/>
  <c r="AL136" i="4" s="1"/>
  <c r="AL148" i="4" s="1"/>
  <c r="AM136" i="5"/>
  <c r="AM148" i="5" s="1"/>
  <c r="AT129" i="5"/>
  <c r="AT131" i="5" s="1"/>
  <c r="AT125" i="5"/>
  <c r="AT127" i="5" s="1"/>
  <c r="AT124" i="5"/>
  <c r="AT128" i="5"/>
  <c r="AT130" i="5" s="1"/>
  <c r="AJ120" i="5"/>
  <c r="AJ121" i="5" s="1"/>
  <c r="AJ77" i="5"/>
  <c r="Z117" i="4"/>
  <c r="Z81" i="4"/>
  <c r="Z96" i="4"/>
  <c r="Z89" i="4"/>
  <c r="Z142" i="4" s="1"/>
  <c r="T98" i="5"/>
  <c r="T145" i="5" s="1"/>
  <c r="T97" i="5"/>
  <c r="T144" i="5" s="1"/>
  <c r="AC81" i="4"/>
  <c r="AC89" i="4"/>
  <c r="AC142" i="4" s="1"/>
  <c r="M136" i="5"/>
  <c r="M148" i="5" s="1"/>
  <c r="P136" i="4"/>
  <c r="P148" i="4" s="1"/>
  <c r="L77" i="5"/>
  <c r="L120" i="5"/>
  <c r="L121" i="5" s="1"/>
  <c r="AF124" i="4"/>
  <c r="AF128" i="4"/>
  <c r="AF130" i="4" s="1"/>
  <c r="AF129" i="4"/>
  <c r="AF131" i="4" s="1"/>
  <c r="AF125" i="4"/>
  <c r="AF127" i="4" s="1"/>
  <c r="AC136" i="5"/>
  <c r="AC148" i="5" s="1"/>
  <c r="Q95" i="4"/>
  <c r="Q96" i="4"/>
  <c r="AM98" i="5"/>
  <c r="AM145" i="5" s="1"/>
  <c r="AM97" i="5"/>
  <c r="AM144" i="5" s="1"/>
  <c r="AO95" i="4"/>
  <c r="AO96" i="4"/>
  <c r="Q120" i="5"/>
  <c r="Q121" i="5" s="1"/>
  <c r="Q77" i="5"/>
  <c r="L96" i="5"/>
  <c r="I95" i="5"/>
  <c r="I96" i="5"/>
  <c r="Z89" i="5"/>
  <c r="Z142" i="5" s="1"/>
  <c r="N135" i="5"/>
  <c r="N147" i="5" s="1"/>
  <c r="Q96" i="5"/>
  <c r="AT95" i="5"/>
  <c r="AT96" i="5"/>
  <c r="P130" i="5"/>
  <c r="P134" i="5" s="1"/>
  <c r="P136" i="5" s="1"/>
  <c r="P148" i="5" s="1"/>
  <c r="P133" i="5"/>
  <c r="P135" i="5" s="1"/>
  <c r="P147" i="5" s="1"/>
  <c r="AM140" i="5"/>
  <c r="AM90" i="5"/>
  <c r="AM143" i="5" s="1"/>
  <c r="M135" i="5"/>
  <c r="M147" i="5" s="1"/>
  <c r="AA136" i="5"/>
  <c r="AA148" i="5" s="1"/>
  <c r="K98" i="5"/>
  <c r="K145" i="5" s="1"/>
  <c r="W98" i="4"/>
  <c r="W145" i="4" s="1"/>
  <c r="S149" i="4"/>
  <c r="S150" i="4" s="1"/>
  <c r="AE30" i="9"/>
  <c r="P135" i="4"/>
  <c r="P147" i="4" s="1"/>
  <c r="J94" i="7"/>
  <c r="J109" i="7"/>
  <c r="J99" i="7"/>
  <c r="J97" i="7"/>
  <c r="J101" i="7"/>
  <c r="J122" i="7"/>
  <c r="J108" i="7"/>
  <c r="J103" i="7"/>
  <c r="J105" i="7" s="1"/>
  <c r="J112" i="7"/>
  <c r="T140" i="4"/>
  <c r="T90" i="4"/>
  <c r="T143" i="4" s="1"/>
  <c r="F117" i="7"/>
  <c r="F113" i="7"/>
  <c r="F114" i="7" s="1"/>
  <c r="S98" i="5"/>
  <c r="S145" i="5" s="1"/>
  <c r="S97" i="5"/>
  <c r="S144" i="5" s="1"/>
  <c r="S89" i="5"/>
  <c r="S142" i="5" s="1"/>
  <c r="S81" i="5"/>
  <c r="S136" i="5"/>
  <c r="S148" i="5" s="1"/>
  <c r="AI26" i="9"/>
  <c r="AG26" i="9"/>
  <c r="AA140" i="4"/>
  <c r="AA90" i="4"/>
  <c r="AA143" i="4" s="1"/>
  <c r="F127" i="3"/>
  <c r="F128" i="3" s="1"/>
  <c r="F129" i="3" s="1"/>
  <c r="F123" i="3"/>
  <c r="F126" i="3"/>
  <c r="F125" i="3"/>
  <c r="AL90" i="5"/>
  <c r="AL143" i="5" s="1"/>
  <c r="AL140" i="5"/>
  <c r="AG90" i="4"/>
  <c r="AG143" i="4" s="1"/>
  <c r="AG140" i="4"/>
  <c r="Y98" i="4"/>
  <c r="Y145" i="4" s="1"/>
  <c r="Y81" i="4"/>
  <c r="Y97" i="4"/>
  <c r="Y144" i="4" s="1"/>
  <c r="Y89" i="4"/>
  <c r="Y142" i="4" s="1"/>
  <c r="E49" i="7"/>
  <c r="E75" i="7"/>
  <c r="E134" i="7" s="1"/>
  <c r="E104" i="7"/>
  <c r="E106" i="7" s="1"/>
  <c r="M130" i="4"/>
  <c r="M134" i="4" s="1"/>
  <c r="M136" i="4" s="1"/>
  <c r="M148" i="4" s="1"/>
  <c r="M133" i="4"/>
  <c r="M135" i="4" s="1"/>
  <c r="M147" i="4" s="1"/>
  <c r="M94" i="7"/>
  <c r="M99" i="7"/>
  <c r="M122" i="7"/>
  <c r="M108" i="7"/>
  <c r="M101" i="7"/>
  <c r="M97" i="7"/>
  <c r="M103" i="7" s="1"/>
  <c r="M105" i="7" s="1"/>
  <c r="M109" i="7"/>
  <c r="M112" i="7"/>
  <c r="K112" i="3"/>
  <c r="K94" i="3"/>
  <c r="K101" i="3"/>
  <c r="K108" i="3"/>
  <c r="K122" i="3"/>
  <c r="K99" i="3"/>
  <c r="K97" i="3"/>
  <c r="K103" i="3" s="1"/>
  <c r="K105" i="3" s="1"/>
  <c r="K109" i="3"/>
  <c r="F137" i="3"/>
  <c r="U97" i="4"/>
  <c r="U144" i="4" s="1"/>
  <c r="U89" i="4"/>
  <c r="U142" i="4" s="1"/>
  <c r="U81" i="4"/>
  <c r="U98" i="4"/>
  <c r="U145" i="4" s="1"/>
  <c r="U135" i="4"/>
  <c r="U147" i="4" s="1"/>
  <c r="U136" i="4"/>
  <c r="U148" i="4" s="1"/>
  <c r="Y135" i="4"/>
  <c r="Y147" i="4" s="1"/>
  <c r="L112" i="7"/>
  <c r="L101" i="7"/>
  <c r="L97" i="7"/>
  <c r="L103" i="7" s="1"/>
  <c r="L105" i="7" s="1"/>
  <c r="L122" i="7"/>
  <c r="L108" i="7"/>
  <c r="L99" i="7"/>
  <c r="L94" i="7"/>
  <c r="L109" i="7"/>
  <c r="U140" i="5"/>
  <c r="U90" i="5"/>
  <c r="U143" i="5" s="1"/>
  <c r="M98" i="5"/>
  <c r="M145" i="5" s="1"/>
  <c r="M97" i="5"/>
  <c r="M144" i="5" s="1"/>
  <c r="AK140" i="4"/>
  <c r="AK90" i="4"/>
  <c r="AK143" i="4" s="1"/>
  <c r="N140" i="5"/>
  <c r="N90" i="5"/>
  <c r="N143" i="5" s="1"/>
  <c r="M97" i="4"/>
  <c r="M144" i="4" s="1"/>
  <c r="M89" i="4"/>
  <c r="M142" i="4" s="1"/>
  <c r="M81" i="4"/>
  <c r="M98" i="4"/>
  <c r="M145" i="4" s="1"/>
  <c r="AS140" i="5"/>
  <c r="AS90" i="5"/>
  <c r="AS143" i="5" s="1"/>
  <c r="E101" i="3"/>
  <c r="E109" i="3"/>
  <c r="E97" i="3"/>
  <c r="E103" i="3"/>
  <c r="E105" i="3" s="1"/>
  <c r="E112" i="3"/>
  <c r="E108" i="3"/>
  <c r="E94" i="3"/>
  <c r="E99" i="3"/>
  <c r="E122" i="3"/>
  <c r="AA97" i="5"/>
  <c r="AA144" i="5" s="1"/>
  <c r="AA98" i="5"/>
  <c r="AA145" i="5" s="1"/>
  <c r="AA89" i="5"/>
  <c r="AA142" i="5" s="1"/>
  <c r="AA81" i="5"/>
  <c r="AJ90" i="4"/>
  <c r="AJ143" i="4" s="1"/>
  <c r="AJ140" i="4"/>
  <c r="AH26" i="9"/>
  <c r="AD17" i="9"/>
  <c r="AE17" i="9" s="1"/>
  <c r="AF17" i="9"/>
  <c r="AF7" i="9"/>
  <c r="AD7" i="9"/>
  <c r="AE7" i="9" s="1"/>
  <c r="V140" i="4"/>
  <c r="V90" i="4"/>
  <c r="V143" i="4" s="1"/>
  <c r="AI28" i="9"/>
  <c r="AG28" i="9"/>
  <c r="F117" i="3"/>
  <c r="F118" i="3" s="1"/>
  <c r="F115" i="3"/>
  <c r="F119" i="3" s="1"/>
  <c r="F113" i="3"/>
  <c r="F114" i="3" s="1"/>
  <c r="H113" i="7"/>
  <c r="H114" i="7" s="1"/>
  <c r="H117" i="7"/>
  <c r="G98" i="4"/>
  <c r="G145" i="4" s="1"/>
  <c r="G97" i="4"/>
  <c r="G144" i="4" s="1"/>
  <c r="G149" i="5"/>
  <c r="V140" i="5"/>
  <c r="V90" i="5"/>
  <c r="V143" i="5" s="1"/>
  <c r="F127" i="7"/>
  <c r="F128" i="7" s="1"/>
  <c r="F123" i="7"/>
  <c r="F125" i="7"/>
  <c r="F129" i="7"/>
  <c r="F126" i="7"/>
  <c r="L112" i="3"/>
  <c r="L101" i="3"/>
  <c r="L97" i="3"/>
  <c r="L103" i="3" s="1"/>
  <c r="L105" i="3" s="1"/>
  <c r="L108" i="3"/>
  <c r="L94" i="3"/>
  <c r="L122" i="3"/>
  <c r="L99" i="3"/>
  <c r="L109" i="3"/>
  <c r="AA97" i="4"/>
  <c r="AA144" i="4" s="1"/>
  <c r="AT98" i="4"/>
  <c r="AT145" i="4" s="1"/>
  <c r="AT97" i="4"/>
  <c r="AT144" i="4" s="1"/>
  <c r="AT89" i="4"/>
  <c r="AT142" i="4" s="1"/>
  <c r="AT81" i="4"/>
  <c r="W135" i="4"/>
  <c r="W147" i="4" s="1"/>
  <c r="AF23" i="9"/>
  <c r="AD23" i="9"/>
  <c r="AE23" i="9" s="1"/>
  <c r="L130" i="4"/>
  <c r="L134" i="4" s="1"/>
  <c r="L136" i="4" s="1"/>
  <c r="L148" i="4" s="1"/>
  <c r="L133" i="4"/>
  <c r="L135" i="4" s="1"/>
  <c r="L147" i="4" s="1"/>
  <c r="AC98" i="5"/>
  <c r="AC145" i="5" s="1"/>
  <c r="AC97" i="5"/>
  <c r="AC144" i="5" s="1"/>
  <c r="AD126" i="5"/>
  <c r="AD134" i="5" s="1"/>
  <c r="AD136" i="5" s="1"/>
  <c r="AD148" i="5" s="1"/>
  <c r="AD133" i="5"/>
  <c r="AD135" i="5" s="1"/>
  <c r="AD147" i="5" s="1"/>
  <c r="AJ8" i="9"/>
  <c r="AK8" i="9" s="1"/>
  <c r="AL8" i="9"/>
  <c r="AB126" i="4"/>
  <c r="AB134" i="4" s="1"/>
  <c r="AB136" i="4" s="1"/>
  <c r="AB148" i="4" s="1"/>
  <c r="AB133" i="4"/>
  <c r="AB135" i="4" s="1"/>
  <c r="AB147" i="4" s="1"/>
  <c r="N98" i="5"/>
  <c r="N145" i="5" s="1"/>
  <c r="N97" i="5"/>
  <c r="N144" i="5" s="1"/>
  <c r="AD90" i="4"/>
  <c r="AD143" i="4" s="1"/>
  <c r="AD140" i="4"/>
  <c r="AF19" i="9"/>
  <c r="AD19" i="9"/>
  <c r="AE19" i="9" s="1"/>
  <c r="Y140" i="5"/>
  <c r="Y90" i="5"/>
  <c r="Y143" i="5" s="1"/>
  <c r="H149" i="4"/>
  <c r="AD98" i="4"/>
  <c r="AD145" i="4" s="1"/>
  <c r="AD97" i="4"/>
  <c r="AD144" i="4" s="1"/>
  <c r="F90" i="4"/>
  <c r="F143" i="4" s="1"/>
  <c r="F140" i="4"/>
  <c r="AN89" i="5"/>
  <c r="AN142" i="5" s="1"/>
  <c r="AN97" i="5"/>
  <c r="AN144" i="5" s="1"/>
  <c r="AN98" i="5"/>
  <c r="AN145" i="5" s="1"/>
  <c r="AN81" i="5"/>
  <c r="AN136" i="5"/>
  <c r="AN148" i="5" s="1"/>
  <c r="AN135" i="5"/>
  <c r="AN147" i="5" s="1"/>
  <c r="I115" i="7"/>
  <c r="I119" i="7" s="1"/>
  <c r="I120" i="7" s="1"/>
  <c r="I138" i="7" s="1"/>
  <c r="I116" i="7"/>
  <c r="I117" i="7"/>
  <c r="I113" i="7"/>
  <c r="I114" i="7"/>
  <c r="I118" i="7"/>
  <c r="E88" i="7"/>
  <c r="E89" i="7"/>
  <c r="V126" i="5"/>
  <c r="AD13" i="9"/>
  <c r="AE13" i="9" s="1"/>
  <c r="AF13" i="9"/>
  <c r="E90" i="7"/>
  <c r="E91" i="7" s="1"/>
  <c r="E136" i="7" s="1"/>
  <c r="AG6" i="9"/>
  <c r="AH6" i="9" s="1"/>
  <c r="AI6" i="9"/>
  <c r="AK140" i="5"/>
  <c r="AK90" i="5"/>
  <c r="AK143" i="5" s="1"/>
  <c r="AF22" i="9"/>
  <c r="AD22" i="9"/>
  <c r="AE22" i="9" s="1"/>
  <c r="M108" i="3"/>
  <c r="M94" i="3"/>
  <c r="M122" i="3"/>
  <c r="M99" i="3"/>
  <c r="M97" i="3"/>
  <c r="M103" i="3" s="1"/>
  <c r="M105" i="3" s="1"/>
  <c r="M112" i="3"/>
  <c r="M101" i="3"/>
  <c r="M109" i="3"/>
  <c r="J140" i="4"/>
  <c r="J90" i="4"/>
  <c r="J143" i="4" s="1"/>
  <c r="J126" i="5"/>
  <c r="J134" i="5" s="1"/>
  <c r="J136" i="5" s="1"/>
  <c r="J148" i="5" s="1"/>
  <c r="J133" i="5"/>
  <c r="J135" i="5" s="1"/>
  <c r="J147" i="5" s="1"/>
  <c r="I137" i="7"/>
  <c r="AD9" i="9"/>
  <c r="AE9" i="9" s="1"/>
  <c r="AF9" i="9"/>
  <c r="AH140" i="4"/>
  <c r="AH90" i="4"/>
  <c r="AH143" i="4" s="1"/>
  <c r="P140" i="5"/>
  <c r="P90" i="5"/>
  <c r="P143" i="5" s="1"/>
  <c r="E90" i="4"/>
  <c r="E143" i="4" s="1"/>
  <c r="E140" i="4"/>
  <c r="AD27" i="9"/>
  <c r="AE27" i="9" s="1"/>
  <c r="AF27" i="9"/>
  <c r="O136" i="4"/>
  <c r="O148" i="4" s="1"/>
  <c r="AF12" i="9"/>
  <c r="AD12" i="9"/>
  <c r="AE12" i="9" s="1"/>
  <c r="AF21" i="9"/>
  <c r="AD21" i="9"/>
  <c r="AE21" i="9" s="1"/>
  <c r="AT136" i="4"/>
  <c r="AT148" i="4" s="1"/>
  <c r="AF29" i="9"/>
  <c r="AD29" i="9"/>
  <c r="AE29" i="9" s="1"/>
  <c r="F137" i="7"/>
  <c r="O90" i="5"/>
  <c r="O143" i="5" s="1"/>
  <c r="O140" i="5"/>
  <c r="AB12" i="9"/>
  <c r="AG10" i="9"/>
  <c r="AH10" i="9" s="1"/>
  <c r="AI10" i="9"/>
  <c r="G109" i="3"/>
  <c r="G112" i="3"/>
  <c r="G101" i="3"/>
  <c r="G94" i="3"/>
  <c r="G108" i="3"/>
  <c r="G97" i="3"/>
  <c r="G103" i="3" s="1"/>
  <c r="G105" i="3" s="1"/>
  <c r="G99" i="3"/>
  <c r="G122" i="3"/>
  <c r="AF15" i="9"/>
  <c r="AD15" i="9"/>
  <c r="AE15" i="9" s="1"/>
  <c r="E97" i="5"/>
  <c r="E144" i="5" s="1"/>
  <c r="E81" i="5"/>
  <c r="E89" i="5"/>
  <c r="E142" i="5" s="1"/>
  <c r="E98" i="5"/>
  <c r="E145" i="5" s="1"/>
  <c r="H137" i="7"/>
  <c r="F89" i="5"/>
  <c r="F142" i="5" s="1"/>
  <c r="F81" i="5"/>
  <c r="J139" i="3"/>
  <c r="F130" i="5"/>
  <c r="F134" i="5" s="1"/>
  <c r="F136" i="5" s="1"/>
  <c r="F148" i="5" s="1"/>
  <c r="F133" i="5"/>
  <c r="F135" i="5" s="1"/>
  <c r="F147" i="5" s="1"/>
  <c r="AM98" i="4"/>
  <c r="AM145" i="4" s="1"/>
  <c r="AM81" i="4"/>
  <c r="AM97" i="4"/>
  <c r="AM144" i="4" s="1"/>
  <c r="AM89" i="4"/>
  <c r="AM142" i="4" s="1"/>
  <c r="AI25" i="9"/>
  <c r="AG25" i="9"/>
  <c r="AH25" i="9" s="1"/>
  <c r="AI140" i="5"/>
  <c r="AI90" i="5"/>
  <c r="AI143" i="5" s="1"/>
  <c r="H129" i="7"/>
  <c r="H125" i="7"/>
  <c r="H127" i="7"/>
  <c r="H128" i="7" s="1"/>
  <c r="H123" i="7"/>
  <c r="H126" i="7"/>
  <c r="W89" i="5"/>
  <c r="W142" i="5" s="1"/>
  <c r="W81" i="5"/>
  <c r="AG24" i="9"/>
  <c r="AH24" i="9" s="1"/>
  <c r="AI24" i="9"/>
  <c r="AF11" i="9"/>
  <c r="AD11" i="9"/>
  <c r="AE11" i="9" s="1"/>
  <c r="AO90" i="5"/>
  <c r="AO143" i="5" s="1"/>
  <c r="AO140" i="5"/>
  <c r="AR140" i="5"/>
  <c r="AR90" i="5"/>
  <c r="AR143" i="5" s="1"/>
  <c r="AF20" i="9"/>
  <c r="AD20" i="9"/>
  <c r="AE20" i="9" s="1"/>
  <c r="AF16" i="9"/>
  <c r="AD16" i="9"/>
  <c r="AE16" i="9" s="1"/>
  <c r="I129" i="7"/>
  <c r="I125" i="7"/>
  <c r="I126" i="7" s="1"/>
  <c r="I123" i="7"/>
  <c r="I127" i="7"/>
  <c r="I128" i="7" s="1"/>
  <c r="AJ18" i="9"/>
  <c r="AK18" i="9" s="1"/>
  <c r="AL18" i="9"/>
  <c r="K122" i="7"/>
  <c r="K112" i="7"/>
  <c r="K101" i="7"/>
  <c r="K94" i="7"/>
  <c r="K108" i="7"/>
  <c r="K99" i="7"/>
  <c r="K97" i="7"/>
  <c r="K103" i="7"/>
  <c r="K105" i="7" s="1"/>
  <c r="K109" i="7"/>
  <c r="I109" i="3"/>
  <c r="I94" i="3"/>
  <c r="I122" i="3"/>
  <c r="I112" i="3"/>
  <c r="I101" i="3"/>
  <c r="I108" i="3"/>
  <c r="I99" i="3"/>
  <c r="I97" i="3"/>
  <c r="I103" i="3" s="1"/>
  <c r="I105" i="3" s="1"/>
  <c r="J89" i="5"/>
  <c r="J142" i="5" s="1"/>
  <c r="J81" i="5"/>
  <c r="J98" i="5"/>
  <c r="J145" i="5" s="1"/>
  <c r="J97" i="5"/>
  <c r="J144" i="5" s="1"/>
  <c r="G90" i="4"/>
  <c r="G143" i="4" s="1"/>
  <c r="G140" i="4"/>
  <c r="AB89" i="4"/>
  <c r="AB142" i="4" s="1"/>
  <c r="AB81" i="4"/>
  <c r="P98" i="4"/>
  <c r="P145" i="4" s="1"/>
  <c r="P97" i="4"/>
  <c r="P144" i="4" s="1"/>
  <c r="AQ140" i="5"/>
  <c r="AQ90" i="5"/>
  <c r="AQ143" i="5" s="1"/>
  <c r="AB30" i="9"/>
  <c r="AI14" i="9"/>
  <c r="AG14" i="9"/>
  <c r="AH14" i="9" s="1"/>
  <c r="U135" i="5"/>
  <c r="U147" i="5" s="1"/>
  <c r="W140" i="4"/>
  <c r="W90" i="4"/>
  <c r="W143" i="4" s="1"/>
  <c r="G139" i="7"/>
  <c r="G140" i="7" s="1"/>
  <c r="U97" i="5"/>
  <c r="U144" i="5" s="1"/>
  <c r="U98" i="5"/>
  <c r="U145" i="5" s="1"/>
  <c r="AD30" i="9"/>
  <c r="AF30" i="9"/>
  <c r="H112" i="3"/>
  <c r="H101" i="3"/>
  <c r="H94" i="3"/>
  <c r="H99" i="3"/>
  <c r="H122" i="3"/>
  <c r="H109" i="3"/>
  <c r="H97" i="3"/>
  <c r="H103" i="3" s="1"/>
  <c r="H105" i="3" s="1"/>
  <c r="H108" i="3"/>
  <c r="L98" i="4"/>
  <c r="L145" i="4" s="1"/>
  <c r="L89" i="4"/>
  <c r="L142" i="4" s="1"/>
  <c r="L81" i="4"/>
  <c r="L97" i="4"/>
  <c r="L144" i="4" s="1"/>
  <c r="AM136" i="4"/>
  <c r="AM148" i="4" s="1"/>
  <c r="V98" i="4"/>
  <c r="V145" i="4" s="1"/>
  <c r="V97" i="4"/>
  <c r="V144" i="4" s="1"/>
  <c r="AE81" i="4" l="1"/>
  <c r="AE90" i="4" s="1"/>
  <c r="AE143" i="4" s="1"/>
  <c r="AE98" i="4"/>
  <c r="AE145" i="4" s="1"/>
  <c r="F97" i="5"/>
  <c r="F144" i="5" s="1"/>
  <c r="AE135" i="4"/>
  <c r="AE147" i="4" s="1"/>
  <c r="R97" i="5"/>
  <c r="R144" i="5" s="1"/>
  <c r="AE136" i="4"/>
  <c r="AE148" i="4" s="1"/>
  <c r="AE97" i="4"/>
  <c r="AE144" i="4" s="1"/>
  <c r="AR90" i="4"/>
  <c r="AR143" i="4" s="1"/>
  <c r="AP97" i="4"/>
  <c r="AP144" i="4" s="1"/>
  <c r="E97" i="4"/>
  <c r="E144" i="4" s="1"/>
  <c r="R90" i="4"/>
  <c r="R143" i="4" s="1"/>
  <c r="R149" i="4" s="1"/>
  <c r="R150" i="4" s="1"/>
  <c r="R98" i="4"/>
  <c r="R145" i="4" s="1"/>
  <c r="R97" i="4"/>
  <c r="R144" i="4" s="1"/>
  <c r="K140" i="5"/>
  <c r="X90" i="5"/>
  <c r="X143" i="5" s="1"/>
  <c r="H90" i="4"/>
  <c r="H143" i="4" s="1"/>
  <c r="H140" i="4"/>
  <c r="AN97" i="4"/>
  <c r="AN144" i="4" s="1"/>
  <c r="W97" i="5"/>
  <c r="W144" i="5" s="1"/>
  <c r="AB98" i="4"/>
  <c r="AB145" i="4" s="1"/>
  <c r="P140" i="4"/>
  <c r="K136" i="4"/>
  <c r="K148" i="4" s="1"/>
  <c r="AI97" i="5"/>
  <c r="AI144" i="5" s="1"/>
  <c r="O140" i="4"/>
  <c r="K81" i="4"/>
  <c r="K90" i="4" s="1"/>
  <c r="K143" i="4" s="1"/>
  <c r="K135" i="4"/>
  <c r="K147" i="4" s="1"/>
  <c r="Y97" i="5"/>
  <c r="Y144" i="5" s="1"/>
  <c r="AB136" i="5"/>
  <c r="AB148" i="5" s="1"/>
  <c r="R149" i="5"/>
  <c r="R150" i="5" s="1"/>
  <c r="Z133" i="5"/>
  <c r="Z135" i="5" s="1"/>
  <c r="Z147" i="5" s="1"/>
  <c r="X98" i="4"/>
  <c r="X145" i="4" s="1"/>
  <c r="AB97" i="5"/>
  <c r="AB144" i="5" s="1"/>
  <c r="N135" i="4"/>
  <c r="N147" i="4" s="1"/>
  <c r="N136" i="4"/>
  <c r="N148" i="4" s="1"/>
  <c r="N81" i="4"/>
  <c r="N89" i="4"/>
  <c r="N142" i="4" s="1"/>
  <c r="N97" i="4"/>
  <c r="N144" i="4" s="1"/>
  <c r="AB98" i="5"/>
  <c r="AB145" i="5" s="1"/>
  <c r="AF126" i="4"/>
  <c r="AF134" i="4" s="1"/>
  <c r="AF136" i="4" s="1"/>
  <c r="AF148" i="4" s="1"/>
  <c r="AF133" i="4"/>
  <c r="AF135" i="4" s="1"/>
  <c r="AF147" i="4" s="1"/>
  <c r="AI126" i="5"/>
  <c r="AI134" i="5" s="1"/>
  <c r="AI136" i="5" s="1"/>
  <c r="AI148" i="5" s="1"/>
  <c r="AI133" i="5"/>
  <c r="AI135" i="5" s="1"/>
  <c r="AI147" i="5" s="1"/>
  <c r="AT81" i="5"/>
  <c r="AT90" i="5" s="1"/>
  <c r="AT143" i="5" s="1"/>
  <c r="AJ98" i="5"/>
  <c r="AJ145" i="5" s="1"/>
  <c r="V133" i="5"/>
  <c r="V135" i="5" s="1"/>
  <c r="V147" i="5" s="1"/>
  <c r="AB133" i="5"/>
  <c r="AB135" i="5" s="1"/>
  <c r="AB147" i="5" s="1"/>
  <c r="V134" i="5"/>
  <c r="V136" i="5" s="1"/>
  <c r="V148" i="5" s="1"/>
  <c r="V97" i="5"/>
  <c r="V144" i="5" s="1"/>
  <c r="Q136" i="5"/>
  <c r="Q148" i="5" s="1"/>
  <c r="AT97" i="5"/>
  <c r="AT144" i="5" s="1"/>
  <c r="X97" i="4"/>
  <c r="X144" i="4" s="1"/>
  <c r="O97" i="4"/>
  <c r="O144" i="4" s="1"/>
  <c r="O149" i="4" s="1"/>
  <c r="X135" i="4"/>
  <c r="X147" i="4" s="1"/>
  <c r="X136" i="4"/>
  <c r="X148" i="4" s="1"/>
  <c r="I90" i="4"/>
  <c r="I143" i="4" s="1"/>
  <c r="I149" i="4" s="1"/>
  <c r="I150" i="4" s="1"/>
  <c r="AD140" i="5"/>
  <c r="AD149" i="5" s="1"/>
  <c r="Q135" i="5"/>
  <c r="Q147" i="5" s="1"/>
  <c r="AP90" i="4"/>
  <c r="AP143" i="4" s="1"/>
  <c r="AP140" i="4"/>
  <c r="T140" i="5"/>
  <c r="T90" i="5"/>
  <c r="T143" i="5" s="1"/>
  <c r="I98" i="5"/>
  <c r="I145" i="5" s="1"/>
  <c r="K98" i="4"/>
  <c r="K145" i="4" s="1"/>
  <c r="K97" i="4"/>
  <c r="K144" i="4" s="1"/>
  <c r="AB81" i="5"/>
  <c r="AB89" i="5"/>
  <c r="AB142" i="5" s="1"/>
  <c r="Z136" i="4"/>
  <c r="Z148" i="4" s="1"/>
  <c r="H90" i="5"/>
  <c r="H143" i="5" s="1"/>
  <c r="H140" i="5"/>
  <c r="AI98" i="4"/>
  <c r="AI145" i="4" s="1"/>
  <c r="AI135" i="4"/>
  <c r="AI147" i="4" s="1"/>
  <c r="AI97" i="4"/>
  <c r="AI144" i="4" s="1"/>
  <c r="AI89" i="4"/>
  <c r="AI142" i="4" s="1"/>
  <c r="AI136" i="4"/>
  <c r="AI148" i="4" s="1"/>
  <c r="AI81" i="4"/>
  <c r="X81" i="4"/>
  <c r="X89" i="4"/>
  <c r="X142" i="4" s="1"/>
  <c r="AL135" i="4"/>
  <c r="AL147" i="4" s="1"/>
  <c r="O98" i="5"/>
  <c r="O145" i="5" s="1"/>
  <c r="O149" i="5" s="1"/>
  <c r="Q97" i="5"/>
  <c r="Q144" i="5" s="1"/>
  <c r="Q98" i="5"/>
  <c r="Q145" i="5" s="1"/>
  <c r="AC149" i="5"/>
  <c r="AT126" i="5"/>
  <c r="AT133" i="5"/>
  <c r="AT135" i="5" s="1"/>
  <c r="AT147" i="5" s="1"/>
  <c r="AT98" i="5"/>
  <c r="AT145" i="5" s="1"/>
  <c r="AT134" i="5"/>
  <c r="AT136" i="5" s="1"/>
  <c r="AT148" i="5" s="1"/>
  <c r="Z98" i="4"/>
  <c r="Z145" i="4" s="1"/>
  <c r="Z97" i="4"/>
  <c r="Z144" i="4" s="1"/>
  <c r="I97" i="5"/>
  <c r="I144" i="5" s="1"/>
  <c r="AF89" i="4"/>
  <c r="AF142" i="4" s="1"/>
  <c r="AF98" i="4"/>
  <c r="AF145" i="4" s="1"/>
  <c r="AF81" i="4"/>
  <c r="AF97" i="4"/>
  <c r="AF144" i="4" s="1"/>
  <c r="L98" i="5"/>
  <c r="L145" i="5" s="1"/>
  <c r="L89" i="5"/>
  <c r="L142" i="5" s="1"/>
  <c r="L81" i="5"/>
  <c r="L97" i="5"/>
  <c r="L144" i="5" s="1"/>
  <c r="I90" i="5"/>
  <c r="I143" i="5" s="1"/>
  <c r="I140" i="5"/>
  <c r="Z140" i="4"/>
  <c r="Z90" i="4"/>
  <c r="Z143" i="4" s="1"/>
  <c r="Q89" i="5"/>
  <c r="Q142" i="5" s="1"/>
  <c r="Q81" i="5"/>
  <c r="Z98" i="5"/>
  <c r="Z145" i="5" s="1"/>
  <c r="Z97" i="5"/>
  <c r="Z144" i="5" s="1"/>
  <c r="X149" i="5"/>
  <c r="X150" i="5" s="1"/>
  <c r="L130" i="5"/>
  <c r="L134" i="5" s="1"/>
  <c r="L136" i="5" s="1"/>
  <c r="L148" i="5" s="1"/>
  <c r="L133" i="5"/>
  <c r="L135" i="5" s="1"/>
  <c r="L147" i="5" s="1"/>
  <c r="AJ89" i="5"/>
  <c r="AJ142" i="5" s="1"/>
  <c r="AJ81" i="5"/>
  <c r="AJ135" i="5"/>
  <c r="AJ147" i="5" s="1"/>
  <c r="AJ136" i="5"/>
  <c r="AJ148" i="5" s="1"/>
  <c r="AJ97" i="5"/>
  <c r="AJ144" i="5" s="1"/>
  <c r="AC90" i="4"/>
  <c r="AC143" i="4" s="1"/>
  <c r="AC140" i="4"/>
  <c r="AC98" i="4"/>
  <c r="AC145" i="4" s="1"/>
  <c r="AO89" i="4"/>
  <c r="AO142" i="4" s="1"/>
  <c r="AO81" i="4"/>
  <c r="AO136" i="4"/>
  <c r="AO148" i="4" s="1"/>
  <c r="AO97" i="4"/>
  <c r="AO144" i="4" s="1"/>
  <c r="AO98" i="4"/>
  <c r="AO145" i="4" s="1"/>
  <c r="AO135" i="4"/>
  <c r="AO147" i="4" s="1"/>
  <c r="Z90" i="5"/>
  <c r="Z143" i="5" s="1"/>
  <c r="Z140" i="5"/>
  <c r="Q97" i="4"/>
  <c r="Q144" i="4" s="1"/>
  <c r="Q98" i="4"/>
  <c r="Q145" i="4" s="1"/>
  <c r="Q89" i="4"/>
  <c r="Q142" i="4" s="1"/>
  <c r="Q81" i="4"/>
  <c r="Q135" i="4"/>
  <c r="Q147" i="4" s="1"/>
  <c r="Q136" i="4"/>
  <c r="Q148" i="4" s="1"/>
  <c r="Z135" i="4"/>
  <c r="Z147" i="4" s="1"/>
  <c r="M149" i="5"/>
  <c r="AL98" i="4"/>
  <c r="AL145" i="4" s="1"/>
  <c r="AL81" i="4"/>
  <c r="AL97" i="4"/>
  <c r="AL144" i="4" s="1"/>
  <c r="AL89" i="4"/>
  <c r="AL142" i="4" s="1"/>
  <c r="Z136" i="5"/>
  <c r="Z148" i="5" s="1"/>
  <c r="G149" i="4"/>
  <c r="G150" i="4" s="1"/>
  <c r="K149" i="5"/>
  <c r="K150" i="5" s="1"/>
  <c r="P149" i="5"/>
  <c r="P150" i="5" s="1"/>
  <c r="J149" i="4"/>
  <c r="J150" i="4" s="1"/>
  <c r="P149" i="4"/>
  <c r="P150" i="4" s="1"/>
  <c r="E149" i="4"/>
  <c r="O25" i="2" s="1"/>
  <c r="Z17" i="8" s="1"/>
  <c r="AI9" i="9"/>
  <c r="AG9" i="9"/>
  <c r="AH9" i="9" s="1"/>
  <c r="K137" i="7"/>
  <c r="AI22" i="9"/>
  <c r="AG22" i="9"/>
  <c r="AH22" i="9" s="1"/>
  <c r="AI13" i="9"/>
  <c r="AG13" i="9"/>
  <c r="AH13" i="9" s="1"/>
  <c r="AL14" i="9"/>
  <c r="AJ14" i="9"/>
  <c r="AK14" i="9" s="1"/>
  <c r="G123" i="3"/>
  <c r="G127" i="3"/>
  <c r="G128" i="3" s="1"/>
  <c r="G129" i="3" s="1"/>
  <c r="G125" i="3"/>
  <c r="G126" i="3" s="1"/>
  <c r="AI17" i="9"/>
  <c r="AG17" i="9"/>
  <c r="AH17" i="9" s="1"/>
  <c r="AA149" i="4"/>
  <c r="I115" i="3"/>
  <c r="I116" i="3" s="1"/>
  <c r="I117" i="3"/>
  <c r="I118" i="3" s="1"/>
  <c r="I113" i="3"/>
  <c r="I114" i="3"/>
  <c r="K117" i="7"/>
  <c r="K113" i="7"/>
  <c r="K114" i="7" s="1"/>
  <c r="AH28" i="9"/>
  <c r="H125" i="3"/>
  <c r="H126" i="3"/>
  <c r="H129" i="3"/>
  <c r="H127" i="3"/>
  <c r="H128" i="3" s="1"/>
  <c r="H123" i="3"/>
  <c r="I129" i="3"/>
  <c r="I127" i="3"/>
  <c r="I128" i="3" s="1"/>
  <c r="I126" i="3"/>
  <c r="I125" i="3"/>
  <c r="I123" i="3"/>
  <c r="AG16" i="9"/>
  <c r="AH16" i="9" s="1"/>
  <c r="AI16" i="9"/>
  <c r="AG11" i="9"/>
  <c r="AH11" i="9" s="1"/>
  <c r="AI11" i="9"/>
  <c r="M113" i="3"/>
  <c r="M115" i="3" s="1"/>
  <c r="M117" i="3"/>
  <c r="M118" i="3" s="1"/>
  <c r="H150" i="4"/>
  <c r="E123" i="3"/>
  <c r="E125" i="3"/>
  <c r="E126" i="3" s="1"/>
  <c r="E127" i="3"/>
  <c r="E128" i="3" s="1"/>
  <c r="E129" i="3" s="1"/>
  <c r="L116" i="7"/>
  <c r="L117" i="7"/>
  <c r="L118" i="7" s="1"/>
  <c r="L113" i="7"/>
  <c r="L115" i="7"/>
  <c r="L119" i="7"/>
  <c r="L114" i="7"/>
  <c r="F115" i="7"/>
  <c r="J125" i="7"/>
  <c r="J123" i="7"/>
  <c r="J127" i="7"/>
  <c r="J128" i="7" s="1"/>
  <c r="J126" i="7"/>
  <c r="J129" i="7"/>
  <c r="J140" i="5"/>
  <c r="J90" i="5"/>
  <c r="J143" i="5" s="1"/>
  <c r="I137" i="3"/>
  <c r="AM140" i="4"/>
  <c r="AM90" i="4"/>
  <c r="AM143" i="4" s="1"/>
  <c r="E90" i="5"/>
  <c r="E143" i="5" s="1"/>
  <c r="E140" i="5"/>
  <c r="AI12" i="9"/>
  <c r="AG12" i="9"/>
  <c r="AH12" i="9" s="1"/>
  <c r="I139" i="7"/>
  <c r="I140" i="7" s="1"/>
  <c r="AI23" i="9"/>
  <c r="AG23" i="9"/>
  <c r="AH23" i="9" s="1"/>
  <c r="H115" i="7"/>
  <c r="H118" i="7" s="1"/>
  <c r="M127" i="7"/>
  <c r="M128" i="7" s="1"/>
  <c r="M129" i="7" s="1"/>
  <c r="M125" i="7"/>
  <c r="M126" i="7" s="1"/>
  <c r="M123" i="7"/>
  <c r="AJ26" i="9"/>
  <c r="AK26" i="9" s="1"/>
  <c r="AL26" i="9"/>
  <c r="K123" i="7"/>
  <c r="K127" i="7"/>
  <c r="K128" i="7" s="1"/>
  <c r="K129" i="7" s="1"/>
  <c r="K125" i="7"/>
  <c r="K126" i="7" s="1"/>
  <c r="AM18" i="9"/>
  <c r="AN18" i="9" s="1"/>
  <c r="AO18" i="9"/>
  <c r="H137" i="3"/>
  <c r="AI20" i="9"/>
  <c r="AG20" i="9"/>
  <c r="AH20" i="9" s="1"/>
  <c r="AJ24" i="9"/>
  <c r="AK24" i="9" s="1"/>
  <c r="AL24" i="9"/>
  <c r="G137" i="3"/>
  <c r="Y149" i="5"/>
  <c r="AO8" i="9"/>
  <c r="AM8" i="9"/>
  <c r="AN8" i="9" s="1"/>
  <c r="L129" i="3"/>
  <c r="L125" i="3"/>
  <c r="L126" i="3"/>
  <c r="L127" i="3"/>
  <c r="L128" i="3" s="1"/>
  <c r="L123" i="3"/>
  <c r="AJ28" i="9"/>
  <c r="AK28" i="9" s="1"/>
  <c r="AL28" i="9"/>
  <c r="U149" i="5"/>
  <c r="K127" i="3"/>
  <c r="K128" i="3" s="1"/>
  <c r="K129" i="3" s="1"/>
  <c r="K125" i="3"/>
  <c r="K126" i="3"/>
  <c r="K123" i="3"/>
  <c r="E46" i="7"/>
  <c r="E47" i="7"/>
  <c r="E48" i="7"/>
  <c r="J117" i="7"/>
  <c r="J113" i="7"/>
  <c r="J114" i="7" s="1"/>
  <c r="AL6" i="9"/>
  <c r="AJ6" i="9"/>
  <c r="AK6" i="9" s="1"/>
  <c r="AN90" i="5"/>
  <c r="AN143" i="5" s="1"/>
  <c r="AN140" i="5"/>
  <c r="L137" i="3"/>
  <c r="E137" i="3"/>
  <c r="M140" i="4"/>
  <c r="M90" i="4"/>
  <c r="M143" i="4" s="1"/>
  <c r="S140" i="5"/>
  <c r="S90" i="5"/>
  <c r="S143" i="5" s="1"/>
  <c r="H117" i="3"/>
  <c r="H118" i="3" s="1"/>
  <c r="H115" i="3"/>
  <c r="H116" i="3" s="1"/>
  <c r="H113" i="3"/>
  <c r="H114" i="3" s="1"/>
  <c r="AI15" i="9"/>
  <c r="AG15" i="9"/>
  <c r="AH15" i="9" s="1"/>
  <c r="G114" i="3"/>
  <c r="G117" i="3"/>
  <c r="G118" i="3" s="1"/>
  <c r="G115" i="3"/>
  <c r="G113" i="3"/>
  <c r="G116" i="3"/>
  <c r="G119" i="3"/>
  <c r="G120" i="3" s="1"/>
  <c r="G138" i="3" s="1"/>
  <c r="AI29" i="9"/>
  <c r="AG29" i="9"/>
  <c r="AH29" i="9" s="1"/>
  <c r="M123" i="3"/>
  <c r="M127" i="3"/>
  <c r="M128" i="3" s="1"/>
  <c r="M129" i="3" s="1"/>
  <c r="M125" i="3"/>
  <c r="M126" i="3"/>
  <c r="AI19" i="9"/>
  <c r="AG19" i="9"/>
  <c r="AH19" i="9" s="1"/>
  <c r="G150" i="5"/>
  <c r="L137" i="7"/>
  <c r="M137" i="7"/>
  <c r="AI21" i="9"/>
  <c r="AG21" i="9"/>
  <c r="AH21" i="9" s="1"/>
  <c r="Y140" i="4"/>
  <c r="Y90" i="4"/>
  <c r="Y143" i="4" s="1"/>
  <c r="AI30" i="9"/>
  <c r="AG30" i="9"/>
  <c r="AH30" i="9" s="1"/>
  <c r="W149" i="4"/>
  <c r="W140" i="5"/>
  <c r="W90" i="5"/>
  <c r="W143" i="5" s="1"/>
  <c r="M137" i="3"/>
  <c r="F116" i="3"/>
  <c r="F120" i="3" s="1"/>
  <c r="F138" i="3" s="1"/>
  <c r="V149" i="4"/>
  <c r="E114" i="3"/>
  <c r="E117" i="3"/>
  <c r="E118" i="3" s="1"/>
  <c r="E113" i="3"/>
  <c r="E115" i="3"/>
  <c r="E116" i="3" s="1"/>
  <c r="U140" i="4"/>
  <c r="U90" i="4"/>
  <c r="U143" i="4" s="1"/>
  <c r="K137" i="3"/>
  <c r="J137" i="7"/>
  <c r="M113" i="7"/>
  <c r="M114" i="7" s="1"/>
  <c r="M117" i="7"/>
  <c r="AB140" i="4"/>
  <c r="AB90" i="4"/>
  <c r="AB143" i="4" s="1"/>
  <c r="AI27" i="9"/>
  <c r="AG27" i="9"/>
  <c r="AH27" i="9" s="1"/>
  <c r="AD149" i="4"/>
  <c r="AT140" i="4"/>
  <c r="AT90" i="4"/>
  <c r="AT143" i="4" s="1"/>
  <c r="K113" i="3"/>
  <c r="K115" i="3" s="1"/>
  <c r="K117" i="3"/>
  <c r="T149" i="4"/>
  <c r="L113" i="3"/>
  <c r="L115" i="3" s="1"/>
  <c r="L117" i="3"/>
  <c r="AI7" i="9"/>
  <c r="AG7" i="9"/>
  <c r="AH7" i="9" s="1"/>
  <c r="L125" i="7"/>
  <c r="L126" i="7"/>
  <c r="L127" i="7"/>
  <c r="L128" i="7" s="1"/>
  <c r="L129" i="7" s="1"/>
  <c r="L123" i="7"/>
  <c r="AG8" i="8"/>
  <c r="J140" i="3"/>
  <c r="L140" i="4"/>
  <c r="L90" i="4"/>
  <c r="L143" i="4" s="1"/>
  <c r="AA140" i="5"/>
  <c r="AA90" i="5"/>
  <c r="AA143" i="5" s="1"/>
  <c r="AJ25" i="9"/>
  <c r="AK25" i="9" s="1"/>
  <c r="AL25" i="9"/>
  <c r="F140" i="5"/>
  <c r="F90" i="5"/>
  <c r="F143" i="5" s="1"/>
  <c r="AL10" i="9"/>
  <c r="AJ10" i="9"/>
  <c r="AK10" i="9" s="1"/>
  <c r="F149" i="4"/>
  <c r="N149" i="5"/>
  <c r="AE140" i="4" l="1"/>
  <c r="K140" i="4"/>
  <c r="O24" i="2"/>
  <c r="Z16" i="8" s="1"/>
  <c r="O11" i="2"/>
  <c r="Z3" i="8" s="1"/>
  <c r="O39" i="2"/>
  <c r="O44" i="2"/>
  <c r="O42" i="2"/>
  <c r="O40" i="2"/>
  <c r="O47" i="2"/>
  <c r="O49" i="2"/>
  <c r="O45" i="2"/>
  <c r="O37" i="2"/>
  <c r="O43" i="2"/>
  <c r="O46" i="2"/>
  <c r="O51" i="2"/>
  <c r="O50" i="2"/>
  <c r="O48" i="2"/>
  <c r="O38" i="2"/>
  <c r="O41" i="2"/>
  <c r="O14" i="2"/>
  <c r="Z6" i="8" s="1"/>
  <c r="V149" i="5"/>
  <c r="V150" i="5" s="1"/>
  <c r="N140" i="4"/>
  <c r="N90" i="4"/>
  <c r="N143" i="4" s="1"/>
  <c r="AT140" i="5"/>
  <c r="O21" i="2"/>
  <c r="Z13" i="8" s="1"/>
  <c r="O150" i="4"/>
  <c r="T149" i="5"/>
  <c r="M150" i="5"/>
  <c r="O16" i="2"/>
  <c r="Z8" i="8" s="1"/>
  <c r="O15" i="2"/>
  <c r="Z7" i="8" s="1"/>
  <c r="H149" i="5"/>
  <c r="H150" i="5" s="1"/>
  <c r="I149" i="5"/>
  <c r="E150" i="4"/>
  <c r="X140" i="4"/>
  <c r="X90" i="4"/>
  <c r="X143" i="4" s="1"/>
  <c r="K149" i="4"/>
  <c r="AB90" i="5"/>
  <c r="AB143" i="5" s="1"/>
  <c r="AB140" i="5"/>
  <c r="AI90" i="4"/>
  <c r="AI143" i="4" s="1"/>
  <c r="AI140" i="4"/>
  <c r="AC150" i="5"/>
  <c r="O22" i="2"/>
  <c r="Z14" i="8" s="1"/>
  <c r="AT149" i="4"/>
  <c r="AT150" i="4" s="1"/>
  <c r="AT149" i="5"/>
  <c r="L90" i="5"/>
  <c r="L143" i="5" s="1"/>
  <c r="L140" i="5"/>
  <c r="Z149" i="5"/>
  <c r="Q90" i="4"/>
  <c r="Q143" i="4" s="1"/>
  <c r="Q140" i="4"/>
  <c r="AF140" i="4"/>
  <c r="AF90" i="4"/>
  <c r="AF143" i="4" s="1"/>
  <c r="W149" i="5"/>
  <c r="AL140" i="4"/>
  <c r="AL90" i="4"/>
  <c r="AL143" i="4" s="1"/>
  <c r="AJ90" i="5"/>
  <c r="AJ143" i="5" s="1"/>
  <c r="AJ140" i="5"/>
  <c r="Z149" i="4"/>
  <c r="Q90" i="5"/>
  <c r="Q143" i="5" s="1"/>
  <c r="Q140" i="5"/>
  <c r="AC149" i="4"/>
  <c r="AO140" i="4"/>
  <c r="AO90" i="4"/>
  <c r="AO143" i="4" s="1"/>
  <c r="AB149" i="4"/>
  <c r="AB150" i="4" s="1"/>
  <c r="O13" i="2"/>
  <c r="Z5" i="8" s="1"/>
  <c r="L118" i="3"/>
  <c r="L116" i="3"/>
  <c r="L119" i="3"/>
  <c r="L120" i="3" s="1"/>
  <c r="L138" i="3" s="1"/>
  <c r="L139" i="3" s="1"/>
  <c r="L120" i="7"/>
  <c r="L138" i="7" s="1"/>
  <c r="F139" i="3"/>
  <c r="C20" i="1"/>
  <c r="K118" i="3"/>
  <c r="K116" i="3"/>
  <c r="K119" i="3"/>
  <c r="K120" i="3" s="1"/>
  <c r="K138" i="3" s="1"/>
  <c r="K139" i="3" s="1"/>
  <c r="M116" i="3"/>
  <c r="M119" i="3"/>
  <c r="AK29" i="9"/>
  <c r="F149" i="5"/>
  <c r="M115" i="7"/>
  <c r="W150" i="4"/>
  <c r="O29" i="2"/>
  <c r="Z21" i="8" s="1"/>
  <c r="AO25" i="9"/>
  <c r="AM25" i="9"/>
  <c r="AN25" i="9" s="1"/>
  <c r="K114" i="3"/>
  <c r="AJ27" i="9"/>
  <c r="AK27" i="9" s="1"/>
  <c r="AL27" i="9"/>
  <c r="AJ12" i="9"/>
  <c r="AK12" i="9" s="1"/>
  <c r="AL12" i="9"/>
  <c r="AL11" i="9"/>
  <c r="AJ11" i="9"/>
  <c r="AK11" i="9" s="1"/>
  <c r="AD150" i="5"/>
  <c r="L114" i="3"/>
  <c r="E119" i="3"/>
  <c r="E120" i="3" s="1"/>
  <c r="E138" i="3" s="1"/>
  <c r="AL30" i="9"/>
  <c r="AJ30" i="9"/>
  <c r="AK30" i="9" s="1"/>
  <c r="L139" i="7"/>
  <c r="L140" i="7" s="1"/>
  <c r="AJ15" i="9"/>
  <c r="AK15" i="9" s="1"/>
  <c r="AL15" i="9"/>
  <c r="AR8" i="9"/>
  <c r="AP8" i="9"/>
  <c r="AQ8" i="9" s="1"/>
  <c r="M114" i="3"/>
  <c r="I119" i="3"/>
  <c r="I120" i="3" s="1"/>
  <c r="I138" i="3" s="1"/>
  <c r="AM14" i="9"/>
  <c r="AN14" i="9" s="1"/>
  <c r="AO14" i="9"/>
  <c r="AJ7" i="9"/>
  <c r="AK7" i="9" s="1"/>
  <c r="AL7" i="9"/>
  <c r="N150" i="5"/>
  <c r="AJ29" i="9"/>
  <c r="AL29" i="9"/>
  <c r="AM6" i="9"/>
  <c r="AN6" i="9" s="1"/>
  <c r="AO6" i="9"/>
  <c r="J115" i="7"/>
  <c r="U150" i="5"/>
  <c r="AR18" i="9"/>
  <c r="AP18" i="9"/>
  <c r="AQ18" i="9" s="1"/>
  <c r="E149" i="5"/>
  <c r="P20" i="2" s="1"/>
  <c r="AA12" i="8" s="1"/>
  <c r="AL9" i="9"/>
  <c r="AJ9" i="9"/>
  <c r="AK9" i="9" s="1"/>
  <c r="F150" i="4"/>
  <c r="O12" i="2"/>
  <c r="Z4" i="8" s="1"/>
  <c r="Y150" i="5"/>
  <c r="F118" i="7"/>
  <c r="F119" i="7"/>
  <c r="F116" i="7"/>
  <c r="AL16" i="9"/>
  <c r="AJ16" i="9"/>
  <c r="AK16" i="9" s="1"/>
  <c r="AL13" i="9"/>
  <c r="AJ13" i="9"/>
  <c r="AK13" i="9" s="1"/>
  <c r="V150" i="4"/>
  <c r="O28" i="2"/>
  <c r="Z20" i="8" s="1"/>
  <c r="Y149" i="4"/>
  <c r="AO28" i="9"/>
  <c r="AM28" i="9"/>
  <c r="AN28" i="9" s="1"/>
  <c r="G139" i="3"/>
  <c r="D20" i="1"/>
  <c r="K115" i="7"/>
  <c r="AA150" i="4"/>
  <c r="O33" i="2"/>
  <c r="Z25" i="8" s="1"/>
  <c r="AL19" i="9"/>
  <c r="AJ19" i="9"/>
  <c r="AK19" i="9" s="1"/>
  <c r="H119" i="3"/>
  <c r="H120" i="3" s="1"/>
  <c r="H138" i="3" s="1"/>
  <c r="H139" i="3" s="1"/>
  <c r="S149" i="5"/>
  <c r="H116" i="7"/>
  <c r="H119" i="7"/>
  <c r="AA149" i="5"/>
  <c r="AJ21" i="9"/>
  <c r="AK21" i="9" s="1"/>
  <c r="AL21" i="9"/>
  <c r="AJ22" i="9"/>
  <c r="AK22" i="9" s="1"/>
  <c r="AL22" i="9"/>
  <c r="U149" i="4"/>
  <c r="L149" i="4"/>
  <c r="AO24" i="9"/>
  <c r="AM24" i="9"/>
  <c r="AN24" i="9" s="1"/>
  <c r="AO10" i="9"/>
  <c r="AM10" i="9"/>
  <c r="AN10" i="9" s="1"/>
  <c r="M149" i="4"/>
  <c r="AL23" i="9"/>
  <c r="AJ23" i="9"/>
  <c r="AK23" i="9" s="1"/>
  <c r="F20" i="1"/>
  <c r="I139" i="3"/>
  <c r="AL17" i="9"/>
  <c r="AJ17" i="9"/>
  <c r="AK17" i="9" s="1"/>
  <c r="AO26" i="9"/>
  <c r="AM26" i="9"/>
  <c r="AN26" i="9" s="1"/>
  <c r="O52" i="2"/>
  <c r="B20" i="1"/>
  <c r="E139" i="3"/>
  <c r="E45" i="7"/>
  <c r="O150" i="5"/>
  <c r="T150" i="4"/>
  <c r="O26" i="2"/>
  <c r="Z18" i="8" s="1"/>
  <c r="AD150" i="4"/>
  <c r="O36" i="2"/>
  <c r="Z28" i="8" s="1"/>
  <c r="AJ20" i="9"/>
  <c r="AK20" i="9" s="1"/>
  <c r="AL20" i="9"/>
  <c r="J149" i="5"/>
  <c r="P17" i="2" l="1"/>
  <c r="AA9" i="8" s="1"/>
  <c r="P21" i="2"/>
  <c r="AA13" i="8" s="1"/>
  <c r="P27" i="2"/>
  <c r="AA19" i="8" s="1"/>
  <c r="P36" i="2"/>
  <c r="AA28" i="8" s="1"/>
  <c r="P22" i="2"/>
  <c r="AA14" i="8" s="1"/>
  <c r="P24" i="2"/>
  <c r="AA16" i="8" s="1"/>
  <c r="P31" i="2"/>
  <c r="AA23" i="8" s="1"/>
  <c r="P30" i="2"/>
  <c r="AA22" i="8" s="1"/>
  <c r="P29" i="2"/>
  <c r="AA21" i="8" s="1"/>
  <c r="P35" i="2"/>
  <c r="AA27" i="8" s="1"/>
  <c r="P26" i="2"/>
  <c r="AA18" i="8" s="1"/>
  <c r="P13" i="2"/>
  <c r="AA5" i="8" s="1"/>
  <c r="P38" i="2"/>
  <c r="P43" i="2"/>
  <c r="P47" i="2"/>
  <c r="P46" i="2"/>
  <c r="P44" i="2"/>
  <c r="P50" i="2"/>
  <c r="P48" i="2"/>
  <c r="P37" i="2"/>
  <c r="P39" i="2"/>
  <c r="P51" i="2"/>
  <c r="P45" i="2"/>
  <c r="P49" i="2"/>
  <c r="P40" i="2"/>
  <c r="P42" i="2"/>
  <c r="P41" i="2"/>
  <c r="P19" i="2"/>
  <c r="AA11" i="8" s="1"/>
  <c r="P28" i="2"/>
  <c r="AA20" i="8" s="1"/>
  <c r="N149" i="4"/>
  <c r="L149" i="5"/>
  <c r="L150" i="5" s="1"/>
  <c r="Q149" i="5"/>
  <c r="Q150" i="5" s="1"/>
  <c r="P14" i="2"/>
  <c r="AA6" i="8" s="1"/>
  <c r="T150" i="5"/>
  <c r="Q149" i="4"/>
  <c r="Q150" i="4" s="1"/>
  <c r="AB149" i="5"/>
  <c r="AB150" i="5" s="1"/>
  <c r="X149" i="4"/>
  <c r="O17" i="2"/>
  <c r="Z9" i="8" s="1"/>
  <c r="K150" i="4"/>
  <c r="P15" i="2"/>
  <c r="AA7" i="8" s="1"/>
  <c r="I150" i="5"/>
  <c r="P52" i="2"/>
  <c r="AT150" i="5"/>
  <c r="W150" i="5"/>
  <c r="O34" i="2"/>
  <c r="Z26" i="8" s="1"/>
  <c r="Z150" i="5"/>
  <c r="P32" i="2"/>
  <c r="AA24" i="8" s="1"/>
  <c r="O32" i="2"/>
  <c r="Z24" i="8" s="1"/>
  <c r="Z150" i="4"/>
  <c r="AC150" i="4"/>
  <c r="O35" i="2"/>
  <c r="Z27" i="8" s="1"/>
  <c r="AG9" i="8"/>
  <c r="K140" i="3"/>
  <c r="AG6" i="8"/>
  <c r="H140" i="3"/>
  <c r="AG10" i="8"/>
  <c r="L140" i="3"/>
  <c r="H20" i="1"/>
  <c r="AM13" i="9"/>
  <c r="AN13" i="9" s="1"/>
  <c r="AO13" i="9"/>
  <c r="AO15" i="9"/>
  <c r="AM15" i="9"/>
  <c r="AN15" i="9" s="1"/>
  <c r="K118" i="7"/>
  <c r="K119" i="7"/>
  <c r="K116" i="7"/>
  <c r="J116" i="7"/>
  <c r="J119" i="7"/>
  <c r="J120" i="7" s="1"/>
  <c r="J138" i="7" s="1"/>
  <c r="J139" i="7" s="1"/>
  <c r="J140" i="7" s="1"/>
  <c r="AO7" i="9"/>
  <c r="AM7" i="9"/>
  <c r="AN7" i="9" s="1"/>
  <c r="AO11" i="9"/>
  <c r="AM11" i="9"/>
  <c r="AN11" i="9" s="1"/>
  <c r="AO23" i="9"/>
  <c r="AM23" i="9"/>
  <c r="AN23" i="9" s="1"/>
  <c r="L150" i="4"/>
  <c r="O18" i="2"/>
  <c r="Z10" i="8" s="1"/>
  <c r="H120" i="7"/>
  <c r="H138" i="7" s="1"/>
  <c r="H139" i="7" s="1"/>
  <c r="H140" i="7" s="1"/>
  <c r="J118" i="7"/>
  <c r="AO16" i="9"/>
  <c r="AM16" i="9"/>
  <c r="AN16" i="9" s="1"/>
  <c r="AO29" i="9"/>
  <c r="AM29" i="9"/>
  <c r="AN29" i="9" s="1"/>
  <c r="AU8" i="9"/>
  <c r="AS8" i="9"/>
  <c r="AT8" i="9" s="1"/>
  <c r="AR6" i="9"/>
  <c r="AP6" i="9"/>
  <c r="AQ6" i="9" s="1"/>
  <c r="AO12" i="9"/>
  <c r="AM12" i="9"/>
  <c r="AN12" i="9" s="1"/>
  <c r="AR14" i="9"/>
  <c r="AP14" i="9"/>
  <c r="AQ14" i="9" s="1"/>
  <c r="AR28" i="9"/>
  <c r="AP28" i="9"/>
  <c r="AM30" i="9"/>
  <c r="AO30" i="9"/>
  <c r="AO20" i="9"/>
  <c r="AM20" i="9"/>
  <c r="AN20" i="9" s="1"/>
  <c r="E122" i="7"/>
  <c r="E109" i="7"/>
  <c r="E101" i="7"/>
  <c r="E99" i="7"/>
  <c r="E108" i="7"/>
  <c r="E97" i="7"/>
  <c r="E103" i="7" s="1"/>
  <c r="E105" i="7" s="1"/>
  <c r="E112" i="7"/>
  <c r="E94" i="7"/>
  <c r="AP10" i="9"/>
  <c r="AQ10" i="9" s="1"/>
  <c r="AR10" i="9"/>
  <c r="AQ28" i="9"/>
  <c r="F120" i="7"/>
  <c r="F138" i="7" s="1"/>
  <c r="F139" i="7" s="1"/>
  <c r="F140" i="7" s="1"/>
  <c r="AM9" i="9"/>
  <c r="AN9" i="9" s="1"/>
  <c r="AO9" i="9"/>
  <c r="AN30" i="9"/>
  <c r="E20" i="1"/>
  <c r="AG3" i="8"/>
  <c r="E140" i="3"/>
  <c r="Y150" i="4"/>
  <c r="O31" i="2"/>
  <c r="Z23" i="8" s="1"/>
  <c r="E150" i="5"/>
  <c r="P11" i="2"/>
  <c r="AA3" i="8" s="1"/>
  <c r="M119" i="7"/>
  <c r="M116" i="7"/>
  <c r="M118" i="7"/>
  <c r="AM27" i="9"/>
  <c r="AO27" i="9"/>
  <c r="AO21" i="9"/>
  <c r="AM21" i="9"/>
  <c r="F150" i="5"/>
  <c r="P12" i="2"/>
  <c r="AA4" i="8" s="1"/>
  <c r="J150" i="5"/>
  <c r="P16" i="2"/>
  <c r="AA8" i="8" s="1"/>
  <c r="AR26" i="9"/>
  <c r="AP26" i="9"/>
  <c r="AQ26" i="9" s="1"/>
  <c r="M150" i="4"/>
  <c r="O19" i="2"/>
  <c r="Z11" i="8" s="1"/>
  <c r="U150" i="4"/>
  <c r="O27" i="2"/>
  <c r="Z19" i="8" s="1"/>
  <c r="AG5" i="8"/>
  <c r="G140" i="3"/>
  <c r="AR25" i="9"/>
  <c r="AP25" i="9"/>
  <c r="AQ25" i="9" s="1"/>
  <c r="S150" i="5"/>
  <c r="P25" i="2"/>
  <c r="AA17" i="8" s="1"/>
  <c r="AO22" i="9"/>
  <c r="AM22" i="9"/>
  <c r="AN22" i="9" s="1"/>
  <c r="AM17" i="9"/>
  <c r="AN17" i="9" s="1"/>
  <c r="AO17" i="9"/>
  <c r="AM19" i="9"/>
  <c r="AN19" i="9" s="1"/>
  <c r="AO19" i="9"/>
  <c r="AR24" i="9"/>
  <c r="AP24" i="9"/>
  <c r="AQ24" i="9" s="1"/>
  <c r="AU18" i="9"/>
  <c r="AS18" i="9"/>
  <c r="AT18" i="9" s="1"/>
  <c r="I20" i="1"/>
  <c r="M120" i="3"/>
  <c r="M138" i="3" s="1"/>
  <c r="AG7" i="8"/>
  <c r="I140" i="3"/>
  <c r="AA150" i="5"/>
  <c r="P33" i="2"/>
  <c r="AA25" i="8" s="1"/>
  <c r="AN27" i="9"/>
  <c r="AG4" i="8"/>
  <c r="F140" i="3"/>
  <c r="P23" i="2" l="1"/>
  <c r="AA15" i="8" s="1"/>
  <c r="O23" i="2"/>
  <c r="Z15" i="8" s="1"/>
  <c r="N150" i="4"/>
  <c r="O20" i="2"/>
  <c r="Z12" i="8" s="1"/>
  <c r="P18" i="2"/>
  <c r="AA10" i="8" s="1"/>
  <c r="P34" i="2"/>
  <c r="AA26" i="8" s="1"/>
  <c r="X150" i="4"/>
  <c r="O30" i="2"/>
  <c r="Z22" i="8" s="1"/>
  <c r="M139" i="3"/>
  <c r="J20" i="1"/>
  <c r="AP19" i="9"/>
  <c r="AQ19" i="9" s="1"/>
  <c r="AR19" i="9"/>
  <c r="AU26" i="9"/>
  <c r="AS26" i="9"/>
  <c r="AP30" i="9"/>
  <c r="AQ30" i="9" s="1"/>
  <c r="AR30" i="9"/>
  <c r="AR12" i="9"/>
  <c r="AP12" i="9"/>
  <c r="AQ12" i="9" s="1"/>
  <c r="AR16" i="9"/>
  <c r="AP16" i="9"/>
  <c r="AQ16" i="9" s="1"/>
  <c r="AR23" i="9"/>
  <c r="AP23" i="9"/>
  <c r="AQ23" i="9" s="1"/>
  <c r="AT26" i="9"/>
  <c r="M120" i="7"/>
  <c r="M138" i="7" s="1"/>
  <c r="M139" i="7" s="1"/>
  <c r="M140" i="7" s="1"/>
  <c r="AR9" i="9"/>
  <c r="AP9" i="9"/>
  <c r="AQ9" i="9" s="1"/>
  <c r="AR17" i="9"/>
  <c r="AP17" i="9"/>
  <c r="AQ17" i="9" s="1"/>
  <c r="AU25" i="9"/>
  <c r="AS25" i="9"/>
  <c r="AT25" i="9" s="1"/>
  <c r="AU28" i="9"/>
  <c r="AS28" i="9"/>
  <c r="AT28" i="9" s="1"/>
  <c r="AS6" i="9"/>
  <c r="AT6" i="9" s="1"/>
  <c r="AU6" i="9"/>
  <c r="AR11" i="9"/>
  <c r="AP11" i="9"/>
  <c r="AQ11" i="9" s="1"/>
  <c r="AR15" i="9"/>
  <c r="AP15" i="9"/>
  <c r="AQ15" i="9" s="1"/>
  <c r="AP13" i="9"/>
  <c r="AQ13" i="9" s="1"/>
  <c r="AR13" i="9"/>
  <c r="AR7" i="9"/>
  <c r="AP7" i="9"/>
  <c r="AQ7" i="9" s="1"/>
  <c r="AR29" i="9"/>
  <c r="AP29" i="9"/>
  <c r="AQ29" i="9" s="1"/>
  <c r="AN21" i="9"/>
  <c r="AX18" i="9"/>
  <c r="AV18" i="9"/>
  <c r="AW18" i="9" s="1"/>
  <c r="AP22" i="9"/>
  <c r="AQ22" i="9" s="1"/>
  <c r="AR22" i="9"/>
  <c r="AX8" i="9"/>
  <c r="AV8" i="9"/>
  <c r="AW8" i="9" s="1"/>
  <c r="AS10" i="9"/>
  <c r="AT10" i="9" s="1"/>
  <c r="AU10" i="9"/>
  <c r="E127" i="7"/>
  <c r="E128" i="7" s="1"/>
  <c r="E129" i="7" s="1"/>
  <c r="E125" i="7"/>
  <c r="E126" i="7" s="1"/>
  <c r="E123" i="7"/>
  <c r="AU14" i="9"/>
  <c r="AS14" i="9"/>
  <c r="AT14" i="9" s="1"/>
  <c r="AR21" i="9"/>
  <c r="AP21" i="9"/>
  <c r="AQ21" i="9" s="1"/>
  <c r="AP27" i="9"/>
  <c r="AQ27" i="9" s="1"/>
  <c r="AR27" i="9"/>
  <c r="AS24" i="9"/>
  <c r="AT24" i="9" s="1"/>
  <c r="AU24" i="9"/>
  <c r="E137" i="7"/>
  <c r="AP20" i="9"/>
  <c r="AQ20" i="9" s="1"/>
  <c r="AR20" i="9"/>
  <c r="E117" i="7"/>
  <c r="E113" i="7"/>
  <c r="E115" i="7" s="1"/>
  <c r="K120" i="7"/>
  <c r="K138" i="7" s="1"/>
  <c r="K139" i="7" s="1"/>
  <c r="K140" i="7" s="1"/>
  <c r="E119" i="7" l="1"/>
  <c r="E120" i="7" s="1"/>
  <c r="E138" i="7" s="1"/>
  <c r="E139" i="7" s="1"/>
  <c r="E140" i="7" s="1"/>
  <c r="E118" i="7"/>
  <c r="E116" i="7"/>
  <c r="AU17" i="9"/>
  <c r="AS17" i="9"/>
  <c r="AT17" i="9" s="1"/>
  <c r="AU21" i="9"/>
  <c r="AS21" i="9"/>
  <c r="AT21" i="9" s="1"/>
  <c r="AY18" i="9"/>
  <c r="AZ18" i="9" s="1"/>
  <c r="BA18" i="9"/>
  <c r="AU16" i="9"/>
  <c r="AS16" i="9"/>
  <c r="AT16" i="9" s="1"/>
  <c r="AX26" i="9"/>
  <c r="AV26" i="9"/>
  <c r="AW26" i="9" s="1"/>
  <c r="AV10" i="9"/>
  <c r="AW10" i="9" s="1"/>
  <c r="AX10" i="9"/>
  <c r="E114" i="7"/>
  <c r="AU12" i="9"/>
  <c r="AS12" i="9"/>
  <c r="AT12" i="9" s="1"/>
  <c r="AU19" i="9"/>
  <c r="AS19" i="9"/>
  <c r="AT19" i="9" s="1"/>
  <c r="AU13" i="9"/>
  <c r="AS13" i="9"/>
  <c r="AT13" i="9" s="1"/>
  <c r="AX6" i="9"/>
  <c r="AV6" i="9"/>
  <c r="AX24" i="9"/>
  <c r="AV24" i="9"/>
  <c r="AW24" i="9" s="1"/>
  <c r="AX28" i="9"/>
  <c r="AV28" i="9"/>
  <c r="AW28" i="9" s="1"/>
  <c r="AU9" i="9"/>
  <c r="AS9" i="9"/>
  <c r="AT9" i="9" s="1"/>
  <c r="AG11" i="8"/>
  <c r="M140" i="3"/>
  <c r="AU29" i="9"/>
  <c r="AS29" i="9"/>
  <c r="AT29" i="9" s="1"/>
  <c r="AU27" i="9"/>
  <c r="AS27" i="9"/>
  <c r="AT27" i="9" s="1"/>
  <c r="AX14" i="9"/>
  <c r="AV14" i="9"/>
  <c r="AW14" i="9" s="1"/>
  <c r="BA8" i="9"/>
  <c r="AY8" i="9"/>
  <c r="AZ8" i="9" s="1"/>
  <c r="AU15" i="9"/>
  <c r="AS15" i="9"/>
  <c r="AT15" i="9" s="1"/>
  <c r="AS30" i="9"/>
  <c r="AT30" i="9" s="1"/>
  <c r="AU30" i="9"/>
  <c r="AS7" i="9"/>
  <c r="AT7" i="9" s="1"/>
  <c r="AU7" i="9"/>
  <c r="AV25" i="9"/>
  <c r="AW25" i="9" s="1"/>
  <c r="AX25" i="9"/>
  <c r="AU22" i="9"/>
  <c r="AS22" i="9"/>
  <c r="AT22" i="9" s="1"/>
  <c r="AU20" i="9"/>
  <c r="AS20" i="9"/>
  <c r="AT20" i="9" s="1"/>
  <c r="AU11" i="9"/>
  <c r="AS11" i="9"/>
  <c r="AT11" i="9" s="1"/>
  <c r="AU23" i="9"/>
  <c r="AS23" i="9"/>
  <c r="AT23" i="9" s="1"/>
  <c r="AX23" i="9" l="1"/>
  <c r="AV23" i="9"/>
  <c r="AW23" i="9" s="1"/>
  <c r="AV27" i="9"/>
  <c r="AX27" i="9"/>
  <c r="BA10" i="9"/>
  <c r="AY10" i="9"/>
  <c r="AZ10" i="9" s="1"/>
  <c r="AW6" i="9"/>
  <c r="BA25" i="9"/>
  <c r="AY25" i="9"/>
  <c r="AW27" i="9"/>
  <c r="BA28" i="9"/>
  <c r="AY28" i="9"/>
  <c r="AZ28" i="9" s="1"/>
  <c r="AX13" i="9"/>
  <c r="AV13" i="9"/>
  <c r="AW13" i="9" s="1"/>
  <c r="AX11" i="9"/>
  <c r="AV11" i="9"/>
  <c r="AW11" i="9" s="1"/>
  <c r="AV21" i="9"/>
  <c r="AW21" i="9" s="1"/>
  <c r="AX21" i="9"/>
  <c r="AV15" i="9"/>
  <c r="AW15" i="9" s="1"/>
  <c r="AX15" i="9"/>
  <c r="AV29" i="9"/>
  <c r="AW29" i="9" s="1"/>
  <c r="AX29" i="9"/>
  <c r="AX19" i="9"/>
  <c r="AV19" i="9"/>
  <c r="AW19" i="9" s="1"/>
  <c r="AX30" i="9"/>
  <c r="AV30" i="9"/>
  <c r="AW30" i="9" s="1"/>
  <c r="AX20" i="9"/>
  <c r="AV20" i="9"/>
  <c r="AW20" i="9" s="1"/>
  <c r="AV7" i="9"/>
  <c r="AW7" i="9" s="1"/>
  <c r="AX7" i="9"/>
  <c r="BD8" i="9"/>
  <c r="BE8" i="9" s="1"/>
  <c r="BB8" i="9"/>
  <c r="BC8" i="9" s="1"/>
  <c r="AY26" i="9"/>
  <c r="AZ26" i="9" s="1"/>
  <c r="BA26" i="9"/>
  <c r="AX17" i="9"/>
  <c r="AV17" i="9"/>
  <c r="AW17" i="9" s="1"/>
  <c r="AY6" i="9"/>
  <c r="AZ6" i="9" s="1"/>
  <c r="BA6" i="9"/>
  <c r="AV12" i="9"/>
  <c r="AW12" i="9" s="1"/>
  <c r="AX12" i="9"/>
  <c r="AX16" i="9"/>
  <c r="AV16" i="9"/>
  <c r="AW16" i="9" s="1"/>
  <c r="BA24" i="9"/>
  <c r="AY24" i="9"/>
  <c r="AZ24" i="9" s="1"/>
  <c r="AX22" i="9"/>
  <c r="AV22" i="9"/>
  <c r="AW22" i="9" s="1"/>
  <c r="BA14" i="9"/>
  <c r="AY14" i="9"/>
  <c r="AZ14" i="9" s="1"/>
  <c r="AX9" i="9"/>
  <c r="AV9" i="9"/>
  <c r="AW9" i="9" s="1"/>
  <c r="BD18" i="9"/>
  <c r="BE18" i="9" s="1"/>
  <c r="BB18" i="9"/>
  <c r="BC18" i="9" s="1"/>
  <c r="BB26" i="9" l="1"/>
  <c r="BD26" i="9"/>
  <c r="BE26" i="9" s="1"/>
  <c r="BA20" i="9"/>
  <c r="AY20" i="9"/>
  <c r="AZ20" i="9" s="1"/>
  <c r="BA11" i="9"/>
  <c r="AY11" i="9"/>
  <c r="AZ11" i="9" s="1"/>
  <c r="BB14" i="9"/>
  <c r="BC14" i="9" s="1"/>
  <c r="BD14" i="9"/>
  <c r="BE14" i="9" s="1"/>
  <c r="AY30" i="9"/>
  <c r="AZ30" i="9" s="1"/>
  <c r="BA30" i="9"/>
  <c r="AY15" i="9"/>
  <c r="AZ15" i="9" s="1"/>
  <c r="BA15" i="9"/>
  <c r="BD6" i="9"/>
  <c r="BE6" i="9" s="1"/>
  <c r="BB6" i="9"/>
  <c r="BC6" i="9" s="1"/>
  <c r="BF8" i="9"/>
  <c r="BG8" i="9" s="1"/>
  <c r="BH8" i="9" s="1"/>
  <c r="BI8" i="9" s="1"/>
  <c r="BK8" i="9" s="1"/>
  <c r="BL8" i="9" s="1"/>
  <c r="BM8" i="9" s="1"/>
  <c r="AY13" i="9"/>
  <c r="AZ13" i="9" s="1"/>
  <c r="BA13" i="9"/>
  <c r="BB10" i="9"/>
  <c r="BC10" i="9" s="1"/>
  <c r="BD10" i="9"/>
  <c r="BE10" i="9" s="1"/>
  <c r="BA22" i="9"/>
  <c r="AY22" i="9"/>
  <c r="AZ22" i="9" s="1"/>
  <c r="AZ25" i="9"/>
  <c r="AY27" i="9"/>
  <c r="AZ27" i="9" s="1"/>
  <c r="BA27" i="9"/>
  <c r="AY19" i="9"/>
  <c r="AZ19" i="9" s="1"/>
  <c r="BA19" i="9"/>
  <c r="BF18" i="9"/>
  <c r="BG18" i="9" s="1"/>
  <c r="BH18" i="9" s="1"/>
  <c r="BI18" i="9" s="1"/>
  <c r="BK18" i="9" s="1"/>
  <c r="BL18" i="9" s="1"/>
  <c r="BM18" i="9" s="1"/>
  <c r="BD24" i="9"/>
  <c r="BE24" i="9" s="1"/>
  <c r="BB24" i="9"/>
  <c r="BC24" i="9" s="1"/>
  <c r="AY7" i="9"/>
  <c r="AZ7" i="9" s="1"/>
  <c r="BA7" i="9"/>
  <c r="AY21" i="9"/>
  <c r="AZ21" i="9" s="1"/>
  <c r="BA21" i="9"/>
  <c r="BD28" i="9"/>
  <c r="BE28" i="9" s="1"/>
  <c r="BB28" i="9"/>
  <c r="BC28" i="9" s="1"/>
  <c r="AY9" i="9"/>
  <c r="AZ9" i="9" s="1"/>
  <c r="BA9" i="9"/>
  <c r="BA29" i="9"/>
  <c r="AY29" i="9"/>
  <c r="BA16" i="9"/>
  <c r="AY16" i="9"/>
  <c r="AZ16" i="9" s="1"/>
  <c r="BA12" i="9"/>
  <c r="AY12" i="9"/>
  <c r="AZ12" i="9" s="1"/>
  <c r="AY17" i="9"/>
  <c r="AZ17" i="9" s="1"/>
  <c r="BA17" i="9"/>
  <c r="BB25" i="9"/>
  <c r="BC25" i="9" s="1"/>
  <c r="BD25" i="9"/>
  <c r="BE25" i="9" s="1"/>
  <c r="AY23" i="9"/>
  <c r="AZ23" i="9" s="1"/>
  <c r="BA23" i="9"/>
  <c r="BF26" i="9" l="1"/>
  <c r="BF24" i="9"/>
  <c r="BG24" i="9" s="1"/>
  <c r="BH24" i="9" s="1"/>
  <c r="BI24" i="9" s="1"/>
  <c r="BK24" i="9" s="1"/>
  <c r="BL24" i="9" s="1"/>
  <c r="BM24" i="9" s="1"/>
  <c r="BN24" i="9" s="1"/>
  <c r="BO24" i="9" s="1"/>
  <c r="J74" i="2" s="1"/>
  <c r="BF14" i="9"/>
  <c r="BG14" i="9" s="1"/>
  <c r="BH14" i="9" s="1"/>
  <c r="BI14" i="9" s="1"/>
  <c r="BK14" i="9" s="1"/>
  <c r="BL14" i="9" s="1"/>
  <c r="BM14" i="9" s="1"/>
  <c r="BF10" i="9"/>
  <c r="BG10" i="9" s="1"/>
  <c r="BH10" i="9" s="1"/>
  <c r="BI10" i="9" s="1"/>
  <c r="BK10" i="9" s="1"/>
  <c r="BL10" i="9" s="1"/>
  <c r="BM10" i="9" s="1"/>
  <c r="BN8" i="9"/>
  <c r="BO8" i="9" s="1"/>
  <c r="J58" i="2" s="1"/>
  <c r="BN18" i="9"/>
  <c r="BO18" i="9" s="1"/>
  <c r="J68" i="2" s="1"/>
  <c r="BC26" i="9"/>
  <c r="BG26" i="9" s="1"/>
  <c r="BH26" i="9" s="1"/>
  <c r="BI26" i="9" s="1"/>
  <c r="BK26" i="9" s="1"/>
  <c r="BL26" i="9" s="1"/>
  <c r="BD16" i="9"/>
  <c r="BE16" i="9" s="1"/>
  <c r="BB16" i="9"/>
  <c r="BC16" i="9" s="1"/>
  <c r="BF28" i="9"/>
  <c r="BG28" i="9" s="1"/>
  <c r="BH28" i="9" s="1"/>
  <c r="BI28" i="9" s="1"/>
  <c r="BK28" i="9" s="1"/>
  <c r="BL28" i="9" s="1"/>
  <c r="BF6" i="9"/>
  <c r="BG6" i="9" s="1"/>
  <c r="BH6" i="9" s="1"/>
  <c r="BD29" i="9"/>
  <c r="BE29" i="9" s="1"/>
  <c r="BB29" i="9"/>
  <c r="BC29" i="9" s="1"/>
  <c r="BD7" i="9"/>
  <c r="BE7" i="9" s="1"/>
  <c r="BB7" i="9"/>
  <c r="BC7" i="9" s="1"/>
  <c r="BD11" i="9"/>
  <c r="BE11" i="9" s="1"/>
  <c r="BB11" i="9"/>
  <c r="BC11" i="9" s="1"/>
  <c r="AZ29" i="9"/>
  <c r="BD23" i="9"/>
  <c r="BE23" i="9" s="1"/>
  <c r="BB23" i="9"/>
  <c r="BC23" i="9" s="1"/>
  <c r="BF25" i="9"/>
  <c r="BG25" i="9" s="1"/>
  <c r="BH25" i="9" s="1"/>
  <c r="BI25" i="9" s="1"/>
  <c r="BK25" i="9" s="1"/>
  <c r="BL25" i="9" s="1"/>
  <c r="BM25" i="9" s="1"/>
  <c r="BB17" i="9"/>
  <c r="BC17" i="9" s="1"/>
  <c r="BD17" i="9"/>
  <c r="BE17" i="9" s="1"/>
  <c r="BD9" i="9"/>
  <c r="BE9" i="9" s="1"/>
  <c r="BB9" i="9"/>
  <c r="BC9" i="9" s="1"/>
  <c r="BB27" i="9"/>
  <c r="BC27" i="9" s="1"/>
  <c r="BD27" i="9"/>
  <c r="BE27" i="9" s="1"/>
  <c r="BB13" i="9"/>
  <c r="BC13" i="9" s="1"/>
  <c r="BD13" i="9"/>
  <c r="BE13" i="9" s="1"/>
  <c r="BB20" i="9"/>
  <c r="BC20" i="9" s="1"/>
  <c r="BD20" i="9"/>
  <c r="BE20" i="9" s="1"/>
  <c r="BD21" i="9"/>
  <c r="BE21" i="9" s="1"/>
  <c r="BB21" i="9"/>
  <c r="BC21" i="9" s="1"/>
  <c r="BB19" i="9"/>
  <c r="BD19" i="9"/>
  <c r="BE19" i="9" s="1"/>
  <c r="BB22" i="9"/>
  <c r="BC22" i="9" s="1"/>
  <c r="BD22" i="9"/>
  <c r="BE22" i="9" s="1"/>
  <c r="BD15" i="9"/>
  <c r="BE15" i="9" s="1"/>
  <c r="BB15" i="9"/>
  <c r="BC15" i="9" s="1"/>
  <c r="BB30" i="9"/>
  <c r="BC30" i="9" s="1"/>
  <c r="BD30" i="9"/>
  <c r="BE30" i="9" s="1"/>
  <c r="BD12" i="9"/>
  <c r="BE12" i="9" s="1"/>
  <c r="BB12" i="9"/>
  <c r="BC12" i="9" s="1"/>
  <c r="BG27" i="9" l="1"/>
  <c r="BH27" i="9" s="1"/>
  <c r="BI27" i="9" s="1"/>
  <c r="BK27" i="9" s="1"/>
  <c r="BL27" i="9" s="1"/>
  <c r="BF29" i="9"/>
  <c r="BF27" i="9"/>
  <c r="BF21" i="9"/>
  <c r="BF19" i="9"/>
  <c r="BN14" i="9"/>
  <c r="BO14" i="9" s="1"/>
  <c r="J64" i="2" s="1"/>
  <c r="BG21" i="9"/>
  <c r="BH21" i="9" s="1"/>
  <c r="BI21" i="9" s="1"/>
  <c r="BK21" i="9" s="1"/>
  <c r="BL21" i="9" s="1"/>
  <c r="BM21" i="9" s="1"/>
  <c r="BN21" i="9" s="1"/>
  <c r="BO21" i="9" s="1"/>
  <c r="J71" i="2" s="1"/>
  <c r="BF9" i="9"/>
  <c r="BG9" i="9" s="1"/>
  <c r="BH9" i="9" s="1"/>
  <c r="BI9" i="9" s="1"/>
  <c r="BK9" i="9" s="1"/>
  <c r="BL9" i="9" s="1"/>
  <c r="BM9" i="9" s="1"/>
  <c r="BC19" i="9"/>
  <c r="BG19" i="9" s="1"/>
  <c r="BH19" i="9" s="1"/>
  <c r="BI19" i="9" s="1"/>
  <c r="BK19" i="9" s="1"/>
  <c r="BL19" i="9" s="1"/>
  <c r="BM19" i="9" s="1"/>
  <c r="BN19" i="9" s="1"/>
  <c r="BO19" i="9" s="1"/>
  <c r="J69" i="2" s="1"/>
  <c r="BN25" i="9"/>
  <c r="BO25" i="9" s="1"/>
  <c r="J75" i="2" s="1"/>
  <c r="BF11" i="9"/>
  <c r="BG11" i="9" s="1"/>
  <c r="BH11" i="9" s="1"/>
  <c r="BI11" i="9" s="1"/>
  <c r="BK11" i="9" s="1"/>
  <c r="BL11" i="9" s="1"/>
  <c r="BM11" i="9" s="1"/>
  <c r="BF16" i="9"/>
  <c r="BG16" i="9" s="1"/>
  <c r="BH16" i="9" s="1"/>
  <c r="BI16" i="9" s="1"/>
  <c r="BK16" i="9" s="1"/>
  <c r="BL16" i="9" s="1"/>
  <c r="BM16" i="9" s="1"/>
  <c r="BS6" i="9"/>
  <c r="BX6" i="9" s="1"/>
  <c r="CA6" i="9" s="1"/>
  <c r="BI6" i="9"/>
  <c r="BK6" i="9" s="1"/>
  <c r="BL6" i="9" s="1"/>
  <c r="BM6" i="9" s="1"/>
  <c r="BO6" i="9" s="1"/>
  <c r="J56" i="2" s="1"/>
  <c r="BN10" i="9"/>
  <c r="BO10" i="9" s="1"/>
  <c r="J60" i="2" s="1"/>
  <c r="BG29" i="9"/>
  <c r="BH29" i="9" s="1"/>
  <c r="BI29" i="9" s="1"/>
  <c r="BK29" i="9" s="1"/>
  <c r="BL29" i="9" s="1"/>
  <c r="BF20" i="9"/>
  <c r="BG20" i="9" s="1"/>
  <c r="BH20" i="9" s="1"/>
  <c r="BI20" i="9" s="1"/>
  <c r="BK20" i="9" s="1"/>
  <c r="BL20" i="9" s="1"/>
  <c r="BM20" i="9" s="1"/>
  <c r="BF17" i="9"/>
  <c r="BG17" i="9" s="1"/>
  <c r="BH17" i="9" s="1"/>
  <c r="BI17" i="9" s="1"/>
  <c r="BK17" i="9" s="1"/>
  <c r="BL17" i="9" s="1"/>
  <c r="BM17" i="9" s="1"/>
  <c r="BF7" i="9"/>
  <c r="BG7" i="9" s="1"/>
  <c r="BH7" i="9" s="1"/>
  <c r="BI7" i="9" s="1"/>
  <c r="BK7" i="9" s="1"/>
  <c r="BL7" i="9" s="1"/>
  <c r="BM7" i="9" s="1"/>
  <c r="BF15" i="9"/>
  <c r="BG15" i="9" s="1"/>
  <c r="BH15" i="9" s="1"/>
  <c r="BI15" i="9" s="1"/>
  <c r="BK15" i="9" s="1"/>
  <c r="BL15" i="9" s="1"/>
  <c r="BM15" i="9" s="1"/>
  <c r="BF12" i="9"/>
  <c r="BG12" i="9" s="1"/>
  <c r="BH12" i="9" s="1"/>
  <c r="BI12" i="9" s="1"/>
  <c r="BK12" i="9" s="1"/>
  <c r="BL12" i="9" s="1"/>
  <c r="BM12" i="9" s="1"/>
  <c r="BF22" i="9"/>
  <c r="BG22" i="9" s="1"/>
  <c r="BH22" i="9" s="1"/>
  <c r="BI22" i="9" s="1"/>
  <c r="BK22" i="9" s="1"/>
  <c r="BL22" i="9" s="1"/>
  <c r="BM22" i="9" s="1"/>
  <c r="BF13" i="9"/>
  <c r="BG13" i="9" s="1"/>
  <c r="BH13" i="9" s="1"/>
  <c r="BI13" i="9" s="1"/>
  <c r="BK13" i="9" s="1"/>
  <c r="BL13" i="9" s="1"/>
  <c r="BM13" i="9" s="1"/>
  <c r="BF30" i="9"/>
  <c r="BG30" i="9" s="1"/>
  <c r="BH30" i="9" s="1"/>
  <c r="BI30" i="9" s="1"/>
  <c r="BK30" i="9" s="1"/>
  <c r="BL30" i="9" s="1"/>
  <c r="BF23" i="9"/>
  <c r="BG23" i="9" s="1"/>
  <c r="BH23" i="9" s="1"/>
  <c r="BI23" i="9" s="1"/>
  <c r="BK23" i="9" s="1"/>
  <c r="BL23" i="9" s="1"/>
  <c r="BM23" i="9" s="1"/>
  <c r="BN20" i="9" l="1"/>
  <c r="BO20" i="9" s="1"/>
  <c r="J70" i="2" s="1"/>
  <c r="BN23" i="9"/>
  <c r="BO23" i="9" s="1"/>
  <c r="J73" i="2" s="1"/>
  <c r="BN12" i="9"/>
  <c r="BO12" i="9" s="1"/>
  <c r="J62" i="2" s="1"/>
  <c r="BN15" i="9"/>
  <c r="BO15" i="9"/>
  <c r="J65" i="2" s="1"/>
  <c r="BN7" i="9"/>
  <c r="BO7" i="9"/>
  <c r="J57" i="2" s="1"/>
  <c r="BN16" i="9"/>
  <c r="BO16" i="9" s="1"/>
  <c r="J66" i="2" s="1"/>
  <c r="BN11" i="9"/>
  <c r="BO11" i="9" s="1"/>
  <c r="J61" i="2" s="1"/>
  <c r="BN13" i="9"/>
  <c r="BO13" i="9" s="1"/>
  <c r="J63" i="2" s="1"/>
  <c r="BN22" i="9"/>
  <c r="BO22" i="9" s="1"/>
  <c r="J72" i="2" s="1"/>
  <c r="BN17" i="9"/>
  <c r="BO17" i="9" s="1"/>
  <c r="J67" i="2" s="1"/>
  <c r="BN9" i="9"/>
  <c r="BO9" i="9" s="1"/>
  <c r="J5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Altantsetseg Perridon</author>
    <author>Altan Perridon</author>
  </authors>
  <commentList>
    <comment ref="W11" authorId="0" shapeId="0" xr:uid="{00000000-0006-0000-0100-000001000000}">
      <text>
        <r>
          <rPr>
            <sz val="10"/>
            <rFont val="Arial"/>
          </rPr>
          <t>Altantsetseg Perridon:
kopplaat minimaal 20 mm aanhouden</t>
        </r>
      </text>
    </comment>
    <comment ref="X11" authorId="1" shapeId="0" xr:uid="{00000000-0006-0000-0100-000002000000}">
      <text>
        <r>
          <rPr>
            <sz val="10"/>
            <rFont val="Arial"/>
          </rPr>
          <t>Altan Perridon:
Min. van Kopplaat en afschuifnok</t>
        </r>
      </text>
    </comment>
  </commentList>
</comments>
</file>

<file path=xl/sharedStrings.xml><?xml version="1.0" encoding="utf-8"?>
<sst xmlns="http://schemas.openxmlformats.org/spreadsheetml/2006/main" count="2107" uniqueCount="694">
  <si>
    <t>staafnrs.</t>
  </si>
  <si>
    <t>1 t/m 5</t>
  </si>
  <si>
    <t>6 t/m 10</t>
  </si>
  <si>
    <t>11 t/m 15</t>
  </si>
  <si>
    <t>16 t/m 20</t>
  </si>
  <si>
    <t>21 t/m 25</t>
  </si>
  <si>
    <t>26 t/m 30</t>
  </si>
  <si>
    <t>31 t/m 35</t>
  </si>
  <si>
    <t>36 t/m 40</t>
  </si>
  <si>
    <t>41 t/m 45</t>
  </si>
  <si>
    <t>zijde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</si>
  <si>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</si>
  <si>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</si>
  <si>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</si>
  <si>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</si>
  <si>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</si>
  <si>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</si>
  <si>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</si>
  <si>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</si>
  <si>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</si>
  <si>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gording</t>
  </si>
  <si>
    <t>koppeling</t>
  </si>
  <si>
    <t>aantal</t>
  </si>
  <si>
    <t>staalkwaliteit</t>
  </si>
  <si>
    <t>normaalkracht</t>
  </si>
  <si>
    <t>dwarskracht</t>
  </si>
  <si>
    <t>moment</t>
  </si>
  <si>
    <t>h.o.h. stempels</t>
  </si>
  <si>
    <t>lijnlast BGT</t>
  </si>
  <si>
    <t>moment factor</t>
  </si>
  <si>
    <t>uc. BGT</t>
  </si>
  <si>
    <t>max. uc. UGT</t>
  </si>
  <si>
    <t>algemeen</t>
  </si>
  <si>
    <t>levensduur</t>
  </si>
  <si>
    <t>nee</t>
  </si>
  <si>
    <t>Overzichtstabel staafkrachten UGT (tbv sterkte) + BGT (tbv calamiteit)</t>
  </si>
  <si>
    <t>spanning las</t>
  </si>
  <si>
    <t>buizen</t>
  </si>
  <si>
    <t>-&gt;</t>
  </si>
  <si>
    <t>Hektec werk.nr.:</t>
  </si>
  <si>
    <t>H24.0000-1</t>
  </si>
  <si>
    <t>Project:</t>
  </si>
  <si>
    <t>Stempelframe</t>
  </si>
  <si>
    <t>kopplaat</t>
  </si>
  <si>
    <t>Locatie:</t>
  </si>
  <si>
    <t>Amsterdam</t>
  </si>
  <si>
    <t>afschuifnok</t>
  </si>
  <si>
    <t>Datum:</t>
  </si>
  <si>
    <t>Aantal gordingen</t>
  </si>
  <si>
    <t>-</t>
  </si>
  <si>
    <t>Niveau stempelframe:</t>
  </si>
  <si>
    <t>Gemiddelde h.o.h stempels</t>
  </si>
  <si>
    <t>m</t>
  </si>
  <si>
    <t>Bedding</t>
  </si>
  <si>
    <t>kN/m2</t>
  </si>
  <si>
    <t>staaf nr.</t>
  </si>
  <si>
    <t>type</t>
  </si>
  <si>
    <t>diameter</t>
  </si>
  <si>
    <t>wanddikte</t>
  </si>
  <si>
    <t>lengte</t>
  </si>
  <si>
    <t>t.o.v. gording</t>
  </si>
  <si>
    <t>stempelkracht</t>
  </si>
  <si>
    <t>incl. factor</t>
  </si>
  <si>
    <t>Loodrecht</t>
  </si>
  <si>
    <t>staafnr.</t>
  </si>
  <si>
    <t>U.C.</t>
  </si>
  <si>
    <t>Globale controle inleiding</t>
  </si>
  <si>
    <t>Check lassen</t>
  </si>
  <si>
    <t>Maximaal</t>
  </si>
  <si>
    <t>parallel</t>
  </si>
  <si>
    <t>Kopplaat</t>
  </si>
  <si>
    <t>Las buis - kopplaat</t>
  </si>
  <si>
    <t>Spanning</t>
  </si>
  <si>
    <t>Afschuifnok</t>
  </si>
  <si>
    <t>mm1</t>
  </si>
  <si>
    <t>[m]</t>
  </si>
  <si>
    <t>[º]</t>
  </si>
  <si>
    <t>UGT [kN]</t>
  </si>
  <si>
    <t>[kN]</t>
  </si>
  <si>
    <t>BGT [kN]</t>
  </si>
  <si>
    <t>uitgevallen</t>
  </si>
  <si>
    <t>UGT</t>
  </si>
  <si>
    <t>BGT</t>
  </si>
  <si>
    <t>Gording</t>
  </si>
  <si>
    <t>nok</t>
  </si>
  <si>
    <t>t [mm]</t>
  </si>
  <si>
    <t>a [mm¹]</t>
  </si>
  <si>
    <t>leff [mm¹]</t>
  </si>
  <si>
    <t>ltot [mm]</t>
  </si>
  <si>
    <t>lef [mm¹]</t>
  </si>
  <si>
    <t>a</t>
  </si>
  <si>
    <t>b</t>
  </si>
  <si>
    <t>HEB 600</t>
  </si>
  <si>
    <t>x</t>
  </si>
  <si>
    <t>Omtrek</t>
  </si>
  <si>
    <t>HEB 500</t>
  </si>
  <si>
    <t>Schoor/ stempel</t>
  </si>
  <si>
    <t>diameter buis [mm¹]</t>
  </si>
  <si>
    <t>wanddikte [mm¹]</t>
  </si>
  <si>
    <t>kopplaat / strippen [mm¹]</t>
  </si>
  <si>
    <t>Las afschuifnok</t>
  </si>
  <si>
    <t>dikte</t>
  </si>
  <si>
    <t>breedte A</t>
  </si>
  <si>
    <t>breedte B</t>
  </si>
  <si>
    <t>hoogte</t>
  </si>
  <si>
    <t>Afschuinen</t>
  </si>
  <si>
    <t>Leff [mm¹]</t>
  </si>
  <si>
    <t>2x</t>
  </si>
  <si>
    <t>Berekening gording conform EC3 en CUR166</t>
  </si>
  <si>
    <t>veiligheidsfactoren UGT</t>
  </si>
  <si>
    <t>veiligheidsfactoren BGT</t>
  </si>
  <si>
    <t>Hektec werknr.</t>
  </si>
  <si>
    <t>gm;gording=</t>
  </si>
  <si>
    <t>[-]</t>
  </si>
  <si>
    <t>Project</t>
  </si>
  <si>
    <t>gM0=</t>
  </si>
  <si>
    <t>Lokatie</t>
  </si>
  <si>
    <t>gM1=</t>
  </si>
  <si>
    <t>Datum</t>
  </si>
  <si>
    <t>staaf/knoop</t>
  </si>
  <si>
    <t>Eigenschappen stalen gordingprofiel</t>
  </si>
  <si>
    <t>Materiaal</t>
  </si>
  <si>
    <t>De staalsoort betreft:</t>
  </si>
  <si>
    <t>S</t>
  </si>
  <si>
    <t>Nominale waarde vloeigrens</t>
  </si>
  <si>
    <t>tabel 3.1 NEN-EN 1993-1-1</t>
  </si>
  <si>
    <t>fy:</t>
  </si>
  <si>
    <t>[N/mm²]</t>
  </si>
  <si>
    <t>Nominale waarde trekgrens</t>
  </si>
  <si>
    <t>fu:</t>
  </si>
  <si>
    <t>Elasticiteitsmodules</t>
  </si>
  <si>
    <t>par. 3.2.6 NEN-EN 1993-1-1</t>
  </si>
  <si>
    <t>E:</t>
  </si>
  <si>
    <t>e =√(235/fy) =</t>
  </si>
  <si>
    <t>tabel 5.2 NEN-EN 1993-1-1</t>
  </si>
  <si>
    <t>l1=p*√(E/fy) =</t>
  </si>
  <si>
    <t>par. 6.3.1.3 NEN-EN 1993-1-1</t>
  </si>
  <si>
    <t>Profiel</t>
  </si>
  <si>
    <t>type gording</t>
  </si>
  <si>
    <t>[stuks]</t>
  </si>
  <si>
    <t>h</t>
  </si>
  <si>
    <t>[mm]</t>
  </si>
  <si>
    <t>tw</t>
  </si>
  <si>
    <t>tf</t>
  </si>
  <si>
    <t>Wel</t>
  </si>
  <si>
    <t>[mm3]</t>
  </si>
  <si>
    <t>Wpl</t>
  </si>
  <si>
    <t>[mm²]</t>
  </si>
  <si>
    <t>r</t>
  </si>
  <si>
    <t>Iy</t>
  </si>
  <si>
    <t>[mm4]</t>
  </si>
  <si>
    <t>[kN/m]</t>
  </si>
  <si>
    <t>hw</t>
  </si>
  <si>
    <t>Av</t>
  </si>
  <si>
    <t>Af</t>
  </si>
  <si>
    <t>Aw</t>
  </si>
  <si>
    <t>h/b</t>
  </si>
  <si>
    <t>Classificatie van de doorsnede</t>
  </si>
  <si>
    <t>lijf; c/t/e</t>
  </si>
  <si>
    <t>flens; c/t/e</t>
  </si>
  <si>
    <t>knikkromme om as y-y</t>
  </si>
  <si>
    <t>tabel 6.2 NEN-EN 1993-1-1</t>
  </si>
  <si>
    <t>knikkromme om as z-z</t>
  </si>
  <si>
    <t>doorsnede klasse buiging</t>
  </si>
  <si>
    <t>doorsnede klasse druk</t>
  </si>
  <si>
    <t>doorsnede klasse druk en buiging</t>
  </si>
  <si>
    <t>imperfectie</t>
  </si>
  <si>
    <t>tabel 6.1 NEN-EN 1993-1-1</t>
  </si>
  <si>
    <t xml:space="preserve">Belastingen </t>
  </si>
  <si>
    <t>BGT lijnlast</t>
  </si>
  <si>
    <t>conform damwandberekening</t>
  </si>
  <si>
    <t xml:space="preserve">h.o.h. afstand stempels </t>
  </si>
  <si>
    <t>gem. h.o.h. afstand</t>
  </si>
  <si>
    <t>UGT Normaalkracht</t>
  </si>
  <si>
    <t>conform Technosoft, bijlage B</t>
  </si>
  <si>
    <t xml:space="preserve">UGT Dwarskracht </t>
  </si>
  <si>
    <t>UGT Moment</t>
  </si>
  <si>
    <t>[kNm]</t>
  </si>
  <si>
    <t>Toetsing Calamiteit</t>
  </si>
  <si>
    <t>MR;rep;calamiteit</t>
  </si>
  <si>
    <t>ME;rep</t>
  </si>
  <si>
    <t>u.c.</t>
  </si>
  <si>
    <t>MR;rep;calamiteit/ME,rep</t>
  </si>
  <si>
    <t>Toesting van de doorsnede</t>
  </si>
  <si>
    <t>Toetsing normaalkracht</t>
  </si>
  <si>
    <t>(6.2.3 / 6.2.4)</t>
  </si>
  <si>
    <t>Rek. normaalkracht</t>
  </si>
  <si>
    <t>NEd</t>
  </si>
  <si>
    <t>Rek. weerstand tegen trek</t>
  </si>
  <si>
    <t>Nc,Rd</t>
  </si>
  <si>
    <t>NEd/Nc,Rd</t>
  </si>
  <si>
    <t>Toetsing buigend moment</t>
  </si>
  <si>
    <t>(6.2.5)</t>
  </si>
  <si>
    <t>Rek. buigend moment</t>
  </si>
  <si>
    <t>MEd</t>
  </si>
  <si>
    <t>Wy-y</t>
  </si>
  <si>
    <t>Rek. weerstand tegen buigend moment</t>
  </si>
  <si>
    <t>MRd</t>
  </si>
  <si>
    <t>MEd/MRd</t>
  </si>
  <si>
    <t>Toetsing dwarskracht</t>
  </si>
  <si>
    <t>(6.2.6)</t>
  </si>
  <si>
    <t>Rek. dwarskracht</t>
  </si>
  <si>
    <t>VEd</t>
  </si>
  <si>
    <t>Rek. dwarskracht vloeien</t>
  </si>
  <si>
    <t>Vc,Rd</t>
  </si>
  <si>
    <t>VEd/Vc,Rd</t>
  </si>
  <si>
    <t>Voor lijven zonder dwarsverstijvers dient de weerstand tegen plooien door afschuiving</t>
  </si>
  <si>
    <t>bepaald te worden volgens hoofdstuk 5 van EN 1993-1-5 indien voldaan wordt aan:</t>
  </si>
  <si>
    <t>hw/tw&gt;72*e/h</t>
  </si>
  <si>
    <t>Toetsing buiging en dwarskracht</t>
  </si>
  <si>
    <t>(6.2.8)</t>
  </si>
  <si>
    <t>dwarskracht invloed op momentcapaciteit (Ved/Vc,Rd &gt; 0,50)</t>
  </si>
  <si>
    <t xml:space="preserve">r </t>
  </si>
  <si>
    <t>My,V,Rd</t>
  </si>
  <si>
    <t>MEd/My,V,Rd</t>
  </si>
  <si>
    <t>Toetsing buiging en normaalkracht</t>
  </si>
  <si>
    <t>(6.2.9)</t>
  </si>
  <si>
    <t>Geldt voor doorsnede classificatie 1 en 2:</t>
  </si>
  <si>
    <t xml:space="preserve">Het effect van de normaalkracht op het vloeimoment om de y-y-as hoeft niet in rekening te zijn gebracht </t>
  </si>
  <si>
    <t>wanneer aan beide volgende voorwaarden is voldaan:</t>
  </si>
  <si>
    <t>NEd/Npl,Rd &lt; 0,25</t>
  </si>
  <si>
    <t>NEd/hw*tw*fy/2*gm0 &lt; 1,00</t>
  </si>
  <si>
    <t>a &lt; 0,50</t>
  </si>
  <si>
    <t>MN,y,Rd</t>
  </si>
  <si>
    <t>MEd/MN,y,Rd</t>
  </si>
  <si>
    <t>Geldt voor doorsnede classificatie 3 en 4:</t>
  </si>
  <si>
    <t>NEd/(Aeff*fy)/gm0 + MEd/(Weff*fy)/gm0 &lt; 1,00</t>
  </si>
  <si>
    <t>Toetsing buiging, dwarskracht en normaalkracht         (6.2.10)</t>
  </si>
  <si>
    <t>reductie van toepassing</t>
  </si>
  <si>
    <t>NVz,Rd</t>
  </si>
  <si>
    <t>a1</t>
  </si>
  <si>
    <t>a2</t>
  </si>
  <si>
    <t>MV,y,Rd</t>
  </si>
  <si>
    <t>My;Ed/My,V,Rd+((NEd/NVz,Rd-a2/2)/(1-a2/2)</t>
  </si>
  <si>
    <t>My,Ed/My,N,f,Rd</t>
  </si>
  <si>
    <t>My,N,f,Rd</t>
  </si>
  <si>
    <t>indien My;Ed/My,N,f,Rd &lt; 1,00 dan moet voldaan aan 6.2.6(6) hw/tw&gt;72*e/h</t>
  </si>
  <si>
    <t>My,Ed/My,N,Rd</t>
  </si>
  <si>
    <t>indien My;Ed/My,N,f,Rd &gt; 1,00 en My,Ed/My,N,Rd &lt; 1,0 dan geldt;</t>
  </si>
  <si>
    <t>My,Ed/(My,N,f,Rd+((My,N,Rd-My,N,f,Rd)*(1-(((2*Vz,Ed)/Vz,Rd)-1)2))</t>
  </si>
  <si>
    <t>Controle overzicht toetsen</t>
  </si>
  <si>
    <t>Toetsing calamiteit conform CUR166 (doorgaandeligger)</t>
  </si>
  <si>
    <t>Toetsing buiging, dwarskracht en normaalkracht</t>
  </si>
  <si>
    <t>max. u.c.</t>
  </si>
  <si>
    <t>Berekening stempel, buisprofiel</t>
  </si>
  <si>
    <t>Algemene uitgangspunten</t>
  </si>
  <si>
    <t xml:space="preserve">Excentriciteit aansluiting </t>
  </si>
  <si>
    <t>gstempel=</t>
  </si>
  <si>
    <t>Kdamwand</t>
  </si>
  <si>
    <t>[kN/m¹]</t>
  </si>
  <si>
    <t>geg=</t>
  </si>
  <si>
    <t>as</t>
  </si>
  <si>
    <t>[1/°C]</t>
  </si>
  <si>
    <t>gQ=</t>
  </si>
  <si>
    <t>Temperatuursverschil boven/onder</t>
  </si>
  <si>
    <t>DT</t>
  </si>
  <si>
    <t>[°C]</t>
  </si>
  <si>
    <t>gtemp=</t>
  </si>
  <si>
    <t>Stootbelasting conform CUR166</t>
  </si>
  <si>
    <t>staaf nummer</t>
  </si>
  <si>
    <t>Eigenschappen stalen buisprofiel</t>
  </si>
  <si>
    <t>diameter buis</t>
  </si>
  <si>
    <t>duitwendig</t>
  </si>
  <si>
    <t>wanddikte buis</t>
  </si>
  <si>
    <t>t</t>
  </si>
  <si>
    <t>dinwendig</t>
  </si>
  <si>
    <t xml:space="preserve">A </t>
  </si>
  <si>
    <t>[mm2]</t>
  </si>
  <si>
    <t>Kniklengte stempel</t>
  </si>
  <si>
    <t>d/t</t>
  </si>
  <si>
    <t>e2</t>
  </si>
  <si>
    <t>knikkromme</t>
  </si>
  <si>
    <t>Imperfectiefactor a</t>
  </si>
  <si>
    <t>Doorsnedeklasse</t>
  </si>
  <si>
    <t>Belastingen</t>
  </si>
  <si>
    <t>Normaalkracht (excl. gaten)</t>
  </si>
  <si>
    <t>Optredende snedekrachten</t>
  </si>
  <si>
    <t>Mrep.a.g.v. eigengewicht</t>
  </si>
  <si>
    <t>Mrep.a.g.v. 1 kN/m</t>
  </si>
  <si>
    <t>Mrep.a.g.v. stootkracht</t>
  </si>
  <si>
    <t>deigengewcht</t>
  </si>
  <si>
    <t>DMrep.a.g.v. doorbuiging 2e orde</t>
  </si>
  <si>
    <t>excentriciteit</t>
  </si>
  <si>
    <t>DMrep.a.g.v. excentriciteit</t>
  </si>
  <si>
    <t>Vrep.a.g.v. eigengewicht</t>
  </si>
  <si>
    <t>Vrep.a.g.v. 1 kN/m</t>
  </si>
  <si>
    <t>Vrep.a.g.v. stootkracht</t>
  </si>
  <si>
    <t>Nrep</t>
  </si>
  <si>
    <t>DNT,rep.</t>
  </si>
  <si>
    <t>Rekenwaarde alle snedekrachten</t>
  </si>
  <si>
    <t>MEd midden</t>
  </si>
  <si>
    <t>VEd kop</t>
  </si>
  <si>
    <t>VEd midden</t>
  </si>
  <si>
    <t>NEd druk</t>
  </si>
  <si>
    <t>Toetsing van de doorsnede</t>
  </si>
  <si>
    <t>Partiële factor</t>
  </si>
  <si>
    <t>gM0</t>
  </si>
  <si>
    <t>gM1</t>
  </si>
  <si>
    <t>Toetsing axiale trek/druk</t>
  </si>
  <si>
    <t>Rek. weerstand tegen druk/trek</t>
  </si>
  <si>
    <t>NRd</t>
  </si>
  <si>
    <t>Doorsnede classificatie</t>
  </si>
  <si>
    <t>Weerstandsmoment o.b.v. doorsnede klasse</t>
  </si>
  <si>
    <t>[mm³]</t>
  </si>
  <si>
    <t>Rek. weerstand tegen moment</t>
  </si>
  <si>
    <t>MEd/(1,04*Mc,Rd)+(NEd/Nc,Rd)1,7</t>
  </si>
  <si>
    <t>MEd/Mc,Rd</t>
  </si>
  <si>
    <t>(6.2.10)</t>
  </si>
  <si>
    <t>q</t>
  </si>
  <si>
    <t>NV,Rd</t>
  </si>
  <si>
    <t>MV,Rd</t>
  </si>
  <si>
    <t>MEd/MV,Rd</t>
  </si>
  <si>
    <t>MEd/(1,04*Mv,Rd)+(NEd/Nv,Rd)1,7</t>
  </si>
  <si>
    <t>Toetsing van de stabiliteit</t>
  </si>
  <si>
    <t>Toetsing knikstabiliteit</t>
  </si>
  <si>
    <t>(6.3.1)</t>
  </si>
  <si>
    <t>Ncr</t>
  </si>
  <si>
    <t>lrel</t>
  </si>
  <si>
    <t>NEd/Ncr</t>
  </si>
  <si>
    <t>Knikkromme</t>
  </si>
  <si>
    <t>c</t>
  </si>
  <si>
    <t>Nb;Rd</t>
  </si>
  <si>
    <t>NEd/Nb,Rd</t>
  </si>
  <si>
    <t>Toetsing op buiging en druk belast</t>
  </si>
  <si>
    <t>(6.3.3)</t>
  </si>
  <si>
    <t>cLT</t>
  </si>
  <si>
    <t>NRk</t>
  </si>
  <si>
    <t>MRk</t>
  </si>
  <si>
    <t>Tabel B.3</t>
  </si>
  <si>
    <t>Mh</t>
  </si>
  <si>
    <t>Ms</t>
  </si>
  <si>
    <t>ah</t>
  </si>
  <si>
    <t>Y</t>
  </si>
  <si>
    <t>Cmy</t>
  </si>
  <si>
    <t>3 en 4</t>
  </si>
  <si>
    <t>kyy en cmy</t>
  </si>
  <si>
    <t>kyy en &lt;cmy</t>
  </si>
  <si>
    <t>kzy en cmy</t>
  </si>
  <si>
    <t>kzy en &lt;cmy</t>
  </si>
  <si>
    <t>1 en 2</t>
  </si>
  <si>
    <t>kyy</t>
  </si>
  <si>
    <t>kzy</t>
  </si>
  <si>
    <t>NEd/(c*NRk)+kyy*My;Ed/(cLT*MRk)</t>
  </si>
  <si>
    <t>NEd/(c*NRk)+kzy*My;Ed/(cLT*MRk)</t>
  </si>
  <si>
    <t>Toetsing axiale druk</t>
  </si>
  <si>
    <t>(6.2.4)</t>
  </si>
  <si>
    <t>Calamiteitsbelasting</t>
  </si>
  <si>
    <t>Berekening inleidingskracht buis-gording</t>
  </si>
  <si>
    <t>ggording =</t>
  </si>
  <si>
    <t>e =(235/fy) =</t>
  </si>
  <si>
    <t>Profiel gording</t>
  </si>
  <si>
    <t>Type</t>
  </si>
  <si>
    <t>breedte</t>
  </si>
  <si>
    <t xml:space="preserve">doorsnede oppervlak </t>
  </si>
  <si>
    <t>Wy;el</t>
  </si>
  <si>
    <t>Wy;pl</t>
  </si>
  <si>
    <t>Veiligheidsfactoren</t>
  </si>
  <si>
    <t>gm; gording</t>
  </si>
  <si>
    <t>gm; stempel</t>
  </si>
  <si>
    <t>Belastingen in de doorsnede</t>
  </si>
  <si>
    <t>Puntlast (druk) stempel</t>
  </si>
  <si>
    <t>Normaalkracht in gording</t>
  </si>
  <si>
    <t>Dwarskracht in gording</t>
  </si>
  <si>
    <t>Moment in gording</t>
  </si>
  <si>
    <t>Invoergegevens</t>
  </si>
  <si>
    <t>Hoek</t>
  </si>
  <si>
    <t>º</t>
  </si>
  <si>
    <t>tplaat</t>
  </si>
  <si>
    <t>Controle stempelbuis (per inleidingspunt)</t>
  </si>
  <si>
    <t>Rek. puntlast</t>
  </si>
  <si>
    <t>FEd</t>
  </si>
  <si>
    <t>beff</t>
  </si>
  <si>
    <t>FR;d</t>
  </si>
  <si>
    <t>FEd/FRd</t>
  </si>
  <si>
    <t>Toetsing krachtsinleiding zonder verstijvers (per inleidingspunt)</t>
  </si>
  <si>
    <t>Toetsing vloeien van het lijf</t>
  </si>
  <si>
    <t>(6.5.3.2)</t>
  </si>
  <si>
    <t>sf,Ed</t>
  </si>
  <si>
    <t>bf</t>
  </si>
  <si>
    <t>Geen eindoplegging</t>
  </si>
  <si>
    <t>d1</t>
  </si>
  <si>
    <t>F1;R;d</t>
  </si>
  <si>
    <t>FEd/F1;Rd</t>
  </si>
  <si>
    <t>Toetsing lokaal plooien van het lijf</t>
  </si>
  <si>
    <t>(6.5.3.3)</t>
  </si>
  <si>
    <t>c/(h-2*tf)</t>
  </si>
  <si>
    <t>F2;R;d</t>
  </si>
  <si>
    <t>FEd/F2;Rd</t>
  </si>
  <si>
    <t>FEd/1,5*F2;Rd + My,Ed/1,5*My,Rd</t>
  </si>
  <si>
    <t>Toetsing globaal plooien van het lijf</t>
  </si>
  <si>
    <t>(6.5.3.4)</t>
  </si>
  <si>
    <t>Fcr</t>
  </si>
  <si>
    <t>FEd/Fcr</t>
  </si>
  <si>
    <t>Fb;Rd</t>
  </si>
  <si>
    <t>FEd/Fb,Rd</t>
  </si>
  <si>
    <t>[cm4]</t>
  </si>
  <si>
    <t>Zijde</t>
  </si>
  <si>
    <t>Staafnr.</t>
  </si>
  <si>
    <t>Staalkwaliteit</t>
  </si>
  <si>
    <t xml:space="preserve">u.c. </t>
  </si>
  <si>
    <t>staaf</t>
  </si>
  <si>
    <t>lasdikte</t>
  </si>
  <si>
    <t>laslengte</t>
  </si>
  <si>
    <t>spanning</t>
  </si>
  <si>
    <t>afschuifkracht</t>
  </si>
  <si>
    <t>opneembare</t>
  </si>
  <si>
    <t>BGT+cal</t>
  </si>
  <si>
    <t>buisprofielen</t>
  </si>
  <si>
    <t>Hoogte gording</t>
  </si>
  <si>
    <t>hoek 1</t>
  </si>
  <si>
    <t>Afmetingen Ellips</t>
  </si>
  <si>
    <t>Staafnr</t>
  </si>
  <si>
    <t>Diamater</t>
  </si>
  <si>
    <t>Hoek 1</t>
  </si>
  <si>
    <t>Hoek 2</t>
  </si>
  <si>
    <t>aantal las</t>
  </si>
  <si>
    <t>Y0</t>
  </si>
  <si>
    <t>X0</t>
  </si>
  <si>
    <t>L0</t>
  </si>
  <si>
    <t>Y1</t>
  </si>
  <si>
    <t>X1</t>
  </si>
  <si>
    <t>L1</t>
  </si>
  <si>
    <t>Y2</t>
  </si>
  <si>
    <t>X2</t>
  </si>
  <si>
    <t>L2</t>
  </si>
  <si>
    <t>Y3</t>
  </si>
  <si>
    <t>X3</t>
  </si>
  <si>
    <t>L3</t>
  </si>
  <si>
    <t>Y4</t>
  </si>
  <si>
    <t>X4</t>
  </si>
  <si>
    <t>L4</t>
  </si>
  <si>
    <t>Y5</t>
  </si>
  <si>
    <t>X5</t>
  </si>
  <si>
    <t>L5</t>
  </si>
  <si>
    <t>Y6</t>
  </si>
  <si>
    <t>X6</t>
  </si>
  <si>
    <t>L6</t>
  </si>
  <si>
    <t>Y7</t>
  </si>
  <si>
    <t>X7</t>
  </si>
  <si>
    <t>L7</t>
  </si>
  <si>
    <t>Y8</t>
  </si>
  <si>
    <t>X8</t>
  </si>
  <si>
    <t>L8</t>
  </si>
  <si>
    <t>Y9</t>
  </si>
  <si>
    <t>X9</t>
  </si>
  <si>
    <t>L9</t>
  </si>
  <si>
    <t>Y10</t>
  </si>
  <si>
    <t>X10</t>
  </si>
  <si>
    <t>L10</t>
  </si>
  <si>
    <t>Y11</t>
  </si>
  <si>
    <t>X11</t>
  </si>
  <si>
    <t>L11</t>
  </si>
  <si>
    <t>Y12</t>
  </si>
  <si>
    <t>X12</t>
  </si>
  <si>
    <t>L12</t>
  </si>
  <si>
    <t>Y13</t>
  </si>
  <si>
    <t>X13</t>
  </si>
  <si>
    <t>L13</t>
  </si>
  <si>
    <t>Y14</t>
  </si>
  <si>
    <t>X14</t>
  </si>
  <si>
    <t>L14</t>
  </si>
  <si>
    <t>Y15</t>
  </si>
  <si>
    <t>X15</t>
  </si>
  <si>
    <t>L15</t>
  </si>
  <si>
    <t>0,5*L</t>
  </si>
  <si>
    <t>L-ellips</t>
  </si>
  <si>
    <t>Lrest</t>
  </si>
  <si>
    <t>hoek Y0-Y1</t>
  </si>
  <si>
    <t>dH</t>
  </si>
  <si>
    <t>h kopplaat</t>
  </si>
  <si>
    <t>Buis</t>
  </si>
  <si>
    <t>omtrek ellips</t>
  </si>
  <si>
    <t>max las onder</t>
  </si>
  <si>
    <t>max las rondom</t>
  </si>
  <si>
    <t xml:space="preserve">aantal las </t>
  </si>
  <si>
    <t>Leff</t>
  </si>
  <si>
    <t>h gording</t>
  </si>
  <si>
    <t>hoeveel</t>
  </si>
  <si>
    <t>h tot =</t>
  </si>
  <si>
    <t>buis</t>
  </si>
  <si>
    <t>Profielen tabel</t>
  </si>
  <si>
    <t>[Stempels]</t>
  </si>
  <si>
    <t>Bij Toevoegingen deze sorteren van klein naar groot</t>
  </si>
  <si>
    <t>Volgnr.</t>
  </si>
  <si>
    <t>Naam</t>
  </si>
  <si>
    <t>Wel-z</t>
  </si>
  <si>
    <t>Wpl-z</t>
  </si>
  <si>
    <t>Izwakke as</t>
  </si>
  <si>
    <t>kN/m</t>
  </si>
  <si>
    <t>beff gording</t>
  </si>
  <si>
    <t>HEA 100</t>
  </si>
  <si>
    <t>ja 50 jr</t>
  </si>
  <si>
    <t>HEA 100 corrosie 50 jr.</t>
  </si>
  <si>
    <t>ja 100 jr</t>
  </si>
  <si>
    <t>HEA 100 corrosie 100 jr.</t>
  </si>
  <si>
    <t>HEA 120</t>
  </si>
  <si>
    <t>HEA 120 corrosie 50 jr.</t>
  </si>
  <si>
    <t>HEA 120 corrosie 100 jr.</t>
  </si>
  <si>
    <t>HEA 140</t>
  </si>
  <si>
    <t>HEA 140 corrosie 50 jr.</t>
  </si>
  <si>
    <t>HEA 140 corrosie 100 jr.</t>
  </si>
  <si>
    <t xml:space="preserve">HEA 160  </t>
  </si>
  <si>
    <t>HEA 160 corrosie 50 jr.</t>
  </si>
  <si>
    <t>HEA 160 corrosie 100 jr.</t>
  </si>
  <si>
    <t>HEA 180</t>
  </si>
  <si>
    <t>HEA 180 corrosie 50 jr.</t>
  </si>
  <si>
    <t>HEA 180 corrosie 100 jr.</t>
  </si>
  <si>
    <t>HEA 200</t>
  </si>
  <si>
    <t>HEA 200 corrosie 50 jr.</t>
  </si>
  <si>
    <t>HEA 200 corrosie 100 jr.</t>
  </si>
  <si>
    <t>HEA 220</t>
  </si>
  <si>
    <t>HEA 220 corrosie 50 jr.</t>
  </si>
  <si>
    <t>HEA 220 corrosie 100 jr.</t>
  </si>
  <si>
    <t xml:space="preserve">HEA 240 </t>
  </si>
  <si>
    <t xml:space="preserve">HEA 240 corrosie 50 jr. </t>
  </si>
  <si>
    <t xml:space="preserve">HEA 240 corrosie 100 jr. </t>
  </si>
  <si>
    <t>HEA 260</t>
  </si>
  <si>
    <t>HEA 260 corrosie 50 jr.</t>
  </si>
  <si>
    <t>HEA 260 corrosie 100 jr.</t>
  </si>
  <si>
    <t>HEA 280</t>
  </si>
  <si>
    <t>HEA 280 corrosie 50 jr.</t>
  </si>
  <si>
    <t>HEA 280 corrosie 100 jr.</t>
  </si>
  <si>
    <t>HEA 300</t>
  </si>
  <si>
    <t>HEA 300 corrosie 50 jr.</t>
  </si>
  <si>
    <t>HEA 300 corrosie 100 jr.</t>
  </si>
  <si>
    <t>HEA 320</t>
  </si>
  <si>
    <t>HEA 320 corrosie 50 jr.</t>
  </si>
  <si>
    <t>HEA 320 corrosie 100 jr.</t>
  </si>
  <si>
    <t>HEA 340</t>
  </si>
  <si>
    <t>HEA 340 corrosie 50 jr.</t>
  </si>
  <si>
    <t>HEA 340 corrosie 100 jr.</t>
  </si>
  <si>
    <t>HEA 360</t>
  </si>
  <si>
    <t>HEA 360 corrosie 50 jr.</t>
  </si>
  <si>
    <t>HEA 360 corrosie 100 jr.</t>
  </si>
  <si>
    <t>HEA 400</t>
  </si>
  <si>
    <t>HEA 400 corrosie 50 jr.</t>
  </si>
  <si>
    <t>HEA 400 corrosie 100 jr.</t>
  </si>
  <si>
    <t>HEA 450</t>
  </si>
  <si>
    <t>HEA 450 corrosie 50 jr.</t>
  </si>
  <si>
    <t>HEA 450 corrosie 100 jr.</t>
  </si>
  <si>
    <t>HEA 500</t>
  </si>
  <si>
    <t>HEA 500 corrosie 50 jr.</t>
  </si>
  <si>
    <t>HEA 500 corrosie 100 jr.</t>
  </si>
  <si>
    <t>HEA 550</t>
  </si>
  <si>
    <t>HEA 550 corrosie 50 jr.</t>
  </si>
  <si>
    <t>HEA 550 corrosie 100 jr.</t>
  </si>
  <si>
    <t>HEA 600</t>
  </si>
  <si>
    <t>HEA 600 corrosie 50 jr.</t>
  </si>
  <si>
    <t>HEA 600 corrosie 100 jr.</t>
  </si>
  <si>
    <t>HEA 650</t>
  </si>
  <si>
    <t>HEA 650 corrosie 50 jr.</t>
  </si>
  <si>
    <t>HEA 650 corrosie 100 jr.</t>
  </si>
  <si>
    <t>HEA 700</t>
  </si>
  <si>
    <t>HEA 700 corrosie 50 jr.</t>
  </si>
  <si>
    <t>HEA 700 corrosie 100 jr.</t>
  </si>
  <si>
    <t>HEA 800</t>
  </si>
  <si>
    <t>HEA 800 corrosie 50 jr.</t>
  </si>
  <si>
    <t>HEA 800 corrosie 100 jr.</t>
  </si>
  <si>
    <t>HEA 900</t>
  </si>
  <si>
    <t>HEA 900 corrosie 50 jr.</t>
  </si>
  <si>
    <t>HEA 900 corrosie 100 jr.</t>
  </si>
  <si>
    <t>HEA 1000</t>
  </si>
  <si>
    <t>HEA 1000 corrosie 50 jr.</t>
  </si>
  <si>
    <t>HEA 1000 corrosie 100 jr.</t>
  </si>
  <si>
    <t>HEB 100</t>
  </si>
  <si>
    <t>HEB 100 corrosie 50 jr.</t>
  </si>
  <si>
    <t>HEB 100 corrosie 100 jr.</t>
  </si>
  <si>
    <t xml:space="preserve">HEB 120 </t>
  </si>
  <si>
    <t>HEB 120 corrosie 50 jr.</t>
  </si>
  <si>
    <t>HEB 120 corrosie 100 jr.</t>
  </si>
  <si>
    <t>HEB 140</t>
  </si>
  <si>
    <t>HEB 140 corrosie 50 jr.</t>
  </si>
  <si>
    <t>HEB 140 corrosie 100 jr.</t>
  </si>
  <si>
    <t>HEB 160</t>
  </si>
  <si>
    <t xml:space="preserve">HEB 160 corrosie 50 jr. </t>
  </si>
  <si>
    <t>HEB 160 corrosie 100 jr.</t>
  </si>
  <si>
    <t>HEB 180</t>
  </si>
  <si>
    <t>HEB 180 corrosie 100 jr.</t>
  </si>
  <si>
    <t>HEB 200</t>
  </si>
  <si>
    <t>HEB 200 corrosie 100 jr.</t>
  </si>
  <si>
    <t>HEB 220</t>
  </si>
  <si>
    <t>HEB 220 corrosie 100 jr.</t>
  </si>
  <si>
    <t>HEB 240</t>
  </si>
  <si>
    <t>HEB 240 corrosie 100 jr.</t>
  </si>
  <si>
    <t>HEB 260</t>
  </si>
  <si>
    <t>HEB 260 corrosie 100 jr.</t>
  </si>
  <si>
    <t>HEB 280</t>
  </si>
  <si>
    <t>HEB 280 corrosie 100 jr.</t>
  </si>
  <si>
    <t>HEB 300</t>
  </si>
  <si>
    <t>HEB 300 corrosie 100 jr.</t>
  </si>
  <si>
    <t>HEB 320</t>
  </si>
  <si>
    <t>HEB 320 corrosie 100 jr.</t>
  </si>
  <si>
    <t>HEB 340</t>
  </si>
  <si>
    <t>HEB 340 corrosie 100 jr.</t>
  </si>
  <si>
    <t>HEB 360</t>
  </si>
  <si>
    <t>HEB 360 corrosie 100 jr.</t>
  </si>
  <si>
    <t>HEB 400</t>
  </si>
  <si>
    <t>HEB 400 corrosie 100 jr.</t>
  </si>
  <si>
    <t>HEB 450</t>
  </si>
  <si>
    <t>HEB 450 corrosie 100 jr.</t>
  </si>
  <si>
    <t>HEB 500 corrosie 100 jr.</t>
  </si>
  <si>
    <t>HEB 550</t>
  </si>
  <si>
    <t>HEB 550 corrosie 100 jr.</t>
  </si>
  <si>
    <t>HEB 600 corrosie 100 jr.</t>
  </si>
  <si>
    <t>HEB 650</t>
  </si>
  <si>
    <t>HEB 650 corrosie 100 jr.</t>
  </si>
  <si>
    <t>HEB 700</t>
  </si>
  <si>
    <t>HEB 700 corrosie 100 jr.</t>
  </si>
  <si>
    <t>HEB 800</t>
  </si>
  <si>
    <t>HEB 800 corrosie 100 jr.</t>
  </si>
  <si>
    <t>HEB 900</t>
  </si>
  <si>
    <t>HEB 900 corrosie 100 jr.</t>
  </si>
  <si>
    <t>HEB 1000</t>
  </si>
  <si>
    <t>HEB 1000 corrosie 100 jr.</t>
  </si>
  <si>
    <t>UNP 100</t>
  </si>
  <si>
    <t>UNP 100 corrosie 50 jr.</t>
  </si>
  <si>
    <t xml:space="preserve">UNP 100 corrosie 100 jr. </t>
  </si>
  <si>
    <t>Dubbel UNP 100</t>
  </si>
  <si>
    <t>Dubbel UNP 100 corrosie 100 jr.</t>
  </si>
  <si>
    <t>UNP 120</t>
  </si>
  <si>
    <t>UNP 120 corrosie 50 jr.</t>
  </si>
  <si>
    <t xml:space="preserve">UNP 120 corrosie 100 jr. </t>
  </si>
  <si>
    <t>Dubbel UNP 120</t>
  </si>
  <si>
    <t>Dubbel UNP 120 corrosie 100 jr.</t>
  </si>
  <si>
    <t>UNP 140</t>
  </si>
  <si>
    <t>UNP 140 corrosie 50 jr.</t>
  </si>
  <si>
    <t xml:space="preserve">UNP 140 corrosie 100 jr. </t>
  </si>
  <si>
    <t>Dubbel UNP 140</t>
  </si>
  <si>
    <t>Dubbel UNP 140 corrosie 100 jr.</t>
  </si>
  <si>
    <t>UNP 160</t>
  </si>
  <si>
    <t>UNP 160 corrosie 50 jr.</t>
  </si>
  <si>
    <t>UNP 160 corrosie 100 jr.</t>
  </si>
  <si>
    <t>Dubbel UNP 160</t>
  </si>
  <si>
    <t>Dubbel UNP 160 corrosie 100 jr.</t>
  </si>
  <si>
    <t>UNP 180</t>
  </si>
  <si>
    <t>UNP 180 corrosie 50 jr.</t>
  </si>
  <si>
    <t>UNP 180 corrosie 100 jr.</t>
  </si>
  <si>
    <t>Dubbel UNP 180</t>
  </si>
  <si>
    <t>Dubbel UNP 180 corrosie 100 jr.</t>
  </si>
  <si>
    <t>UNP 200</t>
  </si>
  <si>
    <t>UNP 200 corrosie 50 jr.</t>
  </si>
  <si>
    <t>UNP 200 corrosie 100 jr.</t>
  </si>
  <si>
    <t>Dubbel UNP 200</t>
  </si>
  <si>
    <t>Dubbel UNP 200 corrosie 100 jr.</t>
  </si>
  <si>
    <t>UNP 220</t>
  </si>
  <si>
    <t>UNP 220 corrosie 50 jr.</t>
  </si>
  <si>
    <t xml:space="preserve">UNP 220 corrosie 100 jr. </t>
  </si>
  <si>
    <t>Dubbel UNP 220</t>
  </si>
  <si>
    <t>Dubbel UNP 220 corrosie 100 jr.</t>
  </si>
  <si>
    <t>UNP 240</t>
  </si>
  <si>
    <t>UNP 240 corrosie 50 jr.</t>
  </si>
  <si>
    <t xml:space="preserve">UNP 240 corrosie 100 jr. </t>
  </si>
  <si>
    <t>Dubbel UNP 240</t>
  </si>
  <si>
    <t>Dubbel UNP 240 corrosie 100 jr.</t>
  </si>
  <si>
    <t>UNP 260</t>
  </si>
  <si>
    <t>UNP 260 corrosie 50 jr.</t>
  </si>
  <si>
    <t>UNP 260 corrosie 100 jr.</t>
  </si>
  <si>
    <t>Dubbel UNP 260</t>
  </si>
  <si>
    <t>Dubbel UNP 260 corrosie 100 jr.</t>
  </si>
  <si>
    <t>UNP 280</t>
  </si>
  <si>
    <t>UNP 280 corrosie 50 jr.</t>
  </si>
  <si>
    <t>UNP 280 corrosie 100 jr.</t>
  </si>
  <si>
    <t>Dubbel UNP 280</t>
  </si>
  <si>
    <t>Dubbel UNP 280 corrosie 100 jr.</t>
  </si>
  <si>
    <t>UNP 300</t>
  </si>
  <si>
    <t>UNP 300 corrosie 50 jr.</t>
  </si>
  <si>
    <t>UNP 300 corrosie 100 jr.</t>
  </si>
  <si>
    <t>Dubbel UNP 300</t>
  </si>
  <si>
    <t>Dubbel UNP 300 corrosie 100 jr.</t>
  </si>
  <si>
    <t>UNP 320</t>
  </si>
  <si>
    <t>UNP 320 corrosie 50 jr.</t>
  </si>
  <si>
    <t>UNP 320 corrosie 100 jr.</t>
  </si>
  <si>
    <t>Dubbel UNP 320</t>
  </si>
  <si>
    <t>Dubbel UNP 320 corrosie 100 jr.</t>
  </si>
  <si>
    <t>UNP 350</t>
  </si>
  <si>
    <t>UNP 350 corrosie 50 jr.</t>
  </si>
  <si>
    <t>UNP 350 corrosie 100 jr.</t>
  </si>
  <si>
    <t>Dubbel UNP 350</t>
  </si>
  <si>
    <t>Dubbel UNP 350 corrosie 100 jr.</t>
  </si>
  <si>
    <t>UNP 380</t>
  </si>
  <si>
    <t>UNP 380 corrosie 50 jr.</t>
  </si>
  <si>
    <t>UNP 380 corrosie 100 jr.</t>
  </si>
  <si>
    <t>Dubbel UNP 380</t>
  </si>
  <si>
    <t>Dubbel UNP 380 corrosie 100 jr.</t>
  </si>
  <si>
    <t>UNP 400</t>
  </si>
  <si>
    <t>UNP 400 corrosie 50 jr.</t>
  </si>
  <si>
    <t xml:space="preserve">UNP 400 corrosie 100 jr. </t>
  </si>
  <si>
    <t>Dubbel UNP 400</t>
  </si>
  <si>
    <t>Dubbel UNP 400 corrosie 100 jr.</t>
  </si>
  <si>
    <t>spanningscontrole :</t>
  </si>
  <si>
    <t xml:space="preserve">NB: UNP profielen worden alleen </t>
  </si>
  <si>
    <t>toegepast als dubbele profielen</t>
  </si>
  <si>
    <t>ja; 50 jr.</t>
  </si>
  <si>
    <t>ja; 100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</si>
</sst>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E+00"/>
    <numFmt numFmtId="166" formatCode="0.000"/>
    <numFmt numFmtId="167" formatCode="[$-413]d\ mmmm\ yyyy;@"/>
    <numFmt numFmtId="168" formatCode="&quot;S&quot;#"/>
  </numFmts>
  <fonts count="1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b/>
      <i/>
      <sz val="14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ptos Narrow"/>
      <family val="2"/>
    </font>
    <font>
      <b/>
      <sz val="1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horizontal="right"/>
      <protection hidden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3" fillId="0" borderId="0" xfId="0" applyFont="1"/>
    <xf numFmtId="0" fontId="3" fillId="0" borderId="0" xfId="0" applyFont="1" applyProtection="1">
      <protection hidden="1"/>
    </xf>
    <xf numFmtId="0" fontId="0" fillId="0" borderId="31" xfId="0" applyBorder="1"/>
    <xf numFmtId="0" fontId="0" fillId="0" borderId="31" xfId="0" applyBorder="1" applyAlignment="1">
      <alignment horizontal="center"/>
    </xf>
    <xf numFmtId="2" fontId="0" fillId="0" borderId="31" xfId="0" applyNumberFormat="1" applyBorder="1"/>
    <xf numFmtId="1" fontId="0" fillId="0" borderId="0" xfId="0" applyNumberFormat="1"/>
    <xf numFmtId="1" fontId="0" fillId="0" borderId="3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32" xfId="0" applyBorder="1" applyAlignment="1">
      <alignment horizontal="center"/>
    </xf>
    <xf numFmtId="0" fontId="0" fillId="0" borderId="32" xfId="0" applyBorder="1"/>
    <xf numFmtId="0" fontId="2" fillId="0" borderId="25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2" xfId="0" applyFont="1" applyBorder="1"/>
    <xf numFmtId="0" fontId="2" fillId="0" borderId="31" xfId="0" applyFont="1" applyBorder="1"/>
    <xf numFmtId="0" fontId="0" fillId="3" borderId="0" xfId="0" applyFill="1"/>
    <xf numFmtId="0" fontId="0" fillId="0" borderId="3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2" fontId="2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 vertical="center"/>
    </xf>
    <xf numFmtId="0" fontId="3" fillId="0" borderId="0" xfId="0" applyFont="1" applyAlignment="1" applyProtection="1">
      <alignment vertical="center"/>
      <protection hidden="1"/>
    </xf>
    <xf numFmtId="0" fontId="7" fillId="0" borderId="0" xfId="0" applyFont="1" applyAlignment="1">
      <alignment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9" fillId="0" borderId="0" xfId="0" applyFont="1" applyAlignment="1" applyProtection="1">
      <alignment vertical="center"/>
      <protection hidden="1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 applyProtection="1">
      <alignment horizontal="left"/>
      <protection hidden="1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11" fontId="2" fillId="0" borderId="0" xfId="0" applyNumberFormat="1" applyFont="1" applyAlignment="1" applyProtection="1">
      <alignment vertical="center"/>
      <protection locked="0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1" fontId="4" fillId="0" borderId="0" xfId="0" applyNumberFormat="1" applyFont="1" applyAlignment="1" applyProtection="1">
      <alignment horizontal="right" vertical="center"/>
      <protection locked="0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1" fillId="0" borderId="0" xfId="0" applyNumberFormat="1" applyFont="1"/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 vertical="center"/>
    </xf>
    <xf numFmtId="13" fontId="0" fillId="0" borderId="0" xfId="0" applyNumberFormat="1" applyAlignment="1">
      <alignment horizontal="center" vertical="center"/>
    </xf>
    <xf numFmtId="0" fontId="7" fillId="0" borderId="0" xfId="0" applyFont="1" applyProtection="1">
      <protection hidden="1"/>
    </xf>
    <xf numFmtId="1" fontId="2" fillId="0" borderId="0" xfId="0" applyNumberFormat="1" applyFont="1" applyAlignment="1">
      <alignment horizontal="center"/>
    </xf>
    <xf numFmtId="11" fontId="11" fillId="0" borderId="0" xfId="0" applyNumberFormat="1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4" fillId="0" borderId="0" xfId="0" applyFont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left" vertical="center"/>
    </xf>
    <xf numFmtId="13" fontId="0" fillId="4" borderId="0" xfId="0" applyNumberFormat="1" applyFill="1" applyAlignment="1">
      <alignment horizont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 textRotation="90"/>
    </xf>
    <xf numFmtId="0" fontId="12" fillId="0" borderId="0" xfId="0" applyFont="1" applyAlignment="1">
      <alignment vertical="center"/>
    </xf>
    <xf numFmtId="0" fontId="4" fillId="5" borderId="0" xfId="0" applyFont="1" applyFill="1"/>
    <xf numFmtId="1" fontId="2" fillId="0" borderId="0" xfId="0" applyNumberFormat="1" applyFont="1" applyAlignment="1" applyProtection="1">
      <alignment horizont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/>
    <xf numFmtId="0" fontId="0" fillId="4" borderId="0" xfId="0" applyFill="1" applyAlignment="1">
      <alignment vertical="center"/>
    </xf>
    <xf numFmtId="11" fontId="4" fillId="4" borderId="0" xfId="0" applyNumberFormat="1" applyFont="1" applyFill="1" applyAlignment="1" applyProtection="1">
      <alignment horizontal="right" vertical="center"/>
      <protection locked="0"/>
    </xf>
    <xf numFmtId="0" fontId="2" fillId="4" borderId="0" xfId="0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167" fontId="0" fillId="0" borderId="0" xfId="0" applyNumberFormat="1" applyAlignment="1">
      <alignment horizontal="left" vertical="center"/>
    </xf>
    <xf numFmtId="0" fontId="2" fillId="2" borderId="0" xfId="0" applyFont="1" applyFill="1" applyAlignment="1" applyProtection="1">
      <alignment vertical="center"/>
      <protection hidden="1"/>
    </xf>
    <xf numFmtId="0" fontId="0" fillId="2" borderId="0" xfId="0" applyFill="1" applyAlignment="1">
      <alignment vertical="center"/>
    </xf>
    <xf numFmtId="0" fontId="2" fillId="2" borderId="0" xfId="0" applyFont="1" applyFill="1" applyAlignment="1" applyProtection="1">
      <alignment horizontal="right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2" fontId="0" fillId="2" borderId="0" xfId="0" applyNumberFormat="1" applyFill="1" applyAlignment="1">
      <alignment horizontal="center" vertical="center"/>
    </xf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8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2" fontId="15" fillId="2" borderId="0" xfId="0" applyNumberFormat="1" applyFont="1" applyFill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15" fillId="0" borderId="0" xfId="0" quotePrefix="1" applyFont="1"/>
    <xf numFmtId="0" fontId="16" fillId="0" borderId="0" xfId="0" applyFont="1" applyAlignment="1">
      <alignment horizontal="left"/>
    </xf>
    <xf numFmtId="0" fontId="15" fillId="0" borderId="5" xfId="0" applyFont="1" applyBorder="1"/>
    <xf numFmtId="0" fontId="15" fillId="0" borderId="3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7" xfId="0" applyFont="1" applyBorder="1"/>
    <xf numFmtId="0" fontId="15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33" xfId="0" applyFont="1" applyBorder="1" applyAlignment="1">
      <alignment horizontal="left" vertical="center"/>
    </xf>
    <xf numFmtId="0" fontId="15" fillId="0" borderId="21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textRotation="90"/>
    </xf>
    <xf numFmtId="2" fontId="15" fillId="0" borderId="3" xfId="0" applyNumberFormat="1" applyFont="1" applyBorder="1" applyAlignment="1">
      <alignment horizontal="center"/>
    </xf>
    <xf numFmtId="2" fontId="15" fillId="0" borderId="3" xfId="0" applyNumberFormat="1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/>
    </xf>
    <xf numFmtId="1" fontId="15" fillId="0" borderId="2" xfId="0" applyNumberFormat="1" applyFont="1" applyBorder="1" applyAlignment="1">
      <alignment horizontal="center"/>
    </xf>
    <xf numFmtId="2" fontId="15" fillId="0" borderId="10" xfId="0" applyNumberFormat="1" applyFont="1" applyBorder="1" applyAlignment="1">
      <alignment horizontal="center" vertical="center"/>
    </xf>
    <xf numFmtId="2" fontId="15" fillId="0" borderId="11" xfId="0" applyNumberFormat="1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164" fontId="15" fillId="0" borderId="26" xfId="0" applyNumberFormat="1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5" fillId="0" borderId="7" xfId="0" applyFont="1" applyBorder="1" applyAlignment="1">
      <alignment horizontal="center" textRotation="90"/>
    </xf>
    <xf numFmtId="2" fontId="15" fillId="0" borderId="4" xfId="0" applyNumberFormat="1" applyFont="1" applyBorder="1" applyAlignment="1">
      <alignment horizontal="center"/>
    </xf>
    <xf numFmtId="2" fontId="15" fillId="0" borderId="4" xfId="0" applyNumberFormat="1" applyFont="1" applyBorder="1" applyAlignment="1">
      <alignment horizontal="center" vertical="center"/>
    </xf>
    <xf numFmtId="1" fontId="15" fillId="0" borderId="4" xfId="0" applyNumberFormat="1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" fontId="15" fillId="0" borderId="10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164" fontId="15" fillId="0" borderId="31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5" fillId="0" borderId="0" xfId="0" applyNumberFormat="1" applyFont="1"/>
    <xf numFmtId="0" fontId="15" fillId="0" borderId="10" xfId="0" applyFont="1" applyBorder="1" applyAlignment="1">
      <alignment horizontal="center" textRotation="90"/>
    </xf>
    <xf numFmtId="0" fontId="15" fillId="0" borderId="31" xfId="0" applyFont="1" applyBorder="1" applyAlignment="1">
      <alignment horizontal="left" vertical="center"/>
    </xf>
    <xf numFmtId="0" fontId="15" fillId="0" borderId="38" xfId="0" applyFont="1" applyBorder="1" applyAlignment="1">
      <alignment horizontal="center" textRotation="90"/>
    </xf>
    <xf numFmtId="2" fontId="15" fillId="0" borderId="9" xfId="0" applyNumberFormat="1" applyFont="1" applyBorder="1" applyAlignment="1">
      <alignment horizontal="center"/>
    </xf>
    <xf numFmtId="2" fontId="15" fillId="0" borderId="9" xfId="0" applyNumberFormat="1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/>
    </xf>
    <xf numFmtId="1" fontId="15" fillId="0" borderId="22" xfId="0" applyNumberFormat="1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2" fontId="15" fillId="0" borderId="38" xfId="0" applyNumberFormat="1" applyFont="1" applyBorder="1" applyAlignment="1">
      <alignment horizontal="center" vertical="center"/>
    </xf>
    <xf numFmtId="2" fontId="15" fillId="0" borderId="39" xfId="0" applyNumberFormat="1" applyFont="1" applyBorder="1" applyAlignment="1">
      <alignment horizontal="center" vertical="center"/>
    </xf>
    <xf numFmtId="1" fontId="15" fillId="0" borderId="38" xfId="0" applyNumberFormat="1" applyFont="1" applyBorder="1" applyAlignment="1">
      <alignment horizontal="center" vertical="center"/>
    </xf>
    <xf numFmtId="1" fontId="15" fillId="0" borderId="39" xfId="0" applyNumberFormat="1" applyFont="1" applyBorder="1" applyAlignment="1">
      <alignment horizontal="center"/>
    </xf>
    <xf numFmtId="0" fontId="15" fillId="0" borderId="38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2" fontId="15" fillId="0" borderId="22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Alignment="1">
      <alignment horizontal="center" textRotation="90"/>
    </xf>
    <xf numFmtId="2" fontId="15" fillId="0" borderId="0" xfId="0" applyNumberFormat="1" applyFont="1" applyAlignment="1">
      <alignment horizontal="center"/>
    </xf>
    <xf numFmtId="1" fontId="15" fillId="0" borderId="35" xfId="0" applyNumberFormat="1" applyFont="1" applyBorder="1"/>
    <xf numFmtId="1" fontId="15" fillId="0" borderId="36" xfId="0" applyNumberFormat="1" applyFont="1" applyBorder="1"/>
    <xf numFmtId="1" fontId="15" fillId="0" borderId="37" xfId="0" applyNumberFormat="1" applyFont="1" applyBorder="1"/>
    <xf numFmtId="0" fontId="16" fillId="0" borderId="0" xfId="0" applyFont="1"/>
    <xf numFmtId="167" fontId="15" fillId="0" borderId="0" xfId="0" applyNumberFormat="1" applyFont="1" applyAlignment="1">
      <alignment vertical="center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 vertical="center"/>
    </xf>
    <xf numFmtId="2" fontId="15" fillId="0" borderId="44" xfId="0" applyNumberFormat="1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 vertical="center"/>
    </xf>
    <xf numFmtId="2" fontId="15" fillId="0" borderId="42" xfId="0" applyNumberFormat="1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23" xfId="0" applyBorder="1"/>
    <xf numFmtId="0" fontId="0" fillId="0" borderId="20" xfId="0" applyBorder="1"/>
    <xf numFmtId="0" fontId="15" fillId="0" borderId="9" xfId="0" applyFont="1" applyBorder="1" applyAlignment="1">
      <alignment horizontal="center"/>
    </xf>
    <xf numFmtId="0" fontId="0" fillId="0" borderId="22" xfId="0" applyBorder="1"/>
    <xf numFmtId="0" fontId="15" fillId="0" borderId="47" xfId="0" applyFont="1" applyBorder="1" applyAlignment="1">
      <alignment horizontal="center"/>
    </xf>
    <xf numFmtId="0" fontId="0" fillId="0" borderId="43" xfId="0" applyBorder="1"/>
    <xf numFmtId="0" fontId="15" fillId="0" borderId="35" xfId="0" applyFont="1" applyBorder="1" applyAlignment="1">
      <alignment horizontal="center"/>
    </xf>
    <xf numFmtId="0" fontId="0" fillId="0" borderId="6" xfId="0" applyBorder="1"/>
    <xf numFmtId="0" fontId="15" fillId="0" borderId="3" xfId="0" applyFont="1" applyBorder="1" applyAlignment="1">
      <alignment horizontal="center"/>
    </xf>
    <xf numFmtId="0" fontId="0" fillId="0" borderId="2" xfId="0" applyBorder="1"/>
    <xf numFmtId="0" fontId="11" fillId="0" borderId="0" xfId="0" applyFont="1" applyAlignment="1">
      <alignment horizontal="center"/>
    </xf>
    <xf numFmtId="0" fontId="0" fillId="0" borderId="0" xfId="0"/>
    <xf numFmtId="0" fontId="10" fillId="0" borderId="48" xfId="0" applyFont="1" applyBorder="1" applyAlignment="1">
      <alignment horizontal="left"/>
    </xf>
    <xf numFmtId="0" fontId="0" fillId="0" borderId="40" xfId="0" applyBorder="1"/>
    <xf numFmtId="0" fontId="0" fillId="0" borderId="41" xfId="0" applyBorder="1"/>
  </cellXfs>
  <cellStyles count="1">
    <cellStyle name="Standaard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4"/>
  <sheetViews>
    <sheetView workbookViewId="0">
      <selection activeCell="D15" sqref="D15"/>
    </sheetView>
  </sheetViews>
  <sheetFormatPr defaultRowHeight="12.75" x14ac:dyDescent="0.2"/>
  <cols>
    <col min="1" max="1" width="12.7109375" bestFit="1" customWidth="1"/>
    <col min="2" max="2" width="18.28515625" customWidth="1"/>
    <col min="3" max="3" width="18.85546875" customWidth="1"/>
    <col min="4" max="10" width="18.7109375" customWidth="1"/>
  </cols>
  <sheetData>
    <row r="4" spans="1:10" x14ac:dyDescent="0.2">
      <c r="A4" s="32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 t="s">
        <v>7</v>
      </c>
      <c r="I4" s="82" t="s">
        <v>8</v>
      </c>
      <c r="J4" s="82" t="s">
        <v>9</v>
      </c>
    </row>
    <row r="5" spans="1:10" x14ac:dyDescent="0.2">
      <c r="A5" s="32" t="s">
        <v>10</v>
      </c>
      <c r="B5" s="82" t="s">
        <v>11</v>
      </c>
      <c r="C5" s="82" t="s">
        <v>12</v>
      </c>
      <c r="D5" s="82" t="s">
        <v>13</v>
      </c>
      <c r="E5" s="82" t="s">
        <v>14</v>
      </c>
      <c r="F5" s="82" t="s">
        <v>15</v>
      </c>
      <c r="G5" s="82" t="s">
        <v>16</v>
      </c>
      <c r="H5" s="82" t="s">
        <v>17</v>
      </c>
      <c r="I5" s="82" t="s">
        <v>18</v>
      </c>
      <c r="J5" s="82" t="s">
        <v>19</v>
      </c>
    </row>
    <row r="6" spans="1:10" ht="21" customHeight="1" x14ac:dyDescent="0.2">
      <c r="A6" s="2" t="s">
        <v>20</v>
      </c>
      <c r="B6" s="32"/>
      <c r="C6" s="2"/>
      <c r="D6" s="32"/>
      <c r="E6" s="2"/>
      <c r="F6" s="2"/>
      <c r="G6" s="2"/>
      <c r="H6" s="2"/>
      <c r="I6" s="2"/>
      <c r="J6" s="2"/>
    </row>
    <row r="7" spans="1:10" hidden="1" x14ac:dyDescent="0.2">
      <c r="A7" s="32" t="s">
        <v>21</v>
      </c>
      <c r="B7" s="32">
        <v>127</v>
      </c>
      <c r="C7" s="32">
        <v>127</v>
      </c>
      <c r="D7" s="32">
        <v>127</v>
      </c>
      <c r="E7" s="32">
        <v>133</v>
      </c>
      <c r="F7" s="32">
        <v>136</v>
      </c>
      <c r="G7" s="32">
        <v>133</v>
      </c>
      <c r="H7" s="32">
        <v>115</v>
      </c>
      <c r="I7" s="32">
        <v>127</v>
      </c>
      <c r="J7" s="32">
        <v>136</v>
      </c>
    </row>
    <row r="8" spans="1:10" hidden="1" x14ac:dyDescent="0.2">
      <c r="A8" s="32"/>
      <c r="B8" s="32" t="str">
        <f>VLOOKUP(B7,'tab gording'!$A$4:$R$237,2,FALSE)</f>
        <v>HEB 600</v>
      </c>
      <c r="C8" s="32" t="str">
        <f>VLOOKUP(C7,'tab gording'!$A$4:$R$237,2,FALSE)</f>
        <v>HEB 600</v>
      </c>
      <c r="D8" s="32" t="str">
        <f>VLOOKUP(D7,'tab gording'!$A$4:$R$237,2,FALSE)</f>
        <v>HEB 600</v>
      </c>
      <c r="E8" s="32" t="str">
        <f>VLOOKUP(E7,'tab gording'!$A$4:$R$237,2,FALSE)</f>
        <v>HEB 700</v>
      </c>
      <c r="F8" s="32" t="str">
        <f>VLOOKUP(F7,'tab gording'!$A$4:$R$237,2,FALSE)</f>
        <v>HEB 800</v>
      </c>
      <c r="G8" s="32" t="str">
        <f>VLOOKUP(G7,'tab gording'!$A$4:$R$237,2,FALSE)</f>
        <v>HEB 700</v>
      </c>
      <c r="H8" s="32" t="str">
        <f>VLOOKUP(H7,'tab gording'!$A$4:$R$237,2,FALSE)</f>
        <v>HEB 400</v>
      </c>
      <c r="I8" s="32" t="str">
        <f>VLOOKUP(I7,'tab gording'!$A$4:$R$237,2,FALSE)</f>
        <v>HEB 600</v>
      </c>
      <c r="J8" s="32" t="str">
        <f>VLOOKUP(J7,'tab gording'!$A$4:$R$237,2,FALSE)</f>
        <v>HEB 800</v>
      </c>
    </row>
    <row r="9" spans="1:10" hidden="1" x14ac:dyDescent="0.2">
      <c r="A9" s="32"/>
      <c r="B9" s="32">
        <f>VLOOKUP(B7,'tab gording'!$A$4:$R$237,17,FALSE)</f>
        <v>129.5</v>
      </c>
      <c r="C9" s="32">
        <f>VLOOKUP(C7,'tab gording'!$A$4:$R$237,17,FALSE)</f>
        <v>129.5</v>
      </c>
      <c r="D9" s="32">
        <f>VLOOKUP(D7,'tab gording'!$A$4:$R$237,17,FALSE)</f>
        <v>129.5</v>
      </c>
      <c r="E9" s="32">
        <f>VLOOKUP(E7,'tab gording'!$A$4:$R$237,17,FALSE)</f>
        <v>135</v>
      </c>
      <c r="F9" s="32">
        <f>VLOOKUP(F7,'tab gording'!$A$4:$R$237,17,FALSE)</f>
        <v>143.5</v>
      </c>
      <c r="G9" s="32">
        <f>VLOOKUP(G7,'tab gording'!$A$4:$R$237,17,FALSE)</f>
        <v>135</v>
      </c>
      <c r="H9" s="32">
        <f>VLOOKUP(H7,'tab gording'!$A$4:$R$237,17,FALSE)</f>
        <v>115.5</v>
      </c>
      <c r="I9" s="32">
        <f>VLOOKUP(I7,'tab gording'!$A$4:$R$237,17,FALSE)</f>
        <v>129.5</v>
      </c>
      <c r="J9" s="32">
        <f>VLOOKUP(J7,'tab gording'!$A$4:$R$237,17,FALSE)</f>
        <v>143.5</v>
      </c>
    </row>
    <row r="10" spans="1:10" x14ac:dyDescent="0.2">
      <c r="A10" s="2" t="s">
        <v>22</v>
      </c>
      <c r="B10" s="83">
        <v>1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  <c r="I10" s="83">
        <v>1</v>
      </c>
      <c r="J10" s="83">
        <v>1</v>
      </c>
    </row>
    <row r="11" spans="1:10" x14ac:dyDescent="0.2">
      <c r="A11" s="2" t="s">
        <v>23</v>
      </c>
      <c r="B11" s="83">
        <v>235</v>
      </c>
      <c r="C11" s="83">
        <v>235</v>
      </c>
      <c r="D11" s="83">
        <v>235</v>
      </c>
      <c r="E11" s="83">
        <v>235</v>
      </c>
      <c r="F11" s="83">
        <v>235</v>
      </c>
      <c r="G11" s="83">
        <v>235</v>
      </c>
      <c r="H11" s="83">
        <v>235</v>
      </c>
      <c r="I11" s="83">
        <v>235</v>
      </c>
      <c r="J11" s="83">
        <v>235</v>
      </c>
    </row>
    <row r="12" spans="1:10" x14ac:dyDescent="0.2">
      <c r="A12" s="2" t="s">
        <v>24</v>
      </c>
      <c r="B12" s="83">
        <v>1000</v>
      </c>
      <c r="C12" s="83">
        <v>1000</v>
      </c>
      <c r="D12" s="83">
        <v>1000</v>
      </c>
      <c r="E12" s="83">
        <v>1000</v>
      </c>
      <c r="F12" s="83">
        <v>1000</v>
      </c>
      <c r="G12" s="83">
        <v>1000</v>
      </c>
      <c r="H12" s="83">
        <v>1000</v>
      </c>
      <c r="I12" s="83">
        <v>1000</v>
      </c>
      <c r="J12" s="83">
        <v>1000</v>
      </c>
    </row>
    <row r="13" spans="1:10" x14ac:dyDescent="0.2">
      <c r="A13" s="32" t="s">
        <v>25</v>
      </c>
      <c r="B13" s="83">
        <v>1000</v>
      </c>
      <c r="C13" s="83">
        <v>1000</v>
      </c>
      <c r="D13" s="83">
        <v>500</v>
      </c>
      <c r="E13" s="83">
        <v>500</v>
      </c>
      <c r="F13" s="83">
        <v>500</v>
      </c>
      <c r="G13" s="83">
        <v>500</v>
      </c>
      <c r="H13" s="83">
        <v>500</v>
      </c>
      <c r="I13" s="83">
        <v>500</v>
      </c>
      <c r="J13" s="83">
        <v>500</v>
      </c>
    </row>
    <row r="14" spans="1:10" x14ac:dyDescent="0.2">
      <c r="A14" s="32" t="s">
        <v>26</v>
      </c>
      <c r="B14" s="83">
        <v>1000</v>
      </c>
      <c r="C14" s="83">
        <v>1000</v>
      </c>
      <c r="D14" s="83">
        <v>350</v>
      </c>
      <c r="E14" s="83">
        <v>350</v>
      </c>
      <c r="F14" s="83">
        <v>350</v>
      </c>
      <c r="G14" s="83">
        <v>350</v>
      </c>
      <c r="H14" s="83">
        <v>350</v>
      </c>
      <c r="I14" s="83">
        <v>350</v>
      </c>
      <c r="J14" s="83">
        <v>350</v>
      </c>
    </row>
    <row r="15" spans="1:10" x14ac:dyDescent="0.2">
      <c r="A15" s="32" t="s">
        <v>27</v>
      </c>
      <c r="B15" s="83">
        <v>3</v>
      </c>
      <c r="C15" s="83">
        <v>4</v>
      </c>
      <c r="D15" s="83">
        <v>4</v>
      </c>
      <c r="E15" s="83">
        <v>4</v>
      </c>
      <c r="F15" s="83">
        <v>4</v>
      </c>
      <c r="G15" s="83">
        <v>4</v>
      </c>
      <c r="H15" s="83">
        <v>4</v>
      </c>
      <c r="I15" s="83">
        <v>4</v>
      </c>
      <c r="J15" s="83">
        <v>4</v>
      </c>
    </row>
    <row r="16" spans="1:10" x14ac:dyDescent="0.2">
      <c r="A16" s="32" t="s">
        <v>28</v>
      </c>
      <c r="B16" s="83">
        <v>40</v>
      </c>
      <c r="C16" s="83">
        <v>100</v>
      </c>
      <c r="D16" s="83">
        <v>100</v>
      </c>
      <c r="E16" s="83">
        <v>100</v>
      </c>
      <c r="F16" s="83">
        <v>100</v>
      </c>
      <c r="G16" s="83">
        <v>100</v>
      </c>
      <c r="H16" s="83">
        <v>100</v>
      </c>
      <c r="I16" s="83">
        <v>100</v>
      </c>
      <c r="J16" s="83">
        <v>100</v>
      </c>
    </row>
    <row r="17" spans="1:10" x14ac:dyDescent="0.2">
      <c r="A17" s="32" t="s">
        <v>29</v>
      </c>
      <c r="B17" s="85">
        <v>8.5714285714285715E-2</v>
      </c>
      <c r="C17" s="85">
        <v>8.3333333333333329E-2</v>
      </c>
      <c r="D17" s="85">
        <v>8.3333333333333329E-2</v>
      </c>
      <c r="E17" s="85">
        <v>8.3333333333333329E-2</v>
      </c>
      <c r="F17" s="85">
        <v>8.3333333333333329E-2</v>
      </c>
      <c r="G17" s="85">
        <v>8.3333333333333329E-2</v>
      </c>
      <c r="H17" s="85">
        <v>8.3333333333333329E-2</v>
      </c>
      <c r="I17" s="85">
        <v>8.3333333333333329E-2</v>
      </c>
      <c r="J17" s="85">
        <v>8.3333333333333329E-2</v>
      </c>
    </row>
    <row r="19" spans="1:10" x14ac:dyDescent="0.2">
      <c r="A19" s="32" t="s">
        <v>30</v>
      </c>
      <c r="B19" s="59">
        <f>'D - Gording'!E63</f>
        <v>8.1734821588209772E-2</v>
      </c>
      <c r="C19" s="59">
        <f>'D - Gording'!F63</f>
        <v>0.35317515501078284</v>
      </c>
      <c r="D19" s="59">
        <f>'D - Gording'!G63</f>
        <v>0.35317515501078284</v>
      </c>
      <c r="E19" s="59">
        <f>'D - Gording'!H63</f>
        <v>0.27251483502633173</v>
      </c>
      <c r="F19" s="59">
        <f>'D - Gording'!I63</f>
        <v>0.22189123446414652</v>
      </c>
      <c r="G19" s="59">
        <f>'D - Gording'!J63</f>
        <v>0.27251483502633173</v>
      </c>
      <c r="H19" s="59">
        <f>'D - Gording'!K63</f>
        <v>0.7021978793624043</v>
      </c>
      <c r="I19" s="59">
        <f>'D - Gording'!L63</f>
        <v>0.35317515501078284</v>
      </c>
      <c r="J19" s="59">
        <f>'D - Gording'!M63</f>
        <v>0.22189123446414652</v>
      </c>
    </row>
    <row r="20" spans="1:10" x14ac:dyDescent="0.2">
      <c r="A20" s="32" t="s">
        <v>31</v>
      </c>
      <c r="B20" s="59">
        <f>MAX('D - Gording'!E133:E138)</f>
        <v>0.79238273936349179</v>
      </c>
      <c r="C20" s="59">
        <f>MAX('D - Gording'!F133:F138)</f>
        <v>0.79238273936349179</v>
      </c>
      <c r="D20" s="59">
        <f>MAX('D - Gording'!G133:G138)</f>
        <v>0.36569561863852146</v>
      </c>
      <c r="E20" s="59">
        <f>MAX('D - Gording'!H133:H138)</f>
        <v>0.29563418411668685</v>
      </c>
      <c r="F20" s="59">
        <f>MAX('D - Gording'!I133:I138)</f>
        <v>0.31558862846306035</v>
      </c>
      <c r="G20" s="59">
        <f>MAX('D - Gording'!J133:J138)</f>
        <v>0.29563418411668685</v>
      </c>
      <c r="H20" s="59">
        <f>MAX('D - Gording'!K133:K138)</f>
        <v>0.62445095450030041</v>
      </c>
      <c r="I20" s="59">
        <f>MAX('D - Gording'!L133:L138)</f>
        <v>0.36569561863852146</v>
      </c>
      <c r="J20" s="59">
        <f>MAX('D - Gording'!M133:M138)</f>
        <v>0.31558862846306035</v>
      </c>
    </row>
    <row r="23" spans="1:10" x14ac:dyDescent="0.2">
      <c r="A23" s="13" t="s">
        <v>32</v>
      </c>
    </row>
    <row r="24" spans="1:10" x14ac:dyDescent="0.2">
      <c r="A24" s="32" t="s">
        <v>33</v>
      </c>
      <c r="B24" s="81" t="s">
        <v>34</v>
      </c>
    </row>
  </sheetData>
  <conditionalFormatting sqref="B19:J20">
    <cfRule type="cellIs" dxfId="50" priority="1" operator="greaterThan">
      <formula>1</formula>
    </cfRule>
    <cfRule type="cellIs" dxfId="49" priority="2" operator="lessThan">
      <formula>1</formula>
    </cfRule>
  </conditionalFormatting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246"/>
  <sheetViews>
    <sheetView topLeftCell="A42" workbookViewId="0">
      <selection activeCell="D43" sqref="D43"/>
    </sheetView>
  </sheetViews>
  <sheetFormatPr defaultColWidth="9.140625" defaultRowHeight="12.75" x14ac:dyDescent="0.2"/>
  <cols>
    <col min="1" max="1" width="7" style="4" customWidth="1"/>
    <col min="2" max="2" width="27.140625" style="4" customWidth="1"/>
    <col min="3" max="12" width="9.28515625" style="39" customWidth="1"/>
    <col min="13" max="13" width="11" bestFit="1" customWidth="1"/>
    <col min="14" max="15" width="9.28515625" style="39" customWidth="1"/>
    <col min="16" max="16" width="9.28515625" style="39" bestFit="1" customWidth="1"/>
    <col min="17" max="17" width="9.28515625" style="39" customWidth="1"/>
    <col min="18" max="18" width="9.140625" style="4" customWidth="1"/>
    <col min="19" max="16384" width="9.140625" style="4"/>
  </cols>
  <sheetData>
    <row r="1" spans="1:22" x14ac:dyDescent="0.2">
      <c r="B1" s="14" t="s">
        <v>480</v>
      </c>
      <c r="C1" s="39" t="s">
        <v>481</v>
      </c>
    </row>
    <row r="2" spans="1:22" x14ac:dyDescent="0.2">
      <c r="B2" s="4" t="s">
        <v>482</v>
      </c>
      <c r="V2" s="4" t="s">
        <v>33</v>
      </c>
    </row>
    <row r="3" spans="1:22" ht="14.25" customHeight="1" x14ac:dyDescent="0.2">
      <c r="A3" s="14" t="s">
        <v>483</v>
      </c>
      <c r="B3" s="14" t="s">
        <v>484</v>
      </c>
      <c r="C3" s="78" t="s">
        <v>140</v>
      </c>
      <c r="D3" s="78" t="s">
        <v>91</v>
      </c>
      <c r="E3" s="78" t="s">
        <v>142</v>
      </c>
      <c r="F3" s="78" t="s">
        <v>143</v>
      </c>
      <c r="G3" s="78" t="s">
        <v>144</v>
      </c>
      <c r="H3" s="78" t="s">
        <v>146</v>
      </c>
      <c r="I3" s="78" t="s">
        <v>485</v>
      </c>
      <c r="J3" s="78" t="s">
        <v>486</v>
      </c>
      <c r="K3" s="78" t="s">
        <v>11</v>
      </c>
      <c r="L3" s="78" t="s">
        <v>148</v>
      </c>
      <c r="M3" s="78" t="s">
        <v>149</v>
      </c>
      <c r="N3" s="78" t="s">
        <v>487</v>
      </c>
      <c r="O3" s="78" t="s">
        <v>488</v>
      </c>
      <c r="Q3" s="39" t="s">
        <v>489</v>
      </c>
      <c r="V3" s="4" t="s">
        <v>34</v>
      </c>
    </row>
    <row r="4" spans="1:22" x14ac:dyDescent="0.2">
      <c r="A4" s="4">
        <v>1</v>
      </c>
      <c r="B4" s="4" t="s">
        <v>490</v>
      </c>
      <c r="C4" s="39">
        <v>96</v>
      </c>
      <c r="D4" s="39">
        <v>100</v>
      </c>
      <c r="E4" s="39">
        <v>5</v>
      </c>
      <c r="F4" s="39">
        <v>8</v>
      </c>
      <c r="G4" s="39">
        <v>72800</v>
      </c>
      <c r="H4" s="39">
        <v>83000</v>
      </c>
      <c r="I4" s="39">
        <v>26760</v>
      </c>
      <c r="J4" s="39">
        <v>41140</v>
      </c>
      <c r="K4" s="39">
        <v>2124</v>
      </c>
      <c r="L4" s="39">
        <v>12</v>
      </c>
      <c r="M4" s="39">
        <v>3490000</v>
      </c>
      <c r="N4" s="39">
        <v>1338000</v>
      </c>
      <c r="O4" s="39">
        <v>0.16669999999999999</v>
      </c>
      <c r="P4" s="39">
        <v>1</v>
      </c>
      <c r="Q4" s="39">
        <f t="shared" ref="Q4:Q35" si="0">E4+2*L4+2*F4</f>
        <v>45</v>
      </c>
      <c r="R4" s="4" t="str">
        <f>IF('invoer gording'!$B$24="nee",'tab gording'!B4,"")</f>
        <v>HEA 100</v>
      </c>
      <c r="V4" s="4" t="s">
        <v>491</v>
      </c>
    </row>
    <row r="5" spans="1:22" x14ac:dyDescent="0.2">
      <c r="A5" s="4">
        <v>2</v>
      </c>
      <c r="B5" s="4" t="s">
        <v>492</v>
      </c>
      <c r="C5" s="39">
        <f>C4-(2*0.6)</f>
        <v>94.8</v>
      </c>
      <c r="D5" s="39">
        <f>D4-(2*0.6)</f>
        <v>98.8</v>
      </c>
      <c r="E5" s="39">
        <f>E4-(2*0.6)</f>
        <v>3.8</v>
      </c>
      <c r="F5" s="39">
        <f>F4-(2*0.6)</f>
        <v>6.8</v>
      </c>
      <c r="G5" s="39">
        <v>62436</v>
      </c>
      <c r="H5" s="39">
        <v>70210.100000000006</v>
      </c>
      <c r="I5" s="39">
        <v>22202.7</v>
      </c>
      <c r="J5" s="39">
        <v>34072</v>
      </c>
      <c r="K5" s="39">
        <v>1780</v>
      </c>
      <c r="L5" s="39">
        <v>12</v>
      </c>
      <c r="M5" s="39">
        <v>2959468</v>
      </c>
      <c r="N5" s="39">
        <v>1096810</v>
      </c>
      <c r="O5" s="39">
        <v>0.13969999999999999</v>
      </c>
      <c r="P5" s="39">
        <v>2</v>
      </c>
      <c r="Q5" s="39">
        <f t="shared" si="0"/>
        <v>41.4</v>
      </c>
      <c r="R5" s="4" t="str">
        <f>IF('invoer gording'!$B$24="ja 50 jr",'tab gording'!B5,"")</f>
        <v/>
      </c>
      <c r="V5" s="4" t="s">
        <v>493</v>
      </c>
    </row>
    <row r="6" spans="1:22" x14ac:dyDescent="0.2">
      <c r="A6" s="4">
        <v>3</v>
      </c>
      <c r="B6" s="4" t="s">
        <v>494</v>
      </c>
      <c r="C6" s="39">
        <f>C4-(2*1.2)</f>
        <v>93.6</v>
      </c>
      <c r="D6" s="39">
        <f>D4-(2*1.2)</f>
        <v>97.6</v>
      </c>
      <c r="E6" s="39">
        <f>E4-(2*1.2)</f>
        <v>2.6</v>
      </c>
      <c r="F6" s="39">
        <f>F4-(2*1.2)</f>
        <v>5.6</v>
      </c>
      <c r="G6" s="39">
        <v>51914</v>
      </c>
      <c r="H6" s="39">
        <v>57411</v>
      </c>
      <c r="I6" s="39">
        <v>17840</v>
      </c>
      <c r="J6" s="39">
        <v>27324</v>
      </c>
      <c r="K6" s="39">
        <v>1435</v>
      </c>
      <c r="L6" s="39">
        <v>12</v>
      </c>
      <c r="M6" s="39">
        <v>2429578</v>
      </c>
      <c r="N6" s="39">
        <v>870611</v>
      </c>
      <c r="O6" s="39">
        <v>0.11260000000000001</v>
      </c>
      <c r="P6" s="39">
        <v>3</v>
      </c>
      <c r="Q6" s="39">
        <f t="shared" si="0"/>
        <v>37.799999999999997</v>
      </c>
      <c r="R6" s="4" t="str">
        <f>IF('invoer gording'!$B$24="ja 100 jr",'tab gording'!B6,"")</f>
        <v/>
      </c>
    </row>
    <row r="7" spans="1:22" x14ac:dyDescent="0.2">
      <c r="A7" s="4">
        <v>4</v>
      </c>
      <c r="B7" s="4" t="s">
        <v>495</v>
      </c>
      <c r="C7" s="39">
        <v>114</v>
      </c>
      <c r="D7" s="39">
        <v>120</v>
      </c>
      <c r="E7" s="39">
        <v>5</v>
      </c>
      <c r="F7" s="39">
        <v>8</v>
      </c>
      <c r="G7" s="39">
        <v>106300</v>
      </c>
      <c r="H7" s="39">
        <v>119400</v>
      </c>
      <c r="I7" s="39">
        <v>38500</v>
      </c>
      <c r="J7" s="39">
        <v>58860</v>
      </c>
      <c r="K7" s="39">
        <v>2534</v>
      </c>
      <c r="L7" s="39">
        <v>12</v>
      </c>
      <c r="M7" s="39">
        <v>6060000</v>
      </c>
      <c r="N7" s="39">
        <v>2309000</v>
      </c>
      <c r="O7" s="39">
        <v>0.19889999999999999</v>
      </c>
      <c r="P7" s="39">
        <v>1</v>
      </c>
      <c r="Q7" s="39">
        <f t="shared" si="0"/>
        <v>45</v>
      </c>
      <c r="R7" s="4" t="str">
        <f>IF('invoer gording'!$B$24="nee",'tab gording'!B7,"")</f>
        <v>HEA 120</v>
      </c>
    </row>
    <row r="8" spans="1:22" x14ac:dyDescent="0.2">
      <c r="A8" s="4">
        <v>5</v>
      </c>
      <c r="B8" s="4" t="s">
        <v>496</v>
      </c>
      <c r="C8" s="39">
        <f>C7-(2*0.6)</f>
        <v>112.8</v>
      </c>
      <c r="D8" s="39">
        <f>D7-(2*0.6)</f>
        <v>118.8</v>
      </c>
      <c r="E8" s="39">
        <f>E7-(2*0.6)</f>
        <v>3.8</v>
      </c>
      <c r="F8" s="39">
        <f>F7-(2*0.6)</f>
        <v>6.8</v>
      </c>
      <c r="G8" s="39">
        <v>91034</v>
      </c>
      <c r="H8" s="39">
        <v>100951</v>
      </c>
      <c r="I8" s="39">
        <v>32055</v>
      </c>
      <c r="J8" s="39">
        <v>48933</v>
      </c>
      <c r="K8" s="39">
        <v>2120</v>
      </c>
      <c r="L8" s="39">
        <v>12</v>
      </c>
      <c r="M8" s="39">
        <v>5134344</v>
      </c>
      <c r="N8" s="39">
        <v>190411</v>
      </c>
      <c r="O8" s="39">
        <v>0.16639999999999999</v>
      </c>
      <c r="P8" s="39">
        <v>2</v>
      </c>
      <c r="Q8" s="39">
        <f t="shared" si="0"/>
        <v>41.4</v>
      </c>
      <c r="R8" s="4" t="str">
        <f>IF('invoer gording'!$B$24="ja 50 jr",'tab gording'!B8,"")</f>
        <v/>
      </c>
    </row>
    <row r="9" spans="1:22" x14ac:dyDescent="0.2">
      <c r="A9" s="4">
        <v>6</v>
      </c>
      <c r="B9" s="4" t="s">
        <v>497</v>
      </c>
      <c r="C9" s="39">
        <f>C7-(2*1.2)</f>
        <v>111.6</v>
      </c>
      <c r="D9" s="39">
        <f>D7-(2*1.2)</f>
        <v>117.6</v>
      </c>
      <c r="E9" s="39">
        <f>E7-(2*1.2)</f>
        <v>2.6</v>
      </c>
      <c r="F9" s="39">
        <f>F7-(2*1.2)</f>
        <v>5.6</v>
      </c>
      <c r="G9" s="39">
        <v>75452</v>
      </c>
      <c r="H9" s="39">
        <v>82406</v>
      </c>
      <c r="I9" s="39">
        <v>25864</v>
      </c>
      <c r="J9" s="39">
        <v>39406</v>
      </c>
      <c r="K9" s="39">
        <v>1706</v>
      </c>
      <c r="L9" s="39">
        <v>12</v>
      </c>
      <c r="M9" s="39">
        <v>4210265</v>
      </c>
      <c r="N9" s="39">
        <v>152086</v>
      </c>
      <c r="O9" s="39">
        <v>0.13389999999999999</v>
      </c>
      <c r="P9" s="39">
        <v>3</v>
      </c>
      <c r="Q9" s="39">
        <f t="shared" si="0"/>
        <v>37.799999999999997</v>
      </c>
      <c r="R9" s="4" t="str">
        <f>IF('invoer gording'!$B$24="ja 100 jr",'tab gording'!B9,"")</f>
        <v/>
      </c>
    </row>
    <row r="10" spans="1:22" x14ac:dyDescent="0.2">
      <c r="A10" s="4">
        <v>7</v>
      </c>
      <c r="B10" s="4" t="s">
        <v>498</v>
      </c>
      <c r="C10" s="39">
        <v>133</v>
      </c>
      <c r="D10" s="39">
        <v>140</v>
      </c>
      <c r="E10" s="39">
        <v>5.5</v>
      </c>
      <c r="F10" s="39">
        <v>8.5</v>
      </c>
      <c r="G10" s="39">
        <v>155400</v>
      </c>
      <c r="H10" s="39">
        <v>173400</v>
      </c>
      <c r="I10" s="39">
        <v>55600</v>
      </c>
      <c r="J10" s="39">
        <v>84800</v>
      </c>
      <c r="K10" s="39">
        <v>3142</v>
      </c>
      <c r="L10" s="39">
        <v>12</v>
      </c>
      <c r="M10" s="39">
        <v>10330000</v>
      </c>
      <c r="N10" s="39">
        <v>3890000</v>
      </c>
      <c r="O10" s="39">
        <v>0.24660000000000001</v>
      </c>
      <c r="P10" s="39">
        <v>1</v>
      </c>
      <c r="Q10" s="39">
        <f t="shared" si="0"/>
        <v>46.5</v>
      </c>
      <c r="R10" s="4" t="str">
        <f>IF('invoer gording'!$B$24="nee",'tab gording'!B10,"")</f>
        <v>HEA 140</v>
      </c>
    </row>
    <row r="11" spans="1:22" x14ac:dyDescent="0.2">
      <c r="A11" s="4">
        <v>8</v>
      </c>
      <c r="B11" s="4" t="s">
        <v>499</v>
      </c>
      <c r="C11" s="39">
        <f>C10-(2*0.6)</f>
        <v>131.80000000000001</v>
      </c>
      <c r="D11" s="39">
        <f>D10-(2*0.6)</f>
        <v>138.80000000000001</v>
      </c>
      <c r="E11" s="39">
        <f>E10-(2*0.6)</f>
        <v>4.3</v>
      </c>
      <c r="F11" s="39">
        <f>F10-(2*0.6)</f>
        <v>7.3</v>
      </c>
      <c r="G11" s="39">
        <v>134096</v>
      </c>
      <c r="H11" s="39">
        <v>148032</v>
      </c>
      <c r="I11" s="39">
        <v>46944</v>
      </c>
      <c r="J11" s="39">
        <v>71482</v>
      </c>
      <c r="K11" s="39">
        <v>2658</v>
      </c>
      <c r="L11" s="39">
        <v>12</v>
      </c>
      <c r="M11" s="39">
        <v>8836939</v>
      </c>
      <c r="N11" s="39">
        <v>325792</v>
      </c>
      <c r="O11" s="39">
        <v>0.20860000000000001</v>
      </c>
      <c r="P11" s="39">
        <v>2</v>
      </c>
      <c r="Q11" s="39">
        <f t="shared" si="0"/>
        <v>42.9</v>
      </c>
      <c r="R11" s="4" t="str">
        <f>IF('invoer gording'!$B$24="ja 50 jr",'tab gording'!B11,"")</f>
        <v/>
      </c>
    </row>
    <row r="12" spans="1:22" x14ac:dyDescent="0.2">
      <c r="A12" s="4">
        <v>9</v>
      </c>
      <c r="B12" s="4" t="s">
        <v>500</v>
      </c>
      <c r="C12" s="39">
        <f>C10-(2*1.2)</f>
        <v>130.6</v>
      </c>
      <c r="D12" s="39">
        <f>D10-(2*1.2)</f>
        <v>137.6</v>
      </c>
      <c r="E12" s="39">
        <f>E10-(2*1.2)</f>
        <v>3.1</v>
      </c>
      <c r="F12" s="39">
        <f>F10-(2*1.2)</f>
        <v>6.1</v>
      </c>
      <c r="G12" s="39">
        <v>112497</v>
      </c>
      <c r="H12" s="39">
        <v>122559</v>
      </c>
      <c r="I12" s="39">
        <v>38546</v>
      </c>
      <c r="J12" s="39">
        <v>58577</v>
      </c>
      <c r="K12" s="39">
        <v>2173</v>
      </c>
      <c r="L12" s="39">
        <v>12</v>
      </c>
      <c r="M12" s="39">
        <v>7346062</v>
      </c>
      <c r="N12" s="39">
        <v>265202</v>
      </c>
      <c r="O12" s="39">
        <v>0.1706</v>
      </c>
      <c r="P12" s="39">
        <v>3</v>
      </c>
      <c r="Q12" s="39">
        <f t="shared" si="0"/>
        <v>39.299999999999997</v>
      </c>
      <c r="R12" s="4" t="str">
        <f>IF('invoer gording'!$B$24="ja 100 jr",'tab gording'!B12,"")</f>
        <v/>
      </c>
    </row>
    <row r="13" spans="1:22" x14ac:dyDescent="0.2">
      <c r="A13" s="4">
        <v>10</v>
      </c>
      <c r="B13" s="4" t="s">
        <v>501</v>
      </c>
      <c r="C13" s="39">
        <v>152</v>
      </c>
      <c r="D13" s="39">
        <v>160</v>
      </c>
      <c r="E13" s="39">
        <v>6</v>
      </c>
      <c r="F13" s="39">
        <v>9</v>
      </c>
      <c r="G13" s="39">
        <v>220100</v>
      </c>
      <c r="H13" s="39">
        <v>245200</v>
      </c>
      <c r="I13" s="39">
        <v>76900</v>
      </c>
      <c r="J13" s="39">
        <v>117600</v>
      </c>
      <c r="K13" s="39">
        <v>3880</v>
      </c>
      <c r="L13" s="39">
        <v>15</v>
      </c>
      <c r="M13" s="39">
        <v>16730000</v>
      </c>
      <c r="N13" s="39">
        <v>6160000</v>
      </c>
      <c r="O13" s="39">
        <v>0.3044</v>
      </c>
      <c r="P13" s="39">
        <v>1</v>
      </c>
      <c r="Q13" s="39">
        <f t="shared" si="0"/>
        <v>54</v>
      </c>
      <c r="R13" s="4" t="str">
        <f>IF('invoer gording'!$B$24="nee",'tab gording'!B13,"")</f>
        <v xml:space="preserve">HEA 160  </v>
      </c>
    </row>
    <row r="14" spans="1:22" x14ac:dyDescent="0.2">
      <c r="A14" s="4">
        <v>11</v>
      </c>
      <c r="B14" s="4" t="s">
        <v>502</v>
      </c>
      <c r="C14" s="39">
        <f>C13-(2*0.6)</f>
        <v>150.80000000000001</v>
      </c>
      <c r="D14" s="39">
        <f>D13-(2*0.6)</f>
        <v>158.80000000000001</v>
      </c>
      <c r="E14" s="39">
        <f>E13-(2*0.6)</f>
        <v>4.8</v>
      </c>
      <c r="F14" s="39">
        <f>F13-(2*0.6)</f>
        <v>7.8</v>
      </c>
      <c r="G14" s="39">
        <v>192140</v>
      </c>
      <c r="H14" s="39">
        <v>211837</v>
      </c>
      <c r="I14" s="39">
        <v>65686</v>
      </c>
      <c r="J14" s="39">
        <v>100284</v>
      </c>
      <c r="K14" s="39">
        <v>3325</v>
      </c>
      <c r="L14" s="39">
        <v>15</v>
      </c>
      <c r="M14" s="39">
        <v>14487355</v>
      </c>
      <c r="N14" s="39">
        <v>521554</v>
      </c>
      <c r="O14" s="39">
        <v>0.26100000000000001</v>
      </c>
      <c r="P14" s="39">
        <v>2</v>
      </c>
      <c r="Q14" s="39">
        <f t="shared" si="0"/>
        <v>50.4</v>
      </c>
      <c r="R14" s="4" t="str">
        <f>IF('invoer gording'!$B$24="ja 50 jr",'tab gording'!B14,"")</f>
        <v/>
      </c>
    </row>
    <row r="15" spans="1:22" x14ac:dyDescent="0.2">
      <c r="A15" s="4">
        <v>12</v>
      </c>
      <c r="B15" s="4" t="s">
        <v>503</v>
      </c>
      <c r="C15" s="39">
        <f>C13-(2*1.2)</f>
        <v>149.6</v>
      </c>
      <c r="D15" s="39">
        <f>D13-(2*1.2)</f>
        <v>157.6</v>
      </c>
      <c r="E15" s="39">
        <f>E13-(2*1.2)</f>
        <v>3.6</v>
      </c>
      <c r="F15" s="39">
        <f>F13-(2*1.2)</f>
        <v>6.6</v>
      </c>
      <c r="G15" s="39">
        <v>163652</v>
      </c>
      <c r="H15" s="39">
        <v>178384</v>
      </c>
      <c r="I15" s="39">
        <v>54739</v>
      </c>
      <c r="J15" s="39">
        <v>83444</v>
      </c>
      <c r="K15" s="39">
        <v>2770</v>
      </c>
      <c r="L15" s="39">
        <v>15</v>
      </c>
      <c r="M15" s="39">
        <v>12241170</v>
      </c>
      <c r="N15" s="39">
        <v>431349</v>
      </c>
      <c r="O15" s="39">
        <v>0.2175</v>
      </c>
      <c r="P15" s="39">
        <v>3</v>
      </c>
      <c r="Q15" s="39">
        <f t="shared" si="0"/>
        <v>46.8</v>
      </c>
      <c r="R15" s="4" t="str">
        <f>IF('invoer gording'!$B$24="ja 100 jr",'tab gording'!B15,"")</f>
        <v/>
      </c>
    </row>
    <row r="16" spans="1:22" x14ac:dyDescent="0.2">
      <c r="A16" s="4">
        <v>13</v>
      </c>
      <c r="B16" s="4" t="s">
        <v>504</v>
      </c>
      <c r="C16" s="39">
        <v>171</v>
      </c>
      <c r="D16" s="39">
        <v>180</v>
      </c>
      <c r="E16" s="39">
        <v>6</v>
      </c>
      <c r="F16" s="39">
        <v>9.5</v>
      </c>
      <c r="G16" s="39">
        <v>293600</v>
      </c>
      <c r="H16" s="39">
        <v>324800</v>
      </c>
      <c r="I16" s="39">
        <v>102700</v>
      </c>
      <c r="J16" s="39">
        <v>156400</v>
      </c>
      <c r="K16" s="39">
        <v>4530</v>
      </c>
      <c r="L16" s="39">
        <v>15</v>
      </c>
      <c r="M16" s="39">
        <v>25100000</v>
      </c>
      <c r="N16" s="39">
        <v>9250000</v>
      </c>
      <c r="O16" s="39">
        <v>0.35499999999999998</v>
      </c>
      <c r="P16" s="39">
        <v>1</v>
      </c>
      <c r="Q16" s="39">
        <f t="shared" si="0"/>
        <v>55</v>
      </c>
      <c r="R16" s="4" t="str">
        <f>IF('invoer gording'!$B$24="nee",'tab gording'!B16,"")</f>
        <v>HEA 180</v>
      </c>
    </row>
    <row r="17" spans="1:18" x14ac:dyDescent="0.2">
      <c r="A17" s="4">
        <v>14</v>
      </c>
      <c r="B17" s="4" t="s">
        <v>505</v>
      </c>
      <c r="C17" s="39">
        <f>C16-(2*0.6)</f>
        <v>169.8</v>
      </c>
      <c r="D17" s="39">
        <f>D16-(2*0.6)</f>
        <v>178.8</v>
      </c>
      <c r="E17" s="39">
        <f>E16-(2*0.6)</f>
        <v>4.8</v>
      </c>
      <c r="F17" s="39">
        <f>F16-(2*0.6)</f>
        <v>8.3000000000000007</v>
      </c>
      <c r="G17" s="39">
        <v>257677</v>
      </c>
      <c r="H17" s="39">
        <v>282405</v>
      </c>
      <c r="I17" s="39">
        <v>88558</v>
      </c>
      <c r="J17" s="39">
        <v>134713</v>
      </c>
      <c r="K17" s="39">
        <v>3903</v>
      </c>
      <c r="L17" s="39">
        <v>15</v>
      </c>
      <c r="M17" s="39">
        <v>21876747</v>
      </c>
      <c r="N17" s="39">
        <v>7917142</v>
      </c>
      <c r="O17" s="39">
        <v>0.30630000000000002</v>
      </c>
      <c r="P17" s="39">
        <v>2</v>
      </c>
      <c r="Q17" s="39">
        <f t="shared" si="0"/>
        <v>51.4</v>
      </c>
      <c r="R17" s="4" t="str">
        <f>IF('invoer gording'!$B$24="ja 50 jr",'tab gording'!B17,"")</f>
        <v/>
      </c>
    </row>
    <row r="18" spans="1:18" x14ac:dyDescent="0.2">
      <c r="A18" s="4">
        <v>15</v>
      </c>
      <c r="B18" s="4" t="s">
        <v>506</v>
      </c>
      <c r="C18" s="39">
        <f>C16-(2*1.2)</f>
        <v>168.6</v>
      </c>
      <c r="D18" s="39">
        <f>D16-(2*1.2)</f>
        <v>177.6</v>
      </c>
      <c r="E18" s="39">
        <f>E16-(2*1.2)</f>
        <v>3.6</v>
      </c>
      <c r="F18" s="39">
        <f>F16-(2*1.2)</f>
        <v>7.1</v>
      </c>
      <c r="G18" s="39">
        <v>221170</v>
      </c>
      <c r="H18" s="39">
        <v>239788</v>
      </c>
      <c r="I18" s="39">
        <v>74735</v>
      </c>
      <c r="J18" s="39">
        <v>113511</v>
      </c>
      <c r="K18" s="39">
        <v>3277</v>
      </c>
      <c r="L18" s="39">
        <v>15</v>
      </c>
      <c r="M18" s="39">
        <v>18644616</v>
      </c>
      <c r="N18" s="39">
        <v>6636504</v>
      </c>
      <c r="O18" s="39">
        <v>0.25719999999999998</v>
      </c>
      <c r="P18" s="39">
        <v>3</v>
      </c>
      <c r="Q18" s="39">
        <f t="shared" si="0"/>
        <v>47.8</v>
      </c>
      <c r="R18" s="4" t="str">
        <f>IF('invoer gording'!$B$24="ja 100 jr",'tab gording'!B18,"")</f>
        <v/>
      </c>
    </row>
    <row r="19" spans="1:18" x14ac:dyDescent="0.2">
      <c r="A19" s="4">
        <v>16</v>
      </c>
      <c r="B19" s="4" t="s">
        <v>507</v>
      </c>
      <c r="C19" s="39">
        <v>190</v>
      </c>
      <c r="D19" s="39">
        <v>200</v>
      </c>
      <c r="E19" s="39">
        <v>6.5</v>
      </c>
      <c r="F19" s="39">
        <v>10</v>
      </c>
      <c r="G19" s="39">
        <v>389000</v>
      </c>
      <c r="H19" s="39">
        <v>429400</v>
      </c>
      <c r="I19" s="39">
        <v>133600</v>
      </c>
      <c r="J19" s="39">
        <v>203800</v>
      </c>
      <c r="K19" s="39">
        <v>5380</v>
      </c>
      <c r="L19" s="39">
        <v>18</v>
      </c>
      <c r="M19" s="39">
        <v>36920000</v>
      </c>
      <c r="N19" s="39">
        <v>13360000</v>
      </c>
      <c r="O19" s="39">
        <v>0.42299999999999999</v>
      </c>
      <c r="P19" s="39">
        <v>1</v>
      </c>
      <c r="Q19" s="39">
        <f t="shared" si="0"/>
        <v>62.5</v>
      </c>
      <c r="R19" s="4" t="str">
        <f>IF('invoer gording'!$B$24="nee",'tab gording'!B19,"")</f>
        <v>HEA 200</v>
      </c>
    </row>
    <row r="20" spans="1:18" x14ac:dyDescent="0.2">
      <c r="A20" s="4">
        <v>17</v>
      </c>
      <c r="B20" s="4" t="s">
        <v>508</v>
      </c>
      <c r="C20" s="39">
        <f>C19-(2*0.6)</f>
        <v>188.8</v>
      </c>
      <c r="D20" s="39">
        <f>D19-(2*0.6)</f>
        <v>198.8</v>
      </c>
      <c r="E20" s="39">
        <f>E19-(2*0.6)</f>
        <v>5.3</v>
      </c>
      <c r="F20" s="39">
        <f>F19-(2*0.6)</f>
        <v>8.8000000000000007</v>
      </c>
      <c r="G20" s="39">
        <v>344145</v>
      </c>
      <c r="H20" s="39">
        <v>377097</v>
      </c>
      <c r="I20" s="39">
        <v>116117</v>
      </c>
      <c r="J20" s="39">
        <v>177030</v>
      </c>
      <c r="K20" s="39">
        <v>4693</v>
      </c>
      <c r="L20" s="39">
        <v>18</v>
      </c>
      <c r="M20" s="39">
        <v>32487331</v>
      </c>
      <c r="N20" s="39">
        <v>11542052</v>
      </c>
      <c r="O20" s="39">
        <v>0.36840000000000001</v>
      </c>
      <c r="P20" s="39">
        <v>2</v>
      </c>
      <c r="Q20" s="39">
        <f t="shared" si="0"/>
        <v>58.9</v>
      </c>
      <c r="R20" s="4" t="str">
        <f>IF('invoer gording'!$B$24="ja 50 jr",'tab gording'!B20,"")</f>
        <v/>
      </c>
    </row>
    <row r="21" spans="1:18" x14ac:dyDescent="0.2">
      <c r="A21" s="4">
        <v>18</v>
      </c>
      <c r="B21" s="4" t="s">
        <v>509</v>
      </c>
      <c r="C21" s="39">
        <f>C19-(2*1.2)</f>
        <v>187.6</v>
      </c>
      <c r="D21" s="39">
        <f>D19-(2*1.2)</f>
        <v>197.6</v>
      </c>
      <c r="E21" s="39">
        <f>E19-(2*1.2)</f>
        <v>4.0999999999999996</v>
      </c>
      <c r="F21" s="39">
        <f>F19-(2*1.2)</f>
        <v>7.6</v>
      </c>
      <c r="G21" s="39">
        <v>298821</v>
      </c>
      <c r="H21" s="39">
        <v>324316</v>
      </c>
      <c r="I21" s="39">
        <v>99070</v>
      </c>
      <c r="J21" s="39">
        <v>150860</v>
      </c>
      <c r="K21" s="39">
        <v>3997</v>
      </c>
      <c r="L21" s="39">
        <v>18</v>
      </c>
      <c r="M21" s="39">
        <v>28029445</v>
      </c>
      <c r="N21" s="39">
        <v>9788190</v>
      </c>
      <c r="O21" s="39">
        <v>0.31380000000000002</v>
      </c>
      <c r="P21" s="39">
        <v>3</v>
      </c>
      <c r="Q21" s="39">
        <f t="shared" si="0"/>
        <v>55.3</v>
      </c>
      <c r="R21" s="4" t="str">
        <f>IF('invoer gording'!$B$24="ja 100 jr",'tab gording'!B21,"")</f>
        <v/>
      </c>
    </row>
    <row r="22" spans="1:18" x14ac:dyDescent="0.2">
      <c r="A22" s="4">
        <v>19</v>
      </c>
      <c r="B22" s="4" t="s">
        <v>510</v>
      </c>
      <c r="C22" s="39">
        <v>210</v>
      </c>
      <c r="D22" s="39">
        <v>220</v>
      </c>
      <c r="E22" s="39">
        <v>7</v>
      </c>
      <c r="F22" s="39">
        <v>11</v>
      </c>
      <c r="G22" s="39">
        <v>515000</v>
      </c>
      <c r="H22" s="39">
        <v>568400</v>
      </c>
      <c r="I22" s="39">
        <v>177700</v>
      </c>
      <c r="J22" s="39">
        <v>270600</v>
      </c>
      <c r="K22" s="39">
        <v>6430</v>
      </c>
      <c r="L22" s="39">
        <v>18</v>
      </c>
      <c r="M22" s="39">
        <v>54100000</v>
      </c>
      <c r="N22" s="39">
        <v>19550000</v>
      </c>
      <c r="O22" s="39">
        <v>0.505</v>
      </c>
      <c r="P22" s="39">
        <v>1</v>
      </c>
      <c r="Q22" s="39">
        <f t="shared" si="0"/>
        <v>65</v>
      </c>
      <c r="R22" s="4" t="str">
        <f>IF('invoer gording'!$B$24="nee",'tab gording'!B22,"")</f>
        <v>HEA 220</v>
      </c>
    </row>
    <row r="23" spans="1:18" x14ac:dyDescent="0.2">
      <c r="A23" s="4">
        <v>20</v>
      </c>
      <c r="B23" s="4" t="s">
        <v>511</v>
      </c>
      <c r="C23" s="39">
        <f>C22-(2*0.6)</f>
        <v>208.8</v>
      </c>
      <c r="D23" s="39">
        <f>D22-(2*0.6)</f>
        <v>218.8</v>
      </c>
      <c r="E23" s="39">
        <f>E22-(2*0.6)</f>
        <v>5.8</v>
      </c>
      <c r="F23" s="39">
        <f>F22-(2*0.6)</f>
        <v>9.8000000000000007</v>
      </c>
      <c r="G23" s="39">
        <v>460883</v>
      </c>
      <c r="H23" s="39">
        <v>504552</v>
      </c>
      <c r="I23" s="39">
        <v>156575</v>
      </c>
      <c r="J23" s="39">
        <v>238177</v>
      </c>
      <c r="K23" s="39">
        <v>5672</v>
      </c>
      <c r="L23" s="39">
        <v>18</v>
      </c>
      <c r="M23" s="39">
        <v>48116219</v>
      </c>
      <c r="N23" s="39">
        <v>17129300</v>
      </c>
      <c r="O23" s="39">
        <v>0.44529999999999997</v>
      </c>
      <c r="P23" s="39">
        <v>2</v>
      </c>
      <c r="Q23" s="39">
        <f t="shared" si="0"/>
        <v>61.4</v>
      </c>
      <c r="R23" s="4" t="str">
        <f>IF('invoer gording'!$B$24="ja 50 jr",'tab gording'!B23,"")</f>
        <v/>
      </c>
    </row>
    <row r="24" spans="1:18" x14ac:dyDescent="0.2">
      <c r="A24" s="4">
        <v>21</v>
      </c>
      <c r="B24" s="4" t="s">
        <v>512</v>
      </c>
      <c r="C24" s="39">
        <f>C22-(2*1.2)</f>
        <v>207.6</v>
      </c>
      <c r="D24" s="39">
        <f>D22-(2*1.2)</f>
        <v>217.6</v>
      </c>
      <c r="E24" s="39">
        <f>E22-(2*1.2)</f>
        <v>4.5999999999999996</v>
      </c>
      <c r="F24" s="39">
        <f>F22-(2*1.2)</f>
        <v>8.6</v>
      </c>
      <c r="G24" s="39">
        <v>405640</v>
      </c>
      <c r="H24" s="39">
        <v>440205</v>
      </c>
      <c r="I24" s="39">
        <v>135890</v>
      </c>
      <c r="J24" s="39">
        <v>206445</v>
      </c>
      <c r="K24" s="39">
        <v>4905</v>
      </c>
      <c r="L24" s="39">
        <v>18</v>
      </c>
      <c r="M24" s="39">
        <v>42105463</v>
      </c>
      <c r="N24" s="39">
        <v>14784800</v>
      </c>
      <c r="O24" s="39">
        <v>0.3851</v>
      </c>
      <c r="P24" s="39">
        <v>3</v>
      </c>
      <c r="Q24" s="39">
        <f t="shared" si="0"/>
        <v>57.8</v>
      </c>
      <c r="R24" s="4" t="str">
        <f>IF('invoer gording'!$B$24="ja 100 jr",'tab gording'!B24,"")</f>
        <v/>
      </c>
    </row>
    <row r="25" spans="1:18" x14ac:dyDescent="0.2">
      <c r="A25" s="4">
        <v>22</v>
      </c>
      <c r="B25" s="4" t="s">
        <v>513</v>
      </c>
      <c r="C25" s="39">
        <v>230</v>
      </c>
      <c r="D25" s="39">
        <v>240</v>
      </c>
      <c r="E25" s="39">
        <v>7.5</v>
      </c>
      <c r="F25" s="39">
        <v>12</v>
      </c>
      <c r="G25" s="39">
        <v>675000</v>
      </c>
      <c r="H25" s="39">
        <v>744000</v>
      </c>
      <c r="I25" s="39">
        <v>230700</v>
      </c>
      <c r="J25" s="39">
        <v>351600</v>
      </c>
      <c r="K25" s="39">
        <v>7680</v>
      </c>
      <c r="L25" s="39">
        <v>21</v>
      </c>
      <c r="M25" s="39">
        <v>77630000</v>
      </c>
      <c r="N25" s="39">
        <v>27690000</v>
      </c>
      <c r="O25" s="39">
        <v>0.60299999999999998</v>
      </c>
      <c r="P25" s="39">
        <v>1</v>
      </c>
      <c r="Q25" s="39">
        <f t="shared" si="0"/>
        <v>73.5</v>
      </c>
      <c r="R25" s="4" t="str">
        <f>IF('invoer gording'!$B$24="nee",'tab gording'!B25,"")</f>
        <v xml:space="preserve">HEA 240 </v>
      </c>
    </row>
    <row r="26" spans="1:18" x14ac:dyDescent="0.2">
      <c r="A26" s="4">
        <v>23</v>
      </c>
      <c r="B26" s="4" t="s">
        <v>514</v>
      </c>
      <c r="C26" s="39">
        <f>C25-(2*0.6)</f>
        <v>228.8</v>
      </c>
      <c r="D26" s="39">
        <f>D25-(2*0.6)</f>
        <v>238.8</v>
      </c>
      <c r="E26" s="39">
        <f>E25-(2*0.6)</f>
        <v>6.3</v>
      </c>
      <c r="F26" s="39">
        <f>F25-(2*0.6)</f>
        <v>10.8</v>
      </c>
      <c r="G26" s="39">
        <v>610315</v>
      </c>
      <c r="H26" s="39">
        <v>668404</v>
      </c>
      <c r="I26" s="39">
        <v>205587</v>
      </c>
      <c r="J26" s="39">
        <v>313087</v>
      </c>
      <c r="K26" s="39">
        <v>6854</v>
      </c>
      <c r="L26" s="39">
        <v>21</v>
      </c>
      <c r="M26" s="39">
        <v>69819991</v>
      </c>
      <c r="N26" s="39">
        <v>24547100</v>
      </c>
      <c r="O26" s="39">
        <v>0.53800000000000003</v>
      </c>
      <c r="P26" s="39">
        <v>2</v>
      </c>
      <c r="Q26" s="39">
        <f t="shared" si="0"/>
        <v>69.900000000000006</v>
      </c>
      <c r="R26" s="4" t="str">
        <f>IF('invoer gording'!$B$24="ja 50 jr",'tab gording'!B26,"")</f>
        <v/>
      </c>
    </row>
    <row r="27" spans="1:18" x14ac:dyDescent="0.2">
      <c r="A27" s="4">
        <v>24</v>
      </c>
      <c r="B27" s="4" t="s">
        <v>515</v>
      </c>
      <c r="C27" s="39">
        <f>C25-(2*1.2)</f>
        <v>227.6</v>
      </c>
      <c r="D27" s="39">
        <f>D25-(2*1.2)</f>
        <v>237.6</v>
      </c>
      <c r="E27" s="39">
        <f>E25-(2*1.2)</f>
        <v>5.0999999999999996</v>
      </c>
      <c r="F27" s="39">
        <f>F25-(2*1.2)</f>
        <v>9.6</v>
      </c>
      <c r="G27" s="39">
        <v>544331</v>
      </c>
      <c r="H27" s="39">
        <v>591413</v>
      </c>
      <c r="I27" s="39">
        <v>180902</v>
      </c>
      <c r="J27" s="39">
        <v>275193</v>
      </c>
      <c r="K27" s="39">
        <v>6015</v>
      </c>
      <c r="L27" s="39">
        <v>21</v>
      </c>
      <c r="M27" s="39">
        <v>61944819</v>
      </c>
      <c r="N27" s="39">
        <v>21491200</v>
      </c>
      <c r="O27" s="39">
        <v>0.47220000000000001</v>
      </c>
      <c r="P27" s="39">
        <v>3</v>
      </c>
      <c r="Q27" s="39">
        <f t="shared" si="0"/>
        <v>66.3</v>
      </c>
      <c r="R27" s="4" t="str">
        <f>IF('invoer gording'!$B$24="ja 100 jr",'tab gording'!B27,"")</f>
        <v/>
      </c>
    </row>
    <row r="28" spans="1:18" x14ac:dyDescent="0.2">
      <c r="A28" s="4">
        <v>25</v>
      </c>
      <c r="B28" s="4" t="s">
        <v>516</v>
      </c>
      <c r="C28" s="39">
        <f>C29+1.2</f>
        <v>250</v>
      </c>
      <c r="D28" s="39">
        <f>D29+1.2</f>
        <v>260</v>
      </c>
      <c r="E28" s="39">
        <f>E29+1.2</f>
        <v>7.5</v>
      </c>
      <c r="F28" s="39">
        <f>F29+1.2</f>
        <v>12.5</v>
      </c>
      <c r="G28" s="39">
        <v>836000</v>
      </c>
      <c r="H28" s="39">
        <v>920000</v>
      </c>
      <c r="I28" s="39">
        <v>282100</v>
      </c>
      <c r="J28" s="39">
        <v>430200</v>
      </c>
      <c r="K28" s="39">
        <v>8680</v>
      </c>
      <c r="L28" s="39">
        <v>24</v>
      </c>
      <c r="M28" s="39">
        <v>104600000</v>
      </c>
      <c r="N28" s="39">
        <v>36680000</v>
      </c>
      <c r="O28" s="39">
        <v>0.68200000000000005</v>
      </c>
      <c r="P28" s="39">
        <v>1</v>
      </c>
      <c r="Q28" s="39">
        <f t="shared" si="0"/>
        <v>80.5</v>
      </c>
      <c r="R28" s="4" t="str">
        <f>IF('invoer gording'!$B$24="nee",'tab gording'!B28,"")</f>
        <v>HEA 260</v>
      </c>
    </row>
    <row r="29" spans="1:18" x14ac:dyDescent="0.2">
      <c r="A29" s="4">
        <v>26</v>
      </c>
      <c r="B29" s="4" t="s">
        <v>517</v>
      </c>
      <c r="C29" s="39">
        <v>248.8</v>
      </c>
      <c r="D29" s="39">
        <v>258.8</v>
      </c>
      <c r="E29" s="39">
        <v>6.3</v>
      </c>
      <c r="F29" s="39">
        <v>11.3</v>
      </c>
      <c r="G29" s="39">
        <v>759904</v>
      </c>
      <c r="H29" s="39">
        <v>829993</v>
      </c>
      <c r="I29" s="39">
        <v>252695</v>
      </c>
      <c r="J29" s="39">
        <v>385055</v>
      </c>
      <c r="K29" s="39">
        <v>7784</v>
      </c>
      <c r="L29" s="39">
        <v>24</v>
      </c>
      <c r="M29">
        <v>94532019</v>
      </c>
      <c r="N29" s="39">
        <v>32698800</v>
      </c>
      <c r="O29" s="39">
        <v>0.61099999999999999</v>
      </c>
      <c r="P29" s="39">
        <v>2</v>
      </c>
      <c r="Q29" s="39">
        <f t="shared" si="0"/>
        <v>76.900000000000006</v>
      </c>
      <c r="R29" s="4" t="str">
        <f>IF('invoer gording'!$B$24="ja 50 jr",'tab gording'!B29,"")</f>
        <v/>
      </c>
    </row>
    <row r="30" spans="1:18" x14ac:dyDescent="0.2">
      <c r="A30" s="4">
        <v>27</v>
      </c>
      <c r="B30" s="4" t="s">
        <v>518</v>
      </c>
      <c r="C30" s="39">
        <f>C28-(2*1.2)</f>
        <v>247.6</v>
      </c>
      <c r="D30" s="39">
        <f>D28-(2*1.2)</f>
        <v>257.60000000000002</v>
      </c>
      <c r="E30" s="39">
        <f>E28-(2*1.2)</f>
        <v>5.0999999999999996</v>
      </c>
      <c r="F30" s="39">
        <f>F28-(2*1.2)</f>
        <v>10.1</v>
      </c>
      <c r="G30" s="39">
        <v>681751</v>
      </c>
      <c r="H30" s="39">
        <v>739007</v>
      </c>
      <c r="I30" s="39">
        <v>223763</v>
      </c>
      <c r="J30" s="39">
        <v>340668</v>
      </c>
      <c r="K30" s="39">
        <v>6873</v>
      </c>
      <c r="L30" s="39">
        <v>24</v>
      </c>
      <c r="M30">
        <v>84400731</v>
      </c>
      <c r="N30" s="39">
        <v>28820700</v>
      </c>
      <c r="O30" s="39">
        <v>0.53949999999999998</v>
      </c>
      <c r="P30" s="39">
        <v>3</v>
      </c>
      <c r="Q30" s="39">
        <f t="shared" si="0"/>
        <v>73.3</v>
      </c>
      <c r="R30" s="4" t="str">
        <f>IF('invoer gording'!$B$24="ja 100 jr",'tab gording'!B30,"")</f>
        <v/>
      </c>
    </row>
    <row r="31" spans="1:18" x14ac:dyDescent="0.2">
      <c r="A31" s="4">
        <v>28</v>
      </c>
      <c r="B31" s="4" t="s">
        <v>519</v>
      </c>
      <c r="C31" s="39">
        <f>C32+1.2</f>
        <v>270</v>
      </c>
      <c r="D31" s="39">
        <f>D32+1.2</f>
        <v>280</v>
      </c>
      <c r="E31" s="39">
        <f>E32+1.2</f>
        <v>8</v>
      </c>
      <c r="F31" s="39">
        <f>F32+1.2</f>
        <v>13</v>
      </c>
      <c r="G31" s="39">
        <v>1013000</v>
      </c>
      <c r="H31" s="39">
        <v>1112000</v>
      </c>
      <c r="I31" s="39">
        <v>340000</v>
      </c>
      <c r="J31" s="39">
        <v>518200</v>
      </c>
      <c r="K31" s="39">
        <v>9730</v>
      </c>
      <c r="L31" s="39">
        <v>24</v>
      </c>
      <c r="M31" s="39">
        <v>136700000</v>
      </c>
      <c r="N31" s="39">
        <v>47630000</v>
      </c>
      <c r="O31" s="39">
        <v>0.76400000000000001</v>
      </c>
      <c r="P31" s="39">
        <v>1</v>
      </c>
      <c r="Q31" s="39">
        <f t="shared" si="0"/>
        <v>82</v>
      </c>
      <c r="R31" s="4" t="str">
        <f>IF('invoer gording'!$B$24="nee",'tab gording'!B31,"")</f>
        <v>HEA 280</v>
      </c>
    </row>
    <row r="32" spans="1:18" x14ac:dyDescent="0.2">
      <c r="A32" s="4">
        <v>29</v>
      </c>
      <c r="B32" s="4" t="s">
        <v>520</v>
      </c>
      <c r="C32" s="39">
        <v>268.8</v>
      </c>
      <c r="D32" s="39">
        <v>278.8</v>
      </c>
      <c r="E32" s="39">
        <v>6.8</v>
      </c>
      <c r="F32" s="39">
        <v>11.8</v>
      </c>
      <c r="G32" s="39">
        <v>932347</v>
      </c>
      <c r="H32" s="39">
        <v>1022420</v>
      </c>
      <c r="I32" s="39">
        <v>306205</v>
      </c>
      <c r="J32" s="39">
        <v>467104</v>
      </c>
      <c r="K32" s="39">
        <v>8757</v>
      </c>
      <c r="L32" s="39">
        <v>24</v>
      </c>
      <c r="M32">
        <v>125307403</v>
      </c>
      <c r="N32" s="39">
        <v>42684900</v>
      </c>
      <c r="O32" s="39">
        <v>0.70660000000000001</v>
      </c>
      <c r="P32" s="39">
        <v>2</v>
      </c>
      <c r="Q32" s="39">
        <f t="shared" si="0"/>
        <v>78.400000000000006</v>
      </c>
      <c r="R32" s="4" t="str">
        <f>IF('invoer gording'!$B$24="ja 50 jr",'tab gording'!B32,"")</f>
        <v/>
      </c>
    </row>
    <row r="33" spans="1:18" x14ac:dyDescent="0.2">
      <c r="A33" s="4">
        <v>30</v>
      </c>
      <c r="B33" s="4" t="s">
        <v>521</v>
      </c>
      <c r="C33" s="39">
        <f>C31-(2*1.2)</f>
        <v>267.60000000000002</v>
      </c>
      <c r="D33" s="39">
        <f>D31-(2*1.2)</f>
        <v>277.60000000000002</v>
      </c>
      <c r="E33" s="39">
        <f>E31-(2*1.2)</f>
        <v>5.6</v>
      </c>
      <c r="F33" s="39">
        <f>F31-(2*1.2)</f>
        <v>10.6</v>
      </c>
      <c r="G33" s="39">
        <v>831749</v>
      </c>
      <c r="H33" s="39">
        <v>901234</v>
      </c>
      <c r="I33" s="39">
        <v>272641</v>
      </c>
      <c r="J33" s="39">
        <v>414569</v>
      </c>
      <c r="K33" s="39">
        <v>7775</v>
      </c>
      <c r="L33" s="39">
        <v>24</v>
      </c>
      <c r="M33">
        <v>111287985</v>
      </c>
      <c r="N33" s="39">
        <v>37842500</v>
      </c>
      <c r="O33" s="39">
        <v>0.61029999999999995</v>
      </c>
      <c r="P33" s="39">
        <v>3</v>
      </c>
      <c r="Q33" s="39">
        <f t="shared" si="0"/>
        <v>74.8</v>
      </c>
      <c r="R33" s="4" t="str">
        <f>IF('invoer gording'!$B$24="ja 100 jr",'tab gording'!B33,"")</f>
        <v/>
      </c>
    </row>
    <row r="34" spans="1:18" x14ac:dyDescent="0.2">
      <c r="A34" s="4">
        <v>31</v>
      </c>
      <c r="B34" s="4" t="s">
        <v>522</v>
      </c>
      <c r="C34" s="39">
        <f>C35+1.2</f>
        <v>290</v>
      </c>
      <c r="D34" s="39">
        <f>D35+1.2</f>
        <v>300</v>
      </c>
      <c r="E34" s="39">
        <f>E35+1.2</f>
        <v>8.5</v>
      </c>
      <c r="F34" s="39">
        <f>F35+1.2</f>
        <v>14</v>
      </c>
      <c r="G34" s="39">
        <v>1260000</v>
      </c>
      <c r="H34" s="39">
        <v>1384000</v>
      </c>
      <c r="I34" s="39">
        <v>421000</v>
      </c>
      <c r="J34" s="39">
        <v>642000</v>
      </c>
      <c r="K34" s="39">
        <v>11250</v>
      </c>
      <c r="L34" s="39">
        <v>27</v>
      </c>
      <c r="M34" s="39">
        <v>182600000</v>
      </c>
      <c r="N34" s="39">
        <v>63100000</v>
      </c>
      <c r="O34" s="39">
        <v>0.88300000000000001</v>
      </c>
      <c r="P34" s="39">
        <v>1</v>
      </c>
      <c r="Q34" s="39">
        <f t="shared" si="0"/>
        <v>90.5</v>
      </c>
      <c r="R34" s="4" t="str">
        <f>IF('invoer gording'!$B$24="nee",'tab gording'!B34,"")</f>
        <v>HEA 300</v>
      </c>
    </row>
    <row r="35" spans="1:18" x14ac:dyDescent="0.2">
      <c r="A35" s="4">
        <v>32</v>
      </c>
      <c r="B35" s="4" t="s">
        <v>523</v>
      </c>
      <c r="C35" s="39">
        <v>288.8</v>
      </c>
      <c r="D35" s="39">
        <v>298.8</v>
      </c>
      <c r="E35" s="39">
        <v>7.3</v>
      </c>
      <c r="F35" s="39">
        <v>12.8</v>
      </c>
      <c r="G35" s="39">
        <v>1153817</v>
      </c>
      <c r="H35" s="39">
        <v>1262940</v>
      </c>
      <c r="I35" s="39">
        <v>356473</v>
      </c>
      <c r="J35" s="39">
        <v>543618</v>
      </c>
      <c r="K35" s="39">
        <v>10187</v>
      </c>
      <c r="L35" s="39">
        <v>27</v>
      </c>
      <c r="M35" s="39">
        <v>162158917</v>
      </c>
      <c r="N35" s="39">
        <v>56999584</v>
      </c>
      <c r="O35" s="39">
        <v>0.78180000000000005</v>
      </c>
      <c r="P35" s="39">
        <v>2</v>
      </c>
      <c r="Q35" s="39">
        <f t="shared" si="0"/>
        <v>86.9</v>
      </c>
      <c r="R35" s="4" t="str">
        <f>IF('invoer gording'!$B$24="ja 50 jr",'tab gording'!B35,"")</f>
        <v/>
      </c>
    </row>
    <row r="36" spans="1:18" x14ac:dyDescent="0.2">
      <c r="A36" s="4">
        <v>33</v>
      </c>
      <c r="B36" s="4" t="s">
        <v>524</v>
      </c>
      <c r="C36" s="39">
        <f>C34-(2*1.2)</f>
        <v>287.60000000000002</v>
      </c>
      <c r="D36" s="39">
        <f>D34-(2*1.2)</f>
        <v>297.60000000000002</v>
      </c>
      <c r="E36" s="39">
        <f>E34-(2*1.2)</f>
        <v>6.1</v>
      </c>
      <c r="F36" s="39">
        <f>F34-(2*1.2)</f>
        <v>11.6</v>
      </c>
      <c r="G36" s="39">
        <v>1051630</v>
      </c>
      <c r="H36" s="39">
        <v>1140710</v>
      </c>
      <c r="I36" s="39">
        <v>342973</v>
      </c>
      <c r="J36" s="39">
        <v>522071</v>
      </c>
      <c r="K36" s="39">
        <v>9162</v>
      </c>
      <c r="L36" s="39">
        <v>27</v>
      </c>
      <c r="M36" s="39">
        <v>151225082</v>
      </c>
      <c r="N36" s="39">
        <v>51034400</v>
      </c>
      <c r="O36" s="39">
        <v>0.71919999999999995</v>
      </c>
      <c r="P36" s="39">
        <v>3</v>
      </c>
      <c r="Q36" s="39">
        <f t="shared" ref="Q36:Q67" si="1">E36+2*L36+2*F36</f>
        <v>83.3</v>
      </c>
      <c r="R36" s="4" t="str">
        <f>IF('invoer gording'!$B$24="ja 100 jr",'tab gording'!B36,"")</f>
        <v/>
      </c>
    </row>
    <row r="37" spans="1:18" x14ac:dyDescent="0.2">
      <c r="A37" s="4">
        <v>34</v>
      </c>
      <c r="B37" s="4" t="s">
        <v>525</v>
      </c>
      <c r="C37" s="39">
        <f>C38+1.2</f>
        <v>310</v>
      </c>
      <c r="D37" s="39">
        <f>D38+1.2</f>
        <v>300</v>
      </c>
      <c r="E37" s="39">
        <f>E38+1.2</f>
        <v>9</v>
      </c>
      <c r="F37" s="39">
        <f>F38+1.2</f>
        <v>15.5</v>
      </c>
      <c r="G37" s="39">
        <v>1479000</v>
      </c>
      <c r="H37" s="39">
        <v>1628000</v>
      </c>
      <c r="I37" s="39">
        <v>466000</v>
      </c>
      <c r="J37" s="39">
        <v>710000</v>
      </c>
      <c r="K37" s="39">
        <v>12440</v>
      </c>
      <c r="L37" s="39">
        <v>27</v>
      </c>
      <c r="M37" s="39">
        <v>229300000</v>
      </c>
      <c r="N37" s="39">
        <v>69850000</v>
      </c>
      <c r="O37" s="39">
        <v>0.97599999999999998</v>
      </c>
      <c r="P37" s="39">
        <v>1</v>
      </c>
      <c r="Q37" s="39">
        <f t="shared" si="1"/>
        <v>94</v>
      </c>
      <c r="R37" s="4" t="str">
        <f>IF('invoer gording'!$B$24="nee",'tab gording'!B37,"")</f>
        <v>HEA 320</v>
      </c>
    </row>
    <row r="38" spans="1:18" x14ac:dyDescent="0.2">
      <c r="A38" s="4">
        <v>35</v>
      </c>
      <c r="B38" s="4" t="s">
        <v>526</v>
      </c>
      <c r="C38" s="39">
        <v>308.8</v>
      </c>
      <c r="D38" s="39">
        <v>298.8</v>
      </c>
      <c r="E38" s="39">
        <v>7.8</v>
      </c>
      <c r="F38" s="39">
        <v>14.3</v>
      </c>
      <c r="G38" s="39">
        <v>1368700</v>
      </c>
      <c r="H38" s="39">
        <v>1497840</v>
      </c>
      <c r="I38" s="39">
        <v>426203</v>
      </c>
      <c r="J38" s="39">
        <v>649102</v>
      </c>
      <c r="K38" s="39">
        <v>11376</v>
      </c>
      <c r="L38" s="39">
        <v>27</v>
      </c>
      <c r="M38">
        <v>211328001</v>
      </c>
      <c r="N38" s="39">
        <v>63674700</v>
      </c>
      <c r="O38" s="39">
        <v>0.89300000000000002</v>
      </c>
      <c r="P38" s="39">
        <v>2</v>
      </c>
      <c r="Q38" s="39">
        <f t="shared" si="1"/>
        <v>90.4</v>
      </c>
      <c r="R38" s="4" t="str">
        <f>IF('invoer gording'!$B$24="ja 50 jr",'tab gording'!B38,"")</f>
        <v/>
      </c>
    </row>
    <row r="39" spans="1:18" x14ac:dyDescent="0.2">
      <c r="A39" s="4">
        <v>36</v>
      </c>
      <c r="B39" s="4" t="s">
        <v>527</v>
      </c>
      <c r="C39" s="39">
        <f>C37-(2*1.2)</f>
        <v>307.60000000000002</v>
      </c>
      <c r="D39" s="39">
        <f>D37-(2*1.2)</f>
        <v>297.60000000000002</v>
      </c>
      <c r="E39" s="39">
        <f>E37-(2*1.2)</f>
        <v>6.6</v>
      </c>
      <c r="F39" s="39">
        <f>F37-(2*1.2)</f>
        <v>13.1</v>
      </c>
      <c r="G39" s="39">
        <v>1255680</v>
      </c>
      <c r="H39" s="39">
        <v>1365570</v>
      </c>
      <c r="I39" s="39">
        <v>387288</v>
      </c>
      <c r="J39" s="39">
        <v>589261</v>
      </c>
      <c r="K39" s="39">
        <v>10299</v>
      </c>
      <c r="L39" s="39">
        <v>27</v>
      </c>
      <c r="M39">
        <v>193123372</v>
      </c>
      <c r="N39" s="39">
        <v>57628400</v>
      </c>
      <c r="O39" s="39">
        <v>0.8085</v>
      </c>
      <c r="P39" s="39">
        <v>3</v>
      </c>
      <c r="Q39" s="39">
        <f t="shared" si="1"/>
        <v>86.8</v>
      </c>
      <c r="R39" s="4" t="str">
        <f>IF('invoer gording'!$B$24="ja 100 jr",'tab gording'!B39,"")</f>
        <v/>
      </c>
    </row>
    <row r="40" spans="1:18" x14ac:dyDescent="0.2">
      <c r="A40" s="4">
        <v>37</v>
      </c>
      <c r="B40" s="4" t="s">
        <v>528</v>
      </c>
      <c r="C40" s="39">
        <f>C41+1.2</f>
        <v>330</v>
      </c>
      <c r="D40" s="39">
        <f>D41+1.2</f>
        <v>300</v>
      </c>
      <c r="E40" s="39">
        <f>E41+1.2</f>
        <v>9.5</v>
      </c>
      <c r="F40" s="39">
        <f>F41+1.2</f>
        <v>16.5</v>
      </c>
      <c r="G40" s="39">
        <v>1678000</v>
      </c>
      <c r="H40" s="39">
        <v>1850000</v>
      </c>
      <c r="I40" s="39">
        <v>496000</v>
      </c>
      <c r="J40" s="39">
        <v>756000</v>
      </c>
      <c r="K40" s="39">
        <v>13350</v>
      </c>
      <c r="L40" s="39">
        <v>27</v>
      </c>
      <c r="M40" s="39">
        <v>276900000</v>
      </c>
      <c r="N40" s="39">
        <v>74360000</v>
      </c>
      <c r="O40" s="39">
        <v>1.048</v>
      </c>
      <c r="P40" s="39">
        <v>1</v>
      </c>
      <c r="Q40" s="39">
        <f t="shared" si="1"/>
        <v>96.5</v>
      </c>
      <c r="R40" s="4" t="str">
        <f>IF('invoer gording'!$B$24="nee",'tab gording'!B40,"")</f>
        <v>HEA 340</v>
      </c>
    </row>
    <row r="41" spans="1:18" x14ac:dyDescent="0.2">
      <c r="A41" s="4">
        <v>38</v>
      </c>
      <c r="B41" s="4" t="s">
        <v>529</v>
      </c>
      <c r="C41" s="39">
        <v>328.8</v>
      </c>
      <c r="D41" s="39">
        <v>298.8</v>
      </c>
      <c r="E41" s="39">
        <v>8.3000000000000007</v>
      </c>
      <c r="F41" s="39">
        <v>15.3</v>
      </c>
      <c r="G41" s="39">
        <v>1559450</v>
      </c>
      <c r="H41" s="39">
        <v>1709920</v>
      </c>
      <c r="I41" s="39">
        <v>456006</v>
      </c>
      <c r="J41" s="39">
        <v>694778</v>
      </c>
      <c r="K41" s="39">
        <v>12263</v>
      </c>
      <c r="L41" s="39">
        <v>27</v>
      </c>
      <c r="M41">
        <v>256372847</v>
      </c>
      <c r="N41" s="39">
        <v>68127300</v>
      </c>
      <c r="O41" s="39">
        <v>0.9627</v>
      </c>
      <c r="P41" s="39">
        <v>2</v>
      </c>
      <c r="Q41" s="39">
        <f t="shared" si="1"/>
        <v>92.9</v>
      </c>
      <c r="R41" s="4" t="str">
        <f>IF('invoer gording'!$B$24="ja 50 jr",'tab gording'!B41,"")</f>
        <v/>
      </c>
    </row>
    <row r="42" spans="1:18" x14ac:dyDescent="0.2">
      <c r="A42" s="4">
        <v>39</v>
      </c>
      <c r="B42" s="4" t="s">
        <v>530</v>
      </c>
      <c r="C42" s="39">
        <f>C40-(2*1.2)</f>
        <v>327.60000000000002</v>
      </c>
      <c r="D42" s="39">
        <f>D40-(2*1.2)</f>
        <v>297.60000000000002</v>
      </c>
      <c r="E42" s="39">
        <f>E40-(2*1.2)</f>
        <v>7.1</v>
      </c>
      <c r="F42" s="39">
        <f>F40-(2*1.2)</f>
        <v>14.1</v>
      </c>
      <c r="G42" s="39">
        <v>1437920</v>
      </c>
      <c r="H42" s="39">
        <v>1567190</v>
      </c>
      <c r="I42" s="39">
        <v>416845</v>
      </c>
      <c r="J42" s="39">
        <v>634414</v>
      </c>
      <c r="K42" s="39">
        <v>11163</v>
      </c>
      <c r="L42" s="39">
        <v>27</v>
      </c>
      <c r="M42">
        <v>235531446</v>
      </c>
      <c r="N42" s="39">
        <v>62026500</v>
      </c>
      <c r="O42" s="39">
        <v>0.87629999999999997</v>
      </c>
      <c r="P42" s="39">
        <v>3</v>
      </c>
      <c r="Q42" s="39">
        <f t="shared" si="1"/>
        <v>89.3</v>
      </c>
      <c r="R42" s="4" t="str">
        <f>IF('invoer gording'!$B$24="ja 100 jr",'tab gording'!B42,"")</f>
        <v/>
      </c>
    </row>
    <row r="43" spans="1:18" x14ac:dyDescent="0.2">
      <c r="A43" s="4">
        <v>40</v>
      </c>
      <c r="B43" s="4" t="s">
        <v>531</v>
      </c>
      <c r="C43" s="39">
        <f>C44+1.2</f>
        <v>350</v>
      </c>
      <c r="D43" s="39">
        <f>D44+1.2</f>
        <v>300</v>
      </c>
      <c r="E43" s="39">
        <f>E44+1.2</f>
        <v>10</v>
      </c>
      <c r="F43" s="39">
        <f>F44+1.2</f>
        <v>17.5</v>
      </c>
      <c r="G43" s="39">
        <v>1891000</v>
      </c>
      <c r="H43" s="39">
        <v>2088000</v>
      </c>
      <c r="I43" s="39">
        <v>526000</v>
      </c>
      <c r="J43" s="39">
        <v>802000</v>
      </c>
      <c r="K43" s="39">
        <v>14280</v>
      </c>
      <c r="L43" s="39">
        <v>27</v>
      </c>
      <c r="M43" s="39">
        <v>330900000</v>
      </c>
      <c r="N43" s="39">
        <v>78870000</v>
      </c>
      <c r="O43" s="39">
        <v>1.121</v>
      </c>
      <c r="P43" s="39">
        <v>1</v>
      </c>
      <c r="Q43" s="39">
        <f t="shared" si="1"/>
        <v>99</v>
      </c>
      <c r="R43" s="4" t="str">
        <f>IF('invoer gording'!$B$24="nee",'tab gording'!B43,"")</f>
        <v>HEA 360</v>
      </c>
    </row>
    <row r="44" spans="1:18" x14ac:dyDescent="0.2">
      <c r="A44" s="4">
        <v>41</v>
      </c>
      <c r="B44" s="4" t="s">
        <v>532</v>
      </c>
      <c r="C44" s="39">
        <v>348.8</v>
      </c>
      <c r="D44" s="39">
        <v>298.8</v>
      </c>
      <c r="E44" s="39">
        <v>8.8000000000000007</v>
      </c>
      <c r="F44" s="39">
        <v>16.3</v>
      </c>
      <c r="G44" s="39">
        <v>1763410</v>
      </c>
      <c r="H44" s="39">
        <v>1937390</v>
      </c>
      <c r="I44" s="39">
        <v>485814</v>
      </c>
      <c r="J44" s="39">
        <v>740566</v>
      </c>
      <c r="K44" s="39">
        <v>13168</v>
      </c>
      <c r="L44" s="39">
        <v>27</v>
      </c>
      <c r="M44">
        <v>307538312</v>
      </c>
      <c r="N44" s="39">
        <v>72580600</v>
      </c>
      <c r="O44" s="39">
        <v>1.0337000000000001</v>
      </c>
      <c r="P44" s="39">
        <v>2</v>
      </c>
      <c r="Q44" s="39">
        <f t="shared" si="1"/>
        <v>95.4</v>
      </c>
      <c r="R44" s="4" t="str">
        <f>IF('invoer gording'!$B$24="ja 50 jr",'tab gording'!B44,"")</f>
        <v/>
      </c>
    </row>
    <row r="45" spans="1:18" x14ac:dyDescent="0.2">
      <c r="A45" s="4">
        <v>42</v>
      </c>
      <c r="B45" s="4" t="s">
        <v>533</v>
      </c>
      <c r="C45" s="39">
        <f>C43-(2*1.2)</f>
        <v>347.6</v>
      </c>
      <c r="D45" s="39">
        <f>D43-(2*1.2)</f>
        <v>297.60000000000002</v>
      </c>
      <c r="E45" s="39">
        <f>E43-(2*1.2)</f>
        <v>7.6</v>
      </c>
      <c r="F45" s="39">
        <f>F43-(2*1.2)</f>
        <v>15.1</v>
      </c>
      <c r="G45" s="39">
        <v>1633240</v>
      </c>
      <c r="H45" s="39">
        <v>1783980</v>
      </c>
      <c r="I45" s="39">
        <v>446406</v>
      </c>
      <c r="J45" s="39">
        <v>679669</v>
      </c>
      <c r="K45" s="39">
        <v>12045</v>
      </c>
      <c r="L45" s="39">
        <v>27</v>
      </c>
      <c r="M45">
        <v>283856559</v>
      </c>
      <c r="N45" s="39">
        <v>66425200</v>
      </c>
      <c r="O45" s="39">
        <v>0.94550000000000001</v>
      </c>
      <c r="P45" s="39">
        <v>3</v>
      </c>
      <c r="Q45" s="39">
        <f t="shared" si="1"/>
        <v>91.8</v>
      </c>
      <c r="R45" s="4" t="str">
        <f>IF('invoer gording'!$B$24="ja 100 jr",'tab gording'!B45,"")</f>
        <v/>
      </c>
    </row>
    <row r="46" spans="1:18" x14ac:dyDescent="0.2">
      <c r="A46" s="4">
        <v>43</v>
      </c>
      <c r="B46" s="4" t="s">
        <v>534</v>
      </c>
      <c r="C46" s="39">
        <f>C47+1.2</f>
        <v>390</v>
      </c>
      <c r="D46" s="39">
        <f>D47+1.2</f>
        <v>300</v>
      </c>
      <c r="E46" s="39">
        <f>E47+1.2</f>
        <v>11</v>
      </c>
      <c r="F46" s="39">
        <f>F47+1.2</f>
        <v>19</v>
      </c>
      <c r="G46" s="39">
        <v>2311000</v>
      </c>
      <c r="H46" s="39">
        <v>2562000</v>
      </c>
      <c r="I46" s="39">
        <v>571000</v>
      </c>
      <c r="J46" s="39">
        <v>872000</v>
      </c>
      <c r="K46" s="39">
        <v>15900</v>
      </c>
      <c r="L46" s="39">
        <v>27</v>
      </c>
      <c r="M46" s="39">
        <v>450700000</v>
      </c>
      <c r="N46" s="39">
        <v>85640000</v>
      </c>
      <c r="O46" s="39">
        <v>1.248</v>
      </c>
      <c r="P46" s="39">
        <v>1</v>
      </c>
      <c r="Q46" s="39">
        <f t="shared" si="1"/>
        <v>103</v>
      </c>
      <c r="R46" s="4" t="str">
        <f>IF('invoer gording'!$B$24="nee",'tab gording'!B46,"")</f>
        <v>HEA 400</v>
      </c>
    </row>
    <row r="47" spans="1:18" x14ac:dyDescent="0.2">
      <c r="A47" s="4">
        <v>44</v>
      </c>
      <c r="B47" s="4" t="s">
        <v>535</v>
      </c>
      <c r="C47" s="39">
        <v>388.8</v>
      </c>
      <c r="D47" s="39">
        <v>298.8</v>
      </c>
      <c r="E47" s="39">
        <v>9.8000000000000007</v>
      </c>
      <c r="F47" s="39">
        <v>17.8</v>
      </c>
      <c r="G47" s="39">
        <v>2166000</v>
      </c>
      <c r="H47" s="39">
        <v>2388790</v>
      </c>
      <c r="I47" s="39">
        <v>530566</v>
      </c>
      <c r="J47" s="39">
        <v>810208</v>
      </c>
      <c r="K47" s="39">
        <v>14715</v>
      </c>
      <c r="L47" s="39">
        <v>27</v>
      </c>
      <c r="M47" s="39">
        <v>421052924</v>
      </c>
      <c r="N47" s="39">
        <v>79266630</v>
      </c>
      <c r="O47" s="39">
        <v>1.1574</v>
      </c>
      <c r="P47" s="39">
        <v>2</v>
      </c>
      <c r="Q47" s="39">
        <f t="shared" si="1"/>
        <v>99.4</v>
      </c>
      <c r="R47" s="4" t="str">
        <f>IF('invoer gording'!$B$24="ja 50 jr",'tab gording'!B47,"")</f>
        <v/>
      </c>
    </row>
    <row r="48" spans="1:18" x14ac:dyDescent="0.2">
      <c r="A48" s="4">
        <v>45</v>
      </c>
      <c r="B48" s="4" t="s">
        <v>536</v>
      </c>
      <c r="C48" s="39">
        <f>C46-(2*1.2)</f>
        <v>387.6</v>
      </c>
      <c r="D48" s="39">
        <f>D46-(2*1.2)</f>
        <v>297.60000000000002</v>
      </c>
      <c r="E48" s="39">
        <f>E46-(2*1.2)</f>
        <v>8.6</v>
      </c>
      <c r="F48" s="39">
        <f>F46-(2*1.2)</f>
        <v>16.600000000000001</v>
      </c>
      <c r="G48" s="39">
        <v>2017550</v>
      </c>
      <c r="H48" s="39">
        <v>2213160</v>
      </c>
      <c r="I48" s="39">
        <v>490782</v>
      </c>
      <c r="J48" s="39">
        <v>748385</v>
      </c>
      <c r="K48" s="39">
        <v>13573</v>
      </c>
      <c r="L48" s="39">
        <v>27</v>
      </c>
      <c r="M48" s="39">
        <v>391000811</v>
      </c>
      <c r="N48" s="39">
        <v>73028300</v>
      </c>
      <c r="O48" s="39">
        <v>1.0654999999999999</v>
      </c>
      <c r="P48" s="39">
        <v>3</v>
      </c>
      <c r="Q48" s="39">
        <f t="shared" si="1"/>
        <v>95.800000000000011</v>
      </c>
      <c r="R48" s="4" t="str">
        <f>IF('invoer gording'!$B$24="ja 100 jr",'tab gording'!B48,"")</f>
        <v/>
      </c>
    </row>
    <row r="49" spans="1:18" x14ac:dyDescent="0.2">
      <c r="A49" s="4">
        <v>46</v>
      </c>
      <c r="B49" s="4" t="s">
        <v>537</v>
      </c>
      <c r="C49" s="39">
        <f>C50+1.2</f>
        <v>440</v>
      </c>
      <c r="D49" s="39">
        <f>D50+1.2</f>
        <v>300</v>
      </c>
      <c r="E49" s="39">
        <f>E50+1.2</f>
        <v>11.5</v>
      </c>
      <c r="F49" s="39">
        <f>F50+1.2</f>
        <v>21</v>
      </c>
      <c r="G49" s="39">
        <v>2896000</v>
      </c>
      <c r="H49" s="39">
        <v>3216000</v>
      </c>
      <c r="I49" s="39">
        <v>631000</v>
      </c>
      <c r="J49" s="39">
        <v>966000</v>
      </c>
      <c r="K49" s="39">
        <v>17800</v>
      </c>
      <c r="L49" s="39">
        <v>27</v>
      </c>
      <c r="M49" s="39">
        <v>637200000</v>
      </c>
      <c r="N49" s="39">
        <v>94650000</v>
      </c>
      <c r="O49" s="39">
        <v>1.3979999999999999</v>
      </c>
      <c r="P49" s="39">
        <v>1</v>
      </c>
      <c r="Q49" s="39">
        <f t="shared" si="1"/>
        <v>107.5</v>
      </c>
      <c r="R49" s="4" t="str">
        <f>IF('invoer gording'!$B$24="nee",'tab gording'!B49,"")</f>
        <v>HEA 450</v>
      </c>
    </row>
    <row r="50" spans="1:18" x14ac:dyDescent="0.2">
      <c r="A50" s="4">
        <v>47</v>
      </c>
      <c r="B50" s="4" t="s">
        <v>538</v>
      </c>
      <c r="C50" s="39">
        <v>438.8</v>
      </c>
      <c r="D50" s="39">
        <v>298.8</v>
      </c>
      <c r="E50" s="39">
        <v>10.3</v>
      </c>
      <c r="F50" s="39">
        <v>19.8</v>
      </c>
      <c r="G50" s="39">
        <v>2727787</v>
      </c>
      <c r="H50" s="39">
        <v>3014030</v>
      </c>
      <c r="I50" s="39">
        <v>590169</v>
      </c>
      <c r="J50" s="39">
        <v>901758</v>
      </c>
      <c r="K50" s="39">
        <v>16589</v>
      </c>
      <c r="L50" s="39">
        <v>27</v>
      </c>
      <c r="M50">
        <v>598476517</v>
      </c>
      <c r="N50" s="39">
        <v>88171300</v>
      </c>
      <c r="O50" s="39">
        <v>1.3023</v>
      </c>
      <c r="P50" s="39">
        <v>2</v>
      </c>
      <c r="Q50" s="39">
        <f t="shared" si="1"/>
        <v>103.9</v>
      </c>
      <c r="R50" s="4" t="str">
        <f>IF('invoer gording'!$B$24="ja 50 jr",'tab gording'!B50,"")</f>
        <v/>
      </c>
    </row>
    <row r="51" spans="1:18" x14ac:dyDescent="0.2">
      <c r="A51" s="4">
        <v>48</v>
      </c>
      <c r="B51" s="4" t="s">
        <v>539</v>
      </c>
      <c r="C51" s="39">
        <f>C49-(2*1.2)</f>
        <v>437.6</v>
      </c>
      <c r="D51" s="39">
        <f>D49-(2*1.2)</f>
        <v>297.60000000000002</v>
      </c>
      <c r="E51" s="39">
        <f>E49-(2*1.2)</f>
        <v>9.1</v>
      </c>
      <c r="F51" s="39">
        <f>F49-(2*1.2)</f>
        <v>18.600000000000001</v>
      </c>
      <c r="G51" s="39">
        <v>2555760</v>
      </c>
      <c r="H51" s="39">
        <v>2809200</v>
      </c>
      <c r="I51" s="39">
        <v>549891</v>
      </c>
      <c r="J51" s="39">
        <v>838848</v>
      </c>
      <c r="K51" s="39">
        <v>15359</v>
      </c>
      <c r="L51" s="39">
        <v>27</v>
      </c>
      <c r="M51">
        <v>559200055</v>
      </c>
      <c r="N51" s="39">
        <v>81823800</v>
      </c>
      <c r="O51" s="39">
        <v>1.2057</v>
      </c>
      <c r="P51" s="39">
        <v>3</v>
      </c>
      <c r="Q51" s="39">
        <f t="shared" si="1"/>
        <v>100.30000000000001</v>
      </c>
      <c r="R51" s="4" t="str">
        <f>IF('invoer gording'!$B$24="ja 100 jr",'tab gording'!B51,"")</f>
        <v/>
      </c>
    </row>
    <row r="52" spans="1:18" x14ac:dyDescent="0.2">
      <c r="A52" s="4">
        <v>49</v>
      </c>
      <c r="B52" s="4" t="s">
        <v>540</v>
      </c>
      <c r="C52" s="39">
        <f>C53+1.2</f>
        <v>490</v>
      </c>
      <c r="D52" s="39">
        <f>D53+1.2</f>
        <v>300</v>
      </c>
      <c r="E52" s="39">
        <f>E53+1.2</f>
        <v>12</v>
      </c>
      <c r="F52" s="39">
        <f>F53+1.2</f>
        <v>23</v>
      </c>
      <c r="G52" s="39">
        <v>3550000</v>
      </c>
      <c r="H52" s="39">
        <v>3948000</v>
      </c>
      <c r="I52" s="39">
        <v>691000</v>
      </c>
      <c r="J52" s="39">
        <v>1058000</v>
      </c>
      <c r="K52" s="39">
        <v>19750</v>
      </c>
      <c r="L52" s="39">
        <v>27</v>
      </c>
      <c r="M52" s="39">
        <v>869800000</v>
      </c>
      <c r="N52" s="39">
        <v>103700000</v>
      </c>
      <c r="O52" s="39">
        <v>1.5509999999999999</v>
      </c>
      <c r="P52" s="39">
        <v>1</v>
      </c>
      <c r="Q52" s="39">
        <f t="shared" si="1"/>
        <v>112</v>
      </c>
      <c r="R52" s="4" t="str">
        <f>IF('invoer gording'!$B$24="nee",'tab gording'!B52,"")</f>
        <v>HEA 500</v>
      </c>
    </row>
    <row r="53" spans="1:18" x14ac:dyDescent="0.2">
      <c r="A53" s="4">
        <v>50</v>
      </c>
      <c r="B53" s="4" t="s">
        <v>541</v>
      </c>
      <c r="C53" s="39">
        <v>488.8</v>
      </c>
      <c r="D53" s="39">
        <v>298.8</v>
      </c>
      <c r="E53" s="39">
        <v>10.8</v>
      </c>
      <c r="F53" s="39">
        <v>21.8</v>
      </c>
      <c r="G53" s="39">
        <v>3357062</v>
      </c>
      <c r="H53" s="39">
        <v>3716715</v>
      </c>
      <c r="I53" s="39">
        <v>649785</v>
      </c>
      <c r="J53" s="39">
        <v>993595</v>
      </c>
      <c r="K53" s="39">
        <v>18481</v>
      </c>
      <c r="L53" s="39">
        <v>27</v>
      </c>
      <c r="M53">
        <v>820466000</v>
      </c>
      <c r="N53" s="39">
        <v>97077808</v>
      </c>
      <c r="O53" s="39">
        <v>1.4507000000000001</v>
      </c>
      <c r="P53" s="39">
        <v>2</v>
      </c>
      <c r="Q53" s="39">
        <f t="shared" si="1"/>
        <v>108.4</v>
      </c>
      <c r="R53" s="4" t="str">
        <f>IF('invoer gording'!$B$24="ja 50 jr",'tab gording'!B53,"")</f>
        <v/>
      </c>
    </row>
    <row r="54" spans="1:18" x14ac:dyDescent="0.2">
      <c r="A54" s="4">
        <v>51</v>
      </c>
      <c r="B54" s="4" t="s">
        <v>542</v>
      </c>
      <c r="C54" s="39">
        <f>C52-(2*1.2)</f>
        <v>487.6</v>
      </c>
      <c r="D54" s="39">
        <f>D52-(2*1.2)</f>
        <v>297.60000000000002</v>
      </c>
      <c r="E54" s="39">
        <f>E52-(2*1.2)</f>
        <v>9.6</v>
      </c>
      <c r="F54" s="39">
        <f>F52-(2*1.2)</f>
        <v>20.6</v>
      </c>
      <c r="G54" s="39">
        <v>3160400</v>
      </c>
      <c r="H54" s="39">
        <v>3481220</v>
      </c>
      <c r="I54" s="39">
        <v>609010</v>
      </c>
      <c r="J54" s="39">
        <v>929571</v>
      </c>
      <c r="K54" s="39">
        <v>17192</v>
      </c>
      <c r="L54" s="39">
        <v>27</v>
      </c>
      <c r="M54">
        <v>770505363</v>
      </c>
      <c r="N54" s="39">
        <v>90620800</v>
      </c>
      <c r="O54" s="39">
        <v>1.3494999999999999</v>
      </c>
      <c r="P54" s="39">
        <v>3</v>
      </c>
      <c r="Q54" s="39">
        <f t="shared" si="1"/>
        <v>104.80000000000001</v>
      </c>
      <c r="R54" s="4" t="str">
        <f>IF('invoer gording'!$B$24="ja 100 jr",'tab gording'!B54,"")</f>
        <v/>
      </c>
    </row>
    <row r="55" spans="1:18" x14ac:dyDescent="0.2">
      <c r="A55" s="4">
        <v>52</v>
      </c>
      <c r="B55" s="4" t="s">
        <v>543</v>
      </c>
      <c r="C55" s="39">
        <f>C56+1.2</f>
        <v>540</v>
      </c>
      <c r="D55" s="39">
        <f>D56+1.2</f>
        <v>300</v>
      </c>
      <c r="E55" s="39">
        <f>E56+1.2</f>
        <v>12.5</v>
      </c>
      <c r="F55" s="39">
        <f>F56+1.2</f>
        <v>24</v>
      </c>
      <c r="G55" s="39">
        <v>4146000</v>
      </c>
      <c r="H55" s="39">
        <v>4622000</v>
      </c>
      <c r="I55" s="39">
        <v>721000</v>
      </c>
      <c r="J55" s="39">
        <v>1106000</v>
      </c>
      <c r="K55" s="39">
        <v>21180</v>
      </c>
      <c r="L55" s="39">
        <v>27</v>
      </c>
      <c r="M55" s="39">
        <v>1118999900</v>
      </c>
      <c r="N55" s="39">
        <v>108200000</v>
      </c>
      <c r="O55" s="39">
        <v>1.6619999999999999</v>
      </c>
      <c r="P55" s="39">
        <v>1</v>
      </c>
      <c r="Q55" s="39">
        <f t="shared" si="1"/>
        <v>114.5</v>
      </c>
      <c r="R55" s="4" t="str">
        <f>IF('invoer gording'!$B$24="nee",'tab gording'!B55,"")</f>
        <v>HEA 550</v>
      </c>
    </row>
    <row r="56" spans="1:18" x14ac:dyDescent="0.2">
      <c r="A56" s="4">
        <v>53</v>
      </c>
      <c r="B56" s="4" t="s">
        <v>544</v>
      </c>
      <c r="C56" s="39">
        <v>538.79999999999995</v>
      </c>
      <c r="D56" s="39">
        <v>298.8</v>
      </c>
      <c r="E56" s="39">
        <v>11.3</v>
      </c>
      <c r="F56" s="39">
        <v>22.8</v>
      </c>
      <c r="G56" s="39">
        <v>3926586</v>
      </c>
      <c r="H56" s="39">
        <v>4357576</v>
      </c>
      <c r="I56" s="39">
        <v>679654</v>
      </c>
      <c r="J56" s="39">
        <v>1041160</v>
      </c>
      <c r="K56" s="39">
        <v>19843</v>
      </c>
      <c r="L56" s="39">
        <v>27</v>
      </c>
      <c r="M56">
        <v>1057822348</v>
      </c>
      <c r="N56" s="39">
        <v>101540354</v>
      </c>
      <c r="O56" s="39">
        <v>1.5577000000000001</v>
      </c>
      <c r="P56" s="39">
        <v>2</v>
      </c>
      <c r="Q56" s="39">
        <f t="shared" si="1"/>
        <v>110.9</v>
      </c>
      <c r="R56" s="4" t="str">
        <f>IF('invoer gording'!$B$24="ja 50 jr",'tab gording'!B56,"")</f>
        <v/>
      </c>
    </row>
    <row r="57" spans="1:18" x14ac:dyDescent="0.2">
      <c r="A57" s="4">
        <v>54</v>
      </c>
      <c r="B57" s="4" t="s">
        <v>545</v>
      </c>
      <c r="C57" s="39">
        <f>C55-(2*1.2)</f>
        <v>537.6</v>
      </c>
      <c r="D57" s="39">
        <f>D55-(2*1.2)</f>
        <v>297.60000000000002</v>
      </c>
      <c r="E57" s="39">
        <f>E55-(2*1.2)</f>
        <v>10.1</v>
      </c>
      <c r="F57" s="39">
        <f>F55-(2*1.2)</f>
        <v>21.6</v>
      </c>
      <c r="G57" s="39">
        <v>3703410</v>
      </c>
      <c r="H57" s="39">
        <v>4089590</v>
      </c>
      <c r="I57" s="39">
        <v>638620</v>
      </c>
      <c r="J57" s="39">
        <v>976339</v>
      </c>
      <c r="K57" s="39">
        <v>18495</v>
      </c>
      <c r="L57" s="39">
        <v>27</v>
      </c>
      <c r="M57">
        <v>995475227</v>
      </c>
      <c r="N57" s="39">
        <v>95026700</v>
      </c>
      <c r="O57" s="39">
        <v>1.4518</v>
      </c>
      <c r="P57" s="39">
        <v>3</v>
      </c>
      <c r="Q57" s="39">
        <f t="shared" si="1"/>
        <v>107.3</v>
      </c>
      <c r="R57" s="4" t="str">
        <f>IF('invoer gording'!$B$24="ja 100 jr",'tab gording'!B57,"")</f>
        <v/>
      </c>
    </row>
    <row r="58" spans="1:18" x14ac:dyDescent="0.2">
      <c r="A58" s="4">
        <v>55</v>
      </c>
      <c r="B58" s="4" t="s">
        <v>546</v>
      </c>
      <c r="C58" s="39">
        <f>C59+1.2</f>
        <v>590</v>
      </c>
      <c r="D58" s="39">
        <f>D59+1.2</f>
        <v>300</v>
      </c>
      <c r="E58" s="39">
        <f>E59+1.2</f>
        <v>13</v>
      </c>
      <c r="F58" s="39">
        <f>F59+1.2</f>
        <v>25</v>
      </c>
      <c r="G58" s="39">
        <v>4787000</v>
      </c>
      <c r="H58" s="39">
        <v>5350000</v>
      </c>
      <c r="I58" s="39">
        <v>751000</v>
      </c>
      <c r="J58" s="39">
        <v>1156000</v>
      </c>
      <c r="K58" s="39">
        <v>22650</v>
      </c>
      <c r="L58" s="39">
        <v>27</v>
      </c>
      <c r="M58" s="39">
        <v>1412000000</v>
      </c>
      <c r="N58" s="39">
        <v>112700000</v>
      </c>
      <c r="O58" s="39">
        <v>1.778</v>
      </c>
      <c r="P58" s="39">
        <v>1</v>
      </c>
      <c r="Q58" s="39">
        <f t="shared" si="1"/>
        <v>117</v>
      </c>
      <c r="R58" s="4" t="str">
        <f>IF('invoer gording'!$B$24="nee",'tab gording'!B58,"")</f>
        <v>HEA 600</v>
      </c>
    </row>
    <row r="59" spans="1:18" x14ac:dyDescent="0.2">
      <c r="A59" s="4">
        <v>56</v>
      </c>
      <c r="B59" s="4" t="s">
        <v>547</v>
      </c>
      <c r="C59" s="39">
        <v>588.79999999999995</v>
      </c>
      <c r="D59" s="39">
        <v>298.8</v>
      </c>
      <c r="E59" s="39">
        <v>11.8</v>
      </c>
      <c r="F59" s="39">
        <v>23.8</v>
      </c>
      <c r="G59" s="39">
        <v>4540568</v>
      </c>
      <c r="H59" s="39">
        <v>5052570</v>
      </c>
      <c r="I59" s="39">
        <v>709539</v>
      </c>
      <c r="J59" s="39">
        <v>1089060</v>
      </c>
      <c r="K59" s="39">
        <v>21254</v>
      </c>
      <c r="L59" s="39">
        <v>27</v>
      </c>
      <c r="M59">
        <v>1336743139</v>
      </c>
      <c r="N59" s="39">
        <v>106005142</v>
      </c>
      <c r="O59" s="39">
        <v>1.6684000000000001</v>
      </c>
      <c r="P59" s="39">
        <v>2</v>
      </c>
      <c r="Q59" s="39">
        <f t="shared" si="1"/>
        <v>113.4</v>
      </c>
      <c r="R59" s="4" t="str">
        <f>IF('invoer gording'!$B$24="ja 50 jr",'tab gording'!B59,"")</f>
        <v/>
      </c>
    </row>
    <row r="60" spans="1:18" x14ac:dyDescent="0.2">
      <c r="A60" s="4">
        <v>57</v>
      </c>
      <c r="B60" s="4" t="s">
        <v>548</v>
      </c>
      <c r="C60" s="39">
        <f>C58-(2*1.2)</f>
        <v>587.6</v>
      </c>
      <c r="D60" s="39">
        <f>D58-(2*1.2)</f>
        <v>297.60000000000002</v>
      </c>
      <c r="E60" s="39">
        <f>E58-(2*1.2)</f>
        <v>10.6</v>
      </c>
      <c r="F60" s="39">
        <f>F58-(2*1.2)</f>
        <v>22.6</v>
      </c>
      <c r="G60" s="39">
        <v>4335160</v>
      </c>
      <c r="H60" s="39">
        <v>4824180</v>
      </c>
      <c r="I60" s="39">
        <v>668406</v>
      </c>
      <c r="J60" s="39">
        <v>1026740</v>
      </c>
      <c r="K60" s="39">
        <v>20388</v>
      </c>
      <c r="L60" s="39">
        <v>27</v>
      </c>
      <c r="M60">
        <v>1273670195</v>
      </c>
      <c r="N60" s="39">
        <v>99458900</v>
      </c>
      <c r="O60" s="39">
        <v>1.6005</v>
      </c>
      <c r="P60" s="39">
        <v>3</v>
      </c>
      <c r="Q60" s="39">
        <f t="shared" si="1"/>
        <v>109.8</v>
      </c>
      <c r="R60" s="4" t="str">
        <f>IF('invoer gording'!$B$24="ja 100 jr",'tab gording'!B60,"")</f>
        <v/>
      </c>
    </row>
    <row r="61" spans="1:18" x14ac:dyDescent="0.2">
      <c r="A61" s="4">
        <v>58</v>
      </c>
      <c r="B61" s="4" t="s">
        <v>549</v>
      </c>
      <c r="C61" s="39">
        <f>C62+1.2</f>
        <v>640</v>
      </c>
      <c r="D61" s="39">
        <f>D62+1.2</f>
        <v>300</v>
      </c>
      <c r="E61" s="39">
        <f>E62+1.2</f>
        <v>13.5</v>
      </c>
      <c r="F61" s="39">
        <f>F62+1.2</f>
        <v>26</v>
      </c>
      <c r="G61" s="39">
        <v>5474000</v>
      </c>
      <c r="H61" s="39">
        <v>6136000</v>
      </c>
      <c r="I61" s="39">
        <v>782000</v>
      </c>
      <c r="J61" s="39">
        <v>1204000</v>
      </c>
      <c r="K61" s="39">
        <v>24160</v>
      </c>
      <c r="L61" s="39">
        <v>27</v>
      </c>
      <c r="M61" s="39">
        <v>1752000000</v>
      </c>
      <c r="N61" s="39">
        <v>117200000</v>
      </c>
      <c r="O61" s="39">
        <v>1.897</v>
      </c>
      <c r="P61" s="39">
        <v>1</v>
      </c>
      <c r="Q61" s="39">
        <f t="shared" si="1"/>
        <v>119.5</v>
      </c>
      <c r="R61" s="4" t="str">
        <f>IF('invoer gording'!$B$24="nee",'tab gording'!B61,"")</f>
        <v>HEA 650</v>
      </c>
    </row>
    <row r="62" spans="1:18" x14ac:dyDescent="0.2">
      <c r="A62" s="4">
        <v>59</v>
      </c>
      <c r="B62" s="4" t="s">
        <v>550</v>
      </c>
      <c r="C62" s="39">
        <v>638.79999999999995</v>
      </c>
      <c r="D62" s="39">
        <v>298.8</v>
      </c>
      <c r="E62" s="39">
        <v>12.3</v>
      </c>
      <c r="F62" s="39">
        <v>24.8</v>
      </c>
      <c r="G62" s="39">
        <v>5200108</v>
      </c>
      <c r="H62" s="39">
        <v>5803432</v>
      </c>
      <c r="I62" s="39">
        <v>739441</v>
      </c>
      <c r="J62" s="39">
        <v>1137300</v>
      </c>
      <c r="K62" s="39">
        <v>22713</v>
      </c>
      <c r="L62" s="39">
        <v>27</v>
      </c>
      <c r="M62">
        <v>1660914535</v>
      </c>
      <c r="N62" s="39">
        <v>110472549</v>
      </c>
      <c r="O62" s="39">
        <v>1.7828999999999999</v>
      </c>
      <c r="P62" s="39">
        <v>2</v>
      </c>
      <c r="Q62" s="39">
        <f t="shared" si="1"/>
        <v>115.9</v>
      </c>
      <c r="R62" s="4" t="str">
        <f>IF('invoer gording'!$B$24="ja 50 jr",'tab gording'!B62,"")</f>
        <v/>
      </c>
    </row>
    <row r="63" spans="1:18" x14ac:dyDescent="0.2">
      <c r="A63" s="4">
        <v>60</v>
      </c>
      <c r="B63" s="4" t="s">
        <v>551</v>
      </c>
      <c r="C63" s="39">
        <f>C61-(2*1.2)</f>
        <v>637.6</v>
      </c>
      <c r="D63" s="39">
        <f>D61-(2*1.2)</f>
        <v>297.60000000000002</v>
      </c>
      <c r="E63" s="39">
        <f>E61-(2*1.2)</f>
        <v>11.1</v>
      </c>
      <c r="F63" s="39">
        <f>F61-(2*1.2)</f>
        <v>23.6</v>
      </c>
      <c r="G63" s="39">
        <v>4920980</v>
      </c>
      <c r="H63" s="39">
        <v>5466060</v>
      </c>
      <c r="I63" s="39">
        <v>697881</v>
      </c>
      <c r="J63" s="39">
        <v>1070800</v>
      </c>
      <c r="K63" s="39">
        <v>21245</v>
      </c>
      <c r="L63" s="39">
        <v>27</v>
      </c>
      <c r="M63">
        <v>1568809032</v>
      </c>
      <c r="N63" s="39">
        <v>103845000</v>
      </c>
      <c r="O63" s="39">
        <v>1.6677</v>
      </c>
      <c r="P63" s="39">
        <v>3</v>
      </c>
      <c r="Q63" s="39">
        <f t="shared" si="1"/>
        <v>112.3</v>
      </c>
      <c r="R63" s="4" t="str">
        <f>IF('invoer gording'!$B$24="ja 100 jr",'tab gording'!B63,"")</f>
        <v/>
      </c>
    </row>
    <row r="64" spans="1:18" x14ac:dyDescent="0.2">
      <c r="A64" s="4">
        <v>61</v>
      </c>
      <c r="B64" s="4" t="s">
        <v>552</v>
      </c>
      <c r="C64" s="39">
        <f>C65+1.2</f>
        <v>690</v>
      </c>
      <c r="D64" s="39">
        <f>D65+1.2</f>
        <v>300</v>
      </c>
      <c r="E64" s="39">
        <f>E65+1.2</f>
        <v>14.5</v>
      </c>
      <c r="F64" s="39">
        <f>F65+1.2</f>
        <v>27</v>
      </c>
      <c r="G64" s="39">
        <v>6241000</v>
      </c>
      <c r="H64" s="39">
        <v>7032000</v>
      </c>
      <c r="I64" s="39">
        <v>812000</v>
      </c>
      <c r="J64" s="39">
        <v>1256000</v>
      </c>
      <c r="K64" s="39">
        <v>26050</v>
      </c>
      <c r="L64" s="39">
        <v>27</v>
      </c>
      <c r="M64" s="39">
        <v>2152999900</v>
      </c>
      <c r="N64" s="39">
        <v>121800000</v>
      </c>
      <c r="O64" s="39">
        <v>2.0449999999999999</v>
      </c>
      <c r="P64" s="39">
        <v>1</v>
      </c>
      <c r="Q64" s="39">
        <f t="shared" si="1"/>
        <v>122.5</v>
      </c>
      <c r="R64" s="4" t="str">
        <f>IF('invoer gording'!$B$24="nee",'tab gording'!B64,"")</f>
        <v>HEA 700</v>
      </c>
    </row>
    <row r="65" spans="1:18" x14ac:dyDescent="0.2">
      <c r="A65" s="4">
        <v>62</v>
      </c>
      <c r="B65" s="4" t="s">
        <v>553</v>
      </c>
      <c r="C65" s="39">
        <v>688.8</v>
      </c>
      <c r="D65" s="39">
        <v>298.8</v>
      </c>
      <c r="E65" s="39">
        <v>13.3</v>
      </c>
      <c r="F65" s="39">
        <v>25.8</v>
      </c>
      <c r="G65" s="39">
        <v>5937606</v>
      </c>
      <c r="H65" s="39">
        <v>6662640</v>
      </c>
      <c r="I65" s="39">
        <v>769481</v>
      </c>
      <c r="J65" s="39">
        <v>1188160</v>
      </c>
      <c r="K65" s="39">
        <v>24538</v>
      </c>
      <c r="L65" s="39">
        <v>27</v>
      </c>
      <c r="M65">
        <v>2044911460</v>
      </c>
      <c r="N65" s="39">
        <v>114960411</v>
      </c>
      <c r="O65" s="39">
        <v>1.9261999999999999</v>
      </c>
      <c r="P65" s="39">
        <v>2</v>
      </c>
      <c r="Q65" s="39">
        <f t="shared" si="1"/>
        <v>118.9</v>
      </c>
      <c r="R65" s="4" t="str">
        <f>IF('invoer gording'!$B$24="ja 50 jr",'tab gording'!B65,"")</f>
        <v/>
      </c>
    </row>
    <row r="66" spans="1:18" x14ac:dyDescent="0.2">
      <c r="A66" s="4">
        <v>63</v>
      </c>
      <c r="B66" s="4" t="s">
        <v>554</v>
      </c>
      <c r="C66" s="39">
        <f>C64-(2*1.2)</f>
        <v>687.6</v>
      </c>
      <c r="D66" s="39">
        <f>D64-(2*1.2)</f>
        <v>297.60000000000002</v>
      </c>
      <c r="E66" s="39">
        <f>E64-(2*1.2)</f>
        <v>12.1</v>
      </c>
      <c r="F66" s="39">
        <f>F64-(2*1.2)</f>
        <v>24.6</v>
      </c>
      <c r="G66" s="39">
        <v>5629290</v>
      </c>
      <c r="H66" s="39">
        <v>6288560</v>
      </c>
      <c r="I66" s="39">
        <v>727636</v>
      </c>
      <c r="J66" s="39">
        <v>1120590</v>
      </c>
      <c r="K66" s="39">
        <v>23012</v>
      </c>
      <c r="L66" s="39">
        <v>27</v>
      </c>
      <c r="M66">
        <v>1935348489</v>
      </c>
      <c r="N66" s="39">
        <v>108272000</v>
      </c>
      <c r="O66" s="39">
        <v>1.8064</v>
      </c>
      <c r="P66" s="39">
        <v>3</v>
      </c>
      <c r="Q66" s="39">
        <f t="shared" si="1"/>
        <v>115.3</v>
      </c>
      <c r="R66" s="4" t="str">
        <f>IF('invoer gording'!$B$24="ja 100 jr",'tab gording'!B66,"")</f>
        <v/>
      </c>
    </row>
    <row r="67" spans="1:18" x14ac:dyDescent="0.2">
      <c r="A67" s="4">
        <v>64</v>
      </c>
      <c r="B67" s="4" t="s">
        <v>555</v>
      </c>
      <c r="C67" s="39">
        <f>C68+1.2</f>
        <v>790</v>
      </c>
      <c r="D67" s="39">
        <f>D68+1.2</f>
        <v>300</v>
      </c>
      <c r="E67" s="39">
        <f>E68+1.2</f>
        <v>15</v>
      </c>
      <c r="F67" s="39">
        <f>F68+1.2</f>
        <v>28</v>
      </c>
      <c r="G67" s="39">
        <v>7682000</v>
      </c>
      <c r="H67" s="39">
        <v>8700000</v>
      </c>
      <c r="I67" s="39">
        <v>843000</v>
      </c>
      <c r="J67" s="39">
        <v>1312000</v>
      </c>
      <c r="K67" s="39">
        <v>28580</v>
      </c>
      <c r="L67" s="39">
        <v>30</v>
      </c>
      <c r="M67" s="39">
        <v>3033999900</v>
      </c>
      <c r="N67" s="39">
        <v>126400000</v>
      </c>
      <c r="O67" s="39">
        <v>2.2440000000000002</v>
      </c>
      <c r="P67" s="39">
        <v>1</v>
      </c>
      <c r="Q67" s="39">
        <f t="shared" si="1"/>
        <v>131</v>
      </c>
      <c r="R67" s="4" t="str">
        <f>IF('invoer gording'!$B$24="nee",'tab gording'!B67,"")</f>
        <v>HEA 800</v>
      </c>
    </row>
    <row r="68" spans="1:18" x14ac:dyDescent="0.2">
      <c r="A68" s="4">
        <v>65</v>
      </c>
      <c r="B68" s="4" t="s">
        <v>556</v>
      </c>
      <c r="C68" s="39">
        <v>788.8</v>
      </c>
      <c r="D68" s="39">
        <v>298.8</v>
      </c>
      <c r="E68" s="39">
        <v>13.8</v>
      </c>
      <c r="F68" s="39">
        <v>26.8</v>
      </c>
      <c r="G68" s="39">
        <v>7318637</v>
      </c>
      <c r="H68" s="39">
        <v>8254020</v>
      </c>
      <c r="I68" s="39">
        <v>799842</v>
      </c>
      <c r="J68" s="39">
        <v>1242300</v>
      </c>
      <c r="K68" s="39">
        <v>26958</v>
      </c>
      <c r="L68" s="39">
        <v>30</v>
      </c>
      <c r="M68">
        <v>2886470518</v>
      </c>
      <c r="N68" s="39">
        <v>119496408</v>
      </c>
      <c r="O68" s="39">
        <v>2.1162000000000001</v>
      </c>
      <c r="P68" s="39">
        <v>2</v>
      </c>
      <c r="Q68" s="39">
        <f t="shared" ref="Q68:Q99" si="2">E68+2*L68+2*F68</f>
        <v>127.4</v>
      </c>
      <c r="R68" s="4" t="str">
        <f>IF('invoer gording'!$B$24="ja 50 jr",'tab gording'!B68,"")</f>
        <v/>
      </c>
    </row>
    <row r="69" spans="1:18" x14ac:dyDescent="0.2">
      <c r="A69" s="4">
        <v>66</v>
      </c>
      <c r="B69" s="4" t="s">
        <v>557</v>
      </c>
      <c r="C69" s="39">
        <f>C67-(2*1.2)</f>
        <v>787.6</v>
      </c>
      <c r="D69" s="39">
        <f>D67-(2*1.2)</f>
        <v>297.60000000000002</v>
      </c>
      <c r="E69" s="39">
        <f>E67-(2*1.2)</f>
        <v>12.6</v>
      </c>
      <c r="F69" s="39">
        <f>F67-(2*1.2)</f>
        <v>25.6</v>
      </c>
      <c r="G69" s="39">
        <v>6947640</v>
      </c>
      <c r="H69" s="39">
        <v>7801280</v>
      </c>
      <c r="I69" s="39">
        <v>757689</v>
      </c>
      <c r="J69" s="39">
        <v>1173320</v>
      </c>
      <c r="K69" s="39">
        <v>25312</v>
      </c>
      <c r="L69" s="39">
        <v>30</v>
      </c>
      <c r="M69">
        <v>2735981366</v>
      </c>
      <c r="N69" s="39">
        <v>112744000</v>
      </c>
      <c r="O69" s="39">
        <v>1.9870000000000001</v>
      </c>
      <c r="P69" s="39">
        <v>3</v>
      </c>
      <c r="Q69" s="39">
        <f t="shared" si="2"/>
        <v>123.8</v>
      </c>
      <c r="R69" s="4" t="str">
        <f>IF('invoer gording'!$B$24="ja 100 jr",'tab gording'!B69,"")</f>
        <v/>
      </c>
    </row>
    <row r="70" spans="1:18" x14ac:dyDescent="0.2">
      <c r="A70" s="4">
        <v>67</v>
      </c>
      <c r="B70" s="4" t="s">
        <v>558</v>
      </c>
      <c r="C70" s="39">
        <f>C71+1.2</f>
        <v>890</v>
      </c>
      <c r="D70" s="39">
        <f>D71+1.2</f>
        <v>300</v>
      </c>
      <c r="E70" s="39">
        <f>E71+1.2</f>
        <v>16</v>
      </c>
      <c r="F70" s="39">
        <f>F71+1.2</f>
        <v>30</v>
      </c>
      <c r="G70" s="39">
        <v>9485000</v>
      </c>
      <c r="H70" s="39">
        <v>10812000</v>
      </c>
      <c r="I70" s="39">
        <v>903000</v>
      </c>
      <c r="J70" s="39">
        <v>1414000</v>
      </c>
      <c r="K70" s="39">
        <v>32100</v>
      </c>
      <c r="L70" s="39">
        <v>30</v>
      </c>
      <c r="M70" s="39">
        <v>4221000000</v>
      </c>
      <c r="N70" s="39">
        <v>135500000</v>
      </c>
      <c r="O70" s="39">
        <v>2.516</v>
      </c>
      <c r="P70" s="39">
        <v>1</v>
      </c>
      <c r="Q70" s="39">
        <f t="shared" si="2"/>
        <v>136</v>
      </c>
      <c r="R70" s="4" t="str">
        <f>IF('invoer gording'!$B$24="nee",'tab gording'!B70,"")</f>
        <v>HEA 900</v>
      </c>
    </row>
    <row r="71" spans="1:18" x14ac:dyDescent="0.2">
      <c r="A71" s="4">
        <v>68</v>
      </c>
      <c r="B71" s="4" t="s">
        <v>559</v>
      </c>
      <c r="C71" s="39">
        <v>888.8</v>
      </c>
      <c r="D71" s="39">
        <v>298.8</v>
      </c>
      <c r="E71" s="39">
        <v>14.8</v>
      </c>
      <c r="F71" s="39">
        <v>28.8</v>
      </c>
      <c r="G71" s="39">
        <v>9056754</v>
      </c>
      <c r="H71" s="39">
        <v>10282461</v>
      </c>
      <c r="I71" s="39">
        <v>859863</v>
      </c>
      <c r="J71" s="39">
        <v>1342500</v>
      </c>
      <c r="K71" s="39">
        <v>30309</v>
      </c>
      <c r="L71" s="39">
        <v>30</v>
      </c>
      <c r="M71">
        <v>4024821482</v>
      </c>
      <c r="N71" s="39">
        <v>128463503</v>
      </c>
      <c r="O71" s="39">
        <v>2.3792</v>
      </c>
      <c r="P71" s="39">
        <v>2</v>
      </c>
      <c r="Q71" s="39">
        <f t="shared" si="2"/>
        <v>132.4</v>
      </c>
      <c r="R71" s="4" t="str">
        <f>IF('invoer gording'!$B$24="ja 50 jr",'tab gording'!B71,"")</f>
        <v/>
      </c>
    </row>
    <row r="72" spans="1:18" x14ac:dyDescent="0.2">
      <c r="A72" s="4">
        <v>69</v>
      </c>
      <c r="B72" s="4" t="s">
        <v>560</v>
      </c>
      <c r="C72" s="39">
        <f>C70-(2*1.2)</f>
        <v>887.6</v>
      </c>
      <c r="D72" s="39">
        <f>D70-(2*1.2)</f>
        <v>297.60000000000002</v>
      </c>
      <c r="E72" s="39">
        <f>E70-(2*1.2)</f>
        <v>13.6</v>
      </c>
      <c r="F72" s="39">
        <f>F70-(2*1.2)</f>
        <v>27.6</v>
      </c>
      <c r="G72" s="39">
        <v>8620140</v>
      </c>
      <c r="H72" s="39">
        <v>9745620</v>
      </c>
      <c r="I72" s="39">
        <v>817152</v>
      </c>
      <c r="J72" s="39">
        <v>1271550</v>
      </c>
      <c r="K72" s="39">
        <v>28544</v>
      </c>
      <c r="L72" s="39">
        <v>30</v>
      </c>
      <c r="M72">
        <v>3825619784</v>
      </c>
      <c r="N72" s="39">
        <v>121592000</v>
      </c>
      <c r="O72" s="39">
        <v>2.2406999999999999</v>
      </c>
      <c r="P72" s="39">
        <v>3</v>
      </c>
      <c r="Q72" s="39">
        <f t="shared" si="2"/>
        <v>128.80000000000001</v>
      </c>
      <c r="R72" s="4" t="str">
        <f>IF('invoer gording'!$B$24="ja 100 jr",'tab gording'!B72,"")</f>
        <v/>
      </c>
    </row>
    <row r="73" spans="1:18" x14ac:dyDescent="0.2">
      <c r="A73" s="4">
        <v>70</v>
      </c>
      <c r="B73" s="4" t="s">
        <v>561</v>
      </c>
      <c r="C73" s="39">
        <f>C74+1.2</f>
        <v>990</v>
      </c>
      <c r="D73" s="39">
        <f>D74+1.2</f>
        <v>300</v>
      </c>
      <c r="E73" s="39">
        <f>E74+1.2</f>
        <v>16.5</v>
      </c>
      <c r="F73" s="39">
        <f>F74+1.2</f>
        <v>31</v>
      </c>
      <c r="G73" s="39">
        <v>11190000</v>
      </c>
      <c r="H73" s="39">
        <v>12824000</v>
      </c>
      <c r="I73" s="39">
        <v>934000</v>
      </c>
      <c r="J73" s="39">
        <v>1470000</v>
      </c>
      <c r="K73" s="39">
        <v>34700</v>
      </c>
      <c r="L73" s="39">
        <v>30</v>
      </c>
      <c r="M73" s="39">
        <v>5538000000</v>
      </c>
      <c r="N73" s="39">
        <v>140000000</v>
      </c>
      <c r="O73" s="39">
        <v>2.7229999999999999</v>
      </c>
      <c r="P73" s="39">
        <v>1</v>
      </c>
      <c r="Q73" s="39">
        <f t="shared" si="2"/>
        <v>138.5</v>
      </c>
      <c r="R73" s="4" t="str">
        <f>IF('invoer gording'!$B$24="nee",'tab gording'!B73,"")</f>
        <v>HEA 1000</v>
      </c>
    </row>
    <row r="74" spans="1:18" x14ac:dyDescent="0.2">
      <c r="A74" s="4">
        <v>71</v>
      </c>
      <c r="B74" s="4" t="s">
        <v>562</v>
      </c>
      <c r="C74" s="39">
        <v>988.8</v>
      </c>
      <c r="D74" s="39">
        <v>298.8</v>
      </c>
      <c r="E74" s="39">
        <v>15.3</v>
      </c>
      <c r="F74" s="39">
        <v>29.8</v>
      </c>
      <c r="G74" s="39">
        <v>10691020</v>
      </c>
      <c r="H74" s="39">
        <v>12206200</v>
      </c>
      <c r="I74" s="39">
        <v>890015</v>
      </c>
      <c r="J74" s="39">
        <v>1396200</v>
      </c>
      <c r="K74" s="39">
        <v>32821</v>
      </c>
      <c r="L74" s="39">
        <v>30</v>
      </c>
      <c r="M74">
        <v>5285640473</v>
      </c>
      <c r="N74" s="39">
        <v>132968217</v>
      </c>
      <c r="O74" s="39">
        <v>2.5764999999999998</v>
      </c>
      <c r="P74" s="39">
        <v>2</v>
      </c>
      <c r="Q74" s="39">
        <f t="shared" si="2"/>
        <v>134.9</v>
      </c>
      <c r="R74" s="4" t="str">
        <f>IF('invoer gording'!$B$24="ja 50 jr",'tab gording'!B74,"")</f>
        <v/>
      </c>
    </row>
    <row r="75" spans="1:18" x14ac:dyDescent="0.2">
      <c r="A75" s="4">
        <v>72</v>
      </c>
      <c r="B75" s="4" t="s">
        <v>563</v>
      </c>
      <c r="C75" s="39">
        <f>C73-(2*1.2)</f>
        <v>987.6</v>
      </c>
      <c r="D75" s="39">
        <f>D73-(2*1.2)</f>
        <v>297.60000000000002</v>
      </c>
      <c r="E75" s="39">
        <f>E73-(2*1.2)</f>
        <v>14.1</v>
      </c>
      <c r="F75" s="39">
        <f>F73-(2*1.2)</f>
        <v>28.6</v>
      </c>
      <c r="G75" s="39">
        <v>10183700</v>
      </c>
      <c r="H75" s="39">
        <v>11578800</v>
      </c>
      <c r="I75" s="39">
        <v>846999</v>
      </c>
      <c r="J75" s="39">
        <v>1323780</v>
      </c>
      <c r="K75" s="39">
        <v>30938</v>
      </c>
      <c r="L75" s="39">
        <v>30</v>
      </c>
      <c r="M75">
        <v>5028689145</v>
      </c>
      <c r="N75" s="39">
        <v>126033000</v>
      </c>
      <c r="O75" s="39">
        <v>2.4285999999999999</v>
      </c>
      <c r="P75" s="39">
        <v>3</v>
      </c>
      <c r="Q75" s="39">
        <f t="shared" si="2"/>
        <v>131.30000000000001</v>
      </c>
      <c r="R75" s="4" t="str">
        <f>IF('invoer gording'!$B$24="ja 100 jr",'tab gording'!B75,"")</f>
        <v/>
      </c>
    </row>
    <row r="76" spans="1:18" x14ac:dyDescent="0.2">
      <c r="A76" s="4">
        <v>73</v>
      </c>
      <c r="B76" s="4" t="s">
        <v>564</v>
      </c>
      <c r="C76" s="39">
        <v>100</v>
      </c>
      <c r="D76" s="39">
        <v>100</v>
      </c>
      <c r="E76" s="39">
        <v>6</v>
      </c>
      <c r="F76" s="39">
        <v>10</v>
      </c>
      <c r="G76" s="39">
        <v>89900</v>
      </c>
      <c r="H76" s="39">
        <v>104200</v>
      </c>
      <c r="I76" s="39">
        <v>33500</v>
      </c>
      <c r="J76" s="39">
        <v>51420</v>
      </c>
      <c r="K76" s="39">
        <v>2604</v>
      </c>
      <c r="L76" s="39">
        <v>12</v>
      </c>
      <c r="M76" s="39">
        <v>4500000</v>
      </c>
      <c r="N76" s="39">
        <v>1673000</v>
      </c>
      <c r="O76" s="39">
        <v>0.2044</v>
      </c>
      <c r="P76" s="39">
        <v>1</v>
      </c>
      <c r="Q76" s="39">
        <f t="shared" si="2"/>
        <v>50</v>
      </c>
      <c r="R76" s="4" t="str">
        <f>IF('invoer gording'!$B$24="nee",'tab gording'!B76,"")</f>
        <v>HEB 100</v>
      </c>
    </row>
    <row r="77" spans="1:18" x14ac:dyDescent="0.2">
      <c r="A77" s="4">
        <v>74</v>
      </c>
      <c r="B77" s="4" t="s">
        <v>565</v>
      </c>
      <c r="C77" s="39">
        <f>C76-(2*0.6)</f>
        <v>98.8</v>
      </c>
      <c r="D77" s="39">
        <f>D76-(2*0.6)</f>
        <v>98.8</v>
      </c>
      <c r="E77" s="39">
        <f>E76-(2*0.6)</f>
        <v>4.8</v>
      </c>
      <c r="F77" s="39">
        <f>F76-(2*0.6)</f>
        <v>8.8000000000000007</v>
      </c>
      <c r="G77" s="39">
        <v>79554</v>
      </c>
      <c r="H77" s="39">
        <v>90986</v>
      </c>
      <c r="I77" s="39">
        <v>28730</v>
      </c>
      <c r="J77" s="39">
        <v>44071</v>
      </c>
      <c r="K77" s="39">
        <v>2256</v>
      </c>
      <c r="L77" s="39">
        <v>12</v>
      </c>
      <c r="M77">
        <v>3929995</v>
      </c>
      <c r="N77" s="39">
        <v>1419290</v>
      </c>
      <c r="O77" s="39">
        <v>0.17710000000000001</v>
      </c>
      <c r="P77" s="39">
        <v>2</v>
      </c>
      <c r="Q77" s="39">
        <f t="shared" si="2"/>
        <v>46.400000000000006</v>
      </c>
      <c r="R77" s="4" t="str">
        <f>IF('invoer gording'!$B$24="ja 50 jr",'tab gording'!B77,"")</f>
        <v/>
      </c>
    </row>
    <row r="78" spans="1:18" x14ac:dyDescent="0.2">
      <c r="A78" s="4">
        <v>75</v>
      </c>
      <c r="B78" s="4" t="s">
        <v>566</v>
      </c>
      <c r="C78" s="39">
        <f>C76-(2*1.2)</f>
        <v>97.6</v>
      </c>
      <c r="D78" s="39">
        <f>D76-(2*1.2)</f>
        <v>97.6</v>
      </c>
      <c r="E78" s="39">
        <f>E76-(2*1.2)</f>
        <v>3.6</v>
      </c>
      <c r="F78" s="39">
        <f>F76-(2*1.2)</f>
        <v>7.6</v>
      </c>
      <c r="G78" s="39">
        <v>69023</v>
      </c>
      <c r="H78" s="39">
        <v>77770</v>
      </c>
      <c r="I78" s="39">
        <v>24206</v>
      </c>
      <c r="J78" s="39">
        <v>37042</v>
      </c>
      <c r="K78" s="39">
        <v>1908</v>
      </c>
      <c r="L78" s="39">
        <v>12</v>
      </c>
      <c r="M78">
        <v>3368332</v>
      </c>
      <c r="N78" s="39">
        <v>1181260</v>
      </c>
      <c r="O78" s="39">
        <v>0.1497</v>
      </c>
      <c r="P78" s="39">
        <v>3</v>
      </c>
      <c r="Q78" s="39">
        <f t="shared" si="2"/>
        <v>42.8</v>
      </c>
      <c r="R78" s="4" t="str">
        <f>IF('invoer gording'!$B$24="ja 100 jr",'tab gording'!B78,"")</f>
        <v/>
      </c>
    </row>
    <row r="79" spans="1:18" x14ac:dyDescent="0.2">
      <c r="A79" s="4">
        <v>76</v>
      </c>
      <c r="B79" s="4" t="s">
        <v>567</v>
      </c>
      <c r="C79" s="39">
        <v>120</v>
      </c>
      <c r="D79" s="39">
        <v>120</v>
      </c>
      <c r="E79" s="39">
        <v>6.5</v>
      </c>
      <c r="F79" s="39">
        <v>11</v>
      </c>
      <c r="G79" s="39">
        <v>144100</v>
      </c>
      <c r="H79" s="39">
        <v>165200</v>
      </c>
      <c r="I79" s="39">
        <v>52900</v>
      </c>
      <c r="J79" s="39">
        <v>81000</v>
      </c>
      <c r="K79" s="39">
        <v>3400</v>
      </c>
      <c r="L79" s="39">
        <v>12</v>
      </c>
      <c r="M79" s="39">
        <v>8640000</v>
      </c>
      <c r="N79" s="39">
        <v>3180000</v>
      </c>
      <c r="O79" s="39">
        <v>0.26690000000000003</v>
      </c>
      <c r="P79" s="39">
        <v>1</v>
      </c>
      <c r="Q79" s="39">
        <f t="shared" si="2"/>
        <v>52.5</v>
      </c>
      <c r="R79" s="4" t="str">
        <f>IF('invoer gording'!$B$24="nee",'tab gording'!B79,"")</f>
        <v xml:space="preserve">HEB 120 </v>
      </c>
    </row>
    <row r="80" spans="1:18" x14ac:dyDescent="0.2">
      <c r="A80" s="4">
        <v>77</v>
      </c>
      <c r="B80" s="4" t="s">
        <v>568</v>
      </c>
      <c r="C80" s="39">
        <f>C79-(2*0.6)</f>
        <v>118.8</v>
      </c>
      <c r="D80" s="39">
        <f>D79-(2*0.6)</f>
        <v>118.8</v>
      </c>
      <c r="E80" s="39">
        <f>E79-(2*0.6)</f>
        <v>5.3</v>
      </c>
      <c r="F80" s="39">
        <f>F79-(2*0.6)</f>
        <v>9.8000000000000007</v>
      </c>
      <c r="G80" s="39">
        <v>128729</v>
      </c>
      <c r="H80" s="39">
        <v>148912</v>
      </c>
      <c r="I80" s="39">
        <v>46198</v>
      </c>
      <c r="J80" s="39">
        <v>70538</v>
      </c>
      <c r="K80" s="39">
        <v>2982</v>
      </c>
      <c r="L80" s="39">
        <v>12</v>
      </c>
      <c r="M80" s="39">
        <v>7646500</v>
      </c>
      <c r="N80" s="39">
        <v>2744178</v>
      </c>
      <c r="O80" s="39">
        <v>0.2341</v>
      </c>
      <c r="P80" s="39">
        <v>2</v>
      </c>
      <c r="Q80" s="39">
        <f t="shared" si="2"/>
        <v>48.900000000000006</v>
      </c>
      <c r="R80" s="4" t="str">
        <f>IF('invoer gording'!$B$24="ja 50 jr",'tab gording'!B80,"")</f>
        <v/>
      </c>
    </row>
    <row r="81" spans="1:18" x14ac:dyDescent="0.2">
      <c r="A81" s="4">
        <v>78</v>
      </c>
      <c r="B81" s="4" t="s">
        <v>569</v>
      </c>
      <c r="C81" s="39">
        <f>C79-(2*1.2)</f>
        <v>117.6</v>
      </c>
      <c r="D81" s="39">
        <f>D79-(2*1.2)</f>
        <v>117.6</v>
      </c>
      <c r="E81" s="39">
        <f>E79-(2*1.2)</f>
        <v>4.0999999999999996</v>
      </c>
      <c r="F81" s="39">
        <f>F79-(2*1.2)</f>
        <v>8.6</v>
      </c>
      <c r="G81" s="39">
        <v>113163</v>
      </c>
      <c r="H81" s="39">
        <v>126618</v>
      </c>
      <c r="I81" s="39">
        <v>39716</v>
      </c>
      <c r="J81" s="39">
        <v>60499</v>
      </c>
      <c r="K81" s="39">
        <v>2562</v>
      </c>
      <c r="L81" s="39">
        <v>12</v>
      </c>
      <c r="M81" s="39">
        <v>6653992</v>
      </c>
      <c r="N81" s="39">
        <v>2335320</v>
      </c>
      <c r="O81" s="39">
        <v>0.2011</v>
      </c>
      <c r="P81" s="39">
        <v>3</v>
      </c>
      <c r="Q81" s="39">
        <f t="shared" si="2"/>
        <v>45.3</v>
      </c>
      <c r="R81" s="4" t="str">
        <f>IF('invoer gording'!$B$24="ja 100 jr",'tab gording'!B81,"")</f>
        <v/>
      </c>
    </row>
    <row r="82" spans="1:18" x14ac:dyDescent="0.2">
      <c r="A82" s="4">
        <v>79</v>
      </c>
      <c r="B82" s="4" t="s">
        <v>570</v>
      </c>
      <c r="C82" s="39">
        <v>140</v>
      </c>
      <c r="D82" s="39">
        <v>140</v>
      </c>
      <c r="E82" s="39">
        <v>7</v>
      </c>
      <c r="F82" s="39">
        <v>12</v>
      </c>
      <c r="G82" s="39">
        <v>215600</v>
      </c>
      <c r="H82" s="39">
        <v>245400</v>
      </c>
      <c r="I82" s="39">
        <v>78500</v>
      </c>
      <c r="J82" s="39">
        <v>119800</v>
      </c>
      <c r="K82" s="39">
        <v>4300</v>
      </c>
      <c r="L82" s="39">
        <v>12</v>
      </c>
      <c r="M82" s="39">
        <v>15090000</v>
      </c>
      <c r="N82" s="39">
        <v>5500000</v>
      </c>
      <c r="O82" s="39">
        <v>0.33700000000000002</v>
      </c>
      <c r="P82" s="39">
        <v>1</v>
      </c>
      <c r="Q82" s="39">
        <f t="shared" si="2"/>
        <v>55</v>
      </c>
      <c r="R82" s="4" t="str">
        <f>IF('invoer gording'!$B$24="nee",'tab gording'!B82,"")</f>
        <v>HEB 140</v>
      </c>
    </row>
    <row r="83" spans="1:18" x14ac:dyDescent="0.2">
      <c r="A83" s="4">
        <v>80</v>
      </c>
      <c r="B83" s="4" t="s">
        <v>571</v>
      </c>
      <c r="C83" s="39">
        <f>C82-(2*0.6)</f>
        <v>138.80000000000001</v>
      </c>
      <c r="D83" s="39">
        <f>D82-(2*0.6)</f>
        <v>138.80000000000001</v>
      </c>
      <c r="E83" s="39">
        <f>E82-(2*0.6)</f>
        <v>5.8</v>
      </c>
      <c r="F83" s="39">
        <f>F82-(2*0.6)</f>
        <v>10.8</v>
      </c>
      <c r="G83" s="39">
        <v>194319</v>
      </c>
      <c r="H83" s="39">
        <v>218912</v>
      </c>
      <c r="I83" s="39">
        <v>69451</v>
      </c>
      <c r="J83" s="39">
        <v>105736</v>
      </c>
      <c r="K83" s="39">
        <v>3805</v>
      </c>
      <c r="L83" s="39">
        <v>12</v>
      </c>
      <c r="M83">
        <v>13485710</v>
      </c>
      <c r="N83" s="39">
        <v>4819910</v>
      </c>
      <c r="O83" s="39">
        <v>0.29870000000000002</v>
      </c>
      <c r="P83" s="39">
        <v>2</v>
      </c>
      <c r="Q83" s="39">
        <f t="shared" si="2"/>
        <v>51.400000000000006</v>
      </c>
      <c r="R83" s="4" t="str">
        <f>IF('invoer gording'!$B$24="ja 50 jr",'tab gording'!B83,"")</f>
        <v/>
      </c>
    </row>
    <row r="84" spans="1:18" x14ac:dyDescent="0.2">
      <c r="A84" s="4">
        <v>81</v>
      </c>
      <c r="B84" s="4" t="s">
        <v>572</v>
      </c>
      <c r="C84" s="39">
        <f>C82-(2*1.2)</f>
        <v>137.6</v>
      </c>
      <c r="D84" s="39">
        <f>D82-(2*1.2)</f>
        <v>137.6</v>
      </c>
      <c r="E84" s="39">
        <f>E82-(2*1.2)</f>
        <v>4.5999999999999996</v>
      </c>
      <c r="F84" s="39">
        <f>F82-(2*1.2)</f>
        <v>9.6</v>
      </c>
      <c r="G84" s="39">
        <v>172744</v>
      </c>
      <c r="H84" s="39">
        <v>192398</v>
      </c>
      <c r="I84" s="39">
        <v>60659</v>
      </c>
      <c r="J84" s="39">
        <v>92149</v>
      </c>
      <c r="K84" s="39">
        <v>3315</v>
      </c>
      <c r="L84" s="39">
        <v>12</v>
      </c>
      <c r="M84">
        <v>11884781</v>
      </c>
      <c r="N84" s="39">
        <v>4173328</v>
      </c>
      <c r="O84" s="39">
        <v>0.2601</v>
      </c>
      <c r="P84" s="39">
        <v>3</v>
      </c>
      <c r="Q84" s="39">
        <f t="shared" si="2"/>
        <v>47.8</v>
      </c>
      <c r="R84" s="4" t="str">
        <f>IF('invoer gording'!$B$24="ja 100 jr",'tab gording'!B84,"")</f>
        <v/>
      </c>
    </row>
    <row r="85" spans="1:18" x14ac:dyDescent="0.2">
      <c r="A85" s="4">
        <v>82</v>
      </c>
      <c r="B85" s="4" t="s">
        <v>573</v>
      </c>
      <c r="C85" s="39">
        <v>160</v>
      </c>
      <c r="D85" s="39">
        <v>160</v>
      </c>
      <c r="E85" s="39">
        <v>8</v>
      </c>
      <c r="F85" s="39">
        <v>13</v>
      </c>
      <c r="G85" s="39">
        <v>311500</v>
      </c>
      <c r="H85" s="39">
        <v>354000</v>
      </c>
      <c r="I85" s="39">
        <v>111200</v>
      </c>
      <c r="J85" s="39">
        <v>170000</v>
      </c>
      <c r="K85" s="39">
        <v>5430</v>
      </c>
      <c r="L85" s="39">
        <v>15</v>
      </c>
      <c r="M85" s="39">
        <v>24920000</v>
      </c>
      <c r="N85" s="39">
        <v>8890000</v>
      </c>
      <c r="O85" s="39">
        <v>0.42599999999999999</v>
      </c>
      <c r="P85" s="39">
        <v>1</v>
      </c>
      <c r="Q85" s="39">
        <f t="shared" si="2"/>
        <v>64</v>
      </c>
      <c r="R85" s="4" t="str">
        <f>IF('invoer gording'!$B$24="nee",'tab gording'!B85,"")</f>
        <v>HEB 160</v>
      </c>
    </row>
    <row r="86" spans="1:18" x14ac:dyDescent="0.2">
      <c r="A86" s="4">
        <v>83</v>
      </c>
      <c r="B86" s="4" t="s">
        <v>574</v>
      </c>
      <c r="C86" s="39">
        <f>C85-(2*0.6)</f>
        <v>158.80000000000001</v>
      </c>
      <c r="D86" s="39">
        <f>D85-(2*0.6)</f>
        <v>158.80000000000001</v>
      </c>
      <c r="E86" s="39">
        <f>E85-(2*0.6)</f>
        <v>6.8</v>
      </c>
      <c r="F86" s="39">
        <f>F85-(2*0.6)</f>
        <v>11.8</v>
      </c>
      <c r="G86" s="39">
        <v>283521</v>
      </c>
      <c r="H86" s="39">
        <v>319306</v>
      </c>
      <c r="I86" s="39">
        <v>99371</v>
      </c>
      <c r="J86" s="39">
        <v>151702</v>
      </c>
      <c r="K86" s="39">
        <v>4866</v>
      </c>
      <c r="L86" s="39">
        <v>15</v>
      </c>
      <c r="M86" s="39">
        <v>22511598</v>
      </c>
      <c r="N86" s="39">
        <v>7890039</v>
      </c>
      <c r="O86" s="39">
        <v>0.38200000000000001</v>
      </c>
      <c r="P86" s="39">
        <v>2</v>
      </c>
      <c r="Q86" s="39">
        <f t="shared" si="2"/>
        <v>60.4</v>
      </c>
      <c r="R86" s="4" t="str">
        <f>IF('invoer gording'!$B$24="ja 50 jr",'tab gording'!B86,"")</f>
        <v/>
      </c>
    </row>
    <row r="87" spans="1:18" x14ac:dyDescent="0.2">
      <c r="A87" s="4">
        <v>84</v>
      </c>
      <c r="B87" s="4" t="s">
        <v>575</v>
      </c>
      <c r="C87" s="39">
        <f>C85-(2*1.2)</f>
        <v>157.6</v>
      </c>
      <c r="D87" s="39">
        <f>D85-(2*1.2)</f>
        <v>157.6</v>
      </c>
      <c r="E87" s="39">
        <f>E85-(2*1.2)</f>
        <v>5.6</v>
      </c>
      <c r="F87" s="39">
        <f>F85-(2*1.2)</f>
        <v>10.6</v>
      </c>
      <c r="G87" s="39">
        <v>255105</v>
      </c>
      <c r="H87" s="39">
        <v>284516</v>
      </c>
      <c r="I87" s="39">
        <v>87904</v>
      </c>
      <c r="J87" s="39">
        <v>133946</v>
      </c>
      <c r="K87" s="39">
        <v>4304</v>
      </c>
      <c r="L87" s="39">
        <v>15</v>
      </c>
      <c r="M87" s="39">
        <v>20102306</v>
      </c>
      <c r="N87" s="39">
        <v>6926854</v>
      </c>
      <c r="O87" s="39">
        <v>0.33789999999999998</v>
      </c>
      <c r="P87" s="39">
        <v>3</v>
      </c>
      <c r="Q87" s="39">
        <f t="shared" si="2"/>
        <v>56.8</v>
      </c>
      <c r="R87" s="4" t="str">
        <f>IF('invoer gording'!$B$24="ja 100 jr",'tab gording'!B87,"")</f>
        <v/>
      </c>
    </row>
    <row r="88" spans="1:18" x14ac:dyDescent="0.2">
      <c r="A88" s="4">
        <v>85</v>
      </c>
      <c r="B88" s="4" t="s">
        <v>576</v>
      </c>
      <c r="C88" s="39">
        <v>180</v>
      </c>
      <c r="D88" s="39">
        <v>180</v>
      </c>
      <c r="E88" s="39">
        <v>8.5</v>
      </c>
      <c r="F88" s="39">
        <v>14</v>
      </c>
      <c r="G88" s="39">
        <v>426000</v>
      </c>
      <c r="H88" s="39">
        <v>481400</v>
      </c>
      <c r="I88" s="39">
        <v>151400</v>
      </c>
      <c r="J88" s="39">
        <v>231000</v>
      </c>
      <c r="K88" s="39">
        <v>6530</v>
      </c>
      <c r="L88" s="39">
        <v>15</v>
      </c>
      <c r="M88" s="39">
        <v>38310000</v>
      </c>
      <c r="N88" s="39">
        <v>13630000</v>
      </c>
      <c r="O88" s="39">
        <v>0.51200000000000001</v>
      </c>
      <c r="P88" s="39">
        <v>1</v>
      </c>
      <c r="Q88" s="39">
        <f t="shared" si="2"/>
        <v>66.5</v>
      </c>
      <c r="R88" s="4" t="str">
        <f>IF('invoer gording'!$B$24="nee",'tab gording'!B88,"")</f>
        <v>HEB 180</v>
      </c>
    </row>
    <row r="89" spans="1:18" x14ac:dyDescent="0.2">
      <c r="A89" s="4">
        <v>86</v>
      </c>
      <c r="B89" s="4" t="str">
        <f>CONCATENATE(B88," corrosie 50 jr.")</f>
        <v>HEB 180 corrosie 50 jr.</v>
      </c>
      <c r="C89" s="39">
        <f>C88-(2*0.6)</f>
        <v>178.8</v>
      </c>
      <c r="D89" s="39">
        <f>D88-(2*0.6)</f>
        <v>178.8</v>
      </c>
      <c r="E89" s="39">
        <f>E88-(2*0.6)</f>
        <v>7.3</v>
      </c>
      <c r="F89" s="39">
        <f>F88-(2*0.6)</f>
        <v>12.8</v>
      </c>
      <c r="G89" s="39">
        <v>389828</v>
      </c>
      <c r="H89" s="39">
        <v>437316</v>
      </c>
      <c r="I89" s="39">
        <v>136588</v>
      </c>
      <c r="J89" s="39">
        <v>208052</v>
      </c>
      <c r="K89" s="39">
        <v>5895</v>
      </c>
      <c r="L89" s="39">
        <v>15</v>
      </c>
      <c r="M89">
        <v>34850626</v>
      </c>
      <c r="N89" s="39">
        <v>12211003</v>
      </c>
      <c r="O89" s="39">
        <v>0.4627</v>
      </c>
      <c r="P89" s="39">
        <v>2</v>
      </c>
      <c r="Q89" s="39">
        <f t="shared" si="2"/>
        <v>62.9</v>
      </c>
      <c r="R89" s="4" t="str">
        <f>IF('invoer gording'!$B$24="ja 50 jr",'tab gording'!B89,"")</f>
        <v/>
      </c>
    </row>
    <row r="90" spans="1:18" x14ac:dyDescent="0.2">
      <c r="A90" s="4">
        <v>87</v>
      </c>
      <c r="B90" s="4" t="s">
        <v>577</v>
      </c>
      <c r="C90" s="39">
        <f>C88-(2*1.2)</f>
        <v>177.6</v>
      </c>
      <c r="D90" s="39">
        <f>D88-(2*1.2)</f>
        <v>177.6</v>
      </c>
      <c r="E90" s="39">
        <f>E88-(2*1.2)</f>
        <v>6.1</v>
      </c>
      <c r="F90" s="39">
        <f>F88-(2*1.2)</f>
        <v>11.6</v>
      </c>
      <c r="G90" s="39">
        <v>353464</v>
      </c>
      <c r="H90" s="39">
        <v>393029</v>
      </c>
      <c r="I90" s="39">
        <v>122107</v>
      </c>
      <c r="J90" s="39">
        <v>185665</v>
      </c>
      <c r="K90" s="39">
        <v>5261</v>
      </c>
      <c r="L90" s="39">
        <v>15</v>
      </c>
      <c r="M90">
        <v>31387606</v>
      </c>
      <c r="N90" s="39">
        <v>10843093</v>
      </c>
      <c r="O90" s="39">
        <v>0.41299999999999998</v>
      </c>
      <c r="P90" s="39">
        <v>3</v>
      </c>
      <c r="Q90" s="39">
        <f t="shared" si="2"/>
        <v>59.3</v>
      </c>
      <c r="R90" s="4" t="str">
        <f>IF('invoer gording'!$B$24="ja 100 jr",'tab gording'!B90,"")</f>
        <v/>
      </c>
    </row>
    <row r="91" spans="1:18" x14ac:dyDescent="0.2">
      <c r="A91" s="4">
        <v>88</v>
      </c>
      <c r="B91" s="4" t="s">
        <v>578</v>
      </c>
      <c r="C91" s="39">
        <v>200</v>
      </c>
      <c r="D91" s="39">
        <v>200</v>
      </c>
      <c r="E91" s="39">
        <v>9</v>
      </c>
      <c r="F91" s="39">
        <v>15</v>
      </c>
      <c r="G91" s="39">
        <v>570000</v>
      </c>
      <c r="H91" s="39">
        <v>642000</v>
      </c>
      <c r="I91" s="39">
        <v>200300</v>
      </c>
      <c r="J91" s="39">
        <v>305800</v>
      </c>
      <c r="K91" s="39">
        <v>7810</v>
      </c>
      <c r="L91" s="39">
        <v>18</v>
      </c>
      <c r="M91" s="39">
        <v>20030000</v>
      </c>
      <c r="N91" s="39">
        <v>20030000</v>
      </c>
      <c r="O91" s="39">
        <v>0.61299999999999999</v>
      </c>
      <c r="P91" s="39">
        <v>1</v>
      </c>
      <c r="Q91" s="39">
        <f t="shared" si="2"/>
        <v>75</v>
      </c>
      <c r="R91" s="4" t="str">
        <f>IF('invoer gording'!$B$24="nee",'tab gording'!B91,"")</f>
        <v>HEB 200</v>
      </c>
    </row>
    <row r="92" spans="1:18" x14ac:dyDescent="0.2">
      <c r="A92" s="4">
        <v>89</v>
      </c>
      <c r="B92" s="4" t="str">
        <f>CONCATENATE(B91," corrosie 50 jr.")</f>
        <v>HEB 200 corrosie 50 jr.</v>
      </c>
      <c r="C92" s="39">
        <f>C91-(2*0.6)</f>
        <v>198.8</v>
      </c>
      <c r="D92" s="39">
        <f>D91-(2*0.6)</f>
        <v>198.8</v>
      </c>
      <c r="E92" s="39">
        <f>E91-(2*0.6)</f>
        <v>7.8</v>
      </c>
      <c r="F92" s="39">
        <f>F91-(2*0.6)</f>
        <v>13.8</v>
      </c>
      <c r="G92" s="39">
        <v>525185</v>
      </c>
      <c r="H92" s="39">
        <v>588053</v>
      </c>
      <c r="I92" s="39">
        <v>182086</v>
      </c>
      <c r="J92" s="39">
        <v>277594</v>
      </c>
      <c r="K92" s="39">
        <v>7109</v>
      </c>
      <c r="L92" s="39">
        <v>18</v>
      </c>
      <c r="M92">
        <v>52203388</v>
      </c>
      <c r="N92" s="39">
        <v>18099366</v>
      </c>
      <c r="O92" s="39">
        <v>0.55800000000000005</v>
      </c>
      <c r="P92" s="39">
        <v>2</v>
      </c>
      <c r="Q92" s="39">
        <f t="shared" si="2"/>
        <v>71.400000000000006</v>
      </c>
      <c r="R92" s="4" t="str">
        <f>IF('invoer gording'!$B$24="ja 50 jr",'tab gording'!B92,"")</f>
        <v/>
      </c>
    </row>
    <row r="93" spans="1:18" x14ac:dyDescent="0.2">
      <c r="A93" s="4">
        <v>90</v>
      </c>
      <c r="B93" s="4" t="s">
        <v>579</v>
      </c>
      <c r="C93" s="39">
        <f>C91-(2*1.2)</f>
        <v>197.6</v>
      </c>
      <c r="D93" s="39">
        <f>D91-(2*1.2)</f>
        <v>197.6</v>
      </c>
      <c r="E93" s="39">
        <f>E91-(2*1.2)</f>
        <v>6.6</v>
      </c>
      <c r="F93" s="39">
        <f>F91-(2*1.2)</f>
        <v>12.6</v>
      </c>
      <c r="G93" s="39">
        <v>480019</v>
      </c>
      <c r="H93" s="39">
        <v>533181</v>
      </c>
      <c r="I93" s="39">
        <v>164228</v>
      </c>
      <c r="J93" s="39">
        <v>249986</v>
      </c>
      <c r="K93" s="39">
        <v>6404</v>
      </c>
      <c r="L93" s="39">
        <v>18</v>
      </c>
      <c r="M93">
        <v>47425882</v>
      </c>
      <c r="N93" s="39">
        <v>16225719</v>
      </c>
      <c r="O93" s="39">
        <v>0.50270000000000004</v>
      </c>
      <c r="P93" s="39">
        <v>3</v>
      </c>
      <c r="Q93" s="39">
        <f t="shared" si="2"/>
        <v>67.8</v>
      </c>
      <c r="R93" s="4" t="str">
        <f>IF('invoer gording'!$B$24="ja 100 jr",'tab gording'!B93,"")</f>
        <v/>
      </c>
    </row>
    <row r="94" spans="1:18" x14ac:dyDescent="0.2">
      <c r="A94" s="4">
        <v>91</v>
      </c>
      <c r="B94" s="4" t="s">
        <v>580</v>
      </c>
      <c r="C94" s="39">
        <v>220</v>
      </c>
      <c r="D94" s="39">
        <v>220</v>
      </c>
      <c r="E94" s="39">
        <v>9.5</v>
      </c>
      <c r="F94" s="39">
        <v>16</v>
      </c>
      <c r="G94" s="39">
        <v>736000</v>
      </c>
      <c r="H94" s="39">
        <v>828000</v>
      </c>
      <c r="I94" s="39">
        <v>258500</v>
      </c>
      <c r="J94" s="39">
        <v>393800</v>
      </c>
      <c r="K94" s="39">
        <v>9100</v>
      </c>
      <c r="L94" s="39">
        <v>18</v>
      </c>
      <c r="M94" s="39">
        <v>80910000</v>
      </c>
      <c r="N94" s="39">
        <v>28430000</v>
      </c>
      <c r="O94" s="39">
        <v>0.71499999999999997</v>
      </c>
      <c r="P94" s="39">
        <v>1</v>
      </c>
      <c r="Q94" s="39">
        <f t="shared" si="2"/>
        <v>77.5</v>
      </c>
      <c r="R94" s="4" t="str">
        <f>IF('invoer gording'!$B$24="nee",'tab gording'!B94,"")</f>
        <v>HEB 220</v>
      </c>
    </row>
    <row r="95" spans="1:18" x14ac:dyDescent="0.2">
      <c r="A95" s="4">
        <v>92</v>
      </c>
      <c r="B95" s="4" t="str">
        <f>CONCATENATE(B94," corrosie 50 jr.")</f>
        <v>HEB 220 corrosie 50 jr.</v>
      </c>
      <c r="C95" s="39">
        <f>C94-(2*0.6)</f>
        <v>218.8</v>
      </c>
      <c r="D95" s="39">
        <f>D94-(2*0.6)</f>
        <v>218.8</v>
      </c>
      <c r="E95" s="39">
        <f>E94-(2*0.6)</f>
        <v>8.3000000000000007</v>
      </c>
      <c r="F95" s="39">
        <f>F94-(2*0.6)</f>
        <v>14.8</v>
      </c>
      <c r="G95" s="39">
        <v>681311</v>
      </c>
      <c r="H95" s="39">
        <v>760822</v>
      </c>
      <c r="I95" s="39">
        <v>236468</v>
      </c>
      <c r="J95" s="39">
        <v>359886</v>
      </c>
      <c r="K95" s="39">
        <v>8333</v>
      </c>
      <c r="L95" s="39">
        <v>18</v>
      </c>
      <c r="M95">
        <v>74535373</v>
      </c>
      <c r="N95" s="39">
        <v>25869608</v>
      </c>
      <c r="O95" s="39">
        <v>0.6542</v>
      </c>
      <c r="P95" s="39">
        <v>2</v>
      </c>
      <c r="Q95" s="39">
        <f t="shared" si="2"/>
        <v>73.900000000000006</v>
      </c>
      <c r="R95" s="4" t="str">
        <f>IF('invoer gording'!$B$24="ja 50 jr",'tab gording'!B95,"")</f>
        <v/>
      </c>
    </row>
    <row r="96" spans="1:18" x14ac:dyDescent="0.2">
      <c r="A96" s="4">
        <v>93</v>
      </c>
      <c r="B96" s="4" t="s">
        <v>581</v>
      </c>
      <c r="C96" s="39">
        <f>C94-(2*1.2)</f>
        <v>217.6</v>
      </c>
      <c r="D96" s="39">
        <f>D94-(2*1.2)</f>
        <v>217.6</v>
      </c>
      <c r="E96" s="39">
        <f>E94-(2*1.2)</f>
        <v>7.1</v>
      </c>
      <c r="F96" s="39">
        <f>F94-(2*1.2)</f>
        <v>13.6</v>
      </c>
      <c r="G96" s="39">
        <v>626251</v>
      </c>
      <c r="H96" s="39">
        <v>694171</v>
      </c>
      <c r="I96" s="39">
        <v>214890</v>
      </c>
      <c r="J96" s="39">
        <v>326570</v>
      </c>
      <c r="K96" s="39">
        <v>7557</v>
      </c>
      <c r="L96" s="39">
        <v>18</v>
      </c>
      <c r="M96">
        <v>68136126</v>
      </c>
      <c r="N96" s="39">
        <v>23380080</v>
      </c>
      <c r="O96" s="39">
        <v>0.59319999999999995</v>
      </c>
      <c r="P96" s="39">
        <v>3</v>
      </c>
      <c r="Q96" s="39">
        <f t="shared" si="2"/>
        <v>70.3</v>
      </c>
      <c r="R96" s="4" t="str">
        <f>IF('invoer gording'!$B$24="ja 100 jr",'tab gording'!B96,"")</f>
        <v/>
      </c>
    </row>
    <row r="97" spans="1:18" x14ac:dyDescent="0.2">
      <c r="A97" s="4">
        <v>94</v>
      </c>
      <c r="B97" s="4" t="s">
        <v>582</v>
      </c>
      <c r="C97" s="39">
        <v>240</v>
      </c>
      <c r="D97" s="39">
        <v>240</v>
      </c>
      <c r="E97" s="39">
        <v>10</v>
      </c>
      <c r="F97" s="39">
        <v>17</v>
      </c>
      <c r="G97" s="39">
        <v>938000</v>
      </c>
      <c r="H97" s="39">
        <v>1054000</v>
      </c>
      <c r="I97" s="39">
        <v>327000</v>
      </c>
      <c r="J97" s="39">
        <v>498400</v>
      </c>
      <c r="K97" s="39">
        <v>10600</v>
      </c>
      <c r="L97" s="39">
        <v>21</v>
      </c>
      <c r="M97" s="39">
        <v>112600000</v>
      </c>
      <c r="N97" s="39">
        <v>39230000</v>
      </c>
      <c r="O97" s="39">
        <v>0.83199999999999996</v>
      </c>
      <c r="P97" s="39">
        <v>1</v>
      </c>
      <c r="Q97" s="39">
        <f t="shared" si="2"/>
        <v>86</v>
      </c>
      <c r="R97" s="4" t="str">
        <f>IF('invoer gording'!$B$24="nee",'tab gording'!B97,"")</f>
        <v>HEB 240</v>
      </c>
    </row>
    <row r="98" spans="1:18" x14ac:dyDescent="0.2">
      <c r="A98" s="4">
        <v>95</v>
      </c>
      <c r="B98" s="4" t="str">
        <f>CONCATENATE(B97," corrosie 50 jr.")</f>
        <v>HEB 240 corrosie 50 jr.</v>
      </c>
      <c r="C98" s="39">
        <f>C97-(2*0.6)</f>
        <v>238.8</v>
      </c>
      <c r="D98" s="39">
        <f>D97-(2*0.6)</f>
        <v>238.8</v>
      </c>
      <c r="E98" s="39">
        <f>E97-(2*0.6)</f>
        <v>8.8000000000000007</v>
      </c>
      <c r="F98" s="39">
        <f>F97-(2*0.6)</f>
        <v>15.8</v>
      </c>
      <c r="G98" s="39">
        <v>873632</v>
      </c>
      <c r="H98" s="39">
        <v>974394</v>
      </c>
      <c r="I98" s="39">
        <v>300762</v>
      </c>
      <c r="J98" s="39">
        <v>458094</v>
      </c>
      <c r="K98" s="39">
        <v>9760</v>
      </c>
      <c r="L98" s="39">
        <v>21</v>
      </c>
      <c r="M98" s="39">
        <v>104311669</v>
      </c>
      <c r="N98" s="39">
        <v>35910970</v>
      </c>
      <c r="O98" s="39">
        <v>0.7661</v>
      </c>
      <c r="P98" s="39">
        <v>2</v>
      </c>
      <c r="Q98" s="39">
        <f t="shared" si="2"/>
        <v>82.4</v>
      </c>
      <c r="R98" s="4" t="str">
        <f>IF('invoer gording'!$B$24="ja 50 jr",'tab gording'!B98,"")</f>
        <v/>
      </c>
    </row>
    <row r="99" spans="1:18" x14ac:dyDescent="0.2">
      <c r="A99" s="4">
        <v>96</v>
      </c>
      <c r="B99" s="4" t="s">
        <v>583</v>
      </c>
      <c r="C99" s="39">
        <f>C97-(2*1.2)</f>
        <v>237.6</v>
      </c>
      <c r="D99" s="39">
        <f>D97-(2*1.2)</f>
        <v>237.6</v>
      </c>
      <c r="E99" s="39">
        <f>E97-(2*1.2)</f>
        <v>7.6</v>
      </c>
      <c r="F99" s="39">
        <f>F97-(2*1.2)</f>
        <v>14.6</v>
      </c>
      <c r="G99" s="39">
        <v>807849</v>
      </c>
      <c r="H99" s="39">
        <v>894886</v>
      </c>
      <c r="I99" s="39">
        <v>275102</v>
      </c>
      <c r="J99" s="39">
        <v>418469</v>
      </c>
      <c r="K99" s="39">
        <v>8912</v>
      </c>
      <c r="L99" s="39">
        <v>21</v>
      </c>
      <c r="M99" s="39">
        <v>95972421</v>
      </c>
      <c r="N99" s="39">
        <v>32682089</v>
      </c>
      <c r="O99" s="39">
        <v>0.6996</v>
      </c>
      <c r="P99" s="39">
        <v>3</v>
      </c>
      <c r="Q99" s="39">
        <f t="shared" si="2"/>
        <v>78.8</v>
      </c>
      <c r="R99" s="4" t="str">
        <f>IF('invoer gording'!$B$24="ja 100 jr",'tab gording'!B99,"")</f>
        <v/>
      </c>
    </row>
    <row r="100" spans="1:18" x14ac:dyDescent="0.2">
      <c r="A100" s="4">
        <v>97</v>
      </c>
      <c r="B100" s="4" t="s">
        <v>584</v>
      </c>
      <c r="C100" s="39">
        <v>260</v>
      </c>
      <c r="D100" s="39">
        <v>260</v>
      </c>
      <c r="E100" s="39">
        <v>10</v>
      </c>
      <c r="F100" s="39">
        <v>17.5</v>
      </c>
      <c r="G100" s="39">
        <v>1150000</v>
      </c>
      <c r="H100" s="39">
        <v>1282000</v>
      </c>
      <c r="I100" s="39">
        <v>395000</v>
      </c>
      <c r="J100" s="39">
        <v>602200</v>
      </c>
      <c r="K100" s="39">
        <v>11840</v>
      </c>
      <c r="L100" s="39">
        <v>24</v>
      </c>
      <c r="M100" s="39">
        <v>149200000</v>
      </c>
      <c r="N100" s="39">
        <v>51350000</v>
      </c>
      <c r="O100" s="39">
        <v>0.93</v>
      </c>
      <c r="P100" s="39">
        <v>1</v>
      </c>
      <c r="Q100" s="39">
        <f t="shared" ref="Q100:Q131" si="3">E100+2*L100+2*F100</f>
        <v>93</v>
      </c>
      <c r="R100" s="4" t="str">
        <f>IF('invoer gording'!$B$24="nee",'tab gording'!B100,"")</f>
        <v>HEB 260</v>
      </c>
    </row>
    <row r="101" spans="1:18" x14ac:dyDescent="0.2">
      <c r="A101" s="4">
        <v>98</v>
      </c>
      <c r="B101" s="4" t="str">
        <f>CONCATENATE(B100," corrosie 50 jr.")</f>
        <v>HEB 260 corrosie 50 jr.</v>
      </c>
      <c r="C101" s="39">
        <f>C100-(2*0.6)</f>
        <v>258.8</v>
      </c>
      <c r="D101" s="39">
        <f>D100-(2*0.6)</f>
        <v>258.8</v>
      </c>
      <c r="E101" s="39">
        <f>E100-(2*0.6)</f>
        <v>8.8000000000000007</v>
      </c>
      <c r="F101" s="39">
        <f>F100-(2*0.6)</f>
        <v>16.3</v>
      </c>
      <c r="G101" s="39">
        <v>1071290</v>
      </c>
      <c r="H101" s="39">
        <v>1190390</v>
      </c>
      <c r="I101" s="39">
        <v>364441</v>
      </c>
      <c r="J101" s="39">
        <v>554956</v>
      </c>
      <c r="K101" s="39">
        <v>10912</v>
      </c>
      <c r="L101" s="39">
        <v>24</v>
      </c>
      <c r="M101" s="39">
        <v>138346425</v>
      </c>
      <c r="N101" s="39">
        <v>47163455</v>
      </c>
      <c r="O101" s="39">
        <v>0.85660000000000003</v>
      </c>
      <c r="P101" s="39">
        <v>2</v>
      </c>
      <c r="Q101" s="39">
        <f t="shared" si="3"/>
        <v>89.4</v>
      </c>
      <c r="R101" s="4" t="str">
        <f>IF('invoer gording'!$B$24="ja 50 jr",'tab gording'!B101,"")</f>
        <v/>
      </c>
    </row>
    <row r="102" spans="1:18" x14ac:dyDescent="0.2">
      <c r="A102" s="4">
        <v>99</v>
      </c>
      <c r="B102" s="4" t="s">
        <v>585</v>
      </c>
      <c r="C102" s="39">
        <f>C100-(2*1.2)</f>
        <v>257.60000000000002</v>
      </c>
      <c r="D102" s="39">
        <f>D100-(2*1.2)</f>
        <v>257.60000000000002</v>
      </c>
      <c r="E102" s="39">
        <f>E100-(2*1.2)</f>
        <v>7.6</v>
      </c>
      <c r="F102" s="39">
        <f>F100-(2*1.2)</f>
        <v>15.1</v>
      </c>
      <c r="G102" s="39">
        <v>993381</v>
      </c>
      <c r="H102" s="39">
        <v>1096675</v>
      </c>
      <c r="I102" s="39">
        <v>334490</v>
      </c>
      <c r="J102" s="39">
        <v>509004</v>
      </c>
      <c r="K102" s="39">
        <v>10017</v>
      </c>
      <c r="L102" s="39">
        <v>24</v>
      </c>
      <c r="M102" s="39">
        <v>127947452</v>
      </c>
      <c r="N102" s="39">
        <v>43082319</v>
      </c>
      <c r="O102" s="39">
        <v>0.78639999999999999</v>
      </c>
      <c r="P102" s="39">
        <v>3</v>
      </c>
      <c r="Q102" s="39">
        <f t="shared" si="3"/>
        <v>85.8</v>
      </c>
      <c r="R102" s="4" t="str">
        <f>IF('invoer gording'!$B$24="ja 100 jr",'tab gording'!B102,"")</f>
        <v/>
      </c>
    </row>
    <row r="103" spans="1:18" x14ac:dyDescent="0.2">
      <c r="A103" s="4">
        <v>100</v>
      </c>
      <c r="B103" s="4" t="s">
        <v>586</v>
      </c>
      <c r="C103" s="39">
        <v>280</v>
      </c>
      <c r="D103" s="39">
        <v>280</v>
      </c>
      <c r="E103" s="39">
        <v>10.5</v>
      </c>
      <c r="F103" s="39">
        <v>18</v>
      </c>
      <c r="G103" s="39">
        <v>1380000</v>
      </c>
      <c r="H103" s="39">
        <v>1534000</v>
      </c>
      <c r="I103" s="39">
        <v>471000</v>
      </c>
      <c r="J103" s="39">
        <v>718000</v>
      </c>
      <c r="K103" s="39">
        <v>13140</v>
      </c>
      <c r="L103" s="39">
        <v>24</v>
      </c>
      <c r="M103" s="39">
        <v>192700000</v>
      </c>
      <c r="N103" s="39">
        <v>65950000</v>
      </c>
      <c r="O103" s="39">
        <v>1.0309999999999999</v>
      </c>
      <c r="P103" s="39">
        <v>1</v>
      </c>
      <c r="Q103" s="39">
        <f t="shared" si="3"/>
        <v>94.5</v>
      </c>
      <c r="R103" s="4" t="str">
        <f>IF('invoer gording'!$B$24="nee",'tab gording'!B103,"")</f>
        <v>HEB 280</v>
      </c>
    </row>
    <row r="104" spans="1:18" x14ac:dyDescent="0.2">
      <c r="A104" s="4">
        <v>101</v>
      </c>
      <c r="B104" s="4" t="str">
        <f>CONCATENATE(B103," corrosie 50 jr.")</f>
        <v>HEB 280 corrosie 50 jr.</v>
      </c>
      <c r="C104" s="39">
        <f>C103-(2*0.6)</f>
        <v>278.8</v>
      </c>
      <c r="D104" s="39">
        <f>D103-(2*0.6)</f>
        <v>278.8</v>
      </c>
      <c r="E104" s="39">
        <f>E103-(2*0.6)</f>
        <v>9.3000000000000007</v>
      </c>
      <c r="F104" s="39">
        <f>F103-(2*0.6)</f>
        <v>16.8</v>
      </c>
      <c r="G104" s="39">
        <v>1286999</v>
      </c>
      <c r="H104" s="39">
        <v>1426645</v>
      </c>
      <c r="I104" s="39">
        <v>435855</v>
      </c>
      <c r="J104" s="39">
        <v>663382</v>
      </c>
      <c r="K104" s="39">
        <v>12158</v>
      </c>
      <c r="L104" s="39">
        <v>24</v>
      </c>
      <c r="M104">
        <v>179407584</v>
      </c>
      <c r="N104" s="39">
        <v>60758249</v>
      </c>
      <c r="O104" s="39">
        <v>0.95440000000000003</v>
      </c>
      <c r="P104" s="39">
        <v>2</v>
      </c>
      <c r="Q104" s="39">
        <f t="shared" si="3"/>
        <v>90.9</v>
      </c>
      <c r="R104" s="4" t="str">
        <f>IF('invoer gording'!$B$24="ja 50 jr",'tab gording'!B104,"")</f>
        <v/>
      </c>
    </row>
    <row r="105" spans="1:18" x14ac:dyDescent="0.2">
      <c r="A105" s="4">
        <v>102</v>
      </c>
      <c r="B105" s="4" t="s">
        <v>587</v>
      </c>
      <c r="C105" s="39">
        <f>C103-(2*1.2)</f>
        <v>277.60000000000002</v>
      </c>
      <c r="D105" s="39">
        <f>D103-(2*1.2)</f>
        <v>277.60000000000002</v>
      </c>
      <c r="E105" s="39">
        <f>E103-(2*1.2)</f>
        <v>8.1</v>
      </c>
      <c r="F105" s="39">
        <f>F103-(2*1.2)</f>
        <v>15.6</v>
      </c>
      <c r="G105" s="39">
        <v>1195836</v>
      </c>
      <c r="H105" s="39">
        <v>1317549</v>
      </c>
      <c r="I105" s="39">
        <v>401211</v>
      </c>
      <c r="J105" s="39">
        <v>609970</v>
      </c>
      <c r="K105" s="39">
        <v>11167</v>
      </c>
      <c r="L105" s="39">
        <v>24</v>
      </c>
      <c r="M105">
        <v>165982039</v>
      </c>
      <c r="N105" s="39">
        <v>55688106</v>
      </c>
      <c r="O105" s="39">
        <v>0.87660000000000005</v>
      </c>
      <c r="P105" s="39">
        <v>3</v>
      </c>
      <c r="Q105" s="39">
        <f t="shared" si="3"/>
        <v>87.3</v>
      </c>
      <c r="R105" s="4" t="str">
        <f>IF('invoer gording'!$B$24="ja 100 jr",'tab gording'!B105,"")</f>
        <v/>
      </c>
    </row>
    <row r="106" spans="1:18" x14ac:dyDescent="0.2">
      <c r="A106" s="4">
        <v>103</v>
      </c>
      <c r="B106" s="4" t="s">
        <v>588</v>
      </c>
      <c r="C106" s="39">
        <v>300</v>
      </c>
      <c r="D106" s="39">
        <v>300</v>
      </c>
      <c r="E106" s="39">
        <v>11</v>
      </c>
      <c r="F106" s="39">
        <v>19</v>
      </c>
      <c r="G106" s="39">
        <v>1680000</v>
      </c>
      <c r="H106" s="39">
        <v>1868000</v>
      </c>
      <c r="I106" s="39">
        <v>571000</v>
      </c>
      <c r="J106" s="39">
        <v>870000</v>
      </c>
      <c r="K106" s="39">
        <v>14910</v>
      </c>
      <c r="L106" s="39">
        <v>27</v>
      </c>
      <c r="M106" s="39">
        <v>251700000</v>
      </c>
      <c r="N106" s="39">
        <v>85630000</v>
      </c>
      <c r="O106" s="39">
        <v>1.17</v>
      </c>
      <c r="P106" s="39">
        <v>1</v>
      </c>
      <c r="Q106" s="39">
        <f t="shared" si="3"/>
        <v>103</v>
      </c>
      <c r="R106" s="4" t="str">
        <f>IF('invoer gording'!$B$24="nee",'tab gording'!B106,"")</f>
        <v>HEB 300</v>
      </c>
    </row>
    <row r="107" spans="1:18" x14ac:dyDescent="0.2">
      <c r="A107" s="4">
        <v>104</v>
      </c>
      <c r="B107" s="4" t="str">
        <f>CONCATENATE(B106," corrosie 50 jr.")</f>
        <v>HEB 300 corrosie 50 jr.</v>
      </c>
      <c r="C107" s="39">
        <f>C106-(2*0.6)</f>
        <v>298.8</v>
      </c>
      <c r="D107" s="39">
        <f>D106-(2*0.6)</f>
        <v>298.8</v>
      </c>
      <c r="E107" s="39">
        <f>E106-(2*0.6)</f>
        <v>9.8000000000000007</v>
      </c>
      <c r="F107" s="39">
        <f>F106-(2*0.6)</f>
        <v>17.8</v>
      </c>
      <c r="G107" s="39">
        <v>1575116</v>
      </c>
      <c r="H107" s="39">
        <v>1745173</v>
      </c>
      <c r="I107" s="39">
        <v>530519</v>
      </c>
      <c r="J107" s="39">
        <v>808047</v>
      </c>
      <c r="K107" s="39">
        <v>13862</v>
      </c>
      <c r="L107" s="39">
        <v>27</v>
      </c>
      <c r="M107" s="39">
        <v>235322305</v>
      </c>
      <c r="N107" s="39">
        <v>79259571</v>
      </c>
      <c r="O107" s="39">
        <v>1.0881000000000001</v>
      </c>
      <c r="P107" s="39">
        <v>2</v>
      </c>
      <c r="Q107" s="39">
        <f t="shared" si="3"/>
        <v>99.4</v>
      </c>
      <c r="R107" s="4" t="str">
        <f>IF('invoer gording'!$B$24="ja 50 jr",'tab gording'!B107,"")</f>
        <v/>
      </c>
    </row>
    <row r="108" spans="1:18" x14ac:dyDescent="0.2">
      <c r="A108" s="4">
        <v>105</v>
      </c>
      <c r="B108" s="4" t="s">
        <v>589</v>
      </c>
      <c r="C108" s="39">
        <f>C106-(2*1.2)</f>
        <v>297.60000000000002</v>
      </c>
      <c r="D108" s="39">
        <f>D106-(2*1.2)</f>
        <v>297.60000000000002</v>
      </c>
      <c r="E108" s="39">
        <f>E106-(2*1.2)</f>
        <v>8.6</v>
      </c>
      <c r="F108" s="39">
        <f>F106-(2*1.2)</f>
        <v>16.600000000000001</v>
      </c>
      <c r="G108" s="39">
        <v>1470292</v>
      </c>
      <c r="H108" s="39">
        <v>1619786</v>
      </c>
      <c r="I108" s="39">
        <v>490749</v>
      </c>
      <c r="J108" s="39">
        <v>746721</v>
      </c>
      <c r="K108" s="39">
        <v>12799</v>
      </c>
      <c r="L108" s="39">
        <v>27</v>
      </c>
      <c r="M108" s="39">
        <v>218779397</v>
      </c>
      <c r="N108" s="39">
        <v>73023518</v>
      </c>
      <c r="O108" s="39">
        <v>1.0046999999999999</v>
      </c>
      <c r="P108" s="39">
        <v>3</v>
      </c>
      <c r="Q108" s="39">
        <f t="shared" si="3"/>
        <v>95.800000000000011</v>
      </c>
      <c r="R108" s="4" t="str">
        <f>IF('invoer gording'!$B$24="ja 100 jr",'tab gording'!B108,"")</f>
        <v/>
      </c>
    </row>
    <row r="109" spans="1:18" x14ac:dyDescent="0.2">
      <c r="A109" s="4">
        <v>106</v>
      </c>
      <c r="B109" s="4" t="s">
        <v>590</v>
      </c>
      <c r="C109" s="39">
        <v>320</v>
      </c>
      <c r="D109" s="39">
        <v>300</v>
      </c>
      <c r="E109" s="39">
        <v>11.5</v>
      </c>
      <c r="F109" s="39">
        <v>20.5</v>
      </c>
      <c r="G109" s="39">
        <v>1930000</v>
      </c>
      <c r="H109" s="39">
        <v>2150000</v>
      </c>
      <c r="I109" s="39">
        <v>616000</v>
      </c>
      <c r="J109" s="39">
        <v>940000</v>
      </c>
      <c r="K109" s="39">
        <v>16130</v>
      </c>
      <c r="L109" s="39">
        <v>27</v>
      </c>
      <c r="M109" s="39">
        <v>308200000</v>
      </c>
      <c r="N109" s="39">
        <v>92390000</v>
      </c>
      <c r="O109" s="39">
        <v>1.2669999999999999</v>
      </c>
      <c r="P109" s="39">
        <v>1</v>
      </c>
      <c r="Q109" s="39">
        <f t="shared" si="3"/>
        <v>106.5</v>
      </c>
      <c r="R109" s="4" t="str">
        <f>IF('invoer gording'!$B$24="nee",'tab gording'!B109,"")</f>
        <v>HEB 320</v>
      </c>
    </row>
    <row r="110" spans="1:18" x14ac:dyDescent="0.2">
      <c r="A110" s="4">
        <v>107</v>
      </c>
      <c r="B110" s="4" t="str">
        <f>CONCATENATE(B109," corrosie 50 jr.")</f>
        <v>HEB 320 corrosie 50 jr.</v>
      </c>
      <c r="C110" s="39">
        <f>C109-(2*0.6)</f>
        <v>318.8</v>
      </c>
      <c r="D110" s="39">
        <f>D109-(2*0.6)</f>
        <v>298.8</v>
      </c>
      <c r="E110" s="39">
        <f>E109-(2*0.6)</f>
        <v>10.3</v>
      </c>
      <c r="F110" s="39">
        <f>F109-(2*0.6)</f>
        <v>19.3</v>
      </c>
      <c r="G110" s="39">
        <v>1816030</v>
      </c>
      <c r="H110" s="39">
        <v>2015732</v>
      </c>
      <c r="I110" s="39">
        <v>575217</v>
      </c>
      <c r="J110" s="39">
        <v>876282</v>
      </c>
      <c r="K110" s="39">
        <v>15065</v>
      </c>
      <c r="L110" s="39">
        <v>27</v>
      </c>
      <c r="M110">
        <v>289474782</v>
      </c>
      <c r="N110" s="39">
        <v>85937367</v>
      </c>
      <c r="O110" s="39">
        <v>1.1826000000000001</v>
      </c>
      <c r="P110" s="39">
        <v>2</v>
      </c>
      <c r="Q110" s="39">
        <f t="shared" si="3"/>
        <v>102.9</v>
      </c>
      <c r="R110" s="4" t="str">
        <f>IF('invoer gording'!$B$24="ja 50 jr",'tab gording'!B110,"")</f>
        <v/>
      </c>
    </row>
    <row r="111" spans="1:18" x14ac:dyDescent="0.2">
      <c r="A111" s="4">
        <v>108</v>
      </c>
      <c r="B111" s="4" t="s">
        <v>591</v>
      </c>
      <c r="C111" s="39">
        <f>C109-(2*1.2)</f>
        <v>317.60000000000002</v>
      </c>
      <c r="D111" s="39">
        <f>D109-(2*1.2)</f>
        <v>297.60000000000002</v>
      </c>
      <c r="E111" s="39">
        <f>E109-(2*1.2)</f>
        <v>9.1</v>
      </c>
      <c r="F111" s="39">
        <f>F109-(2*1.2)</f>
        <v>18.100000000000001</v>
      </c>
      <c r="G111" s="39">
        <v>1703241</v>
      </c>
      <c r="H111" s="39">
        <v>1880205</v>
      </c>
      <c r="I111" s="39">
        <v>535080</v>
      </c>
      <c r="J111" s="39">
        <v>814243</v>
      </c>
      <c r="K111" s="39">
        <v>13979</v>
      </c>
      <c r="L111" s="39">
        <v>27</v>
      </c>
      <c r="M111">
        <v>270474611</v>
      </c>
      <c r="N111" s="39">
        <v>79619876</v>
      </c>
      <c r="O111" s="39">
        <v>1.0972999999999999</v>
      </c>
      <c r="P111" s="39">
        <v>3</v>
      </c>
      <c r="Q111" s="39">
        <f t="shared" si="3"/>
        <v>99.300000000000011</v>
      </c>
      <c r="R111" s="4" t="str">
        <f>IF('invoer gording'!$B$24="ja 100 jr",'tab gording'!B111,"")</f>
        <v/>
      </c>
    </row>
    <row r="112" spans="1:18" x14ac:dyDescent="0.2">
      <c r="A112" s="4">
        <v>109</v>
      </c>
      <c r="B112" s="4" t="s">
        <v>592</v>
      </c>
      <c r="C112" s="39">
        <v>340</v>
      </c>
      <c r="D112" s="39">
        <v>300</v>
      </c>
      <c r="E112" s="39">
        <v>12</v>
      </c>
      <c r="F112" s="39">
        <v>21.5</v>
      </c>
      <c r="G112" s="39">
        <v>2160000</v>
      </c>
      <c r="H112" s="39">
        <v>2408000</v>
      </c>
      <c r="I112" s="39">
        <v>646000</v>
      </c>
      <c r="J112" s="39">
        <v>986000</v>
      </c>
      <c r="K112" s="39">
        <v>17090</v>
      </c>
      <c r="L112" s="39">
        <v>27</v>
      </c>
      <c r="M112" s="39">
        <v>366600000</v>
      </c>
      <c r="N112" s="39">
        <v>96900000</v>
      </c>
      <c r="O112" s="39">
        <v>1.3420000000000001</v>
      </c>
      <c r="P112" s="39">
        <v>1</v>
      </c>
      <c r="Q112" s="39">
        <f t="shared" si="3"/>
        <v>109</v>
      </c>
      <c r="R112" s="4" t="str">
        <f>IF('invoer gording'!$B$24="nee",'tab gording'!B112,"")</f>
        <v>HEB 340</v>
      </c>
    </row>
    <row r="113" spans="1:18" x14ac:dyDescent="0.2">
      <c r="A113" s="4">
        <v>110</v>
      </c>
      <c r="B113" s="4" t="str">
        <f>CONCATENATE(B112," corrosie 50 jr.")</f>
        <v>HEB 340 corrosie 50 jr.</v>
      </c>
      <c r="C113" s="39">
        <f>C112-(2*0.6)</f>
        <v>338.8</v>
      </c>
      <c r="D113" s="39">
        <f>D112-(2*0.6)</f>
        <v>298.8</v>
      </c>
      <c r="E113" s="39">
        <f>E112-(2*0.6)</f>
        <v>10.8</v>
      </c>
      <c r="F113" s="39">
        <f>F112-(2*0.6)</f>
        <v>20.3</v>
      </c>
      <c r="G113" s="39">
        <v>2037403</v>
      </c>
      <c r="H113" s="39">
        <v>2264199</v>
      </c>
      <c r="I113" s="39">
        <v>605041</v>
      </c>
      <c r="J113" s="39">
        <v>922348</v>
      </c>
      <c r="K113" s="39">
        <v>15997</v>
      </c>
      <c r="L113" s="39">
        <v>27</v>
      </c>
      <c r="M113">
        <v>345135989</v>
      </c>
      <c r="N113" s="39">
        <v>90393053</v>
      </c>
      <c r="O113" s="39">
        <v>1.2557</v>
      </c>
      <c r="P113" s="39">
        <v>2</v>
      </c>
      <c r="Q113" s="39">
        <f t="shared" si="3"/>
        <v>105.4</v>
      </c>
      <c r="R113" s="4" t="str">
        <f>IF('invoer gording'!$B$24="ja 50 jr",'tab gording'!B113,"")</f>
        <v/>
      </c>
    </row>
    <row r="114" spans="1:18" x14ac:dyDescent="0.2">
      <c r="A114" s="4">
        <v>111</v>
      </c>
      <c r="B114" s="4" t="s">
        <v>593</v>
      </c>
      <c r="C114" s="39">
        <f>C112-(2*1.2)</f>
        <v>337.6</v>
      </c>
      <c r="D114" s="39">
        <f>D112-(2*1.2)</f>
        <v>297.60000000000002</v>
      </c>
      <c r="E114" s="39">
        <f>E112-(2*1.2)</f>
        <v>9.6</v>
      </c>
      <c r="F114" s="39">
        <f>F112-(2*1.2)</f>
        <v>19.100000000000001</v>
      </c>
      <c r="G114" s="39">
        <v>1916068</v>
      </c>
      <c r="H114" s="39">
        <v>2118130</v>
      </c>
      <c r="I114" s="39">
        <v>564655</v>
      </c>
      <c r="J114" s="39">
        <v>859760</v>
      </c>
      <c r="K114" s="39">
        <v>14888</v>
      </c>
      <c r="L114" s="39">
        <v>27</v>
      </c>
      <c r="M114">
        <v>323432302</v>
      </c>
      <c r="N114" s="39">
        <v>84020630</v>
      </c>
      <c r="O114" s="39">
        <v>1.1687000000000001</v>
      </c>
      <c r="P114" s="39">
        <v>3</v>
      </c>
      <c r="Q114" s="39">
        <f t="shared" si="3"/>
        <v>101.80000000000001</v>
      </c>
      <c r="R114" s="4" t="str">
        <f>IF('invoer gording'!$B$24="ja 100 jr",'tab gording'!B114,"")</f>
        <v/>
      </c>
    </row>
    <row r="115" spans="1:18" x14ac:dyDescent="0.2">
      <c r="A115" s="4">
        <v>112</v>
      </c>
      <c r="B115" s="4" t="s">
        <v>594</v>
      </c>
      <c r="C115" s="39">
        <v>360</v>
      </c>
      <c r="D115" s="39">
        <v>300</v>
      </c>
      <c r="E115" s="39">
        <v>12.5</v>
      </c>
      <c r="F115" s="39">
        <v>22.5</v>
      </c>
      <c r="G115" s="39">
        <v>2400000</v>
      </c>
      <c r="H115" s="39">
        <v>2682000</v>
      </c>
      <c r="I115" s="39">
        <v>676000</v>
      </c>
      <c r="J115" s="39">
        <v>1032000</v>
      </c>
      <c r="K115" s="39">
        <v>18060</v>
      </c>
      <c r="L115" s="39">
        <v>27</v>
      </c>
      <c r="M115" s="39">
        <v>431900000</v>
      </c>
      <c r="N115" s="39">
        <v>101400000</v>
      </c>
      <c r="O115" s="39">
        <v>1.4179999999999999</v>
      </c>
      <c r="P115" s="39">
        <v>1</v>
      </c>
      <c r="Q115" s="39">
        <f t="shared" si="3"/>
        <v>111.5</v>
      </c>
      <c r="R115" s="4" t="str">
        <f>IF('invoer gording'!$B$24="nee",'tab gording'!B115,"")</f>
        <v>HEB 360</v>
      </c>
    </row>
    <row r="116" spans="1:18" x14ac:dyDescent="0.2">
      <c r="A116" s="4">
        <v>113</v>
      </c>
      <c r="B116" s="4" t="str">
        <f>CONCATENATE(B115," corrosie 50 jr.")</f>
        <v>HEB 360 corrosie 50 jr.</v>
      </c>
      <c r="C116" s="39">
        <f>C115-(2*0.6)</f>
        <v>358.8</v>
      </c>
      <c r="D116" s="39">
        <f>D115-(2*0.6)</f>
        <v>298.8</v>
      </c>
      <c r="E116" s="39">
        <f>E115-(2*0.6)</f>
        <v>11.3</v>
      </c>
      <c r="F116" s="39">
        <f>F115-(2*0.6)</f>
        <v>21.3</v>
      </c>
      <c r="G116" s="39">
        <v>2272220</v>
      </c>
      <c r="H116" s="39">
        <v>2528453</v>
      </c>
      <c r="I116" s="39">
        <v>634871</v>
      </c>
      <c r="J116" s="39">
        <v>968548</v>
      </c>
      <c r="K116" s="39">
        <v>16947</v>
      </c>
      <c r="L116" s="39">
        <v>27</v>
      </c>
      <c r="M116">
        <v>407636186</v>
      </c>
      <c r="N116" s="39">
        <v>94849748</v>
      </c>
      <c r="O116" s="39">
        <v>1.6947000000000001</v>
      </c>
      <c r="P116" s="39">
        <v>2</v>
      </c>
      <c r="Q116" s="39">
        <f t="shared" si="3"/>
        <v>107.9</v>
      </c>
      <c r="R116" s="4" t="str">
        <f>IF('invoer gording'!$B$24="ja 50 jr",'tab gording'!B116,"")</f>
        <v/>
      </c>
    </row>
    <row r="117" spans="1:18" x14ac:dyDescent="0.2">
      <c r="A117" s="4">
        <v>114</v>
      </c>
      <c r="B117" s="4" t="s">
        <v>595</v>
      </c>
      <c r="C117" s="39">
        <f>C115-(2*1.2)</f>
        <v>357.6</v>
      </c>
      <c r="D117" s="39">
        <f>D115-(2*1.2)</f>
        <v>297.60000000000002</v>
      </c>
      <c r="E117" s="39">
        <f>E115-(2*1.2)</f>
        <v>10.1</v>
      </c>
      <c r="F117" s="39">
        <f>F115-(2*1.2)</f>
        <v>20.100000000000001</v>
      </c>
      <c r="G117" s="39">
        <v>2142189</v>
      </c>
      <c r="H117" s="39">
        <v>2371611</v>
      </c>
      <c r="I117" s="39">
        <v>594235</v>
      </c>
      <c r="J117" s="39">
        <v>905400</v>
      </c>
      <c r="K117" s="39">
        <v>15814</v>
      </c>
      <c r="L117" s="39">
        <v>27</v>
      </c>
      <c r="M117">
        <v>383023488</v>
      </c>
      <c r="N117" s="39">
        <v>88422239</v>
      </c>
      <c r="O117" s="39">
        <v>1.5841000000000001</v>
      </c>
      <c r="P117" s="39">
        <v>3</v>
      </c>
      <c r="Q117" s="39">
        <f t="shared" si="3"/>
        <v>104.3</v>
      </c>
      <c r="R117" s="4" t="str">
        <f>IF('invoer gording'!$B$24="ja 100 jr",'tab gording'!B117,"")</f>
        <v/>
      </c>
    </row>
    <row r="118" spans="1:18" x14ac:dyDescent="0.2">
      <c r="A118" s="4">
        <v>115</v>
      </c>
      <c r="B118" s="4" t="s">
        <v>596</v>
      </c>
      <c r="C118" s="39">
        <v>400</v>
      </c>
      <c r="D118" s="39">
        <v>300</v>
      </c>
      <c r="E118" s="39">
        <v>13.5</v>
      </c>
      <c r="F118" s="39">
        <v>24</v>
      </c>
      <c r="G118" s="39">
        <v>2880000</v>
      </c>
      <c r="H118" s="39">
        <v>3232000</v>
      </c>
      <c r="I118" s="39">
        <v>721000</v>
      </c>
      <c r="J118" s="39">
        <v>1104000</v>
      </c>
      <c r="K118" s="39">
        <v>19780</v>
      </c>
      <c r="L118" s="39">
        <v>27</v>
      </c>
      <c r="M118" s="39">
        <v>576800000</v>
      </c>
      <c r="N118" s="39">
        <v>108200000</v>
      </c>
      <c r="O118" s="39">
        <v>1.5529999999999999</v>
      </c>
      <c r="P118" s="39">
        <v>1</v>
      </c>
      <c r="Q118" s="39">
        <f t="shared" si="3"/>
        <v>115.5</v>
      </c>
      <c r="R118" s="4" t="str">
        <f>IF('invoer gording'!$B$24="nee",'tab gording'!B118,"")</f>
        <v>HEB 400</v>
      </c>
    </row>
    <row r="119" spans="1:18" x14ac:dyDescent="0.2">
      <c r="A119" s="4">
        <v>116</v>
      </c>
      <c r="B119" s="4" t="str">
        <f>CONCATENATE(B118," corrosie 50 jr.")</f>
        <v>HEB 400 corrosie 50 jr.</v>
      </c>
      <c r="C119" s="39">
        <f>C118-(2*0.6)</f>
        <v>398.8</v>
      </c>
      <c r="D119" s="39">
        <f>D118-(2*0.6)</f>
        <v>298.8</v>
      </c>
      <c r="E119" s="39">
        <f>E118-(2*0.6)</f>
        <v>12.3</v>
      </c>
      <c r="F119" s="39">
        <f>F118-(2*0.6)</f>
        <v>22.8</v>
      </c>
      <c r="G119" s="39">
        <v>2738627</v>
      </c>
      <c r="H119" s="39">
        <v>3055096</v>
      </c>
      <c r="I119" s="39">
        <v>679676</v>
      </c>
      <c r="J119" s="39">
        <v>1039097</v>
      </c>
      <c r="K119" s="39">
        <v>18615</v>
      </c>
      <c r="L119" s="39">
        <v>27</v>
      </c>
      <c r="M119">
        <v>546082283</v>
      </c>
      <c r="N119" s="39">
        <v>101543590</v>
      </c>
      <c r="O119" s="39">
        <v>1.8614999999999999</v>
      </c>
      <c r="P119" s="39">
        <v>2</v>
      </c>
      <c r="Q119" s="39">
        <f t="shared" si="3"/>
        <v>111.9</v>
      </c>
      <c r="R119" s="4" t="str">
        <f>IF('invoer gording'!$B$24="ja 50 jr",'tab gording'!B119,"")</f>
        <v/>
      </c>
    </row>
    <row r="120" spans="1:18" x14ac:dyDescent="0.2">
      <c r="A120" s="4">
        <v>117</v>
      </c>
      <c r="B120" s="4" t="s">
        <v>597</v>
      </c>
      <c r="C120" s="39">
        <f>C118-(2*1.2)</f>
        <v>397.6</v>
      </c>
      <c r="D120" s="39">
        <f>D118-(2*1.2)</f>
        <v>297.60000000000002</v>
      </c>
      <c r="E120" s="39">
        <f>E118-(2*1.2)</f>
        <v>11.1</v>
      </c>
      <c r="F120" s="39">
        <f>F118-(2*1.2)</f>
        <v>21.6</v>
      </c>
      <c r="G120" s="39">
        <v>2590325</v>
      </c>
      <c r="H120" s="39">
        <v>2875850</v>
      </c>
      <c r="I120" s="39">
        <v>638656</v>
      </c>
      <c r="J120" s="39">
        <v>974969</v>
      </c>
      <c r="K120" s="39">
        <v>17435</v>
      </c>
      <c r="L120" s="39">
        <v>27</v>
      </c>
      <c r="M120">
        <v>514956697</v>
      </c>
      <c r="N120" s="39">
        <v>95032052</v>
      </c>
      <c r="O120" s="39">
        <v>1.3687</v>
      </c>
      <c r="P120" s="39">
        <v>3</v>
      </c>
      <c r="Q120" s="39">
        <f t="shared" si="3"/>
        <v>108.3</v>
      </c>
      <c r="R120" s="4" t="str">
        <f>IF('invoer gording'!$B$24="ja 100 jr",'tab gording'!B120,"")</f>
        <v/>
      </c>
    </row>
    <row r="121" spans="1:18" x14ac:dyDescent="0.2">
      <c r="A121" s="4">
        <v>118</v>
      </c>
      <c r="B121" s="4" t="s">
        <v>598</v>
      </c>
      <c r="C121" s="39">
        <v>450</v>
      </c>
      <c r="D121" s="39">
        <v>300</v>
      </c>
      <c r="E121" s="39">
        <v>14</v>
      </c>
      <c r="F121" s="39">
        <v>26</v>
      </c>
      <c r="G121" s="39">
        <v>3550000</v>
      </c>
      <c r="H121" s="39">
        <v>3982000</v>
      </c>
      <c r="I121" s="39">
        <v>781000</v>
      </c>
      <c r="J121" s="39">
        <v>1198000</v>
      </c>
      <c r="K121" s="39">
        <v>21800</v>
      </c>
      <c r="L121" s="39">
        <v>27</v>
      </c>
      <c r="M121" s="39">
        <v>798900000</v>
      </c>
      <c r="N121" s="39">
        <v>117200000</v>
      </c>
      <c r="O121" s="39">
        <v>1.7110000000000001</v>
      </c>
      <c r="P121" s="39">
        <v>1</v>
      </c>
      <c r="Q121" s="39">
        <f t="shared" si="3"/>
        <v>120</v>
      </c>
      <c r="R121" s="4" t="str">
        <f>IF('invoer gording'!$B$24="nee",'tab gording'!B121,"")</f>
        <v>HEB 450</v>
      </c>
    </row>
    <row r="122" spans="1:18" x14ac:dyDescent="0.2">
      <c r="A122" s="4">
        <v>119</v>
      </c>
      <c r="B122" s="4" t="str">
        <f>CONCATENATE(B121," corrosie 50 jr.")</f>
        <v>HEB 450 corrosie 50 jr.</v>
      </c>
      <c r="C122" s="39">
        <f>C121-(2*0.6)</f>
        <v>448.8</v>
      </c>
      <c r="D122" s="39">
        <f>D121-(2*0.6)</f>
        <v>298.8</v>
      </c>
      <c r="E122" s="39">
        <f>E121-(2*0.6)</f>
        <v>12.8</v>
      </c>
      <c r="F122" s="39">
        <f>F121-(2*0.6)</f>
        <v>24.8</v>
      </c>
      <c r="G122" s="39">
        <v>3381748</v>
      </c>
      <c r="H122" s="39">
        <v>3776666</v>
      </c>
      <c r="I122" s="39">
        <v>739324</v>
      </c>
      <c r="J122" s="39">
        <v>1131532</v>
      </c>
      <c r="K122" s="39">
        <v>20575</v>
      </c>
      <c r="L122" s="39">
        <v>27</v>
      </c>
      <c r="M122">
        <v>758864174</v>
      </c>
      <c r="N122" s="39">
        <v>110455019</v>
      </c>
      <c r="O122" s="39">
        <v>1.6151</v>
      </c>
      <c r="P122" s="39">
        <v>2</v>
      </c>
      <c r="Q122" s="39">
        <f t="shared" si="3"/>
        <v>116.4</v>
      </c>
      <c r="R122" s="4" t="str">
        <f>IF('invoer gording'!$B$24="ja 50 jr",'tab gording'!B122,"")</f>
        <v/>
      </c>
    </row>
    <row r="123" spans="1:18" x14ac:dyDescent="0.2">
      <c r="A123" s="4">
        <v>120</v>
      </c>
      <c r="B123" s="4" t="s">
        <v>599</v>
      </c>
      <c r="C123" s="39">
        <f>C121-(2*1.2)</f>
        <v>447.6</v>
      </c>
      <c r="D123" s="39">
        <f>D121-(2*1.2)</f>
        <v>297.60000000000002</v>
      </c>
      <c r="E123" s="39">
        <f>E121-(2*1.2)</f>
        <v>11.6</v>
      </c>
      <c r="F123" s="39">
        <f>F121-(2*1.2)</f>
        <v>23.6</v>
      </c>
      <c r="G123" s="39">
        <v>2925017</v>
      </c>
      <c r="H123" s="39">
        <v>3267798</v>
      </c>
      <c r="I123" s="39">
        <v>697804</v>
      </c>
      <c r="J123" s="39">
        <v>866168</v>
      </c>
      <c r="K123" s="39">
        <v>17920</v>
      </c>
      <c r="L123" s="39">
        <v>27</v>
      </c>
      <c r="M123">
        <v>654618895</v>
      </c>
      <c r="N123" s="39">
        <v>75535303</v>
      </c>
      <c r="O123" s="39">
        <v>1.4067000000000001</v>
      </c>
      <c r="P123" s="39">
        <v>3</v>
      </c>
      <c r="Q123" s="39">
        <f t="shared" si="3"/>
        <v>112.8</v>
      </c>
      <c r="R123" s="4" t="str">
        <f>IF('invoer gording'!$B$24="ja 100 jr",'tab gording'!B123,"")</f>
        <v/>
      </c>
    </row>
    <row r="124" spans="1:18" x14ac:dyDescent="0.2">
      <c r="A124" s="4">
        <v>121</v>
      </c>
      <c r="B124" s="4" t="s">
        <v>95</v>
      </c>
      <c r="C124" s="39">
        <v>500</v>
      </c>
      <c r="D124" s="39">
        <v>300</v>
      </c>
      <c r="E124" s="39">
        <v>14.5</v>
      </c>
      <c r="F124" s="39">
        <v>28</v>
      </c>
      <c r="G124" s="39">
        <v>4290000</v>
      </c>
      <c r="H124" s="39">
        <v>4814000</v>
      </c>
      <c r="I124" s="39">
        <v>842000</v>
      </c>
      <c r="J124" s="39">
        <v>1292000</v>
      </c>
      <c r="K124" s="39">
        <v>23860</v>
      </c>
      <c r="L124" s="39">
        <v>27</v>
      </c>
      <c r="M124" s="39">
        <v>1072000000</v>
      </c>
      <c r="N124" s="39">
        <v>126200000</v>
      </c>
      <c r="O124" s="39">
        <v>1.873</v>
      </c>
      <c r="P124" s="39">
        <v>1</v>
      </c>
      <c r="Q124" s="39">
        <f t="shared" si="3"/>
        <v>124.5</v>
      </c>
      <c r="R124" s="4" t="str">
        <f>IF('invoer gording'!$B$24="nee",'tab gording'!B124,"")</f>
        <v>HEB 500</v>
      </c>
    </row>
    <row r="125" spans="1:18" x14ac:dyDescent="0.2">
      <c r="A125" s="4">
        <v>122</v>
      </c>
      <c r="B125" s="4" t="str">
        <f>CONCATENATE(B124," corrosie 50 jr.")</f>
        <v>HEB 500 corrosie 50 jr.</v>
      </c>
      <c r="C125" s="39">
        <f>C124-(2*0.6)</f>
        <v>498.8</v>
      </c>
      <c r="D125" s="39">
        <f>D124-(2*0.6)</f>
        <v>298.8</v>
      </c>
      <c r="E125" s="39">
        <f>E124-(2*0.6)</f>
        <v>13.3</v>
      </c>
      <c r="F125" s="39">
        <f>F124-(2*0.6)</f>
        <v>26.8</v>
      </c>
      <c r="G125" s="39">
        <v>4093837</v>
      </c>
      <c r="H125" s="39">
        <v>4578329</v>
      </c>
      <c r="I125" s="39">
        <v>798934</v>
      </c>
      <c r="J125" s="39">
        <v>1223864</v>
      </c>
      <c r="K125" s="39">
        <v>22582</v>
      </c>
      <c r="L125" s="39">
        <v>27</v>
      </c>
      <c r="M125" s="39">
        <v>1019709645</v>
      </c>
      <c r="N125" s="39">
        <v>119369052</v>
      </c>
      <c r="O125" s="39">
        <v>1.7704</v>
      </c>
      <c r="P125" s="39">
        <v>2</v>
      </c>
      <c r="Q125" s="39">
        <f t="shared" si="3"/>
        <v>120.9</v>
      </c>
      <c r="R125" s="4" t="str">
        <f>IF('invoer gording'!$B$24="ja 50 jr",'tab gording'!B125,"")</f>
        <v/>
      </c>
    </row>
    <row r="126" spans="1:18" x14ac:dyDescent="0.2">
      <c r="A126" s="4">
        <v>123</v>
      </c>
      <c r="B126" s="4" t="s">
        <v>600</v>
      </c>
      <c r="C126" s="39">
        <f>C124-(2*1.2)</f>
        <v>497.6</v>
      </c>
      <c r="D126" s="39">
        <f>D124-(2*1.2)</f>
        <v>297.60000000000002</v>
      </c>
      <c r="E126" s="39">
        <f>E124-(2*1.2)</f>
        <v>12.1</v>
      </c>
      <c r="F126" s="39">
        <f>F124-(2*1.2)</f>
        <v>25.6</v>
      </c>
      <c r="G126" s="39">
        <v>3897022</v>
      </c>
      <c r="H126" s="39">
        <v>4338752</v>
      </c>
      <c r="I126" s="39">
        <v>756967</v>
      </c>
      <c r="J126" s="39">
        <v>1157846</v>
      </c>
      <c r="K126" s="39">
        <v>21284</v>
      </c>
      <c r="L126" s="39">
        <v>27</v>
      </c>
      <c r="M126" s="39">
        <v>969579097</v>
      </c>
      <c r="N126" s="39">
        <v>112636715</v>
      </c>
      <c r="O126" s="39">
        <v>1.6708000000000001</v>
      </c>
      <c r="P126" s="39">
        <v>3</v>
      </c>
      <c r="Q126" s="39">
        <f t="shared" si="3"/>
        <v>117.3</v>
      </c>
      <c r="R126" s="4" t="str">
        <f>IF('invoer gording'!$B$24="ja 100 jr",'tab gording'!B126,"")</f>
        <v/>
      </c>
    </row>
    <row r="127" spans="1:18" x14ac:dyDescent="0.2">
      <c r="A127" s="4">
        <v>124</v>
      </c>
      <c r="B127" s="4" t="s">
        <v>601</v>
      </c>
      <c r="C127" s="39">
        <v>550</v>
      </c>
      <c r="D127" s="39">
        <v>300</v>
      </c>
      <c r="E127" s="39">
        <v>15</v>
      </c>
      <c r="F127" s="39">
        <v>29</v>
      </c>
      <c r="G127" s="39">
        <v>4970000</v>
      </c>
      <c r="H127" s="39">
        <v>5590000</v>
      </c>
      <c r="I127" s="39">
        <v>872000</v>
      </c>
      <c r="J127" s="39">
        <v>1342000</v>
      </c>
      <c r="K127" s="39">
        <v>25410</v>
      </c>
      <c r="L127" s="39">
        <v>27</v>
      </c>
      <c r="M127" s="39">
        <v>1366999900</v>
      </c>
      <c r="N127" s="39">
        <v>130800000</v>
      </c>
      <c r="O127" s="39">
        <v>1.994</v>
      </c>
      <c r="P127" s="39">
        <v>1</v>
      </c>
      <c r="Q127" s="39">
        <f t="shared" si="3"/>
        <v>127</v>
      </c>
      <c r="R127" s="4" t="str">
        <f>IF('invoer gording'!$B$24="nee",'tab gording'!B127,"")</f>
        <v>HEB 550</v>
      </c>
    </row>
    <row r="128" spans="1:18" x14ac:dyDescent="0.2">
      <c r="A128" s="4">
        <v>125</v>
      </c>
      <c r="B128" s="4" t="str">
        <f>CONCATENATE(B127," corrosie 50 jr.")</f>
        <v>HEB 550 corrosie 50 jr.</v>
      </c>
      <c r="C128" s="39">
        <f>C127-(2*0.6)</f>
        <v>548.79999999999995</v>
      </c>
      <c r="D128" s="39">
        <f>D127-(2*0.6)</f>
        <v>298.8</v>
      </c>
      <c r="E128" s="39">
        <f>E127-(2*0.6)</f>
        <v>13.8</v>
      </c>
      <c r="F128" s="39">
        <f>F127-(2*0.6)</f>
        <v>27.8</v>
      </c>
      <c r="G128" s="39">
        <v>4751180</v>
      </c>
      <c r="H128" s="39">
        <v>5322042</v>
      </c>
      <c r="I128" s="39">
        <v>828917</v>
      </c>
      <c r="J128" s="39">
        <v>1272906</v>
      </c>
      <c r="K128" s="39">
        <v>24064</v>
      </c>
      <c r="L128" s="39">
        <v>27</v>
      </c>
      <c r="M128">
        <v>1303723777</v>
      </c>
      <c r="N128" s="39">
        <v>123840165</v>
      </c>
      <c r="O128" s="39">
        <v>1.8891</v>
      </c>
      <c r="P128" s="39">
        <v>2</v>
      </c>
      <c r="Q128" s="39">
        <f t="shared" si="3"/>
        <v>123.4</v>
      </c>
      <c r="R128" s="4" t="str">
        <f>IF('invoer gording'!$B$24="ja 50 jr",'tab gording'!B128,"")</f>
        <v/>
      </c>
    </row>
    <row r="129" spans="1:18" x14ac:dyDescent="0.2">
      <c r="A129" s="4">
        <v>126</v>
      </c>
      <c r="B129" s="4" t="s">
        <v>602</v>
      </c>
      <c r="C129" s="39">
        <f>C127-(2*1.2)</f>
        <v>547.6</v>
      </c>
      <c r="D129" s="39">
        <f>D127-(2*1.2)</f>
        <v>297.60000000000002</v>
      </c>
      <c r="E129" s="39">
        <f>E127-(2*1.2)</f>
        <v>12.6</v>
      </c>
      <c r="F129" s="39">
        <f>F127-(2*1.2)</f>
        <v>26.6</v>
      </c>
      <c r="G129" s="39">
        <v>4527767</v>
      </c>
      <c r="H129" s="39">
        <v>5049748</v>
      </c>
      <c r="I129" s="39">
        <v>786627</v>
      </c>
      <c r="J129" s="39">
        <v>1205574</v>
      </c>
      <c r="K129" s="39">
        <v>22707</v>
      </c>
      <c r="L129" s="39">
        <v>27</v>
      </c>
      <c r="M129">
        <v>1239702418</v>
      </c>
      <c r="N129" s="39">
        <v>117050063</v>
      </c>
      <c r="O129" s="39">
        <v>1.7825</v>
      </c>
      <c r="P129" s="39">
        <v>3</v>
      </c>
      <c r="Q129" s="39">
        <f t="shared" si="3"/>
        <v>119.8</v>
      </c>
      <c r="R129" s="4" t="str">
        <f>IF('invoer gording'!$B$24="ja 100 jr",'tab gording'!B129,"")</f>
        <v/>
      </c>
    </row>
    <row r="130" spans="1:18" x14ac:dyDescent="0.2">
      <c r="A130" s="4">
        <v>127</v>
      </c>
      <c r="B130" s="4" t="s">
        <v>92</v>
      </c>
      <c r="C130" s="39">
        <v>600</v>
      </c>
      <c r="D130" s="39">
        <v>300</v>
      </c>
      <c r="E130" s="39">
        <v>15.5</v>
      </c>
      <c r="F130" s="39">
        <v>30</v>
      </c>
      <c r="G130" s="39">
        <v>5700000</v>
      </c>
      <c r="H130" s="39">
        <v>6426000</v>
      </c>
      <c r="I130" s="39">
        <v>902000</v>
      </c>
      <c r="J130" s="39">
        <v>1392000</v>
      </c>
      <c r="K130" s="39">
        <v>27000</v>
      </c>
      <c r="L130" s="39">
        <v>27</v>
      </c>
      <c r="M130" s="39">
        <v>1710000000</v>
      </c>
      <c r="N130" s="39">
        <v>135300000</v>
      </c>
      <c r="O130" s="39">
        <v>2.1190000000000002</v>
      </c>
      <c r="P130" s="39">
        <v>1</v>
      </c>
      <c r="Q130" s="39">
        <f t="shared" si="3"/>
        <v>129.5</v>
      </c>
      <c r="R130" s="4" t="str">
        <f>IF('invoer gording'!$B$24="nee",'tab gording'!B130,"")</f>
        <v>HEB 600</v>
      </c>
    </row>
    <row r="131" spans="1:18" x14ac:dyDescent="0.2">
      <c r="A131" s="4">
        <v>128</v>
      </c>
      <c r="B131" s="4" t="str">
        <f>CONCATENATE(B130," corrosie 50 jr.")</f>
        <v>HEB 600 corrosie 50 jr.</v>
      </c>
      <c r="C131" s="39">
        <f>C130-(2*0.6)</f>
        <v>598.79999999999995</v>
      </c>
      <c r="D131" s="39">
        <f>D130-(2*0.6)</f>
        <v>298.8</v>
      </c>
      <c r="E131" s="39">
        <f>E130-(2*0.6)</f>
        <v>14.3</v>
      </c>
      <c r="F131" s="39">
        <f>F130-(2*0.6)</f>
        <v>28.8</v>
      </c>
      <c r="G131" s="39">
        <v>5454792</v>
      </c>
      <c r="H131" s="39">
        <v>6122768</v>
      </c>
      <c r="I131" s="39">
        <v>858865</v>
      </c>
      <c r="J131" s="39">
        <v>1321890</v>
      </c>
      <c r="K131" s="39">
        <v>25595</v>
      </c>
      <c r="L131" s="39">
        <v>27</v>
      </c>
      <c r="M131">
        <v>1633164565</v>
      </c>
      <c r="N131" s="39">
        <v>128314426</v>
      </c>
      <c r="O131" s="39">
        <v>2.0091999999999999</v>
      </c>
      <c r="P131" s="39">
        <v>2</v>
      </c>
      <c r="Q131" s="39">
        <f t="shared" si="3"/>
        <v>125.9</v>
      </c>
      <c r="R131" s="4" t="str">
        <f>IF('invoer gording'!$B$24="ja 50 jr",'tab gording'!B131,"")</f>
        <v/>
      </c>
    </row>
    <row r="132" spans="1:18" x14ac:dyDescent="0.2">
      <c r="A132" s="4">
        <v>129</v>
      </c>
      <c r="B132" s="4" t="s">
        <v>603</v>
      </c>
      <c r="C132" s="39">
        <f>C130-(2*1.2)</f>
        <v>597.6</v>
      </c>
      <c r="D132" s="39">
        <f>D130-(2*1.2)</f>
        <v>297.60000000000002</v>
      </c>
      <c r="E132" s="39">
        <f>E130-(2*1.2)</f>
        <v>13.1</v>
      </c>
      <c r="F132" s="39">
        <f>F130-(2*1.2)</f>
        <v>27.6</v>
      </c>
      <c r="G132" s="39">
        <v>5203805</v>
      </c>
      <c r="H132" s="39">
        <v>5816289</v>
      </c>
      <c r="I132" s="39">
        <v>816305</v>
      </c>
      <c r="J132" s="39">
        <v>1253665</v>
      </c>
      <c r="K132" s="39">
        <v>24178</v>
      </c>
      <c r="L132" s="39">
        <v>27</v>
      </c>
      <c r="M132">
        <v>1554897004</v>
      </c>
      <c r="N132" s="39">
        <v>121466176</v>
      </c>
      <c r="O132" s="39">
        <v>1.8979999999999999</v>
      </c>
      <c r="P132" s="39">
        <v>3</v>
      </c>
      <c r="Q132" s="39">
        <f t="shared" ref="Q132:Q147" si="4">E132+2*L132+2*F132</f>
        <v>122.3</v>
      </c>
      <c r="R132" s="4" t="str">
        <f>IF('invoer gording'!$B$24="ja 100 jr",'tab gording'!B132,"")</f>
        <v/>
      </c>
    </row>
    <row r="133" spans="1:18" x14ac:dyDescent="0.2">
      <c r="A133" s="4">
        <v>130</v>
      </c>
      <c r="B133" s="4" t="s">
        <v>604</v>
      </c>
      <c r="C133" s="39">
        <v>650</v>
      </c>
      <c r="D133" s="39">
        <v>300</v>
      </c>
      <c r="E133" s="39">
        <v>16</v>
      </c>
      <c r="F133" s="39">
        <v>31</v>
      </c>
      <c r="G133" s="39">
        <v>6480000</v>
      </c>
      <c r="H133" s="39">
        <v>7320000</v>
      </c>
      <c r="I133" s="39">
        <v>932000</v>
      </c>
      <c r="J133" s="39">
        <v>1442000</v>
      </c>
      <c r="K133" s="39">
        <v>28630</v>
      </c>
      <c r="L133" s="39">
        <v>27</v>
      </c>
      <c r="M133" s="39">
        <v>2106000000</v>
      </c>
      <c r="N133" s="39">
        <v>139800000</v>
      </c>
      <c r="O133" s="39">
        <v>2.2480000000000002</v>
      </c>
      <c r="P133" s="39">
        <v>1</v>
      </c>
      <c r="Q133" s="39">
        <f t="shared" si="4"/>
        <v>132</v>
      </c>
      <c r="R133" s="4" t="str">
        <f>IF('invoer gording'!$B$24="nee",'tab gording'!B133,"")</f>
        <v>HEB 650</v>
      </c>
    </row>
    <row r="134" spans="1:18" x14ac:dyDescent="0.2">
      <c r="A134" s="4">
        <v>131</v>
      </c>
      <c r="B134" s="4" t="str">
        <f>CONCATENATE(B133," corrosie 50 jr.")</f>
        <v>HEB 650 corrosie 50 jr.</v>
      </c>
      <c r="C134" s="39">
        <f>C133-(2*0.6)</f>
        <v>648.79999999999995</v>
      </c>
      <c r="D134" s="39">
        <f>D133-(2*0.6)</f>
        <v>298.8</v>
      </c>
      <c r="E134" s="39">
        <f>E133-(2*0.6)</f>
        <v>14.8</v>
      </c>
      <c r="F134" s="39">
        <f>F133-(2*0.6)</f>
        <v>29.8</v>
      </c>
      <c r="G134" s="39">
        <v>6205763</v>
      </c>
      <c r="H134" s="39">
        <v>6982242</v>
      </c>
      <c r="I134" s="39">
        <v>888837</v>
      </c>
      <c r="J134" s="39">
        <v>1371290</v>
      </c>
      <c r="K134" s="39">
        <v>27174</v>
      </c>
      <c r="L134" s="39">
        <v>27</v>
      </c>
      <c r="M134">
        <v>2013149611</v>
      </c>
      <c r="N134" s="39">
        <v>132792259</v>
      </c>
      <c r="O134" s="39">
        <v>2.1331000000000002</v>
      </c>
      <c r="P134" s="39">
        <v>2</v>
      </c>
      <c r="Q134" s="39">
        <f t="shared" si="4"/>
        <v>128.4</v>
      </c>
      <c r="R134" s="4" t="str">
        <f>IF('invoer gording'!$B$24="ja 50 jr",'tab gording'!B134,"")</f>
        <v/>
      </c>
    </row>
    <row r="135" spans="1:18" x14ac:dyDescent="0.2">
      <c r="A135" s="4">
        <v>132</v>
      </c>
      <c r="B135" s="4" t="s">
        <v>605</v>
      </c>
      <c r="C135" s="39">
        <f>C133-(2*1.2)</f>
        <v>647.6</v>
      </c>
      <c r="D135" s="39">
        <f>D133-(2*1.2)</f>
        <v>297.60000000000002</v>
      </c>
      <c r="E135" s="39">
        <f>E133-(2*1.2)</f>
        <v>13.6</v>
      </c>
      <c r="F135" s="39">
        <f>F133-(2*1.2)</f>
        <v>28.6</v>
      </c>
      <c r="G135" s="39">
        <v>5926230</v>
      </c>
      <c r="H135" s="39">
        <v>6640105</v>
      </c>
      <c r="I135" s="39">
        <v>846003</v>
      </c>
      <c r="J135" s="39">
        <v>1302139</v>
      </c>
      <c r="K135" s="39">
        <v>25697</v>
      </c>
      <c r="L135" s="39">
        <v>27</v>
      </c>
      <c r="M135">
        <v>1918913044</v>
      </c>
      <c r="N135" s="39">
        <v>125885319</v>
      </c>
      <c r="O135" s="39">
        <v>2.0171999999999999</v>
      </c>
      <c r="P135" s="39">
        <v>3</v>
      </c>
      <c r="Q135" s="39">
        <f t="shared" si="4"/>
        <v>124.8</v>
      </c>
      <c r="R135" s="4" t="str">
        <f>IF('invoer gording'!$B$24="ja 100 jr",'tab gording'!B135,"")</f>
        <v/>
      </c>
    </row>
    <row r="136" spans="1:18" x14ac:dyDescent="0.2">
      <c r="A136" s="4">
        <v>133</v>
      </c>
      <c r="B136" s="4" t="s">
        <v>606</v>
      </c>
      <c r="C136" s="39">
        <v>700</v>
      </c>
      <c r="D136" s="39">
        <v>300</v>
      </c>
      <c r="E136" s="39">
        <v>17</v>
      </c>
      <c r="F136" s="39">
        <v>32</v>
      </c>
      <c r="G136" s="39">
        <v>7340000</v>
      </c>
      <c r="H136" s="39">
        <v>8328000</v>
      </c>
      <c r="I136" s="39">
        <v>963000</v>
      </c>
      <c r="J136" s="39">
        <v>1496000</v>
      </c>
      <c r="K136" s="39">
        <v>30640</v>
      </c>
      <c r="L136" s="39">
        <v>27</v>
      </c>
      <c r="M136" s="39">
        <v>2568999900</v>
      </c>
      <c r="N136" s="39">
        <v>144400000</v>
      </c>
      <c r="O136" s="39">
        <v>2.4049999999999998</v>
      </c>
      <c r="P136" s="39">
        <v>1</v>
      </c>
      <c r="Q136" s="39">
        <f t="shared" si="4"/>
        <v>135</v>
      </c>
      <c r="R136" s="4" t="str">
        <f>IF('invoer gording'!$B$24="nee",'tab gording'!B136,"")</f>
        <v>HEB 700</v>
      </c>
    </row>
    <row r="137" spans="1:18" x14ac:dyDescent="0.2">
      <c r="A137" s="4">
        <v>134</v>
      </c>
      <c r="B137" s="4" t="str">
        <f>CONCATENATE(B136," corrosie 50 jr.")</f>
        <v>HEB 700 corrosie 50 jr.</v>
      </c>
      <c r="C137" s="39">
        <f>C136-(2*0.6)</f>
        <v>698.8</v>
      </c>
      <c r="D137" s="39">
        <f>D136-(2*0.6)</f>
        <v>298.8</v>
      </c>
      <c r="E137" s="39">
        <f>E136-(2*0.6)</f>
        <v>15.8</v>
      </c>
      <c r="F137" s="39">
        <f>F136-(2*0.6)</f>
        <v>30.8</v>
      </c>
      <c r="G137" s="39">
        <v>7036039</v>
      </c>
      <c r="H137" s="39">
        <v>7952941</v>
      </c>
      <c r="I137" s="39">
        <v>918994</v>
      </c>
      <c r="J137" s="39">
        <v>1423759</v>
      </c>
      <c r="K137" s="39">
        <v>29119</v>
      </c>
      <c r="L137" s="39">
        <v>27</v>
      </c>
      <c r="M137">
        <v>2458392081</v>
      </c>
      <c r="N137" s="39">
        <v>137297642</v>
      </c>
      <c r="O137" s="39">
        <v>2.2858000000000001</v>
      </c>
      <c r="P137" s="39">
        <v>2</v>
      </c>
      <c r="Q137" s="39">
        <f t="shared" si="4"/>
        <v>131.4</v>
      </c>
      <c r="R137" s="4" t="str">
        <f>IF('invoer gording'!$B$24="ja 50 jr",'tab gording'!B137,"")</f>
        <v/>
      </c>
    </row>
    <row r="138" spans="1:18" x14ac:dyDescent="0.2">
      <c r="A138" s="4">
        <v>135</v>
      </c>
      <c r="B138" s="4" t="s">
        <v>607</v>
      </c>
      <c r="C138" s="39">
        <f>C136-(2*1.2)</f>
        <v>697.6</v>
      </c>
      <c r="D138" s="39">
        <f>D136-(2*1.2)</f>
        <v>297.60000000000002</v>
      </c>
      <c r="E138" s="39">
        <f>E136-(2*1.2)</f>
        <v>14.6</v>
      </c>
      <c r="F138" s="39">
        <f>F136-(2*1.2)</f>
        <v>29.6</v>
      </c>
      <c r="G138" s="39">
        <v>6727214</v>
      </c>
      <c r="H138" s="39">
        <v>7573866</v>
      </c>
      <c r="I138" s="39">
        <v>875864</v>
      </c>
      <c r="J138" s="39">
        <v>1353465</v>
      </c>
      <c r="K138" s="39">
        <v>27584</v>
      </c>
      <c r="L138" s="39">
        <v>27</v>
      </c>
      <c r="M138">
        <v>2346452319</v>
      </c>
      <c r="N138" s="39">
        <v>130328495</v>
      </c>
      <c r="O138" s="39">
        <v>2.1652999999999998</v>
      </c>
      <c r="P138" s="39">
        <v>3</v>
      </c>
      <c r="Q138" s="39">
        <f t="shared" si="4"/>
        <v>127.8</v>
      </c>
      <c r="R138" s="4" t="str">
        <f>IF('invoer gording'!$B$24="ja 100 jr",'tab gording'!B138,"")</f>
        <v/>
      </c>
    </row>
    <row r="139" spans="1:18" x14ac:dyDescent="0.2">
      <c r="A139" s="4">
        <v>136</v>
      </c>
      <c r="B139" s="4" t="s">
        <v>608</v>
      </c>
      <c r="C139" s="39">
        <v>800</v>
      </c>
      <c r="D139" s="39">
        <v>300</v>
      </c>
      <c r="E139" s="39">
        <v>17.5</v>
      </c>
      <c r="F139" s="39">
        <v>33</v>
      </c>
      <c r="G139" s="39">
        <v>8980000</v>
      </c>
      <c r="H139" s="39">
        <v>10228000</v>
      </c>
      <c r="I139" s="39">
        <v>994000</v>
      </c>
      <c r="J139" s="39">
        <v>1554000</v>
      </c>
      <c r="K139" s="39">
        <v>33400</v>
      </c>
      <c r="L139" s="39">
        <v>30</v>
      </c>
      <c r="M139" s="39">
        <v>3591000000</v>
      </c>
      <c r="N139" s="39">
        <v>149000000</v>
      </c>
      <c r="O139" s="39">
        <v>2.6230000000000002</v>
      </c>
      <c r="P139" s="39">
        <v>1</v>
      </c>
      <c r="Q139" s="39">
        <f t="shared" si="4"/>
        <v>143.5</v>
      </c>
      <c r="R139" s="4" t="str">
        <f>IF('invoer gording'!$B$24="nee",'tab gording'!B139,"")</f>
        <v>HEB 800</v>
      </c>
    </row>
    <row r="140" spans="1:18" x14ac:dyDescent="0.2">
      <c r="A140" s="4">
        <v>137</v>
      </c>
      <c r="B140" s="4" t="str">
        <f>CONCATENATE(B139," corrosie 50 jr.")</f>
        <v>HEB 800 corrosie 50 jr.</v>
      </c>
      <c r="C140" s="39">
        <f>C139-(2*0.6)</f>
        <v>798.8</v>
      </c>
      <c r="D140" s="39">
        <f>D139-(2*0.6)</f>
        <v>298.8</v>
      </c>
      <c r="E140" s="39">
        <f>E139-(2*0.6)</f>
        <v>16.3</v>
      </c>
      <c r="F140" s="39">
        <f>F139-(2*0.6)</f>
        <v>31.8</v>
      </c>
      <c r="G140" s="39">
        <v>8612831</v>
      </c>
      <c r="H140" s="39">
        <v>9777784</v>
      </c>
      <c r="I140" s="39">
        <v>949534</v>
      </c>
      <c r="J140" s="39">
        <v>1480333</v>
      </c>
      <c r="K140" s="39">
        <v>31784</v>
      </c>
      <c r="L140" s="39">
        <v>30</v>
      </c>
      <c r="M140">
        <v>3439964688</v>
      </c>
      <c r="N140" s="39">
        <v>141860370</v>
      </c>
      <c r="O140" s="39">
        <v>2.4950000000000001</v>
      </c>
      <c r="P140" s="39">
        <v>2</v>
      </c>
      <c r="Q140" s="39">
        <f t="shared" si="4"/>
        <v>139.9</v>
      </c>
      <c r="R140" s="4" t="str">
        <f>IF('invoer gording'!$B$24="ja 50 jr",'tab gording'!B140,"")</f>
        <v/>
      </c>
    </row>
    <row r="141" spans="1:18" x14ac:dyDescent="0.2">
      <c r="A141" s="4">
        <v>138</v>
      </c>
      <c r="B141" s="4" t="s">
        <v>609</v>
      </c>
      <c r="C141" s="39">
        <f>C139-(2*1.2)</f>
        <v>797.6</v>
      </c>
      <c r="D141" s="39">
        <f>D139-(2*1.2)</f>
        <v>297.60000000000002</v>
      </c>
      <c r="E141" s="39">
        <f>E139-(2*1.2)</f>
        <v>15.1</v>
      </c>
      <c r="F141" s="39">
        <f>F139-(2*1.2)</f>
        <v>30.6</v>
      </c>
      <c r="G141" s="39">
        <v>8241161</v>
      </c>
      <c r="H141" s="39">
        <v>9319597</v>
      </c>
      <c r="I141" s="39">
        <v>906077</v>
      </c>
      <c r="J141" s="39">
        <v>1408480</v>
      </c>
      <c r="K141" s="39">
        <v>30129</v>
      </c>
      <c r="L141" s="39">
        <v>30</v>
      </c>
      <c r="M141">
        <v>3286574868</v>
      </c>
      <c r="N141" s="39">
        <v>134824313</v>
      </c>
      <c r="O141" s="39">
        <v>2.3651</v>
      </c>
      <c r="P141" s="39">
        <v>3</v>
      </c>
      <c r="Q141" s="39">
        <f t="shared" si="4"/>
        <v>136.30000000000001</v>
      </c>
      <c r="R141" s="4" t="str">
        <f>IF('invoer gording'!$B$24="ja 100 jr",'tab gording'!B141,"")</f>
        <v/>
      </c>
    </row>
    <row r="142" spans="1:18" x14ac:dyDescent="0.2">
      <c r="A142" s="4">
        <v>139</v>
      </c>
      <c r="B142" s="4" t="s">
        <v>610</v>
      </c>
      <c r="C142" s="39">
        <v>900</v>
      </c>
      <c r="D142" s="39">
        <v>300</v>
      </c>
      <c r="E142" s="39">
        <v>18.5</v>
      </c>
      <c r="F142" s="39">
        <v>35</v>
      </c>
      <c r="G142" s="39">
        <v>10980000</v>
      </c>
      <c r="H142" s="39">
        <v>12584000</v>
      </c>
      <c r="I142" s="39">
        <v>1054000</v>
      </c>
      <c r="J142" s="39">
        <v>1658000</v>
      </c>
      <c r="K142" s="39">
        <v>37100</v>
      </c>
      <c r="L142" s="39">
        <v>30</v>
      </c>
      <c r="M142" s="39">
        <v>4941000000</v>
      </c>
      <c r="N142" s="39">
        <v>158200000</v>
      </c>
      <c r="O142" s="39">
        <v>2.915</v>
      </c>
      <c r="P142" s="39">
        <v>1</v>
      </c>
      <c r="Q142" s="39">
        <f t="shared" si="4"/>
        <v>148.5</v>
      </c>
      <c r="R142" s="4" t="str">
        <f>IF('invoer gording'!$B$24="nee",'tab gording'!B142,"")</f>
        <v>HEB 900</v>
      </c>
    </row>
    <row r="143" spans="1:18" x14ac:dyDescent="0.2">
      <c r="A143" s="4">
        <v>140</v>
      </c>
      <c r="B143" s="4" t="str">
        <f>CONCATENATE(B142," corrosie 50 jr.")</f>
        <v>HEB 900 corrosie 50 jr.</v>
      </c>
      <c r="C143" s="39">
        <f>C142-(2*0.6)</f>
        <v>898.8</v>
      </c>
      <c r="D143" s="39">
        <f>D142-(2*0.6)</f>
        <v>298.8</v>
      </c>
      <c r="E143" s="39">
        <f>E142-(2*0.6)</f>
        <v>17.3</v>
      </c>
      <c r="F143" s="39">
        <f>F142-(2*0.6)</f>
        <v>33.799999999999997</v>
      </c>
      <c r="G143" s="39">
        <v>10550133</v>
      </c>
      <c r="H143" s="39">
        <v>12049607</v>
      </c>
      <c r="I143" s="39">
        <v>1009761</v>
      </c>
      <c r="J143" s="39">
        <v>1583371</v>
      </c>
      <c r="K143" s="39">
        <v>35375</v>
      </c>
      <c r="L143" s="39">
        <v>30</v>
      </c>
      <c r="M143">
        <v>4741229581</v>
      </c>
      <c r="N143" s="39">
        <v>150858238</v>
      </c>
      <c r="O143" s="39">
        <v>2.7768999999999999</v>
      </c>
      <c r="P143" s="39">
        <v>2</v>
      </c>
      <c r="Q143" s="39">
        <f t="shared" si="4"/>
        <v>144.89999999999998</v>
      </c>
      <c r="R143" s="4" t="str">
        <f>IF('invoer gording'!$B$24="ja 50 jr",'tab gording'!B143,"")</f>
        <v/>
      </c>
    </row>
    <row r="144" spans="1:18" x14ac:dyDescent="0.2">
      <c r="A144" s="4">
        <v>141</v>
      </c>
      <c r="B144" s="4" t="s">
        <v>611</v>
      </c>
      <c r="C144" s="39">
        <f>C142-(2*1.2)</f>
        <v>897.6</v>
      </c>
      <c r="D144" s="39">
        <f>D142-(2*1.2)</f>
        <v>297.60000000000002</v>
      </c>
      <c r="E144" s="39">
        <f>E142-(2*1.2)</f>
        <v>16.100000000000001</v>
      </c>
      <c r="F144" s="39">
        <f>F142-(2*1.2)</f>
        <v>32.6</v>
      </c>
      <c r="G144" s="39">
        <v>10112646</v>
      </c>
      <c r="H144" s="39">
        <v>11506862</v>
      </c>
      <c r="I144" s="39">
        <v>965725</v>
      </c>
      <c r="J144" s="39">
        <v>1509409</v>
      </c>
      <c r="K144" s="39">
        <v>33601</v>
      </c>
      <c r="L144" s="39">
        <v>30</v>
      </c>
      <c r="M144">
        <v>4538555243</v>
      </c>
      <c r="N144" s="39">
        <v>143699888</v>
      </c>
      <c r="O144" s="39">
        <v>2.6377000000000002</v>
      </c>
      <c r="P144" s="39">
        <v>3</v>
      </c>
      <c r="Q144" s="39">
        <f t="shared" si="4"/>
        <v>141.30000000000001</v>
      </c>
      <c r="R144" s="4" t="str">
        <f>IF('invoer gording'!$B$24="ja 100 jr",'tab gording'!B144,"")</f>
        <v/>
      </c>
    </row>
    <row r="145" spans="1:18" x14ac:dyDescent="0.2">
      <c r="A145" s="4">
        <v>142</v>
      </c>
      <c r="B145" s="4" t="s">
        <v>612</v>
      </c>
      <c r="C145" s="39">
        <v>1000</v>
      </c>
      <c r="D145" s="39">
        <v>300</v>
      </c>
      <c r="E145" s="39">
        <v>19</v>
      </c>
      <c r="F145" s="39">
        <v>36</v>
      </c>
      <c r="G145" s="39">
        <v>12890000</v>
      </c>
      <c r="H145" s="39">
        <v>14856000</v>
      </c>
      <c r="I145" s="39">
        <v>1085000</v>
      </c>
      <c r="J145" s="39">
        <v>1716000</v>
      </c>
      <c r="K145" s="39">
        <v>40000</v>
      </c>
      <c r="L145" s="39">
        <v>30</v>
      </c>
      <c r="M145" s="39">
        <v>6447000000</v>
      </c>
      <c r="N145" s="39">
        <v>162800000</v>
      </c>
      <c r="O145" s="39">
        <v>3.14</v>
      </c>
      <c r="P145" s="39">
        <v>1</v>
      </c>
      <c r="Q145" s="39">
        <f t="shared" si="4"/>
        <v>151</v>
      </c>
      <c r="R145" s="4" t="str">
        <f>IF('invoer gording'!$B$24="nee",'tab gording'!B145,"")</f>
        <v>HEB 1000</v>
      </c>
    </row>
    <row r="146" spans="1:18" x14ac:dyDescent="0.2">
      <c r="A146" s="4">
        <v>143</v>
      </c>
      <c r="B146" s="4" t="str">
        <f>CONCATENATE(B145," corrosie 50 jr.")</f>
        <v>HEB 1000 corrosie 50 jr.</v>
      </c>
      <c r="C146" s="39">
        <f>C145-(2*0.6)</f>
        <v>998.8</v>
      </c>
      <c r="D146" s="39">
        <f>D145-(2*0.6)</f>
        <v>298.8</v>
      </c>
      <c r="E146" s="39">
        <f>E145-(2*0.6)</f>
        <v>17.8</v>
      </c>
      <c r="F146" s="39">
        <f>F145-(2*0.6)</f>
        <v>34.799999999999997</v>
      </c>
      <c r="G146" s="39">
        <v>12395985</v>
      </c>
      <c r="H146" s="39">
        <v>14230582</v>
      </c>
      <c r="I146" s="39">
        <v>1040085</v>
      </c>
      <c r="J146" s="39">
        <v>1639621</v>
      </c>
      <c r="K146" s="39">
        <v>38132</v>
      </c>
      <c r="L146" s="39">
        <v>30</v>
      </c>
      <c r="M146">
        <v>6190554869</v>
      </c>
      <c r="N146" s="39">
        <v>155388726</v>
      </c>
      <c r="O146" s="39">
        <v>2.9933999999999998</v>
      </c>
      <c r="P146" s="39">
        <v>2</v>
      </c>
      <c r="Q146" s="39">
        <f t="shared" si="4"/>
        <v>147.39999999999998</v>
      </c>
      <c r="R146" s="4" t="str">
        <f>IF('invoer gording'!$B$24="ja 50 jr",'tab gording'!B146,"")</f>
        <v/>
      </c>
    </row>
    <row r="147" spans="1:18" x14ac:dyDescent="0.2">
      <c r="A147" s="4">
        <v>144</v>
      </c>
      <c r="B147" s="4" t="s">
        <v>613</v>
      </c>
      <c r="C147" s="39">
        <f>C145-(2*1.2)</f>
        <v>997.6</v>
      </c>
      <c r="D147" s="39">
        <f>D145-(2*1.2)</f>
        <v>297.60000000000002</v>
      </c>
      <c r="E147" s="39">
        <f>E145-(2*1.2)</f>
        <v>16.600000000000001</v>
      </c>
      <c r="F147" s="39">
        <f>F145-(2*1.2)</f>
        <v>33.6</v>
      </c>
      <c r="G147" s="39">
        <v>11887561</v>
      </c>
      <c r="H147" s="39">
        <v>13596781</v>
      </c>
      <c r="I147" s="39">
        <v>995725</v>
      </c>
      <c r="J147" s="39">
        <v>1564045</v>
      </c>
      <c r="K147" s="39">
        <v>36240</v>
      </c>
      <c r="L147" s="39">
        <v>30</v>
      </c>
      <c r="M147">
        <v>5929515539</v>
      </c>
      <c r="N147" s="39">
        <v>148163896</v>
      </c>
      <c r="O147" s="39">
        <v>2.8448000000000002</v>
      </c>
      <c r="P147" s="39">
        <v>3</v>
      </c>
      <c r="Q147" s="39">
        <f t="shared" si="4"/>
        <v>143.80000000000001</v>
      </c>
      <c r="R147" s="4" t="str">
        <f>IF('invoer gording'!$B$24="ja 100 jr",'tab gording'!B147,"")</f>
        <v/>
      </c>
    </row>
    <row r="148" spans="1:18" x14ac:dyDescent="0.2">
      <c r="A148" s="4">
        <v>145</v>
      </c>
      <c r="B148" s="4" t="s">
        <v>614</v>
      </c>
      <c r="C148" s="39">
        <v>100</v>
      </c>
      <c r="D148" s="39">
        <v>50</v>
      </c>
      <c r="E148" s="39">
        <v>6</v>
      </c>
      <c r="F148" s="39">
        <v>8.5</v>
      </c>
      <c r="G148" s="39">
        <v>41100</v>
      </c>
      <c r="H148" s="39">
        <v>48960</v>
      </c>
      <c r="K148" s="39">
        <v>1345</v>
      </c>
      <c r="M148">
        <v>2053000</v>
      </c>
      <c r="O148" s="39">
        <v>0.1056</v>
      </c>
      <c r="R148" s="4" t="str">
        <f>IF('invoer gording'!$B$24="nee",'tab gording'!B148,"")</f>
        <v>UNP 100</v>
      </c>
    </row>
    <row r="149" spans="1:18" x14ac:dyDescent="0.2">
      <c r="A149" s="4">
        <v>146</v>
      </c>
      <c r="B149" s="4" t="s">
        <v>615</v>
      </c>
      <c r="C149" s="39">
        <f>C148-(2*0.6)</f>
        <v>98.8</v>
      </c>
      <c r="D149" s="39">
        <f>D148-(2*0.6)</f>
        <v>48.8</v>
      </c>
      <c r="E149" s="39">
        <f>E148-(2*0.6)</f>
        <v>4.8</v>
      </c>
      <c r="F149" s="39">
        <f>F148-(2*0.6)</f>
        <v>7.3</v>
      </c>
      <c r="G149" s="39">
        <v>35048</v>
      </c>
      <c r="H149" s="39">
        <v>41190</v>
      </c>
      <c r="K149" s="39">
        <v>1122</v>
      </c>
      <c r="M149">
        <v>1731384</v>
      </c>
      <c r="O149" s="39">
        <v>8.8099999999999998E-2</v>
      </c>
      <c r="R149" s="4" t="str">
        <f>IF('invoer gording'!$B$24="ja 50 jr",'tab gording'!B149,"")</f>
        <v/>
      </c>
    </row>
    <row r="150" spans="1:18" x14ac:dyDescent="0.2">
      <c r="A150" s="4">
        <v>147</v>
      </c>
      <c r="B150" s="4" t="s">
        <v>616</v>
      </c>
      <c r="C150" s="39">
        <f>C148-(2*1.2)</f>
        <v>97.6</v>
      </c>
      <c r="D150" s="39">
        <f>D148-(2*1.2)</f>
        <v>47.6</v>
      </c>
      <c r="E150" s="39">
        <f>E148-(2*1.2)</f>
        <v>3.6</v>
      </c>
      <c r="F150" s="39">
        <f>F148-(2*1.2)</f>
        <v>6.1</v>
      </c>
      <c r="G150" s="39">
        <v>28991</v>
      </c>
      <c r="H150" s="39">
        <v>33495</v>
      </c>
      <c r="K150" s="39">
        <v>899</v>
      </c>
      <c r="M150">
        <v>1414750</v>
      </c>
      <c r="O150" s="39">
        <v>7.0599999999999996E-2</v>
      </c>
      <c r="R150" s="4" t="str">
        <f>IF('invoer gording'!$B$24="ja 100 jr",'tab gording'!B150,"")</f>
        <v/>
      </c>
    </row>
    <row r="151" spans="1:18" x14ac:dyDescent="0.2">
      <c r="A151" s="4">
        <v>148</v>
      </c>
      <c r="B151" s="4" t="s">
        <v>617</v>
      </c>
      <c r="C151" s="39">
        <v>100</v>
      </c>
      <c r="D151" s="39">
        <v>50</v>
      </c>
      <c r="E151" s="39">
        <v>6</v>
      </c>
      <c r="F151" s="39">
        <v>8.5</v>
      </c>
      <c r="G151" s="39">
        <f t="shared" ref="G151:H153" si="5">G148*2</f>
        <v>82200</v>
      </c>
      <c r="H151" s="39">
        <f t="shared" si="5"/>
        <v>97920</v>
      </c>
      <c r="K151" s="39">
        <f>K148*2</f>
        <v>2690</v>
      </c>
      <c r="M151">
        <f>M148*2</f>
        <v>4106000</v>
      </c>
      <c r="O151" s="39">
        <f>O148*2</f>
        <v>0.2112</v>
      </c>
      <c r="P151" s="39">
        <v>1</v>
      </c>
      <c r="R151" s="4" t="str">
        <f>IF('invoer gording'!$B$24="nee",'tab gording'!B151,"")</f>
        <v>Dubbel UNP 100</v>
      </c>
    </row>
    <row r="152" spans="1:18" x14ac:dyDescent="0.2">
      <c r="A152" s="4">
        <v>149</v>
      </c>
      <c r="B152" s="4" t="str">
        <f>CONCATENATE(B151," corrosie 50 jr.")</f>
        <v>Dubbel UNP 100 corrosie 50 jr.</v>
      </c>
      <c r="C152" s="39">
        <f>C151-(2*0.6)</f>
        <v>98.8</v>
      </c>
      <c r="D152" s="39">
        <f>D151-(2*0.6)</f>
        <v>48.8</v>
      </c>
      <c r="E152" s="39">
        <f>E151-(2*0.6)</f>
        <v>4.8</v>
      </c>
      <c r="F152" s="39">
        <f>F151-(2*0.6)</f>
        <v>7.3</v>
      </c>
      <c r="G152" s="39">
        <f t="shared" si="5"/>
        <v>70096</v>
      </c>
      <c r="H152" s="39">
        <f t="shared" si="5"/>
        <v>82380</v>
      </c>
      <c r="K152" s="39">
        <f>K149*2</f>
        <v>2244</v>
      </c>
      <c r="M152">
        <f>M149*2</f>
        <v>3462768</v>
      </c>
      <c r="O152" s="39">
        <f>O149*2</f>
        <v>0.1762</v>
      </c>
      <c r="P152" s="39">
        <v>2</v>
      </c>
      <c r="R152" s="4" t="str">
        <f>IF('invoer gording'!$B$24="ja 50 jr",'tab gording'!B152,"")</f>
        <v/>
      </c>
    </row>
    <row r="153" spans="1:18" x14ac:dyDescent="0.2">
      <c r="A153" s="4">
        <v>150</v>
      </c>
      <c r="B153" s="4" t="s">
        <v>618</v>
      </c>
      <c r="C153" s="39">
        <f>C151-(2*1.2)</f>
        <v>97.6</v>
      </c>
      <c r="D153" s="39">
        <f>D151-(2*1.2)</f>
        <v>47.6</v>
      </c>
      <c r="E153" s="39">
        <f>E151-(2*1.2)</f>
        <v>3.6</v>
      </c>
      <c r="F153" s="39">
        <f>F151-(2*1.2)</f>
        <v>6.1</v>
      </c>
      <c r="G153" s="39">
        <f t="shared" si="5"/>
        <v>57982</v>
      </c>
      <c r="H153" s="39">
        <f t="shared" si="5"/>
        <v>66990</v>
      </c>
      <c r="K153" s="39">
        <f>K150*2</f>
        <v>1798</v>
      </c>
      <c r="M153">
        <f>M150*2</f>
        <v>2829500</v>
      </c>
      <c r="O153" s="39">
        <f>O150*2</f>
        <v>0.14119999999999999</v>
      </c>
      <c r="P153" s="39">
        <v>3</v>
      </c>
      <c r="R153" s="4" t="str">
        <f>IF('invoer gording'!$B$24="ja 100 jr",'tab gording'!B153,"")</f>
        <v/>
      </c>
    </row>
    <row r="154" spans="1:18" x14ac:dyDescent="0.2">
      <c r="A154" s="4">
        <v>151</v>
      </c>
      <c r="B154" s="4" t="s">
        <v>619</v>
      </c>
      <c r="C154" s="39">
        <v>120</v>
      </c>
      <c r="D154" s="39">
        <v>55</v>
      </c>
      <c r="E154" s="39">
        <v>7</v>
      </c>
      <c r="F154" s="39">
        <v>9</v>
      </c>
      <c r="G154" s="39">
        <v>60700</v>
      </c>
      <c r="H154" s="39">
        <v>72600</v>
      </c>
      <c r="K154" s="39">
        <v>1698</v>
      </c>
      <c r="M154">
        <v>3640000</v>
      </c>
      <c r="O154" s="39">
        <v>0.1333</v>
      </c>
      <c r="R154" s="4" t="str">
        <f>IF('invoer gording'!$B$24="nee",'tab gording'!B154,"")</f>
        <v>UNP 120</v>
      </c>
    </row>
    <row r="155" spans="1:18" x14ac:dyDescent="0.2">
      <c r="A155" s="4">
        <v>152</v>
      </c>
      <c r="B155" s="4" t="s">
        <v>620</v>
      </c>
      <c r="C155" s="39">
        <f>C154-(2*0.6)</f>
        <v>118.8</v>
      </c>
      <c r="D155" s="39">
        <f>D154-(2*0.6)</f>
        <v>53.8</v>
      </c>
      <c r="E155" s="39">
        <f>E154-(2*0.6)</f>
        <v>5.8</v>
      </c>
      <c r="F155" s="39">
        <f>F154-(2*0.6)</f>
        <v>7.8</v>
      </c>
      <c r="G155" s="39">
        <v>52221</v>
      </c>
      <c r="H155" s="39">
        <v>61838</v>
      </c>
      <c r="K155" s="39">
        <v>1438</v>
      </c>
      <c r="M155">
        <v>3101907</v>
      </c>
      <c r="O155" s="39">
        <v>0.1129</v>
      </c>
      <c r="R155" s="4" t="str">
        <f>IF('invoer gording'!$B$24="ja 50 jr",'tab gording'!B155,"")</f>
        <v/>
      </c>
    </row>
    <row r="156" spans="1:18" x14ac:dyDescent="0.2">
      <c r="A156" s="4">
        <v>153</v>
      </c>
      <c r="B156" s="4" t="s">
        <v>621</v>
      </c>
      <c r="C156" s="39">
        <f>C154-(2*1.2)</f>
        <v>117.6</v>
      </c>
      <c r="D156" s="39">
        <f>D154-(2*1.2)</f>
        <v>52.6</v>
      </c>
      <c r="E156" s="39">
        <f>E154-(2*1.2)</f>
        <v>4.5999999999999996</v>
      </c>
      <c r="F156" s="39">
        <f>F154-(2*1.2)</f>
        <v>6.6</v>
      </c>
      <c r="G156" s="39">
        <v>43724</v>
      </c>
      <c r="H156" s="39">
        <v>51124</v>
      </c>
      <c r="K156" s="39">
        <v>1179</v>
      </c>
      <c r="M156">
        <v>2570957</v>
      </c>
      <c r="O156" s="39">
        <v>9.2600000000000002E-2</v>
      </c>
      <c r="R156" s="4" t="str">
        <f>IF('invoer gording'!$B$24="ja 100 jr",'tab gording'!B156,"")</f>
        <v/>
      </c>
    </row>
    <row r="157" spans="1:18" x14ac:dyDescent="0.2">
      <c r="A157" s="4">
        <v>154</v>
      </c>
      <c r="B157" s="4" t="s">
        <v>622</v>
      </c>
      <c r="C157" s="39">
        <f>C154</f>
        <v>120</v>
      </c>
      <c r="D157" s="39">
        <f>D154</f>
        <v>55</v>
      </c>
      <c r="E157" s="39">
        <f>E154</f>
        <v>7</v>
      </c>
      <c r="F157" s="39">
        <f>F154</f>
        <v>9</v>
      </c>
      <c r="G157" s="39">
        <f t="shared" ref="G157:H159" si="6">G154*2</f>
        <v>121400</v>
      </c>
      <c r="H157" s="39">
        <f t="shared" si="6"/>
        <v>145200</v>
      </c>
      <c r="K157" s="39">
        <f>K154*2</f>
        <v>3396</v>
      </c>
      <c r="M157">
        <f>M154*2</f>
        <v>7280000</v>
      </c>
      <c r="O157" s="39">
        <f>O154*2</f>
        <v>0.2666</v>
      </c>
      <c r="P157" s="39">
        <v>1</v>
      </c>
      <c r="R157" s="4" t="str">
        <f>IF('invoer gording'!$B$24="nee",'tab gording'!B157,"")</f>
        <v>Dubbel UNP 120</v>
      </c>
    </row>
    <row r="158" spans="1:18" x14ac:dyDescent="0.2">
      <c r="A158" s="4">
        <v>155</v>
      </c>
      <c r="B158" s="4" t="str">
        <f>CONCATENATE(B157," corrosie 50 jr.")</f>
        <v>Dubbel UNP 120 corrosie 50 jr.</v>
      </c>
      <c r="C158" s="39">
        <f>C157-(2*0.6)</f>
        <v>118.8</v>
      </c>
      <c r="D158" s="39">
        <f>D157-(2*0.6)</f>
        <v>53.8</v>
      </c>
      <c r="E158" s="39">
        <f>E157-(2*0.6)</f>
        <v>5.8</v>
      </c>
      <c r="F158" s="39">
        <f>F157-(2*0.6)</f>
        <v>7.8</v>
      </c>
      <c r="G158" s="39">
        <f t="shared" si="6"/>
        <v>104442</v>
      </c>
      <c r="H158" s="39">
        <f t="shared" si="6"/>
        <v>123676</v>
      </c>
      <c r="K158" s="39">
        <f>K155*2</f>
        <v>2876</v>
      </c>
      <c r="M158">
        <f>M155*2</f>
        <v>6203814</v>
      </c>
      <c r="O158" s="39">
        <f>O155*2</f>
        <v>0.2258</v>
      </c>
      <c r="P158" s="39">
        <v>2</v>
      </c>
      <c r="R158" s="4" t="str">
        <f>IF('invoer gording'!$B$24="ja 50 jr",'tab gording'!B158,"")</f>
        <v/>
      </c>
    </row>
    <row r="159" spans="1:18" x14ac:dyDescent="0.2">
      <c r="A159" s="4">
        <v>156</v>
      </c>
      <c r="B159" s="4" t="s">
        <v>623</v>
      </c>
      <c r="C159" s="39">
        <f>C157-(2*1.2)</f>
        <v>117.6</v>
      </c>
      <c r="D159" s="39">
        <f>D157-(2*1.2)</f>
        <v>52.6</v>
      </c>
      <c r="E159" s="39">
        <f>E157-(2*1.2)</f>
        <v>4.5999999999999996</v>
      </c>
      <c r="F159" s="39">
        <f>F157-(2*1.2)</f>
        <v>6.6</v>
      </c>
      <c r="G159" s="39">
        <f t="shared" si="6"/>
        <v>87448</v>
      </c>
      <c r="H159" s="39">
        <f t="shared" si="6"/>
        <v>102248</v>
      </c>
      <c r="K159" s="39">
        <f>K156*2</f>
        <v>2358</v>
      </c>
      <c r="M159">
        <f>M156*2</f>
        <v>5141914</v>
      </c>
      <c r="O159" s="39">
        <f>O156*2</f>
        <v>0.1852</v>
      </c>
      <c r="P159" s="39">
        <v>3</v>
      </c>
      <c r="R159" s="4" t="str">
        <f>IF('invoer gording'!$B$24="ja 100 jr",'tab gording'!B159,"")</f>
        <v/>
      </c>
    </row>
    <row r="160" spans="1:18" x14ac:dyDescent="0.2">
      <c r="A160" s="4">
        <v>157</v>
      </c>
      <c r="B160" s="4" t="s">
        <v>624</v>
      </c>
      <c r="C160" s="39">
        <v>140</v>
      </c>
      <c r="D160" s="39">
        <v>60</v>
      </c>
      <c r="E160" s="39">
        <v>7</v>
      </c>
      <c r="F160" s="39">
        <v>10</v>
      </c>
      <c r="G160" s="39">
        <v>86400</v>
      </c>
      <c r="H160" s="39">
        <v>102800</v>
      </c>
      <c r="K160" s="39">
        <v>2037</v>
      </c>
      <c r="M160">
        <v>6050000</v>
      </c>
      <c r="O160" s="39">
        <v>0.15989999999999999</v>
      </c>
      <c r="R160" s="4" t="str">
        <f>IF('invoer gording'!$B$24="nee",'tab gording'!B160,"")</f>
        <v>UNP 140</v>
      </c>
    </row>
    <row r="161" spans="1:18" x14ac:dyDescent="0.2">
      <c r="A161" s="4">
        <v>158</v>
      </c>
      <c r="B161" s="4" t="s">
        <v>625</v>
      </c>
      <c r="C161" s="39">
        <f>C160-(2*0.6)</f>
        <v>138.80000000000001</v>
      </c>
      <c r="D161" s="39">
        <f>D160-(2*0.6)</f>
        <v>58.8</v>
      </c>
      <c r="E161" s="39">
        <f>E160-(2*0.6)</f>
        <v>5.8</v>
      </c>
      <c r="F161" s="39">
        <f>F160-(2*0.6)</f>
        <v>8.8000000000000007</v>
      </c>
      <c r="G161" s="39">
        <v>75219</v>
      </c>
      <c r="H161" s="39">
        <v>88491</v>
      </c>
      <c r="K161" s="39">
        <v>1741</v>
      </c>
      <c r="M161">
        <v>5220211</v>
      </c>
      <c r="O161" s="39">
        <v>0.1366</v>
      </c>
      <c r="R161" s="4" t="str">
        <f>IF('invoer gording'!$B$24="ja 50 jr",'tab gording'!B161,"")</f>
        <v/>
      </c>
    </row>
    <row r="162" spans="1:18" x14ac:dyDescent="0.2">
      <c r="A162" s="4">
        <v>159</v>
      </c>
      <c r="B162" s="4" t="s">
        <v>626</v>
      </c>
      <c r="C162" s="39">
        <f>C160-(2*1.2)</f>
        <v>137.6</v>
      </c>
      <c r="D162" s="39">
        <f>D160-(2*1.2)</f>
        <v>57.6</v>
      </c>
      <c r="E162" s="39">
        <f>E160-(2*1.2)</f>
        <v>4.5999999999999996</v>
      </c>
      <c r="F162" s="39">
        <f>F160-(2*1.2)</f>
        <v>7.6</v>
      </c>
      <c r="G162" s="39">
        <v>64038</v>
      </c>
      <c r="H162" s="39">
        <v>74375</v>
      </c>
      <c r="K162" s="39">
        <v>1447</v>
      </c>
      <c r="M162">
        <v>4405846</v>
      </c>
      <c r="O162" s="39">
        <v>0.11360000000000001</v>
      </c>
      <c r="R162" s="4" t="str">
        <f>IF('invoer gording'!$B$24="ja 100 jr",'tab gording'!B162,"")</f>
        <v/>
      </c>
    </row>
    <row r="163" spans="1:18" x14ac:dyDescent="0.2">
      <c r="A163" s="4">
        <v>160</v>
      </c>
      <c r="B163" s="4" t="s">
        <v>627</v>
      </c>
      <c r="C163" s="39">
        <f>C160</f>
        <v>140</v>
      </c>
      <c r="D163" s="39">
        <f>D160</f>
        <v>60</v>
      </c>
      <c r="E163" s="39">
        <f>E160</f>
        <v>7</v>
      </c>
      <c r="F163" s="39">
        <f>F160</f>
        <v>10</v>
      </c>
      <c r="G163" s="39">
        <f t="shared" ref="G163:H165" si="7">G160*2</f>
        <v>172800</v>
      </c>
      <c r="H163" s="39">
        <f t="shared" si="7"/>
        <v>205600</v>
      </c>
      <c r="K163" s="39">
        <f>K160*2</f>
        <v>4074</v>
      </c>
      <c r="M163">
        <f>M160*2</f>
        <v>12100000</v>
      </c>
      <c r="O163" s="39">
        <f>O160*2</f>
        <v>0.31979999999999997</v>
      </c>
      <c r="P163" s="39">
        <v>1</v>
      </c>
      <c r="R163" s="4" t="str">
        <f>IF('invoer gording'!$B$24="nee",'tab gording'!B163,"")</f>
        <v>Dubbel UNP 140</v>
      </c>
    </row>
    <row r="164" spans="1:18" x14ac:dyDescent="0.2">
      <c r="A164" s="4">
        <v>161</v>
      </c>
      <c r="B164" s="4" t="str">
        <f>CONCATENATE(B163," corrosie 50 jr.")</f>
        <v>Dubbel UNP 140 corrosie 50 jr.</v>
      </c>
      <c r="C164" s="39">
        <f>C163-(2*0.6)</f>
        <v>138.80000000000001</v>
      </c>
      <c r="D164" s="39">
        <f>D163-(2*0.6)</f>
        <v>58.8</v>
      </c>
      <c r="E164" s="39">
        <f>E163-(2*0.6)</f>
        <v>5.8</v>
      </c>
      <c r="F164" s="39">
        <f>F163-(2*0.6)</f>
        <v>8.8000000000000007</v>
      </c>
      <c r="G164" s="39">
        <f t="shared" si="7"/>
        <v>150438</v>
      </c>
      <c r="H164" s="39">
        <f t="shared" si="7"/>
        <v>176982</v>
      </c>
      <c r="K164" s="39">
        <f>K161*2</f>
        <v>3482</v>
      </c>
      <c r="M164">
        <f>M161*2</f>
        <v>10440422</v>
      </c>
      <c r="O164" s="39">
        <f>O161*2</f>
        <v>0.2732</v>
      </c>
      <c r="P164" s="39">
        <v>2</v>
      </c>
      <c r="R164" s="4" t="str">
        <f>IF('invoer gording'!$B$24="ja 50 jr",'tab gording'!B164,"")</f>
        <v/>
      </c>
    </row>
    <row r="165" spans="1:18" x14ac:dyDescent="0.2">
      <c r="A165" s="4">
        <v>162</v>
      </c>
      <c r="B165" s="4" t="s">
        <v>628</v>
      </c>
      <c r="C165" s="39">
        <f>C163-(2*1.2)</f>
        <v>137.6</v>
      </c>
      <c r="D165" s="39">
        <f>D163-(2*1.2)</f>
        <v>57.6</v>
      </c>
      <c r="E165" s="39">
        <f>E163-(2*1.2)</f>
        <v>4.5999999999999996</v>
      </c>
      <c r="F165" s="39">
        <f>F163-(2*1.2)</f>
        <v>7.6</v>
      </c>
      <c r="G165" s="39">
        <f t="shared" si="7"/>
        <v>128076</v>
      </c>
      <c r="H165" s="39">
        <f t="shared" si="7"/>
        <v>148750</v>
      </c>
      <c r="K165" s="39">
        <f>K162*2</f>
        <v>2894</v>
      </c>
      <c r="M165">
        <f>M162*2</f>
        <v>8811692</v>
      </c>
      <c r="O165" s="39">
        <f>O162*2</f>
        <v>0.22720000000000001</v>
      </c>
      <c r="P165" s="39">
        <v>3</v>
      </c>
      <c r="R165" s="4" t="str">
        <f>IF('invoer gording'!$B$24="ja 100 jr",'tab gording'!B165,"")</f>
        <v/>
      </c>
    </row>
    <row r="166" spans="1:18" x14ac:dyDescent="0.2">
      <c r="A166" s="4">
        <v>163</v>
      </c>
      <c r="B166" s="4" t="s">
        <v>629</v>
      </c>
      <c r="C166" s="39">
        <v>160</v>
      </c>
      <c r="D166" s="39">
        <v>65</v>
      </c>
      <c r="E166" s="39">
        <v>7.5</v>
      </c>
      <c r="F166" s="39">
        <v>10.5</v>
      </c>
      <c r="G166" s="39">
        <v>115600</v>
      </c>
      <c r="H166" s="39">
        <v>137600</v>
      </c>
      <c r="K166" s="39">
        <v>2401</v>
      </c>
      <c r="M166">
        <v>9250000</v>
      </c>
      <c r="O166" s="39">
        <v>0.1885</v>
      </c>
      <c r="R166" s="4" t="str">
        <f>IF('invoer gording'!$B$24="nee",'tab gording'!B166,"")</f>
        <v>UNP 160</v>
      </c>
    </row>
    <row r="167" spans="1:18" x14ac:dyDescent="0.2">
      <c r="A167" s="4">
        <v>164</v>
      </c>
      <c r="B167" s="4" t="s">
        <v>630</v>
      </c>
      <c r="C167" s="39">
        <f>C166-(2*0.6)</f>
        <v>158.80000000000001</v>
      </c>
      <c r="D167" s="39">
        <f>D166-(2*0.6)</f>
        <v>63.8</v>
      </c>
      <c r="E167" s="39">
        <f>E166-(2*0.6)</f>
        <v>6.3</v>
      </c>
      <c r="F167" s="39">
        <f>F166-(2*0.6)</f>
        <v>9.3000000000000007</v>
      </c>
      <c r="G167" s="39">
        <v>101323</v>
      </c>
      <c r="H167" s="39">
        <v>119378</v>
      </c>
      <c r="K167" s="39">
        <v>2070</v>
      </c>
      <c r="M167">
        <v>8045014</v>
      </c>
      <c r="O167" s="39">
        <v>0.16250000000000001</v>
      </c>
      <c r="R167" s="4" t="str">
        <f>IF('invoer gording'!$B$24="ja 50 jr",'tab gording'!B167,"")</f>
        <v/>
      </c>
    </row>
    <row r="168" spans="1:18" x14ac:dyDescent="0.2">
      <c r="A168" s="4">
        <v>165</v>
      </c>
      <c r="B168" s="4" t="s">
        <v>631</v>
      </c>
      <c r="C168" s="39">
        <f>C166-(2*1.2)</f>
        <v>157.6</v>
      </c>
      <c r="D168" s="39">
        <f>D166-(2*1.2)</f>
        <v>62.6</v>
      </c>
      <c r="E168" s="39">
        <f>E166-(2*1.2)</f>
        <v>5.0999999999999996</v>
      </c>
      <c r="F168" s="39">
        <f>F166-(2*1.2)</f>
        <v>8.1</v>
      </c>
      <c r="G168" s="39">
        <v>87054</v>
      </c>
      <c r="H168" s="39">
        <v>101404</v>
      </c>
      <c r="K168" s="39">
        <v>1741</v>
      </c>
      <c r="M168">
        <v>6859829</v>
      </c>
      <c r="O168" s="39">
        <v>0.13669999999999999</v>
      </c>
      <c r="R168" s="4" t="str">
        <f>IF('invoer gording'!$B$24="ja 100 jr",'tab gording'!B168,"")</f>
        <v/>
      </c>
    </row>
    <row r="169" spans="1:18" x14ac:dyDescent="0.2">
      <c r="A169" s="4">
        <v>166</v>
      </c>
      <c r="B169" s="4" t="s">
        <v>632</v>
      </c>
      <c r="C169" s="39">
        <f>C166</f>
        <v>160</v>
      </c>
      <c r="D169" s="39">
        <f>D166</f>
        <v>65</v>
      </c>
      <c r="E169" s="39">
        <f>E166</f>
        <v>7.5</v>
      </c>
      <c r="F169" s="39">
        <f>F166</f>
        <v>10.5</v>
      </c>
      <c r="G169" s="39">
        <f t="shared" ref="G169:H171" si="8">G166*2</f>
        <v>231200</v>
      </c>
      <c r="H169" s="39">
        <f t="shared" si="8"/>
        <v>275200</v>
      </c>
      <c r="K169" s="39">
        <f>K166*2</f>
        <v>4802</v>
      </c>
      <c r="M169">
        <f>M166*2</f>
        <v>18500000</v>
      </c>
      <c r="O169" s="39">
        <f>O166*2</f>
        <v>0.377</v>
      </c>
      <c r="P169" s="39">
        <v>1</v>
      </c>
      <c r="R169" s="4" t="str">
        <f>IF('invoer gording'!$B$24="nee",'tab gording'!B169,"")</f>
        <v>Dubbel UNP 160</v>
      </c>
    </row>
    <row r="170" spans="1:18" x14ac:dyDescent="0.2">
      <c r="A170" s="4">
        <v>167</v>
      </c>
      <c r="B170" s="4" t="str">
        <f>CONCATENATE(B169," corrosie 50 jr.")</f>
        <v>Dubbel UNP 160 corrosie 50 jr.</v>
      </c>
      <c r="C170" s="39">
        <f>C169-(2*0.6)</f>
        <v>158.80000000000001</v>
      </c>
      <c r="D170" s="39">
        <f>D169-(2*0.6)</f>
        <v>63.8</v>
      </c>
      <c r="E170" s="39">
        <f>E169-(2*0.6)</f>
        <v>6.3</v>
      </c>
      <c r="F170" s="39">
        <f>F169-(2*0.6)</f>
        <v>9.3000000000000007</v>
      </c>
      <c r="G170" s="39">
        <f t="shared" si="8"/>
        <v>202646</v>
      </c>
      <c r="H170" s="39">
        <f t="shared" si="8"/>
        <v>238756</v>
      </c>
      <c r="K170" s="39">
        <f>K167*2</f>
        <v>4140</v>
      </c>
      <c r="M170">
        <f>M167*2</f>
        <v>16090028</v>
      </c>
      <c r="O170" s="39">
        <f>O167*2</f>
        <v>0.32500000000000001</v>
      </c>
      <c r="P170" s="39">
        <v>2</v>
      </c>
      <c r="R170" s="4" t="str">
        <f>IF('invoer gording'!$B$24="ja 50 jr",'tab gording'!B170,"")</f>
        <v/>
      </c>
    </row>
    <row r="171" spans="1:18" x14ac:dyDescent="0.2">
      <c r="A171" s="4">
        <v>168</v>
      </c>
      <c r="B171" s="4" t="s">
        <v>633</v>
      </c>
      <c r="C171" s="39">
        <f>C169-(2*1.2)</f>
        <v>157.6</v>
      </c>
      <c r="D171" s="39">
        <f>D169-(2*1.2)</f>
        <v>62.6</v>
      </c>
      <c r="E171" s="39">
        <f>E169-(2*1.2)</f>
        <v>5.0999999999999996</v>
      </c>
      <c r="F171" s="39">
        <f>F169-(2*1.2)</f>
        <v>8.1</v>
      </c>
      <c r="G171" s="39">
        <f t="shared" si="8"/>
        <v>174108</v>
      </c>
      <c r="H171" s="39">
        <f t="shared" si="8"/>
        <v>202808</v>
      </c>
      <c r="K171" s="39">
        <f>K168*2</f>
        <v>3482</v>
      </c>
      <c r="M171">
        <f>M168*2</f>
        <v>13719658</v>
      </c>
      <c r="O171" s="39">
        <f>O168*2</f>
        <v>0.27339999999999998</v>
      </c>
      <c r="P171" s="39">
        <v>3</v>
      </c>
      <c r="R171" s="4" t="str">
        <f>IF('invoer gording'!$B$24="ja 100 jr",'tab gording'!B171,"")</f>
        <v/>
      </c>
    </row>
    <row r="172" spans="1:18" x14ac:dyDescent="0.2">
      <c r="A172" s="4">
        <v>169</v>
      </c>
      <c r="B172" s="4" t="s">
        <v>634</v>
      </c>
      <c r="C172" s="39">
        <v>180</v>
      </c>
      <c r="D172" s="39">
        <v>70</v>
      </c>
      <c r="E172" s="39">
        <v>8</v>
      </c>
      <c r="F172" s="39">
        <v>11</v>
      </c>
      <c r="G172" s="39">
        <v>150400</v>
      </c>
      <c r="H172" s="39">
        <v>179000</v>
      </c>
      <c r="K172" s="39">
        <v>2796</v>
      </c>
      <c r="M172">
        <v>13540000</v>
      </c>
      <c r="O172" s="39">
        <v>0.2195</v>
      </c>
      <c r="R172" s="4" t="str">
        <f>IF('invoer gording'!$B$24="nee",'tab gording'!B172,"")</f>
        <v>UNP 180</v>
      </c>
    </row>
    <row r="173" spans="1:18" x14ac:dyDescent="0.2">
      <c r="A173" s="4">
        <v>170</v>
      </c>
      <c r="B173" s="4" t="s">
        <v>635</v>
      </c>
      <c r="C173" s="39">
        <f>C172-(2*0.6)</f>
        <v>178.8</v>
      </c>
      <c r="D173" s="39">
        <f>D172-(2*0.6)</f>
        <v>68.8</v>
      </c>
      <c r="E173" s="39">
        <f>E172-(2*0.6)</f>
        <v>6.8</v>
      </c>
      <c r="F173" s="39">
        <f>F172-(2*0.6)</f>
        <v>9.8000000000000007</v>
      </c>
      <c r="G173" s="39">
        <v>132723</v>
      </c>
      <c r="H173" s="39">
        <v>156631</v>
      </c>
      <c r="K173" s="39">
        <v>2431</v>
      </c>
      <c r="M173">
        <v>11865465</v>
      </c>
      <c r="O173" s="39">
        <v>0.1908</v>
      </c>
      <c r="R173" s="4" t="str">
        <f>IF('invoer gording'!$B$24="ja 50 jr",'tab gording'!B173,"")</f>
        <v/>
      </c>
    </row>
    <row r="174" spans="1:18" x14ac:dyDescent="0.2">
      <c r="A174" s="4">
        <v>171</v>
      </c>
      <c r="B174" s="4" t="s">
        <v>636</v>
      </c>
      <c r="C174" s="39">
        <f>C172-(2*1.2)</f>
        <v>177.6</v>
      </c>
      <c r="D174" s="39">
        <f>D172-(2*1.2)</f>
        <v>67.599999999999994</v>
      </c>
      <c r="E174" s="39">
        <f>E172-(2*1.2)</f>
        <v>5.6</v>
      </c>
      <c r="F174" s="39">
        <f>F172-(2*1.2)</f>
        <v>8.6</v>
      </c>
      <c r="G174" s="39">
        <v>115008</v>
      </c>
      <c r="H174" s="39">
        <v>134345</v>
      </c>
      <c r="K174" s="39">
        <v>2066</v>
      </c>
      <c r="M174">
        <v>10212698</v>
      </c>
      <c r="O174" s="39">
        <v>0.16220000000000001</v>
      </c>
      <c r="R174" s="4" t="str">
        <f>IF('invoer gording'!$B$24="ja 100 jr",'tab gording'!B174,"")</f>
        <v/>
      </c>
    </row>
    <row r="175" spans="1:18" x14ac:dyDescent="0.2">
      <c r="A175" s="4">
        <v>172</v>
      </c>
      <c r="B175" s="4" t="s">
        <v>637</v>
      </c>
      <c r="C175" s="39">
        <f>C172</f>
        <v>180</v>
      </c>
      <c r="D175" s="39">
        <f>D172</f>
        <v>70</v>
      </c>
      <c r="E175" s="39">
        <f>E172</f>
        <v>8</v>
      </c>
      <c r="F175" s="39">
        <f>F172</f>
        <v>11</v>
      </c>
      <c r="G175" s="39">
        <f t="shared" ref="G175:H177" si="9">G172*2</f>
        <v>300800</v>
      </c>
      <c r="H175" s="39">
        <f t="shared" si="9"/>
        <v>358000</v>
      </c>
      <c r="K175" s="39">
        <f>K172*2</f>
        <v>5592</v>
      </c>
      <c r="M175">
        <f>M172*2</f>
        <v>27080000</v>
      </c>
      <c r="O175" s="39">
        <f>O172*2</f>
        <v>0.439</v>
      </c>
      <c r="P175" s="39">
        <v>1</v>
      </c>
      <c r="R175" s="4" t="str">
        <f>IF('invoer gording'!$B$24="nee",'tab gording'!B175,"")</f>
        <v>Dubbel UNP 180</v>
      </c>
    </row>
    <row r="176" spans="1:18" x14ac:dyDescent="0.2">
      <c r="A176" s="4">
        <v>173</v>
      </c>
      <c r="B176" s="4" t="str">
        <f>CONCATENATE(B175," corrosie 50 jr.")</f>
        <v>Dubbel UNP 180 corrosie 50 jr.</v>
      </c>
      <c r="C176" s="39">
        <f>C175-(2*0.6)</f>
        <v>178.8</v>
      </c>
      <c r="D176" s="39">
        <f>D175-(2*0.6)</f>
        <v>68.8</v>
      </c>
      <c r="E176" s="39">
        <f>E175-(2*0.6)</f>
        <v>6.8</v>
      </c>
      <c r="F176" s="39">
        <f>F175-(2*0.6)</f>
        <v>9.8000000000000007</v>
      </c>
      <c r="G176" s="39">
        <f t="shared" si="9"/>
        <v>265446</v>
      </c>
      <c r="H176" s="39">
        <f t="shared" si="9"/>
        <v>313262</v>
      </c>
      <c r="K176" s="39">
        <f>K173*2</f>
        <v>4862</v>
      </c>
      <c r="M176">
        <f>M173*2</f>
        <v>23730930</v>
      </c>
      <c r="O176" s="39">
        <f>O173*2</f>
        <v>0.38159999999999999</v>
      </c>
      <c r="P176" s="39">
        <v>2</v>
      </c>
      <c r="R176" s="4" t="str">
        <f>IF('invoer gording'!$B$24="ja 50 jr",'tab gording'!B176,"")</f>
        <v/>
      </c>
    </row>
    <row r="177" spans="1:18" x14ac:dyDescent="0.2">
      <c r="A177" s="4">
        <v>174</v>
      </c>
      <c r="B177" s="4" t="s">
        <v>638</v>
      </c>
      <c r="C177" s="39">
        <f>C175-(2*1.2)</f>
        <v>177.6</v>
      </c>
      <c r="D177" s="39">
        <f>D175-(2*1.2)</f>
        <v>67.599999999999994</v>
      </c>
      <c r="E177" s="39">
        <f>E175-(2*1.2)</f>
        <v>5.6</v>
      </c>
      <c r="F177" s="39">
        <f>F175-(2*1.2)</f>
        <v>8.6</v>
      </c>
      <c r="G177" s="39">
        <f t="shared" si="9"/>
        <v>230016</v>
      </c>
      <c r="H177" s="39">
        <f t="shared" si="9"/>
        <v>268690</v>
      </c>
      <c r="K177" s="39">
        <f>K174*2</f>
        <v>4132</v>
      </c>
      <c r="M177">
        <f>M174*2</f>
        <v>20425396</v>
      </c>
      <c r="O177" s="39">
        <f>O174*2</f>
        <v>0.32440000000000002</v>
      </c>
      <c r="P177" s="39">
        <v>3</v>
      </c>
      <c r="R177" s="4" t="str">
        <f>IF('invoer gording'!$B$24="ja 100 jr",'tab gording'!B177,"")</f>
        <v/>
      </c>
    </row>
    <row r="178" spans="1:18" x14ac:dyDescent="0.2">
      <c r="A178" s="4">
        <v>175</v>
      </c>
      <c r="B178" s="4" t="s">
        <v>639</v>
      </c>
      <c r="C178" s="39">
        <v>200</v>
      </c>
      <c r="D178" s="39">
        <v>75</v>
      </c>
      <c r="E178" s="39">
        <v>8.5</v>
      </c>
      <c r="F178" s="39">
        <v>11.5</v>
      </c>
      <c r="G178" s="39">
        <v>191100</v>
      </c>
      <c r="H178" s="39">
        <v>227800</v>
      </c>
      <c r="K178" s="39">
        <v>3220</v>
      </c>
      <c r="M178">
        <v>19110000</v>
      </c>
      <c r="O178" s="39">
        <v>0.25259999999999999</v>
      </c>
      <c r="R178" s="4" t="str">
        <f>IF('invoer gording'!$B$24="nee",'tab gording'!B178,"")</f>
        <v>UNP 200</v>
      </c>
    </row>
    <row r="179" spans="1:18" x14ac:dyDescent="0.2">
      <c r="A179" s="4">
        <v>176</v>
      </c>
      <c r="B179" s="4" t="s">
        <v>640</v>
      </c>
      <c r="C179" s="39">
        <f>C178-(2*0.6)</f>
        <v>198.8</v>
      </c>
      <c r="D179" s="39">
        <f>D178-(2*0.6)</f>
        <v>73.8</v>
      </c>
      <c r="E179" s="39">
        <f>E178-(2*0.6)</f>
        <v>7.3</v>
      </c>
      <c r="F179" s="39">
        <f>F178-(2*0.6)</f>
        <v>10.3</v>
      </c>
      <c r="G179" s="39">
        <v>169570</v>
      </c>
      <c r="H179" s="39">
        <v>200486</v>
      </c>
      <c r="K179" s="39">
        <v>2818</v>
      </c>
      <c r="M179">
        <v>16855306</v>
      </c>
      <c r="O179" s="39">
        <v>0.22120000000000001</v>
      </c>
      <c r="R179" s="4" t="str">
        <f>IF('invoer gording'!$B$24="ja 50 jr",'tab gording'!B179,"")</f>
        <v/>
      </c>
    </row>
    <row r="180" spans="1:18" x14ac:dyDescent="0.2">
      <c r="A180" s="4">
        <v>177</v>
      </c>
      <c r="B180" s="4" t="s">
        <v>641</v>
      </c>
      <c r="C180" s="39">
        <f>C178-(2*1.2)</f>
        <v>197.6</v>
      </c>
      <c r="D180" s="39">
        <f>D178-(2*1.2)</f>
        <v>72.599999999999994</v>
      </c>
      <c r="E180" s="39">
        <f>E178-(2*1.2)</f>
        <v>6.1</v>
      </c>
      <c r="F180" s="39">
        <f>F178-(2*1.2)</f>
        <v>9.1</v>
      </c>
      <c r="G180" s="39">
        <v>148044</v>
      </c>
      <c r="H180" s="39">
        <v>173432</v>
      </c>
      <c r="K180" s="39">
        <v>2419</v>
      </c>
      <c r="M180">
        <v>14626740</v>
      </c>
      <c r="O180" s="39">
        <v>0.18990000000000001</v>
      </c>
      <c r="R180" s="4" t="str">
        <f>IF('invoer gording'!$B$24="ja 100 jr",'tab gording'!B180,"")</f>
        <v/>
      </c>
    </row>
    <row r="181" spans="1:18" x14ac:dyDescent="0.2">
      <c r="A181" s="4">
        <v>178</v>
      </c>
      <c r="B181" s="4" t="s">
        <v>642</v>
      </c>
      <c r="C181" s="39">
        <v>200</v>
      </c>
      <c r="D181" s="39">
        <v>150</v>
      </c>
      <c r="E181" s="39">
        <v>17</v>
      </c>
      <c r="F181" s="39">
        <v>11.5</v>
      </c>
      <c r="G181" s="39">
        <f t="shared" ref="G181:H183" si="10">G178*2</f>
        <v>382200</v>
      </c>
      <c r="H181" s="39">
        <f t="shared" si="10"/>
        <v>455600</v>
      </c>
      <c r="K181" s="39">
        <f>K178*2</f>
        <v>6440</v>
      </c>
      <c r="M181">
        <f>M178*2</f>
        <v>38220000</v>
      </c>
      <c r="O181" s="39">
        <f>O178*2</f>
        <v>0.50519999999999998</v>
      </c>
      <c r="P181" s="39">
        <v>1</v>
      </c>
      <c r="R181" s="4" t="str">
        <f>IF('invoer gording'!$B$24="nee",'tab gording'!B181,"")</f>
        <v>Dubbel UNP 200</v>
      </c>
    </row>
    <row r="182" spans="1:18" x14ac:dyDescent="0.2">
      <c r="A182" s="4">
        <v>179</v>
      </c>
      <c r="B182" s="4" t="str">
        <f>CONCATENATE(B181," corrosie 50 jr.")</f>
        <v>Dubbel UNP 200 corrosie 50 jr.</v>
      </c>
      <c r="C182" s="39">
        <f>C181-(2*0.6)</f>
        <v>198.8</v>
      </c>
      <c r="D182" s="39">
        <f>D181-(2*0.6)</f>
        <v>148.80000000000001</v>
      </c>
      <c r="E182" s="39">
        <f>E181-(2*0.6)</f>
        <v>15.8</v>
      </c>
      <c r="F182" s="39">
        <f>F181-(2*0.6)</f>
        <v>10.3</v>
      </c>
      <c r="G182" s="39">
        <f t="shared" si="10"/>
        <v>339140</v>
      </c>
      <c r="H182" s="39">
        <f t="shared" si="10"/>
        <v>400972</v>
      </c>
      <c r="K182" s="39">
        <f>K179*2</f>
        <v>5636</v>
      </c>
      <c r="M182">
        <f>M179*2</f>
        <v>33710612</v>
      </c>
      <c r="O182" s="39">
        <f>O179*2</f>
        <v>0.44240000000000002</v>
      </c>
      <c r="P182" s="39">
        <v>2</v>
      </c>
      <c r="R182" s="4" t="str">
        <f>IF('invoer gording'!$B$24="ja 50 jr",'tab gording'!B182,"")</f>
        <v/>
      </c>
    </row>
    <row r="183" spans="1:18" x14ac:dyDescent="0.2">
      <c r="A183" s="4">
        <v>180</v>
      </c>
      <c r="B183" s="4" t="s">
        <v>643</v>
      </c>
      <c r="C183" s="39">
        <f>C181-(2*1.2)</f>
        <v>197.6</v>
      </c>
      <c r="D183" s="39">
        <f>D181-(2*1.2)</f>
        <v>147.6</v>
      </c>
      <c r="E183" s="39">
        <f>E181-(2*1.2)</f>
        <v>14.6</v>
      </c>
      <c r="F183" s="39">
        <f>F181-(2*1.2)</f>
        <v>9.1</v>
      </c>
      <c r="G183" s="39">
        <f t="shared" si="10"/>
        <v>296088</v>
      </c>
      <c r="H183" s="39">
        <f t="shared" si="10"/>
        <v>346864</v>
      </c>
      <c r="K183" s="39">
        <f>K180*2</f>
        <v>4838</v>
      </c>
      <c r="M183">
        <f>M180*2</f>
        <v>29253480</v>
      </c>
      <c r="O183" s="39">
        <f>O180*2</f>
        <v>0.37980000000000003</v>
      </c>
      <c r="P183" s="39">
        <v>3</v>
      </c>
      <c r="R183" s="4" t="str">
        <f>IF('invoer gording'!$B$24="ja 100 jr",'tab gording'!B183,"")</f>
        <v/>
      </c>
    </row>
    <row r="184" spans="1:18" x14ac:dyDescent="0.2">
      <c r="A184" s="4">
        <v>181</v>
      </c>
      <c r="B184" s="4" t="s">
        <v>644</v>
      </c>
      <c r="C184" s="39">
        <v>220</v>
      </c>
      <c r="D184" s="39">
        <v>80</v>
      </c>
      <c r="E184" s="39">
        <v>9</v>
      </c>
      <c r="F184" s="39">
        <v>12.5</v>
      </c>
      <c r="G184" s="39">
        <v>244600</v>
      </c>
      <c r="H184" s="39">
        <v>291400</v>
      </c>
      <c r="K184" s="39">
        <v>3740</v>
      </c>
      <c r="M184">
        <v>26910000</v>
      </c>
      <c r="O184" s="39">
        <v>0.29389999999999999</v>
      </c>
      <c r="R184" s="4" t="str">
        <f>IF('invoer gording'!$B$24="nee",'tab gording'!B184,"")</f>
        <v>UNP 220</v>
      </c>
    </row>
    <row r="185" spans="1:18" x14ac:dyDescent="0.2">
      <c r="A185" s="4">
        <v>182</v>
      </c>
      <c r="B185" s="4" t="s">
        <v>645</v>
      </c>
      <c r="C185" s="39">
        <f>C184-(2*0.6)</f>
        <v>218.8</v>
      </c>
      <c r="D185" s="39">
        <f>D184-(2*0.6)</f>
        <v>78.8</v>
      </c>
      <c r="E185" s="39">
        <f>E184-(2*0.6)</f>
        <v>7.8</v>
      </c>
      <c r="F185" s="39">
        <f>F184-(2*0.6)</f>
        <v>11.3</v>
      </c>
      <c r="G185" s="39">
        <v>219080</v>
      </c>
      <c r="H185" s="39">
        <v>259037</v>
      </c>
      <c r="K185" s="39">
        <v>3309</v>
      </c>
      <c r="M185">
        <v>23967353</v>
      </c>
      <c r="O185" s="39">
        <v>0.25969999999999999</v>
      </c>
      <c r="R185" s="4" t="str">
        <f>IF('invoer gording'!$B$24="ja 50 jr",'tab gording'!B185,"")</f>
        <v/>
      </c>
    </row>
    <row r="186" spans="1:18" x14ac:dyDescent="0.2">
      <c r="A186" s="4">
        <v>183</v>
      </c>
      <c r="B186" s="4" t="s">
        <v>646</v>
      </c>
      <c r="C186" s="39">
        <f>C184-(2*1.2)</f>
        <v>217.6</v>
      </c>
      <c r="D186" s="39">
        <f>D184-(2*1.2)</f>
        <v>77.599999999999994</v>
      </c>
      <c r="E186" s="39">
        <f>E184-(2*1.2)</f>
        <v>6.6</v>
      </c>
      <c r="F186" s="39">
        <f>F184-(2*1.2)</f>
        <v>10.1</v>
      </c>
      <c r="G186" s="39">
        <v>193493</v>
      </c>
      <c r="H186" s="39">
        <v>226803</v>
      </c>
      <c r="K186" s="39">
        <v>2875</v>
      </c>
      <c r="M186">
        <v>21052024</v>
      </c>
      <c r="O186" s="39">
        <v>0.22570000000000001</v>
      </c>
      <c r="R186" s="4" t="str">
        <f>IF('invoer gording'!$B$24="ja 100 jr",'tab gording'!B186,"")</f>
        <v/>
      </c>
    </row>
    <row r="187" spans="1:18" x14ac:dyDescent="0.2">
      <c r="A187" s="4">
        <v>184</v>
      </c>
      <c r="B187" s="4" t="s">
        <v>647</v>
      </c>
      <c r="C187" s="39">
        <v>220</v>
      </c>
      <c r="D187" s="39">
        <v>160</v>
      </c>
      <c r="E187" s="39">
        <v>18</v>
      </c>
      <c r="F187" s="39">
        <v>12.5</v>
      </c>
      <c r="G187" s="39">
        <f t="shared" ref="G187:H189" si="11">G184*2</f>
        <v>489200</v>
      </c>
      <c r="H187" s="39">
        <f t="shared" si="11"/>
        <v>582800</v>
      </c>
      <c r="K187" s="39">
        <f>K184*2</f>
        <v>7480</v>
      </c>
      <c r="M187">
        <f>M184*2</f>
        <v>53820000</v>
      </c>
      <c r="O187" s="39">
        <f>O184*2</f>
        <v>0.58779999999999999</v>
      </c>
      <c r="P187" s="39">
        <v>1</v>
      </c>
      <c r="R187" s="4" t="str">
        <f>IF('invoer gording'!$B$24="nee",'tab gording'!B187,"")</f>
        <v>Dubbel UNP 220</v>
      </c>
    </row>
    <row r="188" spans="1:18" x14ac:dyDescent="0.2">
      <c r="A188" s="4">
        <v>185</v>
      </c>
      <c r="B188" s="4" t="str">
        <f>CONCATENATE(B187," corrosie 50 jr.")</f>
        <v>Dubbel UNP 220 corrosie 50 jr.</v>
      </c>
      <c r="C188" s="39">
        <f>C187-(2*0.6)</f>
        <v>218.8</v>
      </c>
      <c r="D188" s="39">
        <f>D187-(2*0.6)</f>
        <v>158.80000000000001</v>
      </c>
      <c r="E188" s="39">
        <f>E187-(2*0.6)</f>
        <v>16.8</v>
      </c>
      <c r="F188" s="39">
        <f>F187-(2*0.6)</f>
        <v>11.3</v>
      </c>
      <c r="G188" s="39">
        <f t="shared" si="11"/>
        <v>438160</v>
      </c>
      <c r="H188" s="39">
        <f t="shared" si="11"/>
        <v>518074</v>
      </c>
      <c r="K188" s="39">
        <f>K185*2</f>
        <v>6618</v>
      </c>
      <c r="M188">
        <f>M185*2</f>
        <v>47934706</v>
      </c>
      <c r="O188" s="39">
        <f>O185*2</f>
        <v>0.51939999999999997</v>
      </c>
      <c r="P188" s="39">
        <v>2</v>
      </c>
      <c r="R188" s="4" t="str">
        <f>IF('invoer gording'!$B$24="ja 50 jr",'tab gording'!B188,"")</f>
        <v/>
      </c>
    </row>
    <row r="189" spans="1:18" x14ac:dyDescent="0.2">
      <c r="A189" s="4">
        <v>186</v>
      </c>
      <c r="B189" s="4" t="s">
        <v>648</v>
      </c>
      <c r="C189" s="39">
        <f>C187-(2*1.2)</f>
        <v>217.6</v>
      </c>
      <c r="D189" s="39">
        <f>D187-(2*1.2)</f>
        <v>157.6</v>
      </c>
      <c r="E189" s="39">
        <f>E187-(2*1.2)</f>
        <v>15.6</v>
      </c>
      <c r="F189" s="39">
        <f>F187-(2*1.2)</f>
        <v>10.1</v>
      </c>
      <c r="G189" s="39">
        <f t="shared" si="11"/>
        <v>386986</v>
      </c>
      <c r="H189" s="39">
        <f t="shared" si="11"/>
        <v>453606</v>
      </c>
      <c r="K189" s="39">
        <f>K186*2</f>
        <v>5750</v>
      </c>
      <c r="M189">
        <f>M186*2</f>
        <v>42104048</v>
      </c>
      <c r="O189" s="39">
        <f>O186*2</f>
        <v>0.45140000000000002</v>
      </c>
      <c r="P189" s="39">
        <v>3</v>
      </c>
      <c r="R189" s="4" t="str">
        <f>IF('invoer gording'!$B$24="ja 100 jr",'tab gording'!B189,"")</f>
        <v/>
      </c>
    </row>
    <row r="190" spans="1:18" x14ac:dyDescent="0.2">
      <c r="A190" s="4">
        <v>187</v>
      </c>
      <c r="B190" s="4" t="s">
        <v>649</v>
      </c>
      <c r="C190" s="39">
        <v>240</v>
      </c>
      <c r="D190" s="39">
        <v>85</v>
      </c>
      <c r="E190" s="39">
        <v>9.5</v>
      </c>
      <c r="F190" s="39">
        <v>13</v>
      </c>
      <c r="G190" s="39">
        <v>299800</v>
      </c>
      <c r="H190" s="39">
        <v>357600</v>
      </c>
      <c r="K190" s="39">
        <v>4230</v>
      </c>
      <c r="M190">
        <v>35980000</v>
      </c>
      <c r="O190" s="39">
        <v>0.33200000000000002</v>
      </c>
      <c r="R190" s="4" t="str">
        <f>IF('invoer gording'!$B$24="nee",'tab gording'!B190,"")</f>
        <v>UNP 240</v>
      </c>
    </row>
    <row r="191" spans="1:18" x14ac:dyDescent="0.2">
      <c r="A191" s="4">
        <v>188</v>
      </c>
      <c r="B191" s="4" t="s">
        <v>650</v>
      </c>
      <c r="C191" s="39">
        <f>C190-(2*0.6)</f>
        <v>238.8</v>
      </c>
      <c r="D191" s="39">
        <f>D190-(2*0.6)</f>
        <v>83.8</v>
      </c>
      <c r="E191" s="39">
        <f>E190-(2*0.6)</f>
        <v>8.3000000000000007</v>
      </c>
      <c r="F191" s="39">
        <f>F190-(2*0.6)</f>
        <v>11.8</v>
      </c>
      <c r="G191" s="39">
        <v>269823</v>
      </c>
      <c r="H191" s="39">
        <v>319539</v>
      </c>
      <c r="K191" s="39">
        <v>3760</v>
      </c>
      <c r="M191">
        <v>32216840</v>
      </c>
      <c r="O191" s="39">
        <v>0.29520000000000002</v>
      </c>
      <c r="R191" s="4" t="str">
        <f>IF('invoer gording'!$B$24="ja 50 jr",'tab gording'!B191,"")</f>
        <v/>
      </c>
    </row>
    <row r="192" spans="1:18" x14ac:dyDescent="0.2">
      <c r="A192" s="4">
        <v>189</v>
      </c>
      <c r="B192" s="4" t="s">
        <v>651</v>
      </c>
      <c r="C192" s="39">
        <f>C190-(2*1.2)</f>
        <v>237.6</v>
      </c>
      <c r="D192" s="39">
        <f>D190-(2*1.2)</f>
        <v>82.6</v>
      </c>
      <c r="E192" s="39">
        <f>E190-(2*1.2)</f>
        <v>7.1</v>
      </c>
      <c r="F192" s="39">
        <f>F190-(2*1.2)</f>
        <v>10.6</v>
      </c>
      <c r="G192" s="39">
        <v>239713</v>
      </c>
      <c r="H192" s="39">
        <v>281632</v>
      </c>
      <c r="K192" s="39">
        <v>3291</v>
      </c>
      <c r="M192">
        <v>28477953</v>
      </c>
      <c r="O192" s="39">
        <v>0.25840000000000002</v>
      </c>
      <c r="R192" s="4" t="str">
        <f>IF('invoer gording'!$B$24="ja 100 jr",'tab gording'!B192,"")</f>
        <v/>
      </c>
    </row>
    <row r="193" spans="1:18" x14ac:dyDescent="0.2">
      <c r="A193" s="4">
        <v>190</v>
      </c>
      <c r="B193" s="4" t="s">
        <v>652</v>
      </c>
      <c r="C193" s="39">
        <v>240</v>
      </c>
      <c r="D193" s="39">
        <v>170</v>
      </c>
      <c r="E193" s="39">
        <v>19</v>
      </c>
      <c r="F193" s="39">
        <v>13</v>
      </c>
      <c r="G193" s="39">
        <f t="shared" ref="G193:H195" si="12">G190*2</f>
        <v>599600</v>
      </c>
      <c r="H193" s="39">
        <f t="shared" si="12"/>
        <v>715200</v>
      </c>
      <c r="K193" s="39">
        <f>K190*2</f>
        <v>8460</v>
      </c>
      <c r="M193">
        <f>M190*2</f>
        <v>71960000</v>
      </c>
      <c r="O193" s="39">
        <f>O190*2</f>
        <v>0.66400000000000003</v>
      </c>
      <c r="P193" s="39">
        <v>1</v>
      </c>
      <c r="R193" s="4" t="str">
        <f>IF('invoer gording'!$B$24="nee",'tab gording'!B193,"")</f>
        <v>Dubbel UNP 240</v>
      </c>
    </row>
    <row r="194" spans="1:18" x14ac:dyDescent="0.2">
      <c r="A194" s="4">
        <v>191</v>
      </c>
      <c r="B194" s="4" t="str">
        <f>CONCATENATE(B193," corrosie 50 jr.")</f>
        <v>Dubbel UNP 240 corrosie 50 jr.</v>
      </c>
      <c r="C194" s="39">
        <f>C193-(2*0.6)</f>
        <v>238.8</v>
      </c>
      <c r="D194" s="39">
        <f>D193-(2*0.6)</f>
        <v>168.8</v>
      </c>
      <c r="E194" s="39">
        <f>E193-(2*0.6)</f>
        <v>17.8</v>
      </c>
      <c r="F194" s="39">
        <f>F193-(2*0.6)</f>
        <v>11.8</v>
      </c>
      <c r="G194" s="39">
        <f t="shared" si="12"/>
        <v>539646</v>
      </c>
      <c r="H194" s="39">
        <f t="shared" si="12"/>
        <v>639078</v>
      </c>
      <c r="K194" s="39">
        <f>K191*2</f>
        <v>7520</v>
      </c>
      <c r="M194">
        <f>M191*2</f>
        <v>64433680</v>
      </c>
      <c r="O194" s="39">
        <f>O191*2</f>
        <v>0.59040000000000004</v>
      </c>
      <c r="P194" s="39">
        <v>2</v>
      </c>
      <c r="R194" s="4" t="str">
        <f>IF('invoer gording'!$B$24="ja 50 jr",'tab gording'!B194,"")</f>
        <v/>
      </c>
    </row>
    <row r="195" spans="1:18" x14ac:dyDescent="0.2">
      <c r="A195" s="4">
        <v>192</v>
      </c>
      <c r="B195" s="4" t="s">
        <v>653</v>
      </c>
      <c r="C195" s="39">
        <f>C193-(2*1.2)</f>
        <v>237.6</v>
      </c>
      <c r="D195" s="39">
        <f>D193-(2*1.2)</f>
        <v>167.6</v>
      </c>
      <c r="E195" s="39">
        <f>E193-(2*1.2)</f>
        <v>16.600000000000001</v>
      </c>
      <c r="F195" s="39">
        <f>F193-(2*1.2)</f>
        <v>10.6</v>
      </c>
      <c r="G195" s="39">
        <f t="shared" si="12"/>
        <v>479426</v>
      </c>
      <c r="H195" s="39">
        <f t="shared" si="12"/>
        <v>563264</v>
      </c>
      <c r="K195" s="39">
        <f>K192*2</f>
        <v>6582</v>
      </c>
      <c r="M195">
        <f>M192*2</f>
        <v>56955906</v>
      </c>
      <c r="O195" s="39">
        <f>O192*2</f>
        <v>0.51680000000000004</v>
      </c>
      <c r="P195" s="39">
        <v>3</v>
      </c>
      <c r="R195" s="4" t="str">
        <f>IF('invoer gording'!$B$24="ja 100 jr",'tab gording'!B195,"")</f>
        <v/>
      </c>
    </row>
    <row r="196" spans="1:18" x14ac:dyDescent="0.2">
      <c r="A196" s="4">
        <v>193</v>
      </c>
      <c r="B196" s="4" t="s">
        <v>654</v>
      </c>
      <c r="C196" s="39">
        <v>260</v>
      </c>
      <c r="D196" s="39">
        <v>90</v>
      </c>
      <c r="E196" s="39">
        <v>10</v>
      </c>
      <c r="F196" s="39">
        <v>14</v>
      </c>
      <c r="G196" s="39">
        <v>371000</v>
      </c>
      <c r="H196" s="39">
        <v>442400</v>
      </c>
      <c r="K196" s="39">
        <v>4830</v>
      </c>
      <c r="M196">
        <v>48230000</v>
      </c>
      <c r="O196" s="39">
        <v>0.379</v>
      </c>
      <c r="R196" s="4" t="str">
        <f>IF('invoer gording'!$B$24="nee",'tab gording'!B196,"")</f>
        <v>UNP 260</v>
      </c>
    </row>
    <row r="197" spans="1:18" x14ac:dyDescent="0.2">
      <c r="A197" s="4">
        <v>194</v>
      </c>
      <c r="B197" s="4" t="s">
        <v>655</v>
      </c>
      <c r="C197" s="39">
        <f>C196-(2*0.6)</f>
        <v>258.8</v>
      </c>
      <c r="D197" s="39">
        <f>D196-(2*0.6)</f>
        <v>88.8</v>
      </c>
      <c r="E197" s="39">
        <f>E196-(2*0.6)</f>
        <v>8.8000000000000007</v>
      </c>
      <c r="F197" s="39">
        <f>F196-(2*0.6)</f>
        <v>12.8</v>
      </c>
      <c r="G197" s="39">
        <v>336272</v>
      </c>
      <c r="H197" s="39">
        <v>398204</v>
      </c>
      <c r="K197" s="39">
        <v>4323</v>
      </c>
      <c r="M197">
        <v>43513621</v>
      </c>
      <c r="O197" s="39">
        <v>0.33939999999999998</v>
      </c>
      <c r="R197" s="4" t="str">
        <f>IF('invoer gording'!$B$24="ja 50 jr",'tab gording'!B197,"")</f>
        <v/>
      </c>
    </row>
    <row r="198" spans="1:18" x14ac:dyDescent="0.2">
      <c r="A198" s="4">
        <v>195</v>
      </c>
      <c r="B198" s="4" t="s">
        <v>656</v>
      </c>
      <c r="C198" s="39">
        <f>C196-(2*1.2)</f>
        <v>257.60000000000002</v>
      </c>
      <c r="D198" s="39">
        <f>D196-(2*1.2)</f>
        <v>87.6</v>
      </c>
      <c r="E198" s="39">
        <f>E196-(2*1.2)</f>
        <v>7.6</v>
      </c>
      <c r="F198" s="39">
        <f>F196-(2*1.2)</f>
        <v>11.6</v>
      </c>
      <c r="G198" s="39">
        <v>301402</v>
      </c>
      <c r="H198" s="39">
        <v>354216</v>
      </c>
      <c r="K198" s="39">
        <v>3819</v>
      </c>
      <c r="M198">
        <v>38820621</v>
      </c>
      <c r="O198" s="39">
        <v>0.29980000000000001</v>
      </c>
      <c r="R198" s="4" t="str">
        <f>IF('invoer gording'!$B$24="ja 100 jr",'tab gording'!B198,"")</f>
        <v/>
      </c>
    </row>
    <row r="199" spans="1:18" x14ac:dyDescent="0.2">
      <c r="A199" s="4">
        <v>196</v>
      </c>
      <c r="B199" s="4" t="s">
        <v>657</v>
      </c>
      <c r="C199" s="39">
        <v>260</v>
      </c>
      <c r="D199" s="39">
        <v>180</v>
      </c>
      <c r="E199" s="39">
        <v>20</v>
      </c>
      <c r="F199" s="39">
        <v>14</v>
      </c>
      <c r="G199" s="39">
        <f t="shared" ref="G199:H201" si="13">G196*2</f>
        <v>742000</v>
      </c>
      <c r="H199" s="39">
        <f t="shared" si="13"/>
        <v>884800</v>
      </c>
      <c r="K199" s="39">
        <f>K196*2</f>
        <v>9660</v>
      </c>
      <c r="M199">
        <f>M196*2</f>
        <v>96460000</v>
      </c>
      <c r="O199" s="39">
        <f>O196*2</f>
        <v>0.75800000000000001</v>
      </c>
      <c r="P199" s="39">
        <v>1</v>
      </c>
      <c r="R199" s="4" t="str">
        <f>IF('invoer gording'!$B$24="nee",'tab gording'!B199,"")</f>
        <v>Dubbel UNP 260</v>
      </c>
    </row>
    <row r="200" spans="1:18" x14ac:dyDescent="0.2">
      <c r="A200" s="4">
        <v>197</v>
      </c>
      <c r="B200" s="4" t="str">
        <f>CONCATENATE(B199," corrosie 50 jr.")</f>
        <v>Dubbel UNP 260 corrosie 50 jr.</v>
      </c>
      <c r="C200" s="39">
        <f>C199-(2*0.6)</f>
        <v>258.8</v>
      </c>
      <c r="D200" s="39">
        <f>D199-(2*0.6)</f>
        <v>178.8</v>
      </c>
      <c r="E200" s="39">
        <f>E199-(2*0.6)</f>
        <v>18.8</v>
      </c>
      <c r="F200" s="39">
        <f>F199-(2*0.6)</f>
        <v>12.8</v>
      </c>
      <c r="G200" s="39">
        <f t="shared" si="13"/>
        <v>672544</v>
      </c>
      <c r="H200" s="39">
        <f t="shared" si="13"/>
        <v>796408</v>
      </c>
      <c r="K200" s="39">
        <f>K197*2</f>
        <v>8646</v>
      </c>
      <c r="M200">
        <f>M197*2</f>
        <v>87027242</v>
      </c>
      <c r="O200" s="39">
        <f>O197*2</f>
        <v>0.67879999999999996</v>
      </c>
      <c r="P200" s="39">
        <v>2</v>
      </c>
      <c r="R200" s="4" t="str">
        <f>IF('invoer gording'!$B$24="ja 50 jr",'tab gording'!B200,"")</f>
        <v/>
      </c>
    </row>
    <row r="201" spans="1:18" x14ac:dyDescent="0.2">
      <c r="A201" s="4">
        <v>198</v>
      </c>
      <c r="B201" s="4" t="s">
        <v>658</v>
      </c>
      <c r="C201" s="39">
        <f>C199-(2*1.2)</f>
        <v>257.60000000000002</v>
      </c>
      <c r="D201" s="39">
        <f>D199-(2*1.2)</f>
        <v>177.6</v>
      </c>
      <c r="E201" s="39">
        <f>E199-(2*1.2)</f>
        <v>17.600000000000001</v>
      </c>
      <c r="F201" s="39">
        <f>F199-(2*1.2)</f>
        <v>11.6</v>
      </c>
      <c r="G201" s="39">
        <f t="shared" si="13"/>
        <v>602804</v>
      </c>
      <c r="H201" s="39">
        <f t="shared" si="13"/>
        <v>708432</v>
      </c>
      <c r="K201" s="39">
        <f>K198*2</f>
        <v>7638</v>
      </c>
      <c r="M201">
        <f>M198*2</f>
        <v>77641242</v>
      </c>
      <c r="O201" s="39">
        <f>O198*2</f>
        <v>0.59960000000000002</v>
      </c>
      <c r="P201" s="39">
        <v>3</v>
      </c>
      <c r="R201" s="4" t="str">
        <f>IF('invoer gording'!$B$24="ja 100 jr",'tab gording'!B201,"")</f>
        <v/>
      </c>
    </row>
    <row r="202" spans="1:18" x14ac:dyDescent="0.2">
      <c r="A202" s="4">
        <v>199</v>
      </c>
      <c r="B202" s="4" t="s">
        <v>659</v>
      </c>
      <c r="C202" s="39">
        <v>280</v>
      </c>
      <c r="D202" s="39">
        <v>95</v>
      </c>
      <c r="E202" s="39">
        <v>10</v>
      </c>
      <c r="F202" s="39">
        <v>15</v>
      </c>
      <c r="G202" s="39">
        <v>448000</v>
      </c>
      <c r="H202" s="39">
        <v>531800</v>
      </c>
      <c r="K202" s="39">
        <v>5340</v>
      </c>
      <c r="M202">
        <v>62740000</v>
      </c>
      <c r="O202" s="39">
        <v>0.41899999999999998</v>
      </c>
      <c r="R202" s="4" t="str">
        <f>IF('invoer gording'!$B$24="nee",'tab gording'!B202,"")</f>
        <v>UNP 280</v>
      </c>
    </row>
    <row r="203" spans="1:18" x14ac:dyDescent="0.2">
      <c r="A203" s="4">
        <v>200</v>
      </c>
      <c r="B203" s="4" t="s">
        <v>660</v>
      </c>
      <c r="C203" s="39">
        <f>C202-(2*0.6)</f>
        <v>278.8</v>
      </c>
      <c r="D203" s="39">
        <f>D202-(2*0.6)</f>
        <v>93.8</v>
      </c>
      <c r="E203" s="39">
        <f>E202-(2*0.6)</f>
        <v>8.8000000000000007</v>
      </c>
      <c r="F203" s="39">
        <f>F202-(2*0.6)</f>
        <v>13.8</v>
      </c>
      <c r="G203" s="39">
        <v>408297</v>
      </c>
      <c r="H203" s="39">
        <v>481172</v>
      </c>
      <c r="K203" s="39">
        <v>4801</v>
      </c>
      <c r="M203">
        <v>56916635</v>
      </c>
      <c r="O203" s="39">
        <v>0.37690000000000001</v>
      </c>
      <c r="R203" s="4" t="str">
        <f>IF('invoer gording'!$B$24="ja 50 jr",'tab gording'!B203,"")</f>
        <v/>
      </c>
    </row>
    <row r="204" spans="1:18" x14ac:dyDescent="0.2">
      <c r="A204" s="4">
        <v>201</v>
      </c>
      <c r="B204" s="4" t="s">
        <v>661</v>
      </c>
      <c r="C204" s="39">
        <f>C202-(2*1.2)</f>
        <v>277.60000000000002</v>
      </c>
      <c r="D204" s="39">
        <f>D202-(2*1.2)</f>
        <v>92.6</v>
      </c>
      <c r="E204" s="39">
        <f>E202-(2*1.2)</f>
        <v>7.6</v>
      </c>
      <c r="F204" s="39">
        <f>F202-(2*1.2)</f>
        <v>12.6</v>
      </c>
      <c r="G204" s="39">
        <v>368241</v>
      </c>
      <c r="H204" s="39">
        <v>430586</v>
      </c>
      <c r="K204" s="39">
        <v>4262</v>
      </c>
      <c r="M204">
        <v>51111871</v>
      </c>
      <c r="O204" s="39">
        <v>0.33460000000000001</v>
      </c>
      <c r="R204" s="4" t="str">
        <f>IF('invoer gording'!$B$24="ja 100 jr",'tab gording'!B204,"")</f>
        <v/>
      </c>
    </row>
    <row r="205" spans="1:18" x14ac:dyDescent="0.2">
      <c r="A205" s="4">
        <v>202</v>
      </c>
      <c r="B205" s="4" t="s">
        <v>662</v>
      </c>
      <c r="C205" s="39">
        <v>280</v>
      </c>
      <c r="D205" s="39">
        <v>190</v>
      </c>
      <c r="E205" s="39">
        <v>20</v>
      </c>
      <c r="F205" s="39">
        <v>15</v>
      </c>
      <c r="G205" s="39">
        <f t="shared" ref="G205:H207" si="14">G202*2</f>
        <v>896000</v>
      </c>
      <c r="H205" s="39">
        <f t="shared" si="14"/>
        <v>1063600</v>
      </c>
      <c r="K205" s="39">
        <f>K202*2</f>
        <v>10680</v>
      </c>
      <c r="M205">
        <f>M202*2</f>
        <v>125480000</v>
      </c>
      <c r="O205" s="39">
        <f>O202*2</f>
        <v>0.83799999999999997</v>
      </c>
      <c r="P205" s="39">
        <v>1</v>
      </c>
      <c r="R205" s="4" t="str">
        <f>IF('invoer gording'!$B$24="nee",'tab gording'!B205,"")</f>
        <v>Dubbel UNP 280</v>
      </c>
    </row>
    <row r="206" spans="1:18" x14ac:dyDescent="0.2">
      <c r="A206" s="4">
        <v>203</v>
      </c>
      <c r="B206" s="4" t="str">
        <f>CONCATENATE(B205," corrosie 50 jr.")</f>
        <v>Dubbel UNP 280 corrosie 50 jr.</v>
      </c>
      <c r="C206" s="39">
        <f>C205-(2*0.6)</f>
        <v>278.8</v>
      </c>
      <c r="D206" s="39">
        <f>D205-(2*0.6)</f>
        <v>188.8</v>
      </c>
      <c r="E206" s="39">
        <f>E205-(2*0.6)</f>
        <v>18.8</v>
      </c>
      <c r="F206" s="39">
        <f>F205-(2*0.6)</f>
        <v>13.8</v>
      </c>
      <c r="G206" s="39">
        <f t="shared" si="14"/>
        <v>816594</v>
      </c>
      <c r="H206" s="39">
        <f t="shared" si="14"/>
        <v>962344</v>
      </c>
      <c r="K206" s="39">
        <f>K203*2</f>
        <v>9602</v>
      </c>
      <c r="M206">
        <f>M203*2</f>
        <v>113833270</v>
      </c>
      <c r="O206" s="39">
        <f>O203*2</f>
        <v>0.75380000000000003</v>
      </c>
      <c r="P206" s="39">
        <v>2</v>
      </c>
      <c r="R206" s="4" t="str">
        <f>IF('invoer gording'!$B$24="ja 50 jr",'tab gording'!B206,"")</f>
        <v/>
      </c>
    </row>
    <row r="207" spans="1:18" x14ac:dyDescent="0.2">
      <c r="A207" s="4">
        <v>204</v>
      </c>
      <c r="B207" s="4" t="s">
        <v>663</v>
      </c>
      <c r="C207" s="39">
        <f>C205-(2*1.2)</f>
        <v>277.60000000000002</v>
      </c>
      <c r="D207" s="39">
        <f>D205-(2*1.2)</f>
        <v>187.6</v>
      </c>
      <c r="E207" s="39">
        <f>E205-(2*1.2)</f>
        <v>17.600000000000001</v>
      </c>
      <c r="F207" s="39">
        <f>F205-(2*1.2)</f>
        <v>12.6</v>
      </c>
      <c r="G207" s="39">
        <f t="shared" si="14"/>
        <v>736482</v>
      </c>
      <c r="H207" s="39">
        <f t="shared" si="14"/>
        <v>861172</v>
      </c>
      <c r="K207" s="39">
        <f>K204*2</f>
        <v>8524</v>
      </c>
      <c r="M207">
        <f>M204*2</f>
        <v>102223742</v>
      </c>
      <c r="O207" s="39">
        <f>O204*2</f>
        <v>0.66920000000000002</v>
      </c>
      <c r="P207" s="39">
        <v>3</v>
      </c>
      <c r="R207" s="4" t="str">
        <f>IF('invoer gording'!$B$24="ja 100 jr",'tab gording'!B207,"")</f>
        <v/>
      </c>
    </row>
    <row r="208" spans="1:18" x14ac:dyDescent="0.2">
      <c r="A208" s="4">
        <v>205</v>
      </c>
      <c r="B208" s="4" t="s">
        <v>664</v>
      </c>
      <c r="C208" s="39">
        <v>300</v>
      </c>
      <c r="D208" s="39">
        <v>100</v>
      </c>
      <c r="E208" s="39">
        <v>10</v>
      </c>
      <c r="F208" s="39">
        <v>16</v>
      </c>
      <c r="G208" s="39">
        <v>535000</v>
      </c>
      <c r="H208" s="39">
        <v>632200</v>
      </c>
      <c r="K208" s="39">
        <v>5880</v>
      </c>
      <c r="M208">
        <v>80260000</v>
      </c>
      <c r="O208" s="39">
        <v>0.46100000000000002</v>
      </c>
      <c r="R208" s="4" t="str">
        <f>IF('invoer gording'!$B$24="nee",'tab gording'!B208,"")</f>
        <v>UNP 300</v>
      </c>
    </row>
    <row r="209" spans="1:18" x14ac:dyDescent="0.2">
      <c r="A209" s="4">
        <v>206</v>
      </c>
      <c r="B209" s="4" t="s">
        <v>665</v>
      </c>
      <c r="C209" s="39">
        <f>C208-(2*0.6)</f>
        <v>298.8</v>
      </c>
      <c r="D209" s="39">
        <f>D208-(2*0.6)</f>
        <v>98.8</v>
      </c>
      <c r="E209" s="39">
        <f>E208-(2*0.6)</f>
        <v>8.8000000000000007</v>
      </c>
      <c r="F209" s="39">
        <f>F208-(2*0.6)</f>
        <v>14.8</v>
      </c>
      <c r="G209" s="39">
        <v>489680</v>
      </c>
      <c r="H209" s="39">
        <v>574534</v>
      </c>
      <c r="K209" s="39">
        <v>5300</v>
      </c>
      <c r="M209">
        <v>73158235</v>
      </c>
      <c r="O209" s="39">
        <v>0.41610000000000003</v>
      </c>
      <c r="R209" s="4" t="str">
        <f>IF('invoer gording'!$B$24="ja 50 jr",'tab gording'!B209,"")</f>
        <v/>
      </c>
    </row>
    <row r="210" spans="1:18" x14ac:dyDescent="0.2">
      <c r="A210" s="4">
        <v>207</v>
      </c>
      <c r="B210" s="4" t="s">
        <v>666</v>
      </c>
      <c r="C210" s="39">
        <f>C208-(2*1.2)</f>
        <v>297.60000000000002</v>
      </c>
      <c r="D210" s="39">
        <f>D208-(2*1.2)</f>
        <v>97.6</v>
      </c>
      <c r="E210" s="39">
        <f>E208-(2*1.2)</f>
        <v>7.6</v>
      </c>
      <c r="F210" s="39">
        <f>F208-(2*1.2)</f>
        <v>13.6</v>
      </c>
      <c r="G210" s="39">
        <v>444080</v>
      </c>
      <c r="H210" s="39">
        <v>516890</v>
      </c>
      <c r="K210" s="39">
        <v>4725</v>
      </c>
      <c r="M210">
        <v>66079158</v>
      </c>
      <c r="O210" s="39">
        <v>0.37090000000000001</v>
      </c>
      <c r="R210" s="4" t="str">
        <f>IF('invoer gording'!$B$24="ja 100 jr",'tab gording'!B210,"")</f>
        <v/>
      </c>
    </row>
    <row r="211" spans="1:18" x14ac:dyDescent="0.2">
      <c r="A211" s="4">
        <v>208</v>
      </c>
      <c r="B211" s="4" t="s">
        <v>667</v>
      </c>
      <c r="C211" s="39">
        <v>300</v>
      </c>
      <c r="D211" s="39">
        <v>200</v>
      </c>
      <c r="E211" s="39">
        <v>20</v>
      </c>
      <c r="F211" s="39">
        <v>16</v>
      </c>
      <c r="G211" s="39">
        <f t="shared" ref="G211:H213" si="15">G208*2</f>
        <v>1070000</v>
      </c>
      <c r="H211" s="39">
        <f t="shared" si="15"/>
        <v>1264400</v>
      </c>
      <c r="K211" s="39">
        <f>K208*2</f>
        <v>11760</v>
      </c>
      <c r="M211">
        <f>M208*2</f>
        <v>160520000</v>
      </c>
      <c r="O211" s="39">
        <f>O208*2</f>
        <v>0.92200000000000004</v>
      </c>
      <c r="P211" s="39">
        <v>1</v>
      </c>
      <c r="R211" s="4" t="str">
        <f>IF('invoer gording'!$B$24="nee",'tab gording'!B211,"")</f>
        <v>Dubbel UNP 300</v>
      </c>
    </row>
    <row r="212" spans="1:18" x14ac:dyDescent="0.2">
      <c r="A212" s="4">
        <v>209</v>
      </c>
      <c r="B212" s="4" t="str">
        <f>CONCATENATE(B211," corrosie 50 jr.")</f>
        <v>Dubbel UNP 300 corrosie 50 jr.</v>
      </c>
      <c r="C212" s="39">
        <f>C211-(2*0.6)</f>
        <v>298.8</v>
      </c>
      <c r="D212" s="39">
        <f>D211-(2*0.6)</f>
        <v>198.8</v>
      </c>
      <c r="E212" s="39">
        <f>E211-(2*0.6)</f>
        <v>18.8</v>
      </c>
      <c r="F212" s="39">
        <f>F211-(2*0.6)</f>
        <v>14.8</v>
      </c>
      <c r="G212" s="39">
        <f t="shared" si="15"/>
        <v>979360</v>
      </c>
      <c r="H212" s="39">
        <f t="shared" si="15"/>
        <v>1149068</v>
      </c>
      <c r="K212" s="39">
        <f>K209*2</f>
        <v>10600</v>
      </c>
      <c r="M212">
        <f>M209*2</f>
        <v>146316470</v>
      </c>
      <c r="O212" s="39">
        <f>O209*2</f>
        <v>0.83220000000000005</v>
      </c>
      <c r="P212" s="39">
        <v>2</v>
      </c>
      <c r="R212" s="4" t="str">
        <f>IF('invoer gording'!$B$24="ja 50 jr",'tab gording'!B212,"")</f>
        <v/>
      </c>
    </row>
    <row r="213" spans="1:18" x14ac:dyDescent="0.2">
      <c r="A213" s="4">
        <v>210</v>
      </c>
      <c r="B213" s="4" t="s">
        <v>668</v>
      </c>
      <c r="C213" s="39">
        <f>C211-(2*1.2)</f>
        <v>297.60000000000002</v>
      </c>
      <c r="D213" s="39">
        <f>D211-(2*1.2)</f>
        <v>197.6</v>
      </c>
      <c r="E213" s="39">
        <f>E211-(2*1.2)</f>
        <v>17.600000000000001</v>
      </c>
      <c r="F213" s="39">
        <f>F211-(2*1.2)</f>
        <v>13.6</v>
      </c>
      <c r="G213" s="39">
        <f t="shared" si="15"/>
        <v>888160</v>
      </c>
      <c r="H213" s="39">
        <f t="shared" si="15"/>
        <v>1033780</v>
      </c>
      <c r="K213" s="39">
        <f>K210*2</f>
        <v>9450</v>
      </c>
      <c r="M213">
        <f>M210*2</f>
        <v>132158316</v>
      </c>
      <c r="O213" s="39">
        <f>O210*2</f>
        <v>0.74180000000000001</v>
      </c>
      <c r="P213" s="39">
        <v>3</v>
      </c>
      <c r="R213" s="4" t="str">
        <f>IF('invoer gording'!$B$24="ja 100 jr",'tab gording'!B213,"")</f>
        <v/>
      </c>
    </row>
    <row r="214" spans="1:18" x14ac:dyDescent="0.2">
      <c r="A214" s="4">
        <v>211</v>
      </c>
      <c r="B214" s="4" t="s">
        <v>669</v>
      </c>
      <c r="C214" s="39">
        <v>320</v>
      </c>
      <c r="D214" s="39">
        <v>100</v>
      </c>
      <c r="E214" s="39">
        <v>14</v>
      </c>
      <c r="F214" s="39">
        <v>17.5</v>
      </c>
      <c r="G214" s="39">
        <v>679000</v>
      </c>
      <c r="H214" s="39">
        <v>826000</v>
      </c>
      <c r="K214" s="39">
        <v>7580</v>
      </c>
      <c r="M214">
        <v>108700000</v>
      </c>
      <c r="O214" s="39">
        <v>0.59499999999999997</v>
      </c>
      <c r="R214" s="4" t="str">
        <f>IF('invoer gording'!$B$24="nee",'tab gording'!B214,"")</f>
        <v>UNP 320</v>
      </c>
    </row>
    <row r="215" spans="1:18" x14ac:dyDescent="0.2">
      <c r="A215" s="4">
        <v>212</v>
      </c>
      <c r="B215" s="4" t="s">
        <v>670</v>
      </c>
      <c r="C215" s="39">
        <f>C214-(2*0.6)</f>
        <v>318.8</v>
      </c>
      <c r="D215" s="39">
        <f>D214-(2*0.6)</f>
        <v>98.8</v>
      </c>
      <c r="E215" s="39">
        <f>E214-(2*0.6)</f>
        <v>12.8</v>
      </c>
      <c r="F215" s="39">
        <f>F214-(2*0.6)</f>
        <v>16.3</v>
      </c>
      <c r="G215" s="39">
        <v>622438</v>
      </c>
      <c r="H215" s="39">
        <v>753360</v>
      </c>
      <c r="K215" s="39">
        <v>6919</v>
      </c>
      <c r="M215">
        <v>99216656</v>
      </c>
      <c r="O215" s="39">
        <v>0.54320000000000002</v>
      </c>
      <c r="R215" s="4" t="str">
        <f>IF('invoer gording'!$B$24="ja 50 jr",'tab gording'!B215,"")</f>
        <v/>
      </c>
    </row>
    <row r="216" spans="1:18" x14ac:dyDescent="0.2">
      <c r="A216" s="4">
        <v>213</v>
      </c>
      <c r="B216" s="4" t="s">
        <v>671</v>
      </c>
      <c r="C216" s="39">
        <f>C214-(2*1.2)</f>
        <v>317.60000000000002</v>
      </c>
      <c r="D216" s="39">
        <f>D214-(2*1.2)</f>
        <v>97.6</v>
      </c>
      <c r="E216" s="39">
        <f>E214-(2*1.2)</f>
        <v>11.6</v>
      </c>
      <c r="F216" s="39">
        <f>F214-(2*1.2)</f>
        <v>15.1</v>
      </c>
      <c r="G216" s="39">
        <v>573054</v>
      </c>
      <c r="H216" s="39">
        <v>690198</v>
      </c>
      <c r="K216" s="39">
        <v>6322</v>
      </c>
      <c r="M216">
        <v>91001003</v>
      </c>
      <c r="O216" s="39">
        <v>0.49619999999999997</v>
      </c>
      <c r="R216" s="4" t="str">
        <f>IF('invoer gording'!$B$24="ja 100 jr",'tab gording'!B216,"")</f>
        <v/>
      </c>
    </row>
    <row r="217" spans="1:18" x14ac:dyDescent="0.2">
      <c r="A217" s="4">
        <v>214</v>
      </c>
      <c r="B217" s="4" t="s">
        <v>672</v>
      </c>
      <c r="C217" s="39">
        <v>320</v>
      </c>
      <c r="D217" s="39">
        <v>200</v>
      </c>
      <c r="E217" s="39">
        <v>28</v>
      </c>
      <c r="F217" s="39">
        <v>17.5</v>
      </c>
      <c r="G217" s="39">
        <f t="shared" ref="G217:H219" si="16">G214*2</f>
        <v>1358000</v>
      </c>
      <c r="H217" s="39">
        <f t="shared" si="16"/>
        <v>1652000</v>
      </c>
      <c r="K217" s="39">
        <f>K214*2</f>
        <v>15160</v>
      </c>
      <c r="M217">
        <f>M214*2</f>
        <v>217400000</v>
      </c>
      <c r="O217" s="39">
        <f>O214*2</f>
        <v>1.19</v>
      </c>
      <c r="P217" s="39">
        <v>1</v>
      </c>
      <c r="R217" s="4" t="str">
        <f>IF('invoer gording'!$B$24="nee",'tab gording'!B217,"")</f>
        <v>Dubbel UNP 320</v>
      </c>
    </row>
    <row r="218" spans="1:18" x14ac:dyDescent="0.2">
      <c r="A218" s="4">
        <v>215</v>
      </c>
      <c r="B218" s="4" t="str">
        <f>CONCATENATE(B217," corrosie 50 jr.")</f>
        <v>Dubbel UNP 320 corrosie 50 jr.</v>
      </c>
      <c r="C218" s="39">
        <f>C217-(2*0.6)</f>
        <v>318.8</v>
      </c>
      <c r="D218" s="39">
        <f>D217-(2*0.6)</f>
        <v>198.8</v>
      </c>
      <c r="E218" s="39">
        <f>E217-(2*0.6)</f>
        <v>26.8</v>
      </c>
      <c r="F218" s="39">
        <f>F217-(2*0.6)</f>
        <v>16.3</v>
      </c>
      <c r="G218" s="39">
        <f t="shared" si="16"/>
        <v>1244876</v>
      </c>
      <c r="H218" s="39">
        <f t="shared" si="16"/>
        <v>1506720</v>
      </c>
      <c r="K218" s="39">
        <f>K215*2</f>
        <v>13838</v>
      </c>
      <c r="M218">
        <f>M215*2</f>
        <v>198433312</v>
      </c>
      <c r="O218" s="39">
        <f>O215*2</f>
        <v>1.0864</v>
      </c>
      <c r="P218" s="39">
        <v>2</v>
      </c>
      <c r="R218" s="4" t="str">
        <f>IF('invoer gording'!$B$24="ja 50 jr",'tab gording'!B218,"")</f>
        <v/>
      </c>
    </row>
    <row r="219" spans="1:18" x14ac:dyDescent="0.2">
      <c r="A219" s="4">
        <v>216</v>
      </c>
      <c r="B219" s="4" t="s">
        <v>673</v>
      </c>
      <c r="C219" s="39">
        <f>C217-(2*1.2)</f>
        <v>317.60000000000002</v>
      </c>
      <c r="D219" s="39">
        <f>D217-(2*1.2)</f>
        <v>197.6</v>
      </c>
      <c r="E219" s="39">
        <f>E217-(2*1.2)</f>
        <v>25.6</v>
      </c>
      <c r="F219" s="39">
        <f>F217-(2*1.2)</f>
        <v>15.1</v>
      </c>
      <c r="G219" s="39">
        <f t="shared" si="16"/>
        <v>1146108</v>
      </c>
      <c r="H219" s="39">
        <f t="shared" si="16"/>
        <v>1380396</v>
      </c>
      <c r="K219" s="39">
        <f>K216*2</f>
        <v>12644</v>
      </c>
      <c r="M219">
        <f>M216*2</f>
        <v>182002006</v>
      </c>
      <c r="O219" s="39">
        <f>O216*2</f>
        <v>0.99239999999999995</v>
      </c>
      <c r="P219" s="39">
        <v>3</v>
      </c>
      <c r="R219" s="4" t="str">
        <f>IF('invoer gording'!$B$24="ja 100 jr",'tab gording'!B219,"")</f>
        <v/>
      </c>
    </row>
    <row r="220" spans="1:18" x14ac:dyDescent="0.2">
      <c r="A220" s="4">
        <v>217</v>
      </c>
      <c r="B220" s="4" t="s">
        <v>674</v>
      </c>
      <c r="C220" s="39">
        <v>350</v>
      </c>
      <c r="D220" s="39">
        <v>100</v>
      </c>
      <c r="E220" s="39">
        <v>14</v>
      </c>
      <c r="F220" s="39">
        <v>16</v>
      </c>
      <c r="G220" s="39">
        <v>734000</v>
      </c>
      <c r="H220" s="39">
        <v>900000</v>
      </c>
      <c r="K220" s="39">
        <v>7720</v>
      </c>
      <c r="M220">
        <v>128400000</v>
      </c>
      <c r="O220" s="39">
        <v>0.60599999999999998</v>
      </c>
      <c r="R220" s="4" t="str">
        <f>IF('invoer gording'!$B$24="nee",'tab gording'!B220,"")</f>
        <v>UNP 350</v>
      </c>
    </row>
    <row r="221" spans="1:18" x14ac:dyDescent="0.2">
      <c r="A221" s="4">
        <v>218</v>
      </c>
      <c r="B221" s="4" t="s">
        <v>675</v>
      </c>
      <c r="C221" s="39">
        <f>C220-(2*0.6)</f>
        <v>348.8</v>
      </c>
      <c r="D221" s="39">
        <f>D220-(2*0.6)</f>
        <v>98.8</v>
      </c>
      <c r="E221" s="39">
        <f>E220-(2*0.6)</f>
        <v>12.8</v>
      </c>
      <c r="F221" s="39">
        <f>F220-(2*0.6)</f>
        <v>14.8</v>
      </c>
      <c r="G221" s="39">
        <v>668515</v>
      </c>
      <c r="H221" s="39">
        <v>816950</v>
      </c>
      <c r="K221" s="39">
        <v>7031</v>
      </c>
      <c r="M221">
        <v>116589079</v>
      </c>
      <c r="O221" s="39">
        <v>0.55189999999999995</v>
      </c>
      <c r="R221" s="4" t="str">
        <f>IF('invoer gording'!$B$24="ja 50 jr",'tab gording'!B221,"")</f>
        <v/>
      </c>
    </row>
    <row r="222" spans="1:18" x14ac:dyDescent="0.2">
      <c r="A222" s="4">
        <v>219</v>
      </c>
      <c r="B222" s="4" t="s">
        <v>676</v>
      </c>
      <c r="C222" s="39">
        <f>C220-(2*1.2)</f>
        <v>347.6</v>
      </c>
      <c r="D222" s="39">
        <f>D220-(2*1.2)</f>
        <v>97.6</v>
      </c>
      <c r="E222" s="39">
        <f>E220-(2*1.2)</f>
        <v>11.6</v>
      </c>
      <c r="F222" s="39">
        <f>F220-(2*1.2)</f>
        <v>13.6</v>
      </c>
      <c r="G222" s="39">
        <v>611578</v>
      </c>
      <c r="H222" s="39">
        <v>744398</v>
      </c>
      <c r="K222" s="39">
        <v>6397</v>
      </c>
      <c r="M222">
        <v>106292205</v>
      </c>
      <c r="O222" s="39">
        <v>0.50219999999999998</v>
      </c>
      <c r="R222" s="4" t="str">
        <f>IF('invoer gording'!$B$24="ja 100 jr",'tab gording'!B222,"")</f>
        <v/>
      </c>
    </row>
    <row r="223" spans="1:18" x14ac:dyDescent="0.2">
      <c r="A223" s="4">
        <v>220</v>
      </c>
      <c r="B223" s="4" t="s">
        <v>677</v>
      </c>
      <c r="C223" s="39">
        <v>350</v>
      </c>
      <c r="D223" s="39">
        <v>200</v>
      </c>
      <c r="E223" s="39">
        <v>28</v>
      </c>
      <c r="F223" s="39">
        <v>16</v>
      </c>
      <c r="G223" s="39">
        <f t="shared" ref="G223:H225" si="17">G220*2</f>
        <v>1468000</v>
      </c>
      <c r="H223" s="39">
        <f t="shared" si="17"/>
        <v>1800000</v>
      </c>
      <c r="K223" s="39">
        <f>K220*2</f>
        <v>15440</v>
      </c>
      <c r="M223">
        <f>M220*2</f>
        <v>256800000</v>
      </c>
      <c r="O223" s="39">
        <f>O220*2</f>
        <v>1.212</v>
      </c>
      <c r="P223" s="39">
        <v>1</v>
      </c>
      <c r="R223" s="4" t="str">
        <f>IF('invoer gording'!$B$24="nee",'tab gording'!B223,"")</f>
        <v>Dubbel UNP 350</v>
      </c>
    </row>
    <row r="224" spans="1:18" x14ac:dyDescent="0.2">
      <c r="A224" s="4">
        <v>221</v>
      </c>
      <c r="B224" s="4" t="str">
        <f>CONCATENATE(B223," corrosie 50 jr.")</f>
        <v>Dubbel UNP 350 corrosie 50 jr.</v>
      </c>
      <c r="C224" s="39">
        <f>C223-(2*0.6)</f>
        <v>348.8</v>
      </c>
      <c r="D224" s="39">
        <f>D223-(2*0.6)</f>
        <v>198.8</v>
      </c>
      <c r="E224" s="39">
        <f>E223-(2*0.6)</f>
        <v>26.8</v>
      </c>
      <c r="F224" s="39">
        <f>F223-(2*0.6)</f>
        <v>14.8</v>
      </c>
      <c r="G224" s="39">
        <f t="shared" si="17"/>
        <v>1337030</v>
      </c>
      <c r="H224" s="39">
        <f t="shared" si="17"/>
        <v>1633900</v>
      </c>
      <c r="K224" s="39">
        <f>K221*2</f>
        <v>14062</v>
      </c>
      <c r="M224">
        <f>M221*2</f>
        <v>233178158</v>
      </c>
      <c r="O224" s="39">
        <f>O221*2</f>
        <v>1.1037999999999999</v>
      </c>
      <c r="P224" s="39">
        <v>2</v>
      </c>
      <c r="R224" s="4" t="str">
        <f>IF('invoer gording'!$B$24="ja 50 jr",'tab gording'!B224,"")</f>
        <v/>
      </c>
    </row>
    <row r="225" spans="1:18" x14ac:dyDescent="0.2">
      <c r="A225" s="4">
        <v>222</v>
      </c>
      <c r="B225" s="4" t="s">
        <v>678</v>
      </c>
      <c r="C225" s="39">
        <f>C223-(2*1.2)</f>
        <v>347.6</v>
      </c>
      <c r="D225" s="39">
        <f>D223-(2*1.2)</f>
        <v>197.6</v>
      </c>
      <c r="E225" s="39">
        <f>E223-(2*1.2)</f>
        <v>25.6</v>
      </c>
      <c r="F225" s="39">
        <f>F223-(2*1.2)</f>
        <v>13.6</v>
      </c>
      <c r="G225" s="39">
        <f t="shared" si="17"/>
        <v>1223156</v>
      </c>
      <c r="H225" s="39">
        <f t="shared" si="17"/>
        <v>1488796</v>
      </c>
      <c r="K225" s="39">
        <f>K222*2</f>
        <v>12794</v>
      </c>
      <c r="M225">
        <f>M222*2</f>
        <v>212584410</v>
      </c>
      <c r="O225" s="39">
        <f>O222*2</f>
        <v>1.0044</v>
      </c>
      <c r="P225" s="39">
        <v>3</v>
      </c>
      <c r="R225" s="4" t="str">
        <f>IF('invoer gording'!$B$24="ja 100 jr",'tab gording'!B225,"")</f>
        <v/>
      </c>
    </row>
    <row r="226" spans="1:18" x14ac:dyDescent="0.2">
      <c r="A226" s="4">
        <v>223</v>
      </c>
      <c r="B226" s="4" t="s">
        <v>679</v>
      </c>
      <c r="C226" s="39">
        <v>380</v>
      </c>
      <c r="D226" s="39">
        <v>102</v>
      </c>
      <c r="E226" s="39">
        <v>13.5</v>
      </c>
      <c r="F226" s="39">
        <v>16</v>
      </c>
      <c r="G226" s="39">
        <v>829000</v>
      </c>
      <c r="H226" s="39">
        <v>1014000</v>
      </c>
      <c r="K226" s="39">
        <v>8030</v>
      </c>
      <c r="M226">
        <v>157500000</v>
      </c>
      <c r="O226" s="39">
        <v>0.63100000000000001</v>
      </c>
      <c r="R226" s="4" t="str">
        <f>IF('invoer gording'!$B$24="nee",'tab gording'!B226,"")</f>
        <v>UNP 380</v>
      </c>
    </row>
    <row r="227" spans="1:18" x14ac:dyDescent="0.2">
      <c r="A227" s="4">
        <v>224</v>
      </c>
      <c r="B227" s="4" t="s">
        <v>680</v>
      </c>
      <c r="C227" s="39">
        <f>C226-(2*0.6)</f>
        <v>378.8</v>
      </c>
      <c r="D227" s="39">
        <f>D226-(2*0.6)</f>
        <v>100.8</v>
      </c>
      <c r="E227" s="39">
        <f>E226-(2*0.6)</f>
        <v>12.3</v>
      </c>
      <c r="F227" s="39">
        <f>F226-(2*0.6)</f>
        <v>14.8</v>
      </c>
      <c r="G227" s="39">
        <v>754529</v>
      </c>
      <c r="H227" s="39">
        <v>920910</v>
      </c>
      <c r="K227" s="39">
        <v>7300</v>
      </c>
      <c r="M227">
        <v>142907765</v>
      </c>
      <c r="O227" s="39">
        <v>0.57299999999999995</v>
      </c>
      <c r="R227" s="4" t="str">
        <f>IF('invoer gording'!$B$24="ja 50 jr",'tab gording'!B227,"")</f>
        <v/>
      </c>
    </row>
    <row r="228" spans="1:18" x14ac:dyDescent="0.2">
      <c r="A228" s="4">
        <v>225</v>
      </c>
      <c r="B228" s="4" t="s">
        <v>681</v>
      </c>
      <c r="C228" s="39">
        <f>C226-(2*1.2)</f>
        <v>377.6</v>
      </c>
      <c r="D228" s="39">
        <f>D226-(2*1.2)</f>
        <v>99.6</v>
      </c>
      <c r="E228" s="39">
        <f>E226-(2*1.2)</f>
        <v>11.1</v>
      </c>
      <c r="F228" s="39">
        <f>F226-(2*1.2)</f>
        <v>13.6</v>
      </c>
      <c r="G228" s="39">
        <v>689174</v>
      </c>
      <c r="H228" s="39">
        <v>837630</v>
      </c>
      <c r="K228" s="39">
        <v>6625</v>
      </c>
      <c r="M228">
        <v>130116109</v>
      </c>
      <c r="O228" s="39">
        <v>0.52010000000000001</v>
      </c>
      <c r="R228" s="4" t="str">
        <f>IF('invoer gording'!$B$24="ja 100 jr",'tab gording'!B228,"")</f>
        <v/>
      </c>
    </row>
    <row r="229" spans="1:18" x14ac:dyDescent="0.2">
      <c r="A229" s="4">
        <v>226</v>
      </c>
      <c r="B229" s="4" t="s">
        <v>682</v>
      </c>
      <c r="C229" s="39">
        <v>380</v>
      </c>
      <c r="D229" s="39">
        <v>204</v>
      </c>
      <c r="E229" s="39">
        <v>27</v>
      </c>
      <c r="F229" s="39">
        <v>16</v>
      </c>
      <c r="G229" s="39">
        <f t="shared" ref="G229:H231" si="18">G226*2</f>
        <v>1658000</v>
      </c>
      <c r="H229" s="39">
        <f t="shared" si="18"/>
        <v>2028000</v>
      </c>
      <c r="K229" s="39">
        <f>K226*2</f>
        <v>16060</v>
      </c>
      <c r="M229">
        <f>M226*2</f>
        <v>315000000</v>
      </c>
      <c r="O229" s="39">
        <f>O226*2</f>
        <v>1.262</v>
      </c>
      <c r="P229" s="39">
        <v>1</v>
      </c>
      <c r="R229" s="4" t="str">
        <f>IF('invoer gording'!$B$24="nee",'tab gording'!B229,"")</f>
        <v>Dubbel UNP 380</v>
      </c>
    </row>
    <row r="230" spans="1:18" x14ac:dyDescent="0.2">
      <c r="A230" s="4">
        <v>227</v>
      </c>
      <c r="B230" s="4" t="str">
        <f>CONCATENATE(B229," corrosie 50 jr.")</f>
        <v>Dubbel UNP 380 corrosie 50 jr.</v>
      </c>
      <c r="C230" s="39">
        <f>C229-(2*0.6)</f>
        <v>378.8</v>
      </c>
      <c r="D230" s="39">
        <f>D229-(2*0.6)</f>
        <v>202.8</v>
      </c>
      <c r="E230" s="39">
        <f>E229-(2*0.6)</f>
        <v>25.8</v>
      </c>
      <c r="F230" s="39">
        <f>F229-(2*0.6)</f>
        <v>14.8</v>
      </c>
      <c r="G230" s="39">
        <f t="shared" si="18"/>
        <v>1509058</v>
      </c>
      <c r="H230" s="39">
        <f t="shared" si="18"/>
        <v>1841820</v>
      </c>
      <c r="K230" s="39">
        <f>K227*2</f>
        <v>14600</v>
      </c>
      <c r="M230">
        <f>M227*2</f>
        <v>285815530</v>
      </c>
      <c r="O230" s="39">
        <f>O227*2</f>
        <v>1.1459999999999999</v>
      </c>
      <c r="P230" s="39">
        <v>2</v>
      </c>
      <c r="R230" s="4" t="str">
        <f>IF('invoer gording'!$B$24="ja 50 jr",'tab gording'!B230,"")</f>
        <v/>
      </c>
    </row>
    <row r="231" spans="1:18" x14ac:dyDescent="0.2">
      <c r="A231" s="4">
        <v>228</v>
      </c>
      <c r="B231" s="4" t="s">
        <v>683</v>
      </c>
      <c r="C231" s="39">
        <f>C229-(2*1.2)</f>
        <v>377.6</v>
      </c>
      <c r="D231" s="39">
        <f>D229-(2*1.2)</f>
        <v>201.6</v>
      </c>
      <c r="E231" s="39">
        <f>E229-(2*1.2)</f>
        <v>24.6</v>
      </c>
      <c r="F231" s="39">
        <f>F229-(2*1.2)</f>
        <v>13.6</v>
      </c>
      <c r="G231" s="39">
        <f t="shared" si="18"/>
        <v>1378348</v>
      </c>
      <c r="H231" s="39">
        <f t="shared" si="18"/>
        <v>1675260</v>
      </c>
      <c r="K231" s="39">
        <f>K228*2</f>
        <v>13250</v>
      </c>
      <c r="M231">
        <f>M228*2</f>
        <v>260232218</v>
      </c>
      <c r="O231" s="39">
        <f>O228*2</f>
        <v>1.0402</v>
      </c>
      <c r="P231" s="39">
        <v>3</v>
      </c>
      <c r="R231" s="4" t="str">
        <f>IF('invoer gording'!$B$24="ja 100 jr",'tab gording'!B231,"")</f>
        <v/>
      </c>
    </row>
    <row r="232" spans="1:18" x14ac:dyDescent="0.2">
      <c r="A232" s="4">
        <v>229</v>
      </c>
      <c r="B232" s="4" t="s">
        <v>684</v>
      </c>
      <c r="C232" s="39">
        <v>400</v>
      </c>
      <c r="D232" s="39">
        <v>110</v>
      </c>
      <c r="E232" s="39">
        <v>14</v>
      </c>
      <c r="F232" s="39">
        <v>18</v>
      </c>
      <c r="G232" s="39">
        <v>1018000</v>
      </c>
      <c r="H232" s="39">
        <v>1236000</v>
      </c>
      <c r="K232" s="39">
        <v>9150</v>
      </c>
      <c r="M232">
        <v>203500000</v>
      </c>
      <c r="O232" s="39">
        <v>0.71799999999999997</v>
      </c>
      <c r="R232" s="4" t="str">
        <f>IF('invoer gording'!$B$24="nee",'tab gording'!B232,"")</f>
        <v>UNP 400</v>
      </c>
    </row>
    <row r="233" spans="1:18" x14ac:dyDescent="0.2">
      <c r="A233" s="4">
        <v>230</v>
      </c>
      <c r="B233" s="4" t="s">
        <v>685</v>
      </c>
      <c r="C233" s="39">
        <f>C232-(2*0.6)</f>
        <v>398.8</v>
      </c>
      <c r="D233" s="39">
        <f>D232-(2*0.6)</f>
        <v>108.8</v>
      </c>
      <c r="E233" s="39">
        <f>E232-(2*0.6)</f>
        <v>12.8</v>
      </c>
      <c r="F233" s="39">
        <f>F232-(2*0.6)</f>
        <v>16.8</v>
      </c>
      <c r="G233" s="39">
        <v>933582</v>
      </c>
      <c r="H233" s="39">
        <v>1130194</v>
      </c>
      <c r="K233" s="39">
        <v>8364</v>
      </c>
      <c r="M233">
        <v>186156266</v>
      </c>
      <c r="O233" s="39">
        <v>0.65659999999999996</v>
      </c>
      <c r="R233" s="4" t="str">
        <f>IF('invoer gording'!$B$24="ja 50 jr",'tab gording'!B233,"")</f>
        <v/>
      </c>
    </row>
    <row r="234" spans="1:18" x14ac:dyDescent="0.2">
      <c r="A234" s="4">
        <v>231</v>
      </c>
      <c r="B234" s="4" t="s">
        <v>686</v>
      </c>
      <c r="C234" s="39">
        <f>C232-(2*1.2)</f>
        <v>397.6</v>
      </c>
      <c r="D234" s="39">
        <f>D232-(2*1.2)</f>
        <v>107.6</v>
      </c>
      <c r="E234" s="39">
        <f>E232-(2*1.2)</f>
        <v>11.6</v>
      </c>
      <c r="F234" s="39">
        <f>F232-(2*1.2)</f>
        <v>15.6</v>
      </c>
      <c r="G234" s="39">
        <v>860366</v>
      </c>
      <c r="H234" s="39">
        <v>1036779</v>
      </c>
      <c r="K234" s="39">
        <v>7647</v>
      </c>
      <c r="M234">
        <v>171040779</v>
      </c>
      <c r="O234" s="39">
        <v>0.60029999999999994</v>
      </c>
      <c r="R234" s="4" t="str">
        <f>IF('invoer gording'!$B$24="ja 100 jr",'tab gording'!B234,"")</f>
        <v/>
      </c>
    </row>
    <row r="235" spans="1:18" x14ac:dyDescent="0.2">
      <c r="A235" s="4">
        <v>232</v>
      </c>
      <c r="B235" s="4" t="s">
        <v>687</v>
      </c>
      <c r="C235" s="39">
        <v>400</v>
      </c>
      <c r="D235" s="39">
        <v>220</v>
      </c>
      <c r="E235" s="39">
        <v>28</v>
      </c>
      <c r="F235" s="39">
        <v>18</v>
      </c>
      <c r="G235" s="39">
        <f t="shared" ref="G235:H237" si="19">G232*2</f>
        <v>2036000</v>
      </c>
      <c r="H235" s="39">
        <f t="shared" si="19"/>
        <v>2472000</v>
      </c>
      <c r="K235" s="39">
        <f>K232*2</f>
        <v>18300</v>
      </c>
      <c r="M235">
        <f>M232*2</f>
        <v>407000000</v>
      </c>
      <c r="O235" s="39">
        <f>O232*2</f>
        <v>1.4359999999999999</v>
      </c>
      <c r="P235" s="39">
        <v>1</v>
      </c>
      <c r="R235" s="4" t="str">
        <f>IF('invoer gording'!$B$24="nee",'tab gording'!B235,"")</f>
        <v>Dubbel UNP 400</v>
      </c>
    </row>
    <row r="236" spans="1:18" x14ac:dyDescent="0.2">
      <c r="A236" s="4">
        <v>233</v>
      </c>
      <c r="B236" s="4" t="str">
        <f>CONCATENATE(B235," corrosie 50 jr.")</f>
        <v>Dubbel UNP 400 corrosie 50 jr.</v>
      </c>
      <c r="C236" s="39">
        <f>C235-(2*0.6)</f>
        <v>398.8</v>
      </c>
      <c r="D236" s="39">
        <f>D235-(2*0.6)</f>
        <v>218.8</v>
      </c>
      <c r="E236" s="39">
        <f>E235-(2*0.6)</f>
        <v>26.8</v>
      </c>
      <c r="F236" s="39">
        <f>F235-(2*0.6)</f>
        <v>16.8</v>
      </c>
      <c r="G236" s="39">
        <f t="shared" si="19"/>
        <v>1867164</v>
      </c>
      <c r="H236" s="39">
        <f t="shared" si="19"/>
        <v>2260388</v>
      </c>
      <c r="K236" s="39">
        <f>K233*2</f>
        <v>16728</v>
      </c>
      <c r="M236">
        <f>M233*2</f>
        <v>372312532</v>
      </c>
      <c r="O236" s="39">
        <f>O233*2</f>
        <v>1.3131999999999999</v>
      </c>
      <c r="P236" s="39">
        <v>2</v>
      </c>
      <c r="R236" s="4" t="str">
        <f>IF('invoer gording'!$B$24="ja 50 jr",'tab gording'!B236,"")</f>
        <v/>
      </c>
    </row>
    <row r="237" spans="1:18" x14ac:dyDescent="0.2">
      <c r="A237" s="4">
        <v>234</v>
      </c>
      <c r="B237" s="4" t="s">
        <v>688</v>
      </c>
      <c r="C237" s="39">
        <f>C235-(2*1.2)</f>
        <v>397.6</v>
      </c>
      <c r="D237" s="39">
        <f>D235-(2*1.2)</f>
        <v>217.6</v>
      </c>
      <c r="E237" s="39">
        <f>E235-(2*1.2)</f>
        <v>25.6</v>
      </c>
      <c r="F237" s="39">
        <f>F235-(2*1.2)</f>
        <v>15.6</v>
      </c>
      <c r="G237" s="39">
        <f t="shared" si="19"/>
        <v>1720732</v>
      </c>
      <c r="H237" s="39">
        <f t="shared" si="19"/>
        <v>2073558</v>
      </c>
      <c r="K237" s="39">
        <f>K234*2</f>
        <v>15294</v>
      </c>
      <c r="M237">
        <f>M234*2</f>
        <v>342081558</v>
      </c>
      <c r="O237" s="39">
        <f>O234*2</f>
        <v>1.2005999999999999</v>
      </c>
      <c r="P237" s="39">
        <v>3</v>
      </c>
      <c r="R237" s="4" t="str">
        <f>IF('invoer gording'!$B$24="ja 100 jr",'tab gording'!B237,"")</f>
        <v/>
      </c>
    </row>
    <row r="238" spans="1:18" ht="13.5" customHeight="1" thickBot="1" x14ac:dyDescent="0.25">
      <c r="F238" s="39">
        <f>MAX(F4:F237)</f>
        <v>36</v>
      </c>
    </row>
    <row r="239" spans="1:18" ht="15" customHeight="1" thickBot="1" x14ac:dyDescent="0.25">
      <c r="A239" s="4" t="s">
        <v>689</v>
      </c>
      <c r="C239" s="241" t="e">
        <f>AND(#REF!="Voldoet !",#REF!="Voldoet !",#REF!="Voldoet !",#REF!="Voldoet !")</f>
        <v>#REF!</v>
      </c>
      <c r="D239" s="242"/>
      <c r="E239" s="242"/>
      <c r="F239" s="242"/>
      <c r="G239" s="242"/>
      <c r="H239" s="243"/>
      <c r="I239" s="4"/>
      <c r="J239" s="4"/>
      <c r="K239" s="4"/>
      <c r="L239" s="4"/>
      <c r="M239" s="4"/>
      <c r="N239" s="4"/>
      <c r="O239" s="4"/>
    </row>
    <row r="240" spans="1:18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x14ac:dyDescent="0.2">
      <c r="B241" s="4" t="s">
        <v>690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x14ac:dyDescent="0.2">
      <c r="B242" s="4" t="s">
        <v>691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4" spans="1:15" x14ac:dyDescent="0.2">
      <c r="A244" s="4">
        <v>1</v>
      </c>
      <c r="B244" s="4" t="s">
        <v>34</v>
      </c>
    </row>
    <row r="245" spans="1:15" x14ac:dyDescent="0.2">
      <c r="A245" s="4">
        <v>2</v>
      </c>
      <c r="B245" s="4" t="s">
        <v>692</v>
      </c>
      <c r="D245" s="4"/>
    </row>
    <row r="246" spans="1:15" x14ac:dyDescent="0.2">
      <c r="A246" s="4">
        <v>3</v>
      </c>
      <c r="B246" s="4" t="s">
        <v>693</v>
      </c>
    </row>
  </sheetData>
  <autoFilter ref="A3:R239" xr:uid="{00000000-0009-0000-0000-000009000000}"/>
  <mergeCells count="1">
    <mergeCell ref="C239:H2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4A6E-2EAC-41D4-B7B1-1EF3DF174CE3}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1">
    <pageSetUpPr fitToPage="1"/>
  </sheetPr>
  <dimension ref="A1:AT95"/>
  <sheetViews>
    <sheetView topLeftCell="A9" zoomScaleNormal="100" workbookViewId="0">
      <selection activeCell="N56" sqref="N56"/>
    </sheetView>
  </sheetViews>
  <sheetFormatPr defaultRowHeight="13.5" x14ac:dyDescent="0.25"/>
  <cols>
    <col min="1" max="1" width="3.7109375" style="120" customWidth="1"/>
    <col min="2" max="9" width="10.7109375" style="120" customWidth="1"/>
    <col min="10" max="14" width="10.7109375" style="121" customWidth="1"/>
    <col min="15" max="16" width="8.7109375" style="120" customWidth="1"/>
    <col min="17" max="20" width="9.7109375" style="120" customWidth="1"/>
    <col min="21" max="21" width="9.42578125" style="120" bestFit="1" customWidth="1"/>
    <col min="22" max="22" width="10.140625" style="121" customWidth="1"/>
    <col min="23" max="25" width="9.42578125" style="120" bestFit="1" customWidth="1"/>
    <col min="26" max="26" width="2.42578125" style="121" customWidth="1"/>
    <col min="27" max="27" width="2" style="121" bestFit="1" customWidth="1"/>
    <col min="28" max="28" width="9.42578125" style="124" bestFit="1" customWidth="1"/>
    <col min="29" max="29" width="7.5703125" style="124" customWidth="1"/>
    <col min="30" max="30" width="9.42578125" style="124" bestFit="1" customWidth="1"/>
    <col min="31" max="31" width="5" style="120" bestFit="1" customWidth="1"/>
    <col min="32" max="32" width="9.42578125" style="120" bestFit="1" customWidth="1"/>
    <col min="33" max="33" width="2.28515625" style="120" bestFit="1" customWidth="1"/>
    <col min="34" max="34" width="2" style="120" bestFit="1" customWidth="1"/>
    <col min="35" max="36" width="9.42578125" style="120" bestFit="1" customWidth="1"/>
    <col min="37" max="37" width="5" style="120" bestFit="1" customWidth="1"/>
    <col min="38" max="38" width="16.85546875" style="120" bestFit="1" customWidth="1"/>
    <col min="39" max="39" width="4.5703125" style="120" bestFit="1" customWidth="1"/>
    <col min="40" max="40" width="14.85546875" style="120" bestFit="1" customWidth="1"/>
    <col min="41" max="41" width="9.28515625" style="120" bestFit="1" customWidth="1"/>
    <col min="42" max="43" width="9.140625" style="120" customWidth="1"/>
    <col min="44" max="44" width="14.85546875" style="120" bestFit="1" customWidth="1"/>
    <col min="45" max="45" width="9.140625" style="120" customWidth="1"/>
    <col min="46" max="16384" width="9.140625" style="120"/>
  </cols>
  <sheetData>
    <row r="1" spans="1:46" x14ac:dyDescent="0.25">
      <c r="B1" s="214" t="s">
        <v>35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125"/>
      <c r="S1" s="125"/>
      <c r="T1" s="125"/>
      <c r="V1" s="120" t="s">
        <v>23</v>
      </c>
      <c r="X1" s="120" t="s">
        <v>36</v>
      </c>
    </row>
    <row r="2" spans="1:46" x14ac:dyDescent="0.25">
      <c r="C2" s="127"/>
      <c r="E2" s="128"/>
      <c r="F2" s="128"/>
      <c r="U2" s="122" t="s">
        <v>37</v>
      </c>
      <c r="V2" s="126">
        <v>355</v>
      </c>
      <c r="W2" s="128" t="s">
        <v>38</v>
      </c>
      <c r="X2" s="120">
        <f>IF($V2=355,(251),208)</f>
        <v>251</v>
      </c>
    </row>
    <row r="3" spans="1:46" x14ac:dyDescent="0.25">
      <c r="B3" s="124" t="s">
        <v>39</v>
      </c>
      <c r="D3" s="124" t="s">
        <v>40</v>
      </c>
      <c r="E3" s="217"/>
      <c r="F3" s="217"/>
      <c r="J3" s="210"/>
      <c r="U3" s="122" t="s">
        <v>20</v>
      </c>
      <c r="V3" s="126">
        <v>355</v>
      </c>
      <c r="W3" s="128" t="s">
        <v>38</v>
      </c>
      <c r="X3" s="120">
        <f>IF($V3=355,(251),208)</f>
        <v>251</v>
      </c>
    </row>
    <row r="4" spans="1:46" x14ac:dyDescent="0.25">
      <c r="B4" s="124" t="s">
        <v>41</v>
      </c>
      <c r="D4" s="124" t="s">
        <v>42</v>
      </c>
      <c r="E4" s="217"/>
      <c r="F4" s="217"/>
      <c r="U4" s="122" t="s">
        <v>43</v>
      </c>
      <c r="V4" s="126">
        <v>355</v>
      </c>
      <c r="W4" s="128" t="s">
        <v>38</v>
      </c>
      <c r="X4" s="120">
        <f>IF($V4=355,(251),208)</f>
        <v>251</v>
      </c>
      <c r="AB4" s="129"/>
    </row>
    <row r="5" spans="1:46" x14ac:dyDescent="0.25">
      <c r="B5" s="124" t="s">
        <v>44</v>
      </c>
      <c r="D5" s="124" t="s">
        <v>45</v>
      </c>
      <c r="E5" s="216"/>
      <c r="F5" s="216"/>
      <c r="U5" s="122" t="s">
        <v>46</v>
      </c>
      <c r="V5" s="126">
        <v>355</v>
      </c>
      <c r="W5" s="128" t="s">
        <v>38</v>
      </c>
      <c r="X5" s="120">
        <f>IF($V5=355,(251),208)</f>
        <v>251</v>
      </c>
    </row>
    <row r="6" spans="1:46" x14ac:dyDescent="0.25">
      <c r="B6" s="124" t="s">
        <v>47</v>
      </c>
      <c r="D6" s="218">
        <f ca="1">TODAY()</f>
        <v>45895</v>
      </c>
      <c r="E6" s="215"/>
      <c r="F6" s="215"/>
      <c r="U6" s="122" t="s">
        <v>48</v>
      </c>
      <c r="V6" s="126">
        <v>1</v>
      </c>
      <c r="W6" s="120" t="s">
        <v>49</v>
      </c>
      <c r="AE6" s="121"/>
    </row>
    <row r="7" spans="1:46" x14ac:dyDescent="0.25">
      <c r="B7" s="120" t="s">
        <v>50</v>
      </c>
      <c r="C7" s="122"/>
      <c r="U7" s="122" t="s">
        <v>51</v>
      </c>
      <c r="V7" s="123">
        <v>5</v>
      </c>
      <c r="W7" s="120" t="s">
        <v>52</v>
      </c>
      <c r="AE7" s="121"/>
    </row>
    <row r="8" spans="1:46" ht="15.75" customHeight="1" thickBot="1" x14ac:dyDescent="0.3">
      <c r="I8" s="121"/>
      <c r="U8" s="122" t="s">
        <v>53</v>
      </c>
      <c r="V8" s="126">
        <v>2000</v>
      </c>
      <c r="W8" s="120" t="s">
        <v>54</v>
      </c>
    </row>
    <row r="9" spans="1:46" x14ac:dyDescent="0.25">
      <c r="A9" s="130"/>
      <c r="B9" s="131" t="s">
        <v>55</v>
      </c>
      <c r="C9" s="131" t="s">
        <v>56</v>
      </c>
      <c r="D9" s="131" t="s">
        <v>57</v>
      </c>
      <c r="E9" s="131" t="s">
        <v>58</v>
      </c>
      <c r="F9" s="131" t="s">
        <v>23</v>
      </c>
      <c r="G9" s="131" t="s">
        <v>59</v>
      </c>
      <c r="H9" s="237" t="s">
        <v>60</v>
      </c>
      <c r="I9" s="238"/>
      <c r="J9" s="131" t="s">
        <v>61</v>
      </c>
      <c r="K9" s="131" t="s">
        <v>62</v>
      </c>
      <c r="L9" s="131" t="s">
        <v>63</v>
      </c>
      <c r="M9" s="131" t="s">
        <v>61</v>
      </c>
      <c r="N9" s="133" t="s">
        <v>64</v>
      </c>
      <c r="O9" s="235" t="s">
        <v>65</v>
      </c>
      <c r="P9" s="236"/>
      <c r="Q9" s="233" t="s">
        <v>66</v>
      </c>
      <c r="R9" s="234"/>
      <c r="S9" s="233" t="s">
        <v>67</v>
      </c>
      <c r="T9" s="234"/>
      <c r="U9" s="134" t="s">
        <v>68</v>
      </c>
      <c r="V9" s="135" t="s">
        <v>69</v>
      </c>
      <c r="W9" s="136" t="s">
        <v>70</v>
      </c>
      <c r="X9" s="137" t="s">
        <v>65</v>
      </c>
      <c r="Y9" s="228" t="s">
        <v>71</v>
      </c>
      <c r="Z9" s="229"/>
      <c r="AA9" s="229"/>
      <c r="AB9" s="230"/>
      <c r="AC9" s="138"/>
      <c r="AD9" s="138" t="s">
        <v>72</v>
      </c>
      <c r="AE9" s="137" t="s">
        <v>65</v>
      </c>
      <c r="AF9" s="228" t="s">
        <v>73</v>
      </c>
      <c r="AG9" s="229"/>
      <c r="AH9" s="229"/>
      <c r="AI9" s="230"/>
      <c r="AJ9" s="139" t="s">
        <v>72</v>
      </c>
      <c r="AK9" s="137" t="s">
        <v>65</v>
      </c>
      <c r="AL9" s="140"/>
      <c r="AM9" s="140"/>
      <c r="AN9" s="140"/>
    </row>
    <row r="10" spans="1:46" ht="15.75" customHeight="1" thickBot="1" x14ac:dyDescent="0.3">
      <c r="A10" s="141"/>
      <c r="B10" s="144" t="s">
        <v>49</v>
      </c>
      <c r="C10" s="143" t="s">
        <v>49</v>
      </c>
      <c r="D10" s="143" t="s">
        <v>74</v>
      </c>
      <c r="E10" s="143" t="s">
        <v>74</v>
      </c>
      <c r="F10" s="143" t="s">
        <v>49</v>
      </c>
      <c r="G10" s="143" t="s">
        <v>75</v>
      </c>
      <c r="H10" s="231" t="s">
        <v>76</v>
      </c>
      <c r="I10" s="232"/>
      <c r="J10" s="143" t="s">
        <v>77</v>
      </c>
      <c r="K10" s="143">
        <v>1.25</v>
      </c>
      <c r="L10" s="143" t="s">
        <v>78</v>
      </c>
      <c r="M10" s="143" t="s">
        <v>79</v>
      </c>
      <c r="N10" s="145" t="s">
        <v>80</v>
      </c>
      <c r="O10" s="146" t="s">
        <v>81</v>
      </c>
      <c r="P10" s="147" t="s">
        <v>82</v>
      </c>
      <c r="Q10" s="152" t="s">
        <v>83</v>
      </c>
      <c r="R10" s="151" t="s">
        <v>81</v>
      </c>
      <c r="S10" s="224" t="s">
        <v>70</v>
      </c>
      <c r="T10" s="227" t="s">
        <v>84</v>
      </c>
      <c r="U10" s="148" t="s">
        <v>78</v>
      </c>
      <c r="V10" s="149" t="s">
        <v>78</v>
      </c>
      <c r="W10" s="150" t="s">
        <v>85</v>
      </c>
      <c r="X10" s="151"/>
      <c r="Y10" s="150" t="s">
        <v>86</v>
      </c>
      <c r="Z10" s="152"/>
      <c r="AA10" s="152"/>
      <c r="AB10" s="153" t="s">
        <v>87</v>
      </c>
      <c r="AC10" s="154" t="s">
        <v>88</v>
      </c>
      <c r="AD10" s="153"/>
      <c r="AE10" s="151"/>
      <c r="AF10" s="155" t="s">
        <v>86</v>
      </c>
      <c r="AG10" s="152"/>
      <c r="AH10" s="152"/>
      <c r="AI10" s="156" t="s">
        <v>89</v>
      </c>
      <c r="AJ10" s="156"/>
      <c r="AK10" s="151"/>
      <c r="AL10" s="140"/>
      <c r="AM10" s="140"/>
      <c r="AN10" s="140" t="s">
        <v>90</v>
      </c>
      <c r="AO10" s="121" t="s">
        <v>91</v>
      </c>
    </row>
    <row r="11" spans="1:46" ht="12.75" customHeight="1" x14ac:dyDescent="0.25">
      <c r="A11" s="157"/>
      <c r="B11" s="131">
        <f>Stempels!A2</f>
        <v>0</v>
      </c>
      <c r="C11" s="131" t="str">
        <f t="shared" ref="C11:C52" si="0">IF(OR(H11&lt;90,I11&lt;90),"schoor", "stempel" )</f>
        <v>schoor</v>
      </c>
      <c r="D11" s="131">
        <f>Stempels!B2</f>
        <v>0</v>
      </c>
      <c r="E11" s="131">
        <f>Stempels!C2</f>
        <v>0</v>
      </c>
      <c r="F11" s="131">
        <v>355</v>
      </c>
      <c r="G11" s="158">
        <f>Stempels!E2</f>
        <v>0</v>
      </c>
      <c r="H11" s="158">
        <f>Stempels!F2</f>
        <v>0</v>
      </c>
      <c r="I11" s="159">
        <f>Stempels!G2</f>
        <v>0</v>
      </c>
      <c r="J11" s="131">
        <f>Stempels!H2</f>
        <v>0</v>
      </c>
      <c r="K11" s="160">
        <f t="shared" ref="K11:K52" si="1">IF(B11="","",J11*$K$10)</f>
        <v>0</v>
      </c>
      <c r="L11" s="161">
        <f t="shared" ref="L11:L52" si="2">IF(B11="","",K11*SIN(MAX(H11:I11)*PI()/180))</f>
        <v>0</v>
      </c>
      <c r="M11" s="132">
        <f>Stempels!I2</f>
        <v>0</v>
      </c>
      <c r="N11" s="135">
        <v>68</v>
      </c>
      <c r="O11" s="162" t="e">
        <f>IF(B11="",0,HLOOKUP(B11,'E -Stempels UGT'!$E$8:$AT$149,142,0))</f>
        <v>#DIV/0!</v>
      </c>
      <c r="P11" s="163" t="e">
        <f>IF(B11="",0,HLOOKUP(B11,'E - Stempels BGT'!$E$8:$AT$149,142,0))</f>
        <v>#DIV/0!</v>
      </c>
      <c r="Q11" s="221" t="s">
        <v>92</v>
      </c>
      <c r="R11" s="167" t="e">
        <f>(K11/2*SIN(MAX(H11:I11)*PI()/180))/((VLOOKUP(Q11,'tab gording'!$B$4:$Q$147,16,0)+2*W11)*E11*F11/1000)/$V$6</f>
        <v>#DIV/0!</v>
      </c>
      <c r="S11" s="225">
        <f t="shared" ref="S11:S52" si="3">AE11</f>
        <v>0</v>
      </c>
      <c r="T11" s="167">
        <f t="shared" ref="T11:T52" si="4">AK11</f>
        <v>0</v>
      </c>
      <c r="U11" s="164">
        <f t="shared" ref="U11:U52" si="5">(MAX(K11,M11))</f>
        <v>0</v>
      </c>
      <c r="V11" s="165">
        <f t="shared" ref="V11:V52" si="6">(MAX(K11,M11)*COS(MIN(H11:I11)*PI()/180))/$V$6</f>
        <v>0</v>
      </c>
      <c r="W11" s="166">
        <v>20</v>
      </c>
      <c r="X11" s="167">
        <f t="shared" ref="X11:X52" si="7">(V11*1000)/(W11*250*MIN($V$4,$V$5))</f>
        <v>0</v>
      </c>
      <c r="Y11" s="166">
        <v>7</v>
      </c>
      <c r="Z11" s="168">
        <v>1</v>
      </c>
      <c r="AA11" s="168" t="s">
        <v>93</v>
      </c>
      <c r="AB11" s="169">
        <v>435.5</v>
      </c>
      <c r="AC11" s="170" t="e">
        <f t="shared" ref="AC11:AC52" si="8">IF((Z11*AB11)&gt;AR11,"NIET OK","OK")</f>
        <v>#DIV/0!</v>
      </c>
      <c r="AD11" s="171">
        <f t="shared" ref="AD11:AD52" si="9">MAX(K11,M11)*1000/(Y11*Z11*AB11)</f>
        <v>0</v>
      </c>
      <c r="AE11" s="167">
        <f t="shared" ref="AE11:AE52" si="10">AD11/MIN($X$2,$X$4)</f>
        <v>0</v>
      </c>
      <c r="AF11" s="172">
        <v>5</v>
      </c>
      <c r="AG11" s="168">
        <v>1</v>
      </c>
      <c r="AH11" s="168" t="s">
        <v>93</v>
      </c>
      <c r="AI11" s="170">
        <v>250</v>
      </c>
      <c r="AJ11" s="159">
        <f t="shared" ref="AJ11:AJ52" si="11">(V11*1000)/(AF11*AG11*AI11)</f>
        <v>0</v>
      </c>
      <c r="AK11" s="167">
        <f t="shared" ref="AK11:AK52" si="12">AJ11/MIN($X$3,$X$5)</f>
        <v>0</v>
      </c>
      <c r="AL11" s="173" t="e">
        <f t="shared" ref="AL11:AL52" si="13">((U11/2)*SIN(MAX(H11:I11)*PI()/180))/((14.5+27*2+28*2+W11*2)*E11*F11/1000)/$V$6</f>
        <v>#DIV/0!</v>
      </c>
      <c r="AM11" s="173"/>
      <c r="AN11" s="140" t="e">
        <f t="shared" ref="AN11:AN52" si="14">(D11/SIN(MAX(H11:I11)*PI()/180))/2</f>
        <v>#DIV/0!</v>
      </c>
      <c r="AO11" s="174">
        <f t="shared" ref="AO11:AO52" si="15">D11/2</f>
        <v>0</v>
      </c>
      <c r="AP11" s="175"/>
      <c r="AQ11" s="120" t="s">
        <v>94</v>
      </c>
      <c r="AR11" s="120" t="e">
        <f t="shared" ref="AR11:AR52" si="16">PI()*(3*(AN11+AO11)-SQRT((AN11+3*AO11)*(3*AN11+AO11)))</f>
        <v>#DIV/0!</v>
      </c>
      <c r="AS11" s="120" t="e">
        <f>IF((Z11*AB11)&gt;AR11,"Voldoet niet","")</f>
        <v>#DIV/0!</v>
      </c>
      <c r="AT11" s="120" t="e">
        <f>IF(AS11="Voldoet niet","Voldoet niet","Voldoet")</f>
        <v>#DIV/0!</v>
      </c>
    </row>
    <row r="12" spans="1:46" x14ac:dyDescent="0.25">
      <c r="A12" s="176"/>
      <c r="B12" s="143">
        <f>Stempels!A3</f>
        <v>0</v>
      </c>
      <c r="C12" s="143" t="str">
        <f>IF(OR(H12&lt;90,I12&lt;90),"schoor", "stempel" )</f>
        <v>schoor</v>
      </c>
      <c r="D12" s="143">
        <f>Stempels!B3</f>
        <v>0</v>
      </c>
      <c r="E12" s="143">
        <f>Stempels!C3</f>
        <v>0</v>
      </c>
      <c r="F12" s="143">
        <v>355</v>
      </c>
      <c r="G12" s="177">
        <f>Stempels!E3</f>
        <v>0</v>
      </c>
      <c r="H12" s="177">
        <f>Stempels!F3</f>
        <v>0</v>
      </c>
      <c r="I12" s="178">
        <f>Stempels!G3</f>
        <v>0</v>
      </c>
      <c r="J12" s="143">
        <f>Stempels!H3</f>
        <v>0</v>
      </c>
      <c r="K12" s="179">
        <f t="shared" si="1"/>
        <v>0</v>
      </c>
      <c r="L12" s="180">
        <f t="shared" si="2"/>
        <v>0</v>
      </c>
      <c r="M12" s="181">
        <f>Stempels!I3</f>
        <v>0</v>
      </c>
      <c r="N12" s="182">
        <v>69</v>
      </c>
      <c r="O12" s="162" t="e">
        <f>IF(B12="",0,HLOOKUP(B12,'E -Stempels UGT'!$E$8:$AT$149,142,0))</f>
        <v>#DIV/0!</v>
      </c>
      <c r="P12" s="163" t="e">
        <f>IF(B12="",0,HLOOKUP(B12,'E - Stempels BGT'!$E$8:$AT$149,142,0))</f>
        <v>#DIV/0!</v>
      </c>
      <c r="Q12" s="222" t="s">
        <v>95</v>
      </c>
      <c r="R12" s="163" t="e">
        <f>(K12/2*SIN(MAX(H12:I12)*PI()/180))/((VLOOKUP(Q12,'tab gording'!$B$4:$Q$147,16,0)+2*W12)*E12*F12/1000)/$V$6</f>
        <v>#DIV/0!</v>
      </c>
      <c r="S12" s="173">
        <f t="shared" si="3"/>
        <v>0</v>
      </c>
      <c r="T12" s="163">
        <f t="shared" si="4"/>
        <v>0</v>
      </c>
      <c r="U12" s="183">
        <f t="shared" si="5"/>
        <v>0</v>
      </c>
      <c r="V12" s="184">
        <f t="shared" si="6"/>
        <v>0</v>
      </c>
      <c r="W12" s="185">
        <v>20</v>
      </c>
      <c r="X12" s="163">
        <f t="shared" si="7"/>
        <v>0</v>
      </c>
      <c r="Y12" s="185">
        <v>10</v>
      </c>
      <c r="Z12" s="140">
        <v>2</v>
      </c>
      <c r="AA12" s="140" t="s">
        <v>93</v>
      </c>
      <c r="AB12" s="186">
        <v>1150</v>
      </c>
      <c r="AC12" s="187" t="e">
        <f t="shared" si="8"/>
        <v>#DIV/0!</v>
      </c>
      <c r="AD12" s="188">
        <f t="shared" si="9"/>
        <v>0</v>
      </c>
      <c r="AE12" s="163">
        <f t="shared" si="10"/>
        <v>0</v>
      </c>
      <c r="AF12" s="189">
        <v>9</v>
      </c>
      <c r="AG12" s="140">
        <v>2</v>
      </c>
      <c r="AH12" s="140" t="s">
        <v>93</v>
      </c>
      <c r="AI12" s="187">
        <v>600</v>
      </c>
      <c r="AJ12" s="178">
        <f t="shared" si="11"/>
        <v>0</v>
      </c>
      <c r="AK12" s="163">
        <f t="shared" si="12"/>
        <v>0</v>
      </c>
      <c r="AL12" s="173" t="e">
        <f t="shared" si="13"/>
        <v>#DIV/0!</v>
      </c>
      <c r="AM12" s="140"/>
      <c r="AN12" s="140" t="e">
        <f t="shared" si="14"/>
        <v>#DIV/0!</v>
      </c>
      <c r="AO12" s="174">
        <f t="shared" si="15"/>
        <v>0</v>
      </c>
      <c r="AP12" s="175"/>
      <c r="AQ12" s="120" t="s">
        <v>94</v>
      </c>
      <c r="AR12" s="120" t="e">
        <f t="shared" si="16"/>
        <v>#DIV/0!</v>
      </c>
    </row>
    <row r="13" spans="1:46" x14ac:dyDescent="0.25">
      <c r="A13" s="176"/>
      <c r="B13" s="143">
        <f>Stempels!A4</f>
        <v>0</v>
      </c>
      <c r="C13" s="143" t="str">
        <f t="shared" si="0"/>
        <v>schoor</v>
      </c>
      <c r="D13" s="143">
        <f>Stempels!B4</f>
        <v>0</v>
      </c>
      <c r="E13" s="143">
        <f>Stempels!C4</f>
        <v>0</v>
      </c>
      <c r="F13" s="143">
        <v>355</v>
      </c>
      <c r="G13" s="177">
        <f>Stempels!E4</f>
        <v>0</v>
      </c>
      <c r="H13" s="177">
        <f>Stempels!F4</f>
        <v>0</v>
      </c>
      <c r="I13" s="178">
        <f>Stempels!G4</f>
        <v>0</v>
      </c>
      <c r="J13" s="143">
        <f>Stempels!H4</f>
        <v>0</v>
      </c>
      <c r="K13" s="179">
        <f t="shared" si="1"/>
        <v>0</v>
      </c>
      <c r="L13" s="180">
        <f t="shared" si="2"/>
        <v>0</v>
      </c>
      <c r="M13" s="181">
        <f>Stempels!I4</f>
        <v>0</v>
      </c>
      <c r="N13" s="182">
        <v>65</v>
      </c>
      <c r="O13" s="162" t="e">
        <f>IF(B13="",0,HLOOKUP(B13,'E -Stempels UGT'!$E$8:$AT$149,142,0))</f>
        <v>#DIV/0!</v>
      </c>
      <c r="P13" s="163" t="e">
        <f>IF(B13="",0,HLOOKUP(B13,'E - Stempels BGT'!$E$8:$AT$149,142,0))</f>
        <v>#DIV/0!</v>
      </c>
      <c r="Q13" s="222" t="s">
        <v>95</v>
      </c>
      <c r="R13" s="163" t="e">
        <f>(K13/2*SIN(MAX(H13:I13)*PI()/180))/((VLOOKUP(Q13,'tab gording'!$B$4:$Q$147,16,0)+2*W13)*E13*F13/1000)/$V$6</f>
        <v>#DIV/0!</v>
      </c>
      <c r="S13" s="173">
        <f t="shared" si="3"/>
        <v>0</v>
      </c>
      <c r="T13" s="163">
        <f t="shared" si="4"/>
        <v>0</v>
      </c>
      <c r="U13" s="183">
        <f t="shared" si="5"/>
        <v>0</v>
      </c>
      <c r="V13" s="184">
        <f t="shared" si="6"/>
        <v>0</v>
      </c>
      <c r="W13" s="185">
        <v>30</v>
      </c>
      <c r="X13" s="163">
        <f t="shared" si="7"/>
        <v>0</v>
      </c>
      <c r="Y13" s="185">
        <v>8</v>
      </c>
      <c r="Z13" s="140">
        <v>2</v>
      </c>
      <c r="AA13" s="140" t="s">
        <v>93</v>
      </c>
      <c r="AB13" s="186">
        <v>900</v>
      </c>
      <c r="AC13" s="187" t="e">
        <f t="shared" si="8"/>
        <v>#DIV/0!</v>
      </c>
      <c r="AD13" s="188">
        <f t="shared" si="9"/>
        <v>0</v>
      </c>
      <c r="AE13" s="163">
        <f t="shared" si="10"/>
        <v>0</v>
      </c>
      <c r="AF13" s="189">
        <v>9</v>
      </c>
      <c r="AG13" s="140">
        <v>2</v>
      </c>
      <c r="AH13" s="140" t="s">
        <v>93</v>
      </c>
      <c r="AI13" s="187">
        <v>500</v>
      </c>
      <c r="AJ13" s="178">
        <f t="shared" si="11"/>
        <v>0</v>
      </c>
      <c r="AK13" s="163">
        <f t="shared" si="12"/>
        <v>0</v>
      </c>
      <c r="AL13" s="173" t="e">
        <f t="shared" si="13"/>
        <v>#DIV/0!</v>
      </c>
      <c r="AM13" s="140"/>
      <c r="AN13" s="140" t="e">
        <f t="shared" si="14"/>
        <v>#DIV/0!</v>
      </c>
      <c r="AO13" s="174">
        <f t="shared" si="15"/>
        <v>0</v>
      </c>
      <c r="AP13" s="175"/>
      <c r="AQ13" s="120" t="s">
        <v>94</v>
      </c>
      <c r="AR13" s="120" t="e">
        <f t="shared" si="16"/>
        <v>#DIV/0!</v>
      </c>
    </row>
    <row r="14" spans="1:46" x14ac:dyDescent="0.25">
      <c r="A14" s="176"/>
      <c r="B14" s="143">
        <f>Stempels!A5</f>
        <v>0</v>
      </c>
      <c r="C14" s="143" t="str">
        <f t="shared" si="0"/>
        <v>schoor</v>
      </c>
      <c r="D14" s="143">
        <f>Stempels!B5</f>
        <v>0</v>
      </c>
      <c r="E14" s="143">
        <f>Stempels!C5</f>
        <v>0</v>
      </c>
      <c r="F14" s="143">
        <v>355</v>
      </c>
      <c r="G14" s="177">
        <f>Stempels!E5</f>
        <v>0</v>
      </c>
      <c r="H14" s="177">
        <f>Stempels!F5</f>
        <v>0</v>
      </c>
      <c r="I14" s="178">
        <f>Stempels!G5</f>
        <v>0</v>
      </c>
      <c r="J14" s="143">
        <f>Stempels!H5</f>
        <v>0</v>
      </c>
      <c r="K14" s="179">
        <f t="shared" si="1"/>
        <v>0</v>
      </c>
      <c r="L14" s="180">
        <f t="shared" si="2"/>
        <v>0</v>
      </c>
      <c r="M14" s="181">
        <f>Stempels!I5</f>
        <v>0</v>
      </c>
      <c r="N14" s="182">
        <v>66</v>
      </c>
      <c r="O14" s="162" t="e">
        <f>IF(B14="",0,HLOOKUP(B14,'E -Stempels UGT'!$E$8:$AT$149,142,0))</f>
        <v>#DIV/0!</v>
      </c>
      <c r="P14" s="163" t="e">
        <f>IF(B14="",0,HLOOKUP(B14,'E - Stempels BGT'!$E$8:$AT$149,142,0))</f>
        <v>#DIV/0!</v>
      </c>
      <c r="Q14" s="222" t="s">
        <v>95</v>
      </c>
      <c r="R14" s="163" t="e">
        <f>(K14/2*SIN(MAX(H14:I14)*PI()/180))/((VLOOKUP(Q14,'tab gording'!$B$4:$Q$147,16,0)+2*W14)*E14*F14/1000)/$V$6</f>
        <v>#DIV/0!</v>
      </c>
      <c r="S14" s="173">
        <f t="shared" si="3"/>
        <v>0</v>
      </c>
      <c r="T14" s="163">
        <f t="shared" si="4"/>
        <v>0</v>
      </c>
      <c r="U14" s="183">
        <f t="shared" si="5"/>
        <v>0</v>
      </c>
      <c r="V14" s="184">
        <f t="shared" si="6"/>
        <v>0</v>
      </c>
      <c r="W14" s="185">
        <v>30</v>
      </c>
      <c r="X14" s="163">
        <f t="shared" si="7"/>
        <v>0</v>
      </c>
      <c r="Y14" s="185">
        <v>8</v>
      </c>
      <c r="Z14" s="140">
        <v>2</v>
      </c>
      <c r="AA14" s="140" t="s">
        <v>93</v>
      </c>
      <c r="AB14" s="186">
        <v>1150</v>
      </c>
      <c r="AC14" s="187" t="e">
        <f t="shared" si="8"/>
        <v>#DIV/0!</v>
      </c>
      <c r="AD14" s="188">
        <f t="shared" si="9"/>
        <v>0</v>
      </c>
      <c r="AE14" s="163">
        <f t="shared" si="10"/>
        <v>0</v>
      </c>
      <c r="AF14" s="189">
        <v>9</v>
      </c>
      <c r="AG14" s="140">
        <v>2</v>
      </c>
      <c r="AH14" s="140" t="s">
        <v>93</v>
      </c>
      <c r="AI14" s="187">
        <v>500</v>
      </c>
      <c r="AJ14" s="178">
        <f t="shared" si="11"/>
        <v>0</v>
      </c>
      <c r="AK14" s="163">
        <f t="shared" si="12"/>
        <v>0</v>
      </c>
      <c r="AL14" s="173" t="e">
        <f t="shared" si="13"/>
        <v>#DIV/0!</v>
      </c>
      <c r="AM14" s="140"/>
      <c r="AN14" s="140" t="e">
        <f t="shared" si="14"/>
        <v>#DIV/0!</v>
      </c>
      <c r="AO14" s="174">
        <f t="shared" si="15"/>
        <v>0</v>
      </c>
      <c r="AP14" s="175"/>
      <c r="AQ14" s="120" t="s">
        <v>94</v>
      </c>
      <c r="AR14" s="190" t="e">
        <f t="shared" si="16"/>
        <v>#DIV/0!</v>
      </c>
    </row>
    <row r="15" spans="1:46" x14ac:dyDescent="0.25">
      <c r="A15" s="176"/>
      <c r="B15" s="143">
        <f>Stempels!A6</f>
        <v>0</v>
      </c>
      <c r="C15" s="143" t="str">
        <f t="shared" si="0"/>
        <v>schoor</v>
      </c>
      <c r="D15" s="143">
        <f>Stempels!B6</f>
        <v>0</v>
      </c>
      <c r="E15" s="143">
        <f>Stempels!C6</f>
        <v>0</v>
      </c>
      <c r="F15" s="143">
        <v>355</v>
      </c>
      <c r="G15" s="177">
        <f>Stempels!E6</f>
        <v>0</v>
      </c>
      <c r="H15" s="177">
        <f>Stempels!F6</f>
        <v>0</v>
      </c>
      <c r="I15" s="178">
        <f>Stempels!G6</f>
        <v>0</v>
      </c>
      <c r="J15" s="143">
        <f>Stempels!H6</f>
        <v>0</v>
      </c>
      <c r="K15" s="179">
        <f t="shared" si="1"/>
        <v>0</v>
      </c>
      <c r="L15" s="180">
        <f t="shared" si="2"/>
        <v>0</v>
      </c>
      <c r="M15" s="181">
        <f>Stempels!I6</f>
        <v>0</v>
      </c>
      <c r="N15" s="182">
        <v>67</v>
      </c>
      <c r="O15" s="162" t="e">
        <f>IF(B15="",0,HLOOKUP(B15,'E -Stempels UGT'!$E$8:$AT$149,142,0))</f>
        <v>#DIV/0!</v>
      </c>
      <c r="P15" s="163" t="e">
        <f>IF(B15="",0,HLOOKUP(B15,'E - Stempels BGT'!$E$8:$AT$149,142,0))</f>
        <v>#DIV/0!</v>
      </c>
      <c r="Q15" s="222" t="s">
        <v>95</v>
      </c>
      <c r="R15" s="163" t="e">
        <f>(K15/2*SIN(MAX(H15:I15)*PI()/180))/((VLOOKUP(Q15,'tab gording'!$B$4:$Q$147,16,0)+2*W15)*E15*F15/1000)/$V$6</f>
        <v>#DIV/0!</v>
      </c>
      <c r="S15" s="173">
        <f t="shared" si="3"/>
        <v>0</v>
      </c>
      <c r="T15" s="163">
        <f t="shared" si="4"/>
        <v>0</v>
      </c>
      <c r="U15" s="183">
        <f t="shared" si="5"/>
        <v>0</v>
      </c>
      <c r="V15" s="184">
        <f t="shared" si="6"/>
        <v>0</v>
      </c>
      <c r="W15" s="185">
        <v>30</v>
      </c>
      <c r="X15" s="163">
        <f t="shared" si="7"/>
        <v>0</v>
      </c>
      <c r="Y15" s="185">
        <v>10</v>
      </c>
      <c r="Z15" s="140">
        <v>2</v>
      </c>
      <c r="AA15" s="140" t="s">
        <v>93</v>
      </c>
      <c r="AB15" s="186">
        <v>600</v>
      </c>
      <c r="AC15" s="187" t="e">
        <f t="shared" si="8"/>
        <v>#DIV/0!</v>
      </c>
      <c r="AD15" s="188">
        <f t="shared" si="9"/>
        <v>0</v>
      </c>
      <c r="AE15" s="163">
        <f t="shared" si="10"/>
        <v>0</v>
      </c>
      <c r="AF15" s="189">
        <v>9</v>
      </c>
      <c r="AG15" s="140">
        <v>2</v>
      </c>
      <c r="AH15" s="140" t="s">
        <v>93</v>
      </c>
      <c r="AI15" s="187">
        <v>600</v>
      </c>
      <c r="AJ15" s="178">
        <f t="shared" si="11"/>
        <v>0</v>
      </c>
      <c r="AK15" s="163">
        <f t="shared" si="12"/>
        <v>0</v>
      </c>
      <c r="AL15" s="173" t="e">
        <f t="shared" si="13"/>
        <v>#DIV/0!</v>
      </c>
      <c r="AM15" s="140"/>
      <c r="AN15" s="140" t="e">
        <f t="shared" si="14"/>
        <v>#DIV/0!</v>
      </c>
      <c r="AO15" s="174">
        <f t="shared" si="15"/>
        <v>0</v>
      </c>
      <c r="AP15" s="175"/>
      <c r="AQ15" s="120" t="s">
        <v>94</v>
      </c>
      <c r="AR15" s="120" t="e">
        <f t="shared" si="16"/>
        <v>#DIV/0!</v>
      </c>
    </row>
    <row r="16" spans="1:46" x14ac:dyDescent="0.25">
      <c r="A16" s="191"/>
      <c r="B16" s="143">
        <f>Stempels!A7</f>
        <v>0</v>
      </c>
      <c r="C16" s="143" t="str">
        <f t="shared" si="0"/>
        <v>schoor</v>
      </c>
      <c r="D16" s="143">
        <f>Stempels!B7</f>
        <v>0</v>
      </c>
      <c r="E16" s="143">
        <f>Stempels!C7</f>
        <v>0</v>
      </c>
      <c r="F16" s="143">
        <v>355</v>
      </c>
      <c r="G16" s="177">
        <f>Stempels!E7</f>
        <v>0</v>
      </c>
      <c r="H16" s="177">
        <f>Stempels!F7</f>
        <v>0</v>
      </c>
      <c r="I16" s="178">
        <f>Stempels!G7</f>
        <v>0</v>
      </c>
      <c r="J16" s="143">
        <f>Stempels!H7</f>
        <v>0</v>
      </c>
      <c r="K16" s="179">
        <f t="shared" si="1"/>
        <v>0</v>
      </c>
      <c r="L16" s="180">
        <f t="shared" si="2"/>
        <v>0</v>
      </c>
      <c r="M16" s="181">
        <f>Stempels!I7</f>
        <v>0</v>
      </c>
      <c r="N16" s="182">
        <v>62</v>
      </c>
      <c r="O16" s="162" t="e">
        <f>IF(B16="",0,HLOOKUP(B16,'E -Stempels UGT'!$E$8:$AT$149,142,0))</f>
        <v>#DIV/0!</v>
      </c>
      <c r="P16" s="163" t="e">
        <f>IF(B16="",0,HLOOKUP(B16,'E - Stempels BGT'!$E$8:$AT$149,142,0))</f>
        <v>#DIV/0!</v>
      </c>
      <c r="Q16" s="222" t="s">
        <v>95</v>
      </c>
      <c r="R16" s="163" t="e">
        <f>(K16/2*SIN(MAX(H16:I16)*PI()/180))/((VLOOKUP(Q16,'tab gording'!$B$4:$Q$147,16,0)+2*W16)*E16*F16/1000)/$V$6</f>
        <v>#DIV/0!</v>
      </c>
      <c r="S16" s="173">
        <f t="shared" si="3"/>
        <v>0</v>
      </c>
      <c r="T16" s="163">
        <f t="shared" si="4"/>
        <v>0</v>
      </c>
      <c r="U16" s="183">
        <f t="shared" si="5"/>
        <v>0</v>
      </c>
      <c r="V16" s="184">
        <f t="shared" si="6"/>
        <v>0</v>
      </c>
      <c r="W16" s="185">
        <v>30</v>
      </c>
      <c r="X16" s="163">
        <f t="shared" si="7"/>
        <v>0</v>
      </c>
      <c r="Y16" s="185">
        <v>10</v>
      </c>
      <c r="Z16" s="140">
        <v>2</v>
      </c>
      <c r="AA16" s="140" t="s">
        <v>93</v>
      </c>
      <c r="AB16" s="186">
        <v>600</v>
      </c>
      <c r="AC16" s="187" t="e">
        <f t="shared" si="8"/>
        <v>#DIV/0!</v>
      </c>
      <c r="AD16" s="188">
        <f t="shared" si="9"/>
        <v>0</v>
      </c>
      <c r="AE16" s="163">
        <f t="shared" si="10"/>
        <v>0</v>
      </c>
      <c r="AF16" s="189">
        <v>9</v>
      </c>
      <c r="AG16" s="140">
        <v>2</v>
      </c>
      <c r="AH16" s="140" t="s">
        <v>93</v>
      </c>
      <c r="AI16" s="187">
        <v>600</v>
      </c>
      <c r="AJ16" s="178">
        <f t="shared" si="11"/>
        <v>0</v>
      </c>
      <c r="AK16" s="163">
        <f t="shared" si="12"/>
        <v>0</v>
      </c>
      <c r="AL16" s="173" t="e">
        <f t="shared" si="13"/>
        <v>#DIV/0!</v>
      </c>
      <c r="AM16" s="140"/>
      <c r="AN16" s="140" t="e">
        <f t="shared" si="14"/>
        <v>#DIV/0!</v>
      </c>
      <c r="AO16" s="174">
        <f t="shared" si="15"/>
        <v>0</v>
      </c>
      <c r="AP16" s="175"/>
      <c r="AQ16" s="120" t="s">
        <v>94</v>
      </c>
      <c r="AR16" s="120" t="e">
        <f t="shared" si="16"/>
        <v>#DIV/0!</v>
      </c>
    </row>
    <row r="17" spans="1:44" x14ac:dyDescent="0.25">
      <c r="A17" s="191"/>
      <c r="B17" s="143">
        <f>Stempels!A8</f>
        <v>0</v>
      </c>
      <c r="C17" s="143" t="str">
        <f t="shared" si="0"/>
        <v>schoor</v>
      </c>
      <c r="D17" s="143">
        <f>Stempels!B8</f>
        <v>0</v>
      </c>
      <c r="E17" s="143">
        <f>Stempels!C8</f>
        <v>0</v>
      </c>
      <c r="F17" s="143">
        <v>355</v>
      </c>
      <c r="G17" s="177">
        <f>Stempels!E8</f>
        <v>0</v>
      </c>
      <c r="H17" s="177">
        <f>Stempels!F8</f>
        <v>0</v>
      </c>
      <c r="I17" s="178">
        <f>Stempels!G8</f>
        <v>0</v>
      </c>
      <c r="J17" s="143">
        <f>Stempels!H8</f>
        <v>0</v>
      </c>
      <c r="K17" s="179">
        <f t="shared" si="1"/>
        <v>0</v>
      </c>
      <c r="L17" s="180">
        <f t="shared" si="2"/>
        <v>0</v>
      </c>
      <c r="M17" s="181">
        <f>Stempels!I8</f>
        <v>0</v>
      </c>
      <c r="N17" s="182">
        <v>63</v>
      </c>
      <c r="O17" s="162" t="e">
        <f>IF(B17="",0,HLOOKUP(B17,'E -Stempels UGT'!$E$8:$AT$149,142,0))</f>
        <v>#DIV/0!</v>
      </c>
      <c r="P17" s="163" t="e">
        <f>IF(B17="",0,HLOOKUP(B17,'E - Stempels BGT'!$E$8:$AT$149,142,0))</f>
        <v>#DIV/0!</v>
      </c>
      <c r="Q17" s="222" t="s">
        <v>95</v>
      </c>
      <c r="R17" s="163" t="e">
        <f>(K17/2*SIN(MAX(H17:I17)*PI()/180))/((VLOOKUP(Q17,'tab gording'!$B$4:$Q$147,16,0)+2*W17)*E17*F17/1000)/$V$6</f>
        <v>#DIV/0!</v>
      </c>
      <c r="S17" s="173">
        <f t="shared" si="3"/>
        <v>0</v>
      </c>
      <c r="T17" s="163">
        <f t="shared" si="4"/>
        <v>0</v>
      </c>
      <c r="U17" s="183">
        <f t="shared" si="5"/>
        <v>0</v>
      </c>
      <c r="V17" s="184">
        <f t="shared" si="6"/>
        <v>0</v>
      </c>
      <c r="W17" s="185">
        <v>30</v>
      </c>
      <c r="X17" s="163">
        <f t="shared" si="7"/>
        <v>0</v>
      </c>
      <c r="Y17" s="185">
        <v>8</v>
      </c>
      <c r="Z17" s="140">
        <v>2</v>
      </c>
      <c r="AA17" s="140" t="s">
        <v>93</v>
      </c>
      <c r="AB17" s="186">
        <v>600</v>
      </c>
      <c r="AC17" s="187" t="e">
        <f t="shared" si="8"/>
        <v>#DIV/0!</v>
      </c>
      <c r="AD17" s="188">
        <f t="shared" si="9"/>
        <v>0</v>
      </c>
      <c r="AE17" s="163">
        <f t="shared" si="10"/>
        <v>0</v>
      </c>
      <c r="AF17" s="189">
        <v>9</v>
      </c>
      <c r="AG17" s="140">
        <v>2</v>
      </c>
      <c r="AH17" s="140" t="s">
        <v>93</v>
      </c>
      <c r="AI17" s="187">
        <v>500</v>
      </c>
      <c r="AJ17" s="178">
        <f t="shared" si="11"/>
        <v>0</v>
      </c>
      <c r="AK17" s="163">
        <f t="shared" si="12"/>
        <v>0</v>
      </c>
      <c r="AL17" s="173" t="e">
        <f t="shared" si="13"/>
        <v>#DIV/0!</v>
      </c>
      <c r="AM17" s="140"/>
      <c r="AN17" s="140" t="e">
        <f t="shared" si="14"/>
        <v>#DIV/0!</v>
      </c>
      <c r="AO17" s="174">
        <f t="shared" si="15"/>
        <v>0</v>
      </c>
      <c r="AP17" s="175"/>
      <c r="AQ17" s="120" t="s">
        <v>94</v>
      </c>
      <c r="AR17" s="120" t="e">
        <f t="shared" si="16"/>
        <v>#DIV/0!</v>
      </c>
    </row>
    <row r="18" spans="1:44" x14ac:dyDescent="0.25">
      <c r="A18" s="191"/>
      <c r="B18" s="143">
        <f>Stempels!A9</f>
        <v>0</v>
      </c>
      <c r="C18" s="143" t="str">
        <f t="shared" si="0"/>
        <v>schoor</v>
      </c>
      <c r="D18" s="143">
        <f>Stempels!B9</f>
        <v>0</v>
      </c>
      <c r="E18" s="143">
        <f>Stempels!C9</f>
        <v>0</v>
      </c>
      <c r="F18" s="143">
        <v>355</v>
      </c>
      <c r="G18" s="177">
        <f>Stempels!E9</f>
        <v>0</v>
      </c>
      <c r="H18" s="177">
        <f>Stempels!F9</f>
        <v>0</v>
      </c>
      <c r="I18" s="178">
        <f>Stempels!G9</f>
        <v>0</v>
      </c>
      <c r="J18" s="143">
        <f>Stempels!H9</f>
        <v>0</v>
      </c>
      <c r="K18" s="179">
        <f t="shared" si="1"/>
        <v>0</v>
      </c>
      <c r="L18" s="180">
        <f t="shared" si="2"/>
        <v>0</v>
      </c>
      <c r="M18" s="181">
        <f>Stempels!I9</f>
        <v>0</v>
      </c>
      <c r="N18" s="182">
        <v>64</v>
      </c>
      <c r="O18" s="162" t="e">
        <f>IF(B18="",0,HLOOKUP(B18,'E -Stempels UGT'!$E$8:$AT$149,142,0))</f>
        <v>#DIV/0!</v>
      </c>
      <c r="P18" s="163" t="e">
        <f>IF(B18="",0,HLOOKUP(B18,'E - Stempels BGT'!$E$8:$AT$149,142,0))</f>
        <v>#DIV/0!</v>
      </c>
      <c r="Q18" s="222" t="s">
        <v>95</v>
      </c>
      <c r="R18" s="163" t="e">
        <f>(K18/2*SIN(MAX(H18:I18)*PI()/180))/((VLOOKUP(Q18,'tab gording'!$B$4:$Q$147,16,0)+2*W18)*E18*F18/1000)/$V$6</f>
        <v>#DIV/0!</v>
      </c>
      <c r="S18" s="173">
        <f t="shared" si="3"/>
        <v>0</v>
      </c>
      <c r="T18" s="163">
        <f t="shared" si="4"/>
        <v>0</v>
      </c>
      <c r="U18" s="183">
        <f t="shared" si="5"/>
        <v>0</v>
      </c>
      <c r="V18" s="184">
        <f t="shared" si="6"/>
        <v>0</v>
      </c>
      <c r="W18" s="185">
        <v>30</v>
      </c>
      <c r="X18" s="163">
        <f t="shared" si="7"/>
        <v>0</v>
      </c>
      <c r="Y18" s="185">
        <v>8</v>
      </c>
      <c r="Z18" s="140">
        <v>2</v>
      </c>
      <c r="AA18" s="140" t="s">
        <v>93</v>
      </c>
      <c r="AB18" s="186">
        <v>600</v>
      </c>
      <c r="AC18" s="187" t="e">
        <f t="shared" si="8"/>
        <v>#DIV/0!</v>
      </c>
      <c r="AD18" s="188">
        <f t="shared" si="9"/>
        <v>0</v>
      </c>
      <c r="AE18" s="163">
        <f t="shared" si="10"/>
        <v>0</v>
      </c>
      <c r="AF18" s="189">
        <v>9</v>
      </c>
      <c r="AG18" s="140">
        <v>2</v>
      </c>
      <c r="AH18" s="140" t="s">
        <v>93</v>
      </c>
      <c r="AI18" s="187">
        <v>500</v>
      </c>
      <c r="AJ18" s="178">
        <f t="shared" si="11"/>
        <v>0</v>
      </c>
      <c r="AK18" s="163">
        <f t="shared" si="12"/>
        <v>0</v>
      </c>
      <c r="AL18" s="173" t="e">
        <f t="shared" si="13"/>
        <v>#DIV/0!</v>
      </c>
      <c r="AM18" s="140"/>
      <c r="AN18" s="140" t="e">
        <f t="shared" si="14"/>
        <v>#DIV/0!</v>
      </c>
      <c r="AO18" s="174">
        <f t="shared" si="15"/>
        <v>0</v>
      </c>
      <c r="AP18" s="175"/>
      <c r="AQ18" s="120" t="s">
        <v>94</v>
      </c>
      <c r="AR18" s="120" t="e">
        <f t="shared" si="16"/>
        <v>#DIV/0!</v>
      </c>
    </row>
    <row r="19" spans="1:44" ht="12.75" customHeight="1" x14ac:dyDescent="0.25">
      <c r="A19" s="191"/>
      <c r="B19" s="143">
        <f>Stempels!A10</f>
        <v>0</v>
      </c>
      <c r="C19" s="143" t="str">
        <f t="shared" si="0"/>
        <v>schoor</v>
      </c>
      <c r="D19" s="143">
        <f>Stempels!B10</f>
        <v>0</v>
      </c>
      <c r="E19" s="143">
        <f>Stempels!C10</f>
        <v>0</v>
      </c>
      <c r="F19" s="143">
        <v>355</v>
      </c>
      <c r="G19" s="177">
        <f>Stempels!E10</f>
        <v>0</v>
      </c>
      <c r="H19" s="177">
        <f>Stempels!F10</f>
        <v>0</v>
      </c>
      <c r="I19" s="178">
        <f>Stempels!G10</f>
        <v>0</v>
      </c>
      <c r="J19" s="143">
        <f>Stempels!H10</f>
        <v>0</v>
      </c>
      <c r="K19" s="179">
        <f t="shared" si="1"/>
        <v>0</v>
      </c>
      <c r="L19" s="180">
        <f t="shared" si="2"/>
        <v>0</v>
      </c>
      <c r="M19" s="181">
        <f>Stempels!I10</f>
        <v>0</v>
      </c>
      <c r="N19" s="182">
        <v>60</v>
      </c>
      <c r="O19" s="162" t="e">
        <f>IF(B19="",0,HLOOKUP(B19,'E -Stempels UGT'!$E$8:$AT$149,142,0))</f>
        <v>#DIV/0!</v>
      </c>
      <c r="P19" s="163" t="e">
        <f>IF(B19="",0,HLOOKUP(B19,'E - Stempels BGT'!$E$8:$AT$149,142,0))</f>
        <v>#DIV/0!</v>
      </c>
      <c r="Q19" s="222" t="s">
        <v>95</v>
      </c>
      <c r="R19" s="163" t="e">
        <f>(K19/2*SIN(MAX(H19:I19)*PI()/180))/((VLOOKUP(Q19,'tab gording'!$B$4:$Q$147,16,0)+2*W19)*E19*F19/1000)/$V$6</f>
        <v>#DIV/0!</v>
      </c>
      <c r="S19" s="173">
        <f t="shared" si="3"/>
        <v>0</v>
      </c>
      <c r="T19" s="163">
        <f t="shared" si="4"/>
        <v>0</v>
      </c>
      <c r="U19" s="183">
        <f t="shared" si="5"/>
        <v>0</v>
      </c>
      <c r="V19" s="184">
        <f t="shared" si="6"/>
        <v>0</v>
      </c>
      <c r="W19" s="185">
        <v>30</v>
      </c>
      <c r="X19" s="163">
        <f t="shared" si="7"/>
        <v>0</v>
      </c>
      <c r="Y19" s="185">
        <v>8</v>
      </c>
      <c r="Z19" s="140">
        <v>2</v>
      </c>
      <c r="AA19" s="140" t="s">
        <v>93</v>
      </c>
      <c r="AB19" s="186">
        <v>600</v>
      </c>
      <c r="AC19" s="187" t="e">
        <f t="shared" si="8"/>
        <v>#DIV/0!</v>
      </c>
      <c r="AD19" s="188">
        <f t="shared" si="9"/>
        <v>0</v>
      </c>
      <c r="AE19" s="163">
        <f t="shared" si="10"/>
        <v>0</v>
      </c>
      <c r="AF19" s="189">
        <v>9</v>
      </c>
      <c r="AG19" s="140">
        <v>2</v>
      </c>
      <c r="AH19" s="140" t="s">
        <v>93</v>
      </c>
      <c r="AI19" s="187">
        <v>600</v>
      </c>
      <c r="AJ19" s="178">
        <f t="shared" si="11"/>
        <v>0</v>
      </c>
      <c r="AK19" s="163">
        <f t="shared" si="12"/>
        <v>0</v>
      </c>
      <c r="AL19" s="173" t="e">
        <f t="shared" si="13"/>
        <v>#DIV/0!</v>
      </c>
      <c r="AM19" s="140"/>
      <c r="AN19" s="140" t="e">
        <f t="shared" si="14"/>
        <v>#DIV/0!</v>
      </c>
      <c r="AO19" s="174">
        <f t="shared" si="15"/>
        <v>0</v>
      </c>
      <c r="AP19" s="175"/>
      <c r="AQ19" s="120" t="s">
        <v>94</v>
      </c>
      <c r="AR19" s="120" t="e">
        <f t="shared" si="16"/>
        <v>#DIV/0!</v>
      </c>
    </row>
    <row r="20" spans="1:44" x14ac:dyDescent="0.25">
      <c r="A20" s="191"/>
      <c r="B20" s="143">
        <f>Stempels!A11</f>
        <v>0</v>
      </c>
      <c r="C20" s="143" t="str">
        <f t="shared" si="0"/>
        <v>schoor</v>
      </c>
      <c r="D20" s="143">
        <f>Stempels!B11</f>
        <v>0</v>
      </c>
      <c r="E20" s="143">
        <f>Stempels!C11</f>
        <v>0</v>
      </c>
      <c r="F20" s="143">
        <v>355</v>
      </c>
      <c r="G20" s="177">
        <f>Stempels!E11</f>
        <v>0</v>
      </c>
      <c r="H20" s="177">
        <f>Stempels!F11</f>
        <v>0</v>
      </c>
      <c r="I20" s="178">
        <f>Stempels!G11</f>
        <v>0</v>
      </c>
      <c r="J20" s="143">
        <f>Stempels!H11</f>
        <v>0</v>
      </c>
      <c r="K20" s="179">
        <f t="shared" si="1"/>
        <v>0</v>
      </c>
      <c r="L20" s="180">
        <f t="shared" si="2"/>
        <v>0</v>
      </c>
      <c r="M20" s="181">
        <f>Stempels!I11</f>
        <v>0</v>
      </c>
      <c r="N20" s="182">
        <v>68</v>
      </c>
      <c r="O20" s="162" t="e">
        <f>IF(B20="",0,HLOOKUP(B20,'E -Stempels UGT'!$E$8:$AT$149,142,0))</f>
        <v>#DIV/0!</v>
      </c>
      <c r="P20" s="163" t="e">
        <f>IF(B20="",0,HLOOKUP(B20,'E - Stempels BGT'!$E$8:$AT$149,142,0))</f>
        <v>#DIV/0!</v>
      </c>
      <c r="Q20" s="222" t="s">
        <v>95</v>
      </c>
      <c r="R20" s="163" t="e">
        <f>(K20/2*SIN(MAX(H20:I20)*PI()/180))/((VLOOKUP(Q20,'tab gording'!$B$4:$Q$147,16,0)+2*W20)*E20*F20/1000)/$V$6</f>
        <v>#DIV/0!</v>
      </c>
      <c r="S20" s="173">
        <f t="shared" si="3"/>
        <v>0</v>
      </c>
      <c r="T20" s="163">
        <f t="shared" si="4"/>
        <v>0</v>
      </c>
      <c r="U20" s="183">
        <f t="shared" si="5"/>
        <v>0</v>
      </c>
      <c r="V20" s="184">
        <f t="shared" si="6"/>
        <v>0</v>
      </c>
      <c r="W20" s="185">
        <v>30</v>
      </c>
      <c r="X20" s="163">
        <f t="shared" si="7"/>
        <v>0</v>
      </c>
      <c r="Y20" s="185">
        <v>8</v>
      </c>
      <c r="Z20" s="140">
        <v>2</v>
      </c>
      <c r="AA20" s="140" t="s">
        <v>93</v>
      </c>
      <c r="AB20" s="186">
        <v>600</v>
      </c>
      <c r="AC20" s="187" t="e">
        <f t="shared" si="8"/>
        <v>#DIV/0!</v>
      </c>
      <c r="AD20" s="188">
        <f t="shared" si="9"/>
        <v>0</v>
      </c>
      <c r="AE20" s="163">
        <f t="shared" si="10"/>
        <v>0</v>
      </c>
      <c r="AF20" s="189">
        <v>9</v>
      </c>
      <c r="AG20" s="140">
        <v>2</v>
      </c>
      <c r="AH20" s="140" t="s">
        <v>93</v>
      </c>
      <c r="AI20" s="187">
        <v>600</v>
      </c>
      <c r="AJ20" s="178">
        <f t="shared" si="11"/>
        <v>0</v>
      </c>
      <c r="AK20" s="163">
        <f t="shared" si="12"/>
        <v>0</v>
      </c>
      <c r="AL20" s="173" t="e">
        <f t="shared" si="13"/>
        <v>#DIV/0!</v>
      </c>
      <c r="AM20" s="140"/>
      <c r="AN20" s="140" t="e">
        <f t="shared" si="14"/>
        <v>#DIV/0!</v>
      </c>
      <c r="AO20" s="174">
        <f t="shared" si="15"/>
        <v>0</v>
      </c>
      <c r="AP20" s="175"/>
      <c r="AQ20" s="120" t="s">
        <v>94</v>
      </c>
      <c r="AR20" s="120" t="e">
        <f t="shared" si="16"/>
        <v>#DIV/0!</v>
      </c>
    </row>
    <row r="21" spans="1:44" x14ac:dyDescent="0.25">
      <c r="A21" s="191"/>
      <c r="B21" s="143">
        <f>Stempels!A12</f>
        <v>0</v>
      </c>
      <c r="C21" s="143" t="str">
        <f t="shared" si="0"/>
        <v>schoor</v>
      </c>
      <c r="D21" s="143">
        <f>Stempels!B12</f>
        <v>0</v>
      </c>
      <c r="E21" s="143">
        <f>Stempels!C12</f>
        <v>0</v>
      </c>
      <c r="F21" s="143">
        <v>355</v>
      </c>
      <c r="G21" s="177">
        <f>Stempels!E12</f>
        <v>0</v>
      </c>
      <c r="H21" s="177">
        <f>Stempels!F12</f>
        <v>0</v>
      </c>
      <c r="I21" s="178">
        <f>Stempels!G12</f>
        <v>0</v>
      </c>
      <c r="J21" s="143">
        <f>Stempels!H12</f>
        <v>0</v>
      </c>
      <c r="K21" s="179">
        <f t="shared" si="1"/>
        <v>0</v>
      </c>
      <c r="L21" s="180">
        <f t="shared" si="2"/>
        <v>0</v>
      </c>
      <c r="M21" s="181">
        <f>Stempels!I12</f>
        <v>0</v>
      </c>
      <c r="N21" s="182">
        <v>61</v>
      </c>
      <c r="O21" s="162" t="e">
        <f>IF(B21="",0,HLOOKUP(B21,'E -Stempels UGT'!$E$8:$AT$149,142,0))</f>
        <v>#DIV/0!</v>
      </c>
      <c r="P21" s="163" t="e">
        <f>IF(B21="",0,HLOOKUP(B21,'E - Stempels BGT'!$E$8:$AT$149,142,0))</f>
        <v>#DIV/0!</v>
      </c>
      <c r="Q21" s="222" t="s">
        <v>95</v>
      </c>
      <c r="R21" s="163" t="e">
        <f>(K21/2*SIN(MAX(H21:I21)*PI()/180))/((VLOOKUP(Q21,'tab gording'!$B$4:$Q$147,16,0)+2*W21)*E21*F21/1000)/$V$6</f>
        <v>#DIV/0!</v>
      </c>
      <c r="S21" s="173">
        <f t="shared" si="3"/>
        <v>0</v>
      </c>
      <c r="T21" s="163">
        <f t="shared" si="4"/>
        <v>0</v>
      </c>
      <c r="U21" s="183">
        <f t="shared" si="5"/>
        <v>0</v>
      </c>
      <c r="V21" s="184">
        <f t="shared" si="6"/>
        <v>0</v>
      </c>
      <c r="W21" s="185">
        <v>30</v>
      </c>
      <c r="X21" s="163">
        <f t="shared" si="7"/>
        <v>0</v>
      </c>
      <c r="Y21" s="185">
        <v>6</v>
      </c>
      <c r="Z21" s="140">
        <v>2</v>
      </c>
      <c r="AA21" s="140" t="s">
        <v>93</v>
      </c>
      <c r="AB21" s="186">
        <v>600</v>
      </c>
      <c r="AC21" s="187" t="e">
        <f t="shared" si="8"/>
        <v>#DIV/0!</v>
      </c>
      <c r="AD21" s="188">
        <f t="shared" si="9"/>
        <v>0</v>
      </c>
      <c r="AE21" s="163">
        <f t="shared" si="10"/>
        <v>0</v>
      </c>
      <c r="AF21" s="189">
        <v>9</v>
      </c>
      <c r="AG21" s="140">
        <v>2</v>
      </c>
      <c r="AH21" s="140" t="s">
        <v>93</v>
      </c>
      <c r="AI21" s="187">
        <v>500</v>
      </c>
      <c r="AJ21" s="178">
        <f t="shared" si="11"/>
        <v>0</v>
      </c>
      <c r="AK21" s="163">
        <f t="shared" si="12"/>
        <v>0</v>
      </c>
      <c r="AL21" s="173" t="e">
        <f t="shared" si="13"/>
        <v>#DIV/0!</v>
      </c>
      <c r="AM21" s="140"/>
      <c r="AN21" s="140" t="e">
        <f t="shared" si="14"/>
        <v>#DIV/0!</v>
      </c>
      <c r="AO21" s="174">
        <f t="shared" si="15"/>
        <v>0</v>
      </c>
      <c r="AP21" s="175"/>
      <c r="AQ21" s="120" t="s">
        <v>94</v>
      </c>
      <c r="AR21" s="120" t="e">
        <f t="shared" si="16"/>
        <v>#DIV/0!</v>
      </c>
    </row>
    <row r="22" spans="1:44" x14ac:dyDescent="0.25">
      <c r="A22" s="191"/>
      <c r="B22" s="143">
        <f>Stempels!A13</f>
        <v>0</v>
      </c>
      <c r="C22" s="143" t="str">
        <f t="shared" si="0"/>
        <v>schoor</v>
      </c>
      <c r="D22" s="143">
        <f>Stempels!B13</f>
        <v>0</v>
      </c>
      <c r="E22" s="143">
        <f>Stempels!C13</f>
        <v>0</v>
      </c>
      <c r="F22" s="143">
        <v>355</v>
      </c>
      <c r="G22" s="177">
        <f>Stempels!E13</f>
        <v>0</v>
      </c>
      <c r="H22" s="177">
        <f>Stempels!F13</f>
        <v>0</v>
      </c>
      <c r="I22" s="178">
        <f>Stempels!G13</f>
        <v>0</v>
      </c>
      <c r="J22" s="143">
        <f>Stempels!H13</f>
        <v>0</v>
      </c>
      <c r="K22" s="179">
        <f t="shared" si="1"/>
        <v>0</v>
      </c>
      <c r="L22" s="180">
        <f t="shared" si="2"/>
        <v>0</v>
      </c>
      <c r="M22" s="181">
        <f>Stempels!I13</f>
        <v>0</v>
      </c>
      <c r="N22" s="182">
        <v>79</v>
      </c>
      <c r="O22" s="162" t="e">
        <f>IF(B22="",0,HLOOKUP(B22,'E -Stempels UGT'!$E$8:$AT$149,142,0))</f>
        <v>#DIV/0!</v>
      </c>
      <c r="P22" s="163" t="e">
        <f>IF(B22="",0,HLOOKUP(B22,'E - Stempels BGT'!$E$8:$AT$149,142,0))</f>
        <v>#DIV/0!</v>
      </c>
      <c r="Q22" s="222" t="s">
        <v>95</v>
      </c>
      <c r="R22" s="163" t="e">
        <f>(K22/2*SIN(MAX(H22:I22)*PI()/180))/((VLOOKUP(Q22,'tab gording'!$B$4:$Q$147,16,0)+2*W22)*E22*F22/1000)/$V$6</f>
        <v>#DIV/0!</v>
      </c>
      <c r="S22" s="173">
        <f t="shared" si="3"/>
        <v>0</v>
      </c>
      <c r="T22" s="163">
        <f t="shared" si="4"/>
        <v>0</v>
      </c>
      <c r="U22" s="183">
        <f t="shared" si="5"/>
        <v>0</v>
      </c>
      <c r="V22" s="184">
        <f t="shared" si="6"/>
        <v>0</v>
      </c>
      <c r="W22" s="185">
        <v>30</v>
      </c>
      <c r="X22" s="163">
        <f t="shared" si="7"/>
        <v>0</v>
      </c>
      <c r="Y22" s="185">
        <v>6</v>
      </c>
      <c r="Z22" s="140">
        <v>2</v>
      </c>
      <c r="AA22" s="140" t="s">
        <v>93</v>
      </c>
      <c r="AB22" s="186">
        <v>600</v>
      </c>
      <c r="AC22" s="187" t="e">
        <f t="shared" si="8"/>
        <v>#DIV/0!</v>
      </c>
      <c r="AD22" s="188">
        <f t="shared" si="9"/>
        <v>0</v>
      </c>
      <c r="AE22" s="163">
        <f t="shared" si="10"/>
        <v>0</v>
      </c>
      <c r="AF22" s="189">
        <v>9</v>
      </c>
      <c r="AG22" s="140">
        <v>2</v>
      </c>
      <c r="AH22" s="140" t="s">
        <v>93</v>
      </c>
      <c r="AI22" s="187">
        <v>500</v>
      </c>
      <c r="AJ22" s="178">
        <f t="shared" si="11"/>
        <v>0</v>
      </c>
      <c r="AK22" s="163">
        <f t="shared" si="12"/>
        <v>0</v>
      </c>
      <c r="AL22" s="173" t="e">
        <f t="shared" si="13"/>
        <v>#DIV/0!</v>
      </c>
      <c r="AM22" s="140"/>
      <c r="AN22" s="140" t="e">
        <f t="shared" si="14"/>
        <v>#DIV/0!</v>
      </c>
      <c r="AO22" s="174">
        <f t="shared" si="15"/>
        <v>0</v>
      </c>
      <c r="AP22" s="175"/>
      <c r="AQ22" s="120" t="s">
        <v>94</v>
      </c>
      <c r="AR22" s="120" t="e">
        <f t="shared" si="16"/>
        <v>#DIV/0!</v>
      </c>
    </row>
    <row r="23" spans="1:44" x14ac:dyDescent="0.25">
      <c r="A23" s="191"/>
      <c r="B23" s="143">
        <f>Stempels!A14</f>
        <v>0</v>
      </c>
      <c r="C23" s="143" t="str">
        <f t="shared" si="0"/>
        <v>schoor</v>
      </c>
      <c r="D23" s="143">
        <f>Stempels!B14</f>
        <v>0</v>
      </c>
      <c r="E23" s="143">
        <f>Stempels!C14</f>
        <v>0</v>
      </c>
      <c r="F23" s="143">
        <v>355</v>
      </c>
      <c r="G23" s="177">
        <f>Stempels!E14</f>
        <v>0</v>
      </c>
      <c r="H23" s="177">
        <f>Stempels!F14</f>
        <v>0</v>
      </c>
      <c r="I23" s="178">
        <f>Stempels!G14</f>
        <v>0</v>
      </c>
      <c r="J23" s="143">
        <f>Stempels!H14</f>
        <v>0</v>
      </c>
      <c r="K23" s="179">
        <f t="shared" si="1"/>
        <v>0</v>
      </c>
      <c r="L23" s="180">
        <f t="shared" si="2"/>
        <v>0</v>
      </c>
      <c r="M23" s="181">
        <f>Stempels!I14</f>
        <v>0</v>
      </c>
      <c r="N23" s="182">
        <v>76</v>
      </c>
      <c r="O23" s="162" t="e">
        <f>IF(B23="",0,HLOOKUP(B23,'E -Stempels UGT'!$E$8:$AT$149,142,0))</f>
        <v>#DIV/0!</v>
      </c>
      <c r="P23" s="163" t="e">
        <f>IF(B23="",0,HLOOKUP(B23,'E - Stempels BGT'!$E$8:$AT$149,142,0))</f>
        <v>#DIV/0!</v>
      </c>
      <c r="Q23" s="222" t="s">
        <v>95</v>
      </c>
      <c r="R23" s="163" t="e">
        <f>(K23/2*SIN(MAX(H23:I23)*PI()/180))/((VLOOKUP(Q23,'tab gording'!$B$4:$Q$147,16,0)+2*W23)*E23*F23/1000)/$V$6</f>
        <v>#DIV/0!</v>
      </c>
      <c r="S23" s="173">
        <f t="shared" si="3"/>
        <v>0</v>
      </c>
      <c r="T23" s="163">
        <f t="shared" si="4"/>
        <v>0</v>
      </c>
      <c r="U23" s="183">
        <f t="shared" si="5"/>
        <v>0</v>
      </c>
      <c r="V23" s="184">
        <f t="shared" si="6"/>
        <v>0</v>
      </c>
      <c r="W23" s="185">
        <v>30</v>
      </c>
      <c r="X23" s="163">
        <f t="shared" si="7"/>
        <v>0</v>
      </c>
      <c r="Y23" s="185">
        <v>8</v>
      </c>
      <c r="Z23" s="140">
        <v>2</v>
      </c>
      <c r="AA23" s="140" t="s">
        <v>93</v>
      </c>
      <c r="AB23" s="186">
        <v>600</v>
      </c>
      <c r="AC23" s="187" t="e">
        <f t="shared" si="8"/>
        <v>#DIV/0!</v>
      </c>
      <c r="AD23" s="188">
        <f t="shared" si="9"/>
        <v>0</v>
      </c>
      <c r="AE23" s="163">
        <f t="shared" si="10"/>
        <v>0</v>
      </c>
      <c r="AF23" s="189">
        <v>9</v>
      </c>
      <c r="AG23" s="140">
        <v>2</v>
      </c>
      <c r="AH23" s="140" t="s">
        <v>93</v>
      </c>
      <c r="AI23" s="187">
        <v>600</v>
      </c>
      <c r="AJ23" s="178">
        <f t="shared" si="11"/>
        <v>0</v>
      </c>
      <c r="AK23" s="163">
        <f t="shared" si="12"/>
        <v>0</v>
      </c>
      <c r="AL23" s="173" t="e">
        <f t="shared" si="13"/>
        <v>#DIV/0!</v>
      </c>
      <c r="AM23" s="140"/>
      <c r="AN23" s="140" t="e">
        <f t="shared" si="14"/>
        <v>#DIV/0!</v>
      </c>
      <c r="AO23" s="174">
        <f t="shared" si="15"/>
        <v>0</v>
      </c>
      <c r="AP23" s="175"/>
      <c r="AQ23" s="120" t="s">
        <v>94</v>
      </c>
      <c r="AR23" s="120" t="e">
        <f t="shared" si="16"/>
        <v>#DIV/0!</v>
      </c>
    </row>
    <row r="24" spans="1:44" x14ac:dyDescent="0.25">
      <c r="A24" s="191"/>
      <c r="B24" s="143">
        <f>Stempels!A15</f>
        <v>0</v>
      </c>
      <c r="C24" s="143" t="str">
        <f t="shared" si="0"/>
        <v>schoor</v>
      </c>
      <c r="D24" s="143">
        <f>Stempels!B15</f>
        <v>0</v>
      </c>
      <c r="E24" s="143">
        <f>Stempels!C15</f>
        <v>0</v>
      </c>
      <c r="F24" s="143">
        <v>355</v>
      </c>
      <c r="G24" s="177">
        <f>Stempels!E15</f>
        <v>0</v>
      </c>
      <c r="H24" s="177">
        <f>Stempels!F15</f>
        <v>0</v>
      </c>
      <c r="I24" s="178">
        <f>Stempels!G15</f>
        <v>0</v>
      </c>
      <c r="J24" s="143">
        <f>Stempels!H15</f>
        <v>0</v>
      </c>
      <c r="K24" s="179">
        <f t="shared" si="1"/>
        <v>0</v>
      </c>
      <c r="L24" s="180">
        <f t="shared" si="2"/>
        <v>0</v>
      </c>
      <c r="M24" s="181">
        <f>Stempels!I15</f>
        <v>0</v>
      </c>
      <c r="N24" s="182">
        <v>77</v>
      </c>
      <c r="O24" s="162" t="e">
        <f>IF(B24="",0,HLOOKUP(B24,'E -Stempels UGT'!$E$8:$AT$149,142,0))</f>
        <v>#DIV/0!</v>
      </c>
      <c r="P24" s="163" t="e">
        <f>IF(B24="",0,HLOOKUP(B24,'E - Stempels BGT'!$E$8:$AT$149,142,0))</f>
        <v>#DIV/0!</v>
      </c>
      <c r="Q24" s="222" t="s">
        <v>95</v>
      </c>
      <c r="R24" s="163" t="e">
        <f>(K24/2*SIN(MAX(H24:I24)*PI()/180))/((VLOOKUP(Q24,'tab gording'!$B$4:$Q$147,16,0)+2*W24)*E24*F24/1000)/$V$6</f>
        <v>#DIV/0!</v>
      </c>
      <c r="S24" s="173">
        <f t="shared" si="3"/>
        <v>0</v>
      </c>
      <c r="T24" s="163">
        <f t="shared" si="4"/>
        <v>0</v>
      </c>
      <c r="U24" s="183">
        <f t="shared" si="5"/>
        <v>0</v>
      </c>
      <c r="V24" s="184">
        <f t="shared" si="6"/>
        <v>0</v>
      </c>
      <c r="W24" s="185">
        <v>30</v>
      </c>
      <c r="X24" s="163">
        <f t="shared" si="7"/>
        <v>0</v>
      </c>
      <c r="Y24" s="185">
        <v>6</v>
      </c>
      <c r="Z24" s="140">
        <v>2</v>
      </c>
      <c r="AA24" s="140" t="s">
        <v>93</v>
      </c>
      <c r="AB24" s="186">
        <v>600</v>
      </c>
      <c r="AC24" s="187" t="e">
        <f t="shared" si="8"/>
        <v>#DIV/0!</v>
      </c>
      <c r="AD24" s="188">
        <f t="shared" si="9"/>
        <v>0</v>
      </c>
      <c r="AE24" s="163">
        <f t="shared" si="10"/>
        <v>0</v>
      </c>
      <c r="AF24" s="189">
        <v>9</v>
      </c>
      <c r="AG24" s="140">
        <v>2</v>
      </c>
      <c r="AH24" s="140" t="s">
        <v>93</v>
      </c>
      <c r="AI24" s="187">
        <v>500</v>
      </c>
      <c r="AJ24" s="178">
        <f t="shared" si="11"/>
        <v>0</v>
      </c>
      <c r="AK24" s="163">
        <f t="shared" si="12"/>
        <v>0</v>
      </c>
      <c r="AL24" s="173" t="e">
        <f t="shared" si="13"/>
        <v>#DIV/0!</v>
      </c>
      <c r="AM24" s="140"/>
      <c r="AN24" s="140" t="e">
        <f t="shared" si="14"/>
        <v>#DIV/0!</v>
      </c>
      <c r="AO24" s="174">
        <f t="shared" si="15"/>
        <v>0</v>
      </c>
      <c r="AP24" s="175"/>
      <c r="AQ24" s="120" t="s">
        <v>94</v>
      </c>
      <c r="AR24" s="120" t="e">
        <f t="shared" si="16"/>
        <v>#DIV/0!</v>
      </c>
    </row>
    <row r="25" spans="1:44" x14ac:dyDescent="0.25">
      <c r="A25" s="191"/>
      <c r="B25" s="143">
        <f>Stempels!A16</f>
        <v>0</v>
      </c>
      <c r="C25" s="143" t="str">
        <f t="shared" si="0"/>
        <v>schoor</v>
      </c>
      <c r="D25" s="143">
        <f>Stempels!B16</f>
        <v>0</v>
      </c>
      <c r="E25" s="143">
        <f>Stempels!C16</f>
        <v>0</v>
      </c>
      <c r="F25" s="143">
        <v>355</v>
      </c>
      <c r="G25" s="177">
        <f>Stempels!E16</f>
        <v>0</v>
      </c>
      <c r="H25" s="177">
        <f>Stempels!F16</f>
        <v>0</v>
      </c>
      <c r="I25" s="178">
        <f>Stempels!G16</f>
        <v>0</v>
      </c>
      <c r="J25" s="143">
        <f>Stempels!H16</f>
        <v>0</v>
      </c>
      <c r="K25" s="179">
        <f t="shared" si="1"/>
        <v>0</v>
      </c>
      <c r="L25" s="180">
        <f t="shared" si="2"/>
        <v>0</v>
      </c>
      <c r="M25" s="181">
        <f>Stempels!I16</f>
        <v>0</v>
      </c>
      <c r="N25" s="182">
        <v>75</v>
      </c>
      <c r="O25" s="162" t="e">
        <f>IF(B25="",0,HLOOKUP(B25,'E -Stempels UGT'!$E$8:$AT$149,142,0))</f>
        <v>#DIV/0!</v>
      </c>
      <c r="P25" s="163" t="e">
        <f>IF(B25="",0,HLOOKUP(B25,'E - Stempels BGT'!$E$8:$AT$149,142,0))</f>
        <v>#DIV/0!</v>
      </c>
      <c r="Q25" s="222" t="s">
        <v>95</v>
      </c>
      <c r="R25" s="163" t="e">
        <f>(K25/2*SIN(MAX(H25:I25)*PI()/180))/((VLOOKUP(Q25,'tab gording'!$B$4:$Q$147,16,0)+2*W25)*E25*F25/1000)/$V$6</f>
        <v>#DIV/0!</v>
      </c>
      <c r="S25" s="173">
        <f t="shared" si="3"/>
        <v>0</v>
      </c>
      <c r="T25" s="163">
        <f t="shared" si="4"/>
        <v>0</v>
      </c>
      <c r="U25" s="183">
        <f t="shared" si="5"/>
        <v>0</v>
      </c>
      <c r="V25" s="184">
        <f t="shared" si="6"/>
        <v>0</v>
      </c>
      <c r="W25" s="185">
        <v>30</v>
      </c>
      <c r="X25" s="163">
        <f t="shared" si="7"/>
        <v>0</v>
      </c>
      <c r="Y25" s="185">
        <v>6</v>
      </c>
      <c r="Z25" s="140">
        <v>2</v>
      </c>
      <c r="AA25" s="140" t="s">
        <v>93</v>
      </c>
      <c r="AB25" s="186">
        <v>600</v>
      </c>
      <c r="AC25" s="187" t="e">
        <f t="shared" si="8"/>
        <v>#DIV/0!</v>
      </c>
      <c r="AD25" s="188">
        <f t="shared" si="9"/>
        <v>0</v>
      </c>
      <c r="AE25" s="163">
        <f t="shared" si="10"/>
        <v>0</v>
      </c>
      <c r="AF25" s="189">
        <v>9</v>
      </c>
      <c r="AG25" s="140">
        <v>2</v>
      </c>
      <c r="AH25" s="140" t="s">
        <v>93</v>
      </c>
      <c r="AI25" s="187">
        <v>500</v>
      </c>
      <c r="AJ25" s="178">
        <f t="shared" si="11"/>
        <v>0</v>
      </c>
      <c r="AK25" s="163">
        <f t="shared" si="12"/>
        <v>0</v>
      </c>
      <c r="AL25" s="173" t="e">
        <f t="shared" si="13"/>
        <v>#DIV/0!</v>
      </c>
      <c r="AM25" s="140"/>
      <c r="AN25" s="140" t="e">
        <f t="shared" si="14"/>
        <v>#DIV/0!</v>
      </c>
      <c r="AO25" s="174">
        <f t="shared" si="15"/>
        <v>0</v>
      </c>
      <c r="AP25" s="175"/>
      <c r="AQ25" s="120" t="s">
        <v>94</v>
      </c>
      <c r="AR25" s="120" t="e">
        <f t="shared" si="16"/>
        <v>#DIV/0!</v>
      </c>
    </row>
    <row r="26" spans="1:44" x14ac:dyDescent="0.25">
      <c r="A26" s="191"/>
      <c r="B26" s="143">
        <f>Stempels!A17</f>
        <v>0</v>
      </c>
      <c r="C26" s="143" t="str">
        <f t="shared" si="0"/>
        <v>schoor</v>
      </c>
      <c r="D26" s="143">
        <f>Stempels!B17</f>
        <v>0</v>
      </c>
      <c r="E26" s="143">
        <f>Stempels!C17</f>
        <v>0</v>
      </c>
      <c r="F26" s="143">
        <v>355</v>
      </c>
      <c r="G26" s="177">
        <f>Stempels!E17</f>
        <v>0</v>
      </c>
      <c r="H26" s="177">
        <f>Stempels!F17</f>
        <v>0</v>
      </c>
      <c r="I26" s="178">
        <f>Stempels!G17</f>
        <v>0</v>
      </c>
      <c r="J26" s="143">
        <f>Stempels!H17</f>
        <v>0</v>
      </c>
      <c r="K26" s="179">
        <f t="shared" si="1"/>
        <v>0</v>
      </c>
      <c r="L26" s="180">
        <f t="shared" si="2"/>
        <v>0</v>
      </c>
      <c r="M26" s="181">
        <f>Stempels!I17</f>
        <v>0</v>
      </c>
      <c r="N26" s="182">
        <v>78</v>
      </c>
      <c r="O26" s="162" t="e">
        <f>IF(B26="",0,HLOOKUP(B26,'E -Stempels UGT'!$E$8:$AT$149,142,0))</f>
        <v>#DIV/0!</v>
      </c>
      <c r="P26" s="163" t="e">
        <f>IF(B26="",0,HLOOKUP(B26,'E - Stempels BGT'!$E$8:$AT$149,142,0))</f>
        <v>#DIV/0!</v>
      </c>
      <c r="Q26" s="222" t="s">
        <v>95</v>
      </c>
      <c r="R26" s="163" t="e">
        <f>(K26/2*SIN(MAX(H26:I26)*PI()/180))/((VLOOKUP(Q26,'tab gording'!$B$4:$Q$147,16,0)+2*W26)*E26*F26/1000)/$V$6</f>
        <v>#DIV/0!</v>
      </c>
      <c r="S26" s="173">
        <f t="shared" si="3"/>
        <v>0</v>
      </c>
      <c r="T26" s="163">
        <f t="shared" si="4"/>
        <v>0</v>
      </c>
      <c r="U26" s="183">
        <f t="shared" si="5"/>
        <v>0</v>
      </c>
      <c r="V26" s="184">
        <f t="shared" si="6"/>
        <v>0</v>
      </c>
      <c r="W26" s="185">
        <v>30</v>
      </c>
      <c r="X26" s="163">
        <f t="shared" si="7"/>
        <v>0</v>
      </c>
      <c r="Y26" s="185">
        <v>6</v>
      </c>
      <c r="Z26" s="140">
        <v>2</v>
      </c>
      <c r="AA26" s="140" t="s">
        <v>93</v>
      </c>
      <c r="AB26" s="186">
        <v>600</v>
      </c>
      <c r="AC26" s="187" t="e">
        <f t="shared" si="8"/>
        <v>#DIV/0!</v>
      </c>
      <c r="AD26" s="188">
        <f t="shared" si="9"/>
        <v>0</v>
      </c>
      <c r="AE26" s="163">
        <f t="shared" si="10"/>
        <v>0</v>
      </c>
      <c r="AF26" s="189">
        <v>9</v>
      </c>
      <c r="AG26" s="140">
        <v>2</v>
      </c>
      <c r="AH26" s="140" t="s">
        <v>93</v>
      </c>
      <c r="AI26" s="187">
        <v>500</v>
      </c>
      <c r="AJ26" s="178">
        <f t="shared" si="11"/>
        <v>0</v>
      </c>
      <c r="AK26" s="163">
        <f t="shared" si="12"/>
        <v>0</v>
      </c>
      <c r="AL26" s="173" t="e">
        <f t="shared" si="13"/>
        <v>#DIV/0!</v>
      </c>
      <c r="AM26" s="140"/>
      <c r="AN26" s="140" t="e">
        <f t="shared" si="14"/>
        <v>#DIV/0!</v>
      </c>
      <c r="AO26" s="174">
        <f t="shared" si="15"/>
        <v>0</v>
      </c>
      <c r="AP26" s="175"/>
      <c r="AQ26" s="120" t="s">
        <v>94</v>
      </c>
      <c r="AR26" s="120" t="e">
        <f t="shared" si="16"/>
        <v>#DIV/0!</v>
      </c>
    </row>
    <row r="27" spans="1:44" x14ac:dyDescent="0.25">
      <c r="A27" s="191"/>
      <c r="B27" s="143">
        <f>Stempels!A18</f>
        <v>0</v>
      </c>
      <c r="C27" s="143" t="str">
        <f t="shared" si="0"/>
        <v>schoor</v>
      </c>
      <c r="D27" s="142">
        <f>Stempels!B18</f>
        <v>0</v>
      </c>
      <c r="E27" s="142">
        <f>Stempels!C18</f>
        <v>0</v>
      </c>
      <c r="F27" s="143">
        <v>355</v>
      </c>
      <c r="G27" s="177">
        <f>Stempels!E18</f>
        <v>0</v>
      </c>
      <c r="H27" s="177">
        <f>Stempels!F18</f>
        <v>0</v>
      </c>
      <c r="I27" s="178">
        <f>Stempels!G18</f>
        <v>0</v>
      </c>
      <c r="J27" s="143">
        <f>Stempels!H18</f>
        <v>0</v>
      </c>
      <c r="K27" s="179">
        <f t="shared" si="1"/>
        <v>0</v>
      </c>
      <c r="L27" s="180">
        <f t="shared" si="2"/>
        <v>0</v>
      </c>
      <c r="M27" s="181">
        <f>Stempels!I18</f>
        <v>0</v>
      </c>
      <c r="N27" s="182">
        <v>80</v>
      </c>
      <c r="O27" s="162" t="e">
        <f>IF(B27="",0,HLOOKUP(B27,'E -Stempels UGT'!$E$8:$AT$149,142,0))</f>
        <v>#DIV/0!</v>
      </c>
      <c r="P27" s="163" t="e">
        <f>IF(B27="",0,HLOOKUP(B27,'E - Stempels BGT'!$E$8:$AT$149,142,0))</f>
        <v>#DIV/0!</v>
      </c>
      <c r="Q27" s="222" t="s">
        <v>95</v>
      </c>
      <c r="R27" s="163" t="e">
        <f>(K27/2*SIN(MAX(H27:I27)*PI()/180))/((VLOOKUP(Q27,'tab gording'!$B$4:$Q$147,16,0)+2*W27)*E27*F27/1000)/$V$6</f>
        <v>#DIV/0!</v>
      </c>
      <c r="S27" s="173">
        <f t="shared" si="3"/>
        <v>0</v>
      </c>
      <c r="T27" s="163">
        <f t="shared" si="4"/>
        <v>0</v>
      </c>
      <c r="U27" s="183">
        <f t="shared" si="5"/>
        <v>0</v>
      </c>
      <c r="V27" s="184">
        <f t="shared" si="6"/>
        <v>0</v>
      </c>
      <c r="W27" s="185">
        <v>25</v>
      </c>
      <c r="X27" s="163">
        <f t="shared" si="7"/>
        <v>0</v>
      </c>
      <c r="Y27" s="185">
        <v>6</v>
      </c>
      <c r="Z27" s="140">
        <v>2</v>
      </c>
      <c r="AA27" s="140" t="s">
        <v>93</v>
      </c>
      <c r="AB27" s="192">
        <v>600</v>
      </c>
      <c r="AC27" s="187" t="e">
        <f t="shared" si="8"/>
        <v>#DIV/0!</v>
      </c>
      <c r="AD27" s="188">
        <f t="shared" si="9"/>
        <v>0</v>
      </c>
      <c r="AE27" s="163">
        <f t="shared" si="10"/>
        <v>0</v>
      </c>
      <c r="AF27" s="189">
        <v>6</v>
      </c>
      <c r="AG27" s="140">
        <v>2</v>
      </c>
      <c r="AH27" s="140" t="s">
        <v>93</v>
      </c>
      <c r="AI27" s="187">
        <v>500</v>
      </c>
      <c r="AJ27" s="178">
        <f t="shared" si="11"/>
        <v>0</v>
      </c>
      <c r="AK27" s="163">
        <f t="shared" si="12"/>
        <v>0</v>
      </c>
      <c r="AL27" s="173" t="e">
        <f t="shared" si="13"/>
        <v>#DIV/0!</v>
      </c>
      <c r="AM27" s="140"/>
      <c r="AN27" s="140" t="e">
        <f t="shared" si="14"/>
        <v>#DIV/0!</v>
      </c>
      <c r="AO27" s="174">
        <f t="shared" si="15"/>
        <v>0</v>
      </c>
      <c r="AP27" s="175"/>
      <c r="AQ27" s="120" t="s">
        <v>94</v>
      </c>
      <c r="AR27" s="120" t="e">
        <f t="shared" si="16"/>
        <v>#DIV/0!</v>
      </c>
    </row>
    <row r="28" spans="1:44" x14ac:dyDescent="0.25">
      <c r="A28" s="191"/>
      <c r="B28" s="143">
        <f>Stempels!A19</f>
        <v>0</v>
      </c>
      <c r="C28" s="143" t="str">
        <f t="shared" si="0"/>
        <v>schoor</v>
      </c>
      <c r="D28" s="142">
        <f>Stempels!B19</f>
        <v>0</v>
      </c>
      <c r="E28" s="142">
        <f>Stempels!C19</f>
        <v>0</v>
      </c>
      <c r="F28" s="143">
        <v>355</v>
      </c>
      <c r="G28" s="177">
        <f>Stempels!E19</f>
        <v>0</v>
      </c>
      <c r="H28" s="177">
        <f>Stempels!F19</f>
        <v>0</v>
      </c>
      <c r="I28" s="178">
        <f>Stempels!G19</f>
        <v>0</v>
      </c>
      <c r="J28" s="143">
        <f>Stempels!H19</f>
        <v>0</v>
      </c>
      <c r="K28" s="179">
        <f t="shared" si="1"/>
        <v>0</v>
      </c>
      <c r="L28" s="180">
        <f t="shared" si="2"/>
        <v>0</v>
      </c>
      <c r="M28" s="181">
        <f>Stempels!I19</f>
        <v>0</v>
      </c>
      <c r="N28" s="182">
        <v>81</v>
      </c>
      <c r="O28" s="162" t="e">
        <f>IF(B28="",0,HLOOKUP(B28,'E -Stempels UGT'!$E$8:$AT$149,142,0))</f>
        <v>#DIV/0!</v>
      </c>
      <c r="P28" s="163" t="e">
        <f>IF(B28="",0,HLOOKUP(B28,'E - Stempels BGT'!$E$8:$AT$149,142,0))</f>
        <v>#DIV/0!</v>
      </c>
      <c r="Q28" s="222" t="s">
        <v>95</v>
      </c>
      <c r="R28" s="163" t="e">
        <f>(K28/2*SIN(MAX(H28:I28)*PI()/180))/((VLOOKUP(Q28,'tab gording'!$B$4:$Q$147,16,0)+2*W28)*E28*F28/1000)/$V$6</f>
        <v>#DIV/0!</v>
      </c>
      <c r="S28" s="173">
        <f t="shared" si="3"/>
        <v>0</v>
      </c>
      <c r="T28" s="163">
        <f t="shared" si="4"/>
        <v>0</v>
      </c>
      <c r="U28" s="183">
        <f t="shared" si="5"/>
        <v>0</v>
      </c>
      <c r="V28" s="184">
        <f t="shared" si="6"/>
        <v>0</v>
      </c>
      <c r="W28" s="185">
        <v>25</v>
      </c>
      <c r="X28" s="163">
        <f t="shared" si="7"/>
        <v>0</v>
      </c>
      <c r="Y28" s="185">
        <v>6</v>
      </c>
      <c r="Z28" s="140">
        <v>2</v>
      </c>
      <c r="AA28" s="140" t="s">
        <v>93</v>
      </c>
      <c r="AB28" s="192">
        <v>450</v>
      </c>
      <c r="AC28" s="187" t="e">
        <f t="shared" si="8"/>
        <v>#DIV/0!</v>
      </c>
      <c r="AD28" s="188">
        <f t="shared" si="9"/>
        <v>0</v>
      </c>
      <c r="AE28" s="163">
        <f t="shared" si="10"/>
        <v>0</v>
      </c>
      <c r="AF28" s="189">
        <v>6</v>
      </c>
      <c r="AG28" s="140">
        <v>2</v>
      </c>
      <c r="AH28" s="140" t="s">
        <v>93</v>
      </c>
      <c r="AI28" s="187">
        <v>500</v>
      </c>
      <c r="AJ28" s="178">
        <f t="shared" si="11"/>
        <v>0</v>
      </c>
      <c r="AK28" s="163">
        <f t="shared" si="12"/>
        <v>0</v>
      </c>
      <c r="AL28" s="173" t="e">
        <f t="shared" si="13"/>
        <v>#DIV/0!</v>
      </c>
      <c r="AM28" s="140"/>
      <c r="AN28" s="140" t="e">
        <f t="shared" si="14"/>
        <v>#DIV/0!</v>
      </c>
      <c r="AO28" s="174">
        <f t="shared" si="15"/>
        <v>0</v>
      </c>
      <c r="AP28" s="175"/>
      <c r="AQ28" s="120" t="s">
        <v>94</v>
      </c>
      <c r="AR28" s="120" t="e">
        <f t="shared" si="16"/>
        <v>#DIV/0!</v>
      </c>
    </row>
    <row r="29" spans="1:44" x14ac:dyDescent="0.25">
      <c r="A29" s="191"/>
      <c r="B29" s="143">
        <f>Stempels!A20</f>
        <v>0</v>
      </c>
      <c r="C29" s="143" t="str">
        <f t="shared" si="0"/>
        <v>schoor</v>
      </c>
      <c r="D29" s="142">
        <f>Stempels!B20</f>
        <v>0</v>
      </c>
      <c r="E29" s="142">
        <f>Stempels!C20</f>
        <v>0</v>
      </c>
      <c r="F29" s="143">
        <v>355</v>
      </c>
      <c r="G29" s="177">
        <f>Stempels!E20</f>
        <v>0</v>
      </c>
      <c r="H29" s="177">
        <f>Stempels!F20</f>
        <v>0</v>
      </c>
      <c r="I29" s="178">
        <f>Stempels!G20</f>
        <v>0</v>
      </c>
      <c r="J29" s="143">
        <f>Stempels!H20</f>
        <v>0</v>
      </c>
      <c r="K29" s="179">
        <f t="shared" si="1"/>
        <v>0</v>
      </c>
      <c r="L29" s="180">
        <f t="shared" si="2"/>
        <v>0</v>
      </c>
      <c r="M29" s="181">
        <f>Stempels!I20</f>
        <v>0</v>
      </c>
      <c r="N29" s="182">
        <v>82</v>
      </c>
      <c r="O29" s="162" t="e">
        <f>IF(B29="",0,HLOOKUP(B29,'E -Stempels UGT'!$E$8:$AT$149,142,0))</f>
        <v>#DIV/0!</v>
      </c>
      <c r="P29" s="163" t="e">
        <f>IF(B29="",0,HLOOKUP(B29,'E - Stempels BGT'!$E$8:$AT$149,142,0))</f>
        <v>#DIV/0!</v>
      </c>
      <c r="Q29" s="222" t="s">
        <v>95</v>
      </c>
      <c r="R29" s="163" t="e">
        <f>(K29/2*SIN(MAX(H29:I29)*PI()/180))/((VLOOKUP(Q29,'tab gording'!$B$4:$Q$147,16,0)+2*W29)*E29*F29/1000)/$V$6</f>
        <v>#DIV/0!</v>
      </c>
      <c r="S29" s="173">
        <f t="shared" si="3"/>
        <v>0</v>
      </c>
      <c r="T29" s="163">
        <f t="shared" si="4"/>
        <v>0</v>
      </c>
      <c r="U29" s="183">
        <f t="shared" si="5"/>
        <v>0</v>
      </c>
      <c r="V29" s="184">
        <f t="shared" si="6"/>
        <v>0</v>
      </c>
      <c r="W29" s="185">
        <v>25</v>
      </c>
      <c r="X29" s="163">
        <f t="shared" si="7"/>
        <v>0</v>
      </c>
      <c r="Y29" s="185">
        <v>6</v>
      </c>
      <c r="Z29" s="140">
        <v>2</v>
      </c>
      <c r="AA29" s="140" t="s">
        <v>93</v>
      </c>
      <c r="AB29" s="192">
        <v>450</v>
      </c>
      <c r="AC29" s="187" t="e">
        <f t="shared" si="8"/>
        <v>#DIV/0!</v>
      </c>
      <c r="AD29" s="188">
        <f t="shared" si="9"/>
        <v>0</v>
      </c>
      <c r="AE29" s="163">
        <f t="shared" si="10"/>
        <v>0</v>
      </c>
      <c r="AF29" s="189">
        <v>6</v>
      </c>
      <c r="AG29" s="140">
        <v>2</v>
      </c>
      <c r="AH29" s="140" t="s">
        <v>93</v>
      </c>
      <c r="AI29" s="187">
        <v>500</v>
      </c>
      <c r="AJ29" s="178">
        <f t="shared" si="11"/>
        <v>0</v>
      </c>
      <c r="AK29" s="163">
        <f t="shared" si="12"/>
        <v>0</v>
      </c>
      <c r="AL29" s="173" t="e">
        <f t="shared" si="13"/>
        <v>#DIV/0!</v>
      </c>
      <c r="AM29" s="140"/>
      <c r="AN29" s="140" t="e">
        <f t="shared" si="14"/>
        <v>#DIV/0!</v>
      </c>
      <c r="AO29" s="174">
        <f t="shared" si="15"/>
        <v>0</v>
      </c>
      <c r="AP29" s="175"/>
      <c r="AQ29" s="120" t="s">
        <v>94</v>
      </c>
      <c r="AR29" s="120" t="e">
        <f t="shared" si="16"/>
        <v>#DIV/0!</v>
      </c>
    </row>
    <row r="30" spans="1:44" x14ac:dyDescent="0.25">
      <c r="A30" s="191"/>
      <c r="B30" s="143">
        <f>Stempels!A21</f>
        <v>0</v>
      </c>
      <c r="C30" s="143" t="str">
        <f t="shared" si="0"/>
        <v>schoor</v>
      </c>
      <c r="D30" s="142">
        <f>Stempels!B21</f>
        <v>0</v>
      </c>
      <c r="E30" s="142">
        <f>Stempels!C21</f>
        <v>0</v>
      </c>
      <c r="F30" s="143">
        <v>355</v>
      </c>
      <c r="G30" s="177">
        <f>Stempels!E21</f>
        <v>0</v>
      </c>
      <c r="H30" s="177">
        <f>Stempels!F21</f>
        <v>0</v>
      </c>
      <c r="I30" s="178">
        <f>Stempels!G21</f>
        <v>0</v>
      </c>
      <c r="J30" s="143">
        <f>Stempels!H21</f>
        <v>0</v>
      </c>
      <c r="K30" s="179">
        <f t="shared" si="1"/>
        <v>0</v>
      </c>
      <c r="L30" s="180">
        <f t="shared" si="2"/>
        <v>0</v>
      </c>
      <c r="M30" s="181">
        <f>Stempels!I21</f>
        <v>0</v>
      </c>
      <c r="N30" s="182">
        <v>84</v>
      </c>
      <c r="O30" s="162" t="e">
        <f>IF(B30="",0,HLOOKUP(B30,'E -Stempels UGT'!$E$8:$AT$149,142,0))</f>
        <v>#DIV/0!</v>
      </c>
      <c r="P30" s="163" t="e">
        <f>IF(B30="",0,HLOOKUP(B30,'E - Stempels BGT'!$E$8:$AT$149,142,0))</f>
        <v>#DIV/0!</v>
      </c>
      <c r="Q30" s="222" t="s">
        <v>95</v>
      </c>
      <c r="R30" s="163" t="e">
        <f>(K30/2*SIN(MAX(H30:I30)*PI()/180))/((VLOOKUP(Q30,'tab gording'!$B$4:$Q$147,16,0)+2*W30)*E30*F30/1000)/$V$6</f>
        <v>#DIV/0!</v>
      </c>
      <c r="S30" s="173">
        <f t="shared" si="3"/>
        <v>0</v>
      </c>
      <c r="T30" s="163">
        <f t="shared" si="4"/>
        <v>0</v>
      </c>
      <c r="U30" s="183">
        <f t="shared" si="5"/>
        <v>0</v>
      </c>
      <c r="V30" s="184">
        <f t="shared" si="6"/>
        <v>0</v>
      </c>
      <c r="W30" s="185">
        <v>25</v>
      </c>
      <c r="X30" s="163">
        <f t="shared" si="7"/>
        <v>0</v>
      </c>
      <c r="Y30" s="185">
        <v>6</v>
      </c>
      <c r="Z30" s="140">
        <v>2</v>
      </c>
      <c r="AA30" s="140" t="s">
        <v>93</v>
      </c>
      <c r="AB30" s="192">
        <v>450</v>
      </c>
      <c r="AC30" s="187" t="e">
        <f t="shared" si="8"/>
        <v>#DIV/0!</v>
      </c>
      <c r="AD30" s="188">
        <f t="shared" si="9"/>
        <v>0</v>
      </c>
      <c r="AE30" s="163">
        <f t="shared" si="10"/>
        <v>0</v>
      </c>
      <c r="AF30" s="189">
        <v>6</v>
      </c>
      <c r="AG30" s="140">
        <v>2</v>
      </c>
      <c r="AH30" s="140" t="s">
        <v>93</v>
      </c>
      <c r="AI30" s="187">
        <v>500</v>
      </c>
      <c r="AJ30" s="178">
        <f t="shared" si="11"/>
        <v>0</v>
      </c>
      <c r="AK30" s="163">
        <f t="shared" si="12"/>
        <v>0</v>
      </c>
      <c r="AL30" s="173" t="e">
        <f t="shared" si="13"/>
        <v>#DIV/0!</v>
      </c>
      <c r="AM30" s="140"/>
      <c r="AN30" s="140" t="e">
        <f t="shared" si="14"/>
        <v>#DIV/0!</v>
      </c>
      <c r="AO30" s="174">
        <f t="shared" si="15"/>
        <v>0</v>
      </c>
      <c r="AP30" s="175"/>
      <c r="AQ30" s="120" t="s">
        <v>94</v>
      </c>
      <c r="AR30" s="120" t="e">
        <f t="shared" si="16"/>
        <v>#DIV/0!</v>
      </c>
    </row>
    <row r="31" spans="1:44" x14ac:dyDescent="0.25">
      <c r="A31" s="191"/>
      <c r="B31" s="143">
        <f>Stempels!A22</f>
        <v>0</v>
      </c>
      <c r="C31" s="143" t="str">
        <f t="shared" si="0"/>
        <v>schoor</v>
      </c>
      <c r="D31" s="142">
        <f>Stempels!B22</f>
        <v>0</v>
      </c>
      <c r="E31" s="142">
        <f>Stempels!C22</f>
        <v>0</v>
      </c>
      <c r="F31" s="143">
        <v>355</v>
      </c>
      <c r="G31" s="177">
        <f>Stempels!E22</f>
        <v>0</v>
      </c>
      <c r="H31" s="177">
        <f>Stempels!F22</f>
        <v>0</v>
      </c>
      <c r="I31" s="178">
        <f>Stempels!G22</f>
        <v>0</v>
      </c>
      <c r="J31" s="143">
        <f>Stempels!H22</f>
        <v>0</v>
      </c>
      <c r="K31" s="179">
        <f t="shared" si="1"/>
        <v>0</v>
      </c>
      <c r="L31" s="180">
        <f t="shared" si="2"/>
        <v>0</v>
      </c>
      <c r="M31" s="181">
        <f>Stempels!I22</f>
        <v>0</v>
      </c>
      <c r="N31" s="182">
        <v>86</v>
      </c>
      <c r="O31" s="162" t="e">
        <f>IF(B31="",0,HLOOKUP(B31,'E -Stempels UGT'!$E$8:$AT$149,142,0))</f>
        <v>#DIV/0!</v>
      </c>
      <c r="P31" s="163" t="e">
        <f>IF(B31="",0,HLOOKUP(B31,'E - Stempels BGT'!$E$8:$AT$149,142,0))</f>
        <v>#DIV/0!</v>
      </c>
      <c r="Q31" s="222" t="s">
        <v>95</v>
      </c>
      <c r="R31" s="163" t="e">
        <f>(K31/2*SIN(MAX(H31:I31)*PI()/180))/((VLOOKUP(Q31,'tab gording'!$B$4:$Q$147,16,0)+2*W31)*E31*F31/1000)/$V$6</f>
        <v>#DIV/0!</v>
      </c>
      <c r="S31" s="173">
        <f t="shared" si="3"/>
        <v>0</v>
      </c>
      <c r="T31" s="163">
        <f t="shared" si="4"/>
        <v>0</v>
      </c>
      <c r="U31" s="183">
        <f t="shared" si="5"/>
        <v>0</v>
      </c>
      <c r="V31" s="184">
        <f t="shared" si="6"/>
        <v>0</v>
      </c>
      <c r="W31" s="185">
        <v>25</v>
      </c>
      <c r="X31" s="163">
        <f t="shared" si="7"/>
        <v>0</v>
      </c>
      <c r="Y31" s="185">
        <v>6</v>
      </c>
      <c r="Z31" s="140">
        <v>2</v>
      </c>
      <c r="AA31" s="140" t="s">
        <v>93</v>
      </c>
      <c r="AB31" s="192">
        <v>450</v>
      </c>
      <c r="AC31" s="187" t="e">
        <f t="shared" si="8"/>
        <v>#DIV/0!</v>
      </c>
      <c r="AD31" s="188">
        <f t="shared" si="9"/>
        <v>0</v>
      </c>
      <c r="AE31" s="163">
        <f t="shared" si="10"/>
        <v>0</v>
      </c>
      <c r="AF31" s="189">
        <v>6</v>
      </c>
      <c r="AG31" s="140">
        <v>2</v>
      </c>
      <c r="AH31" s="140" t="s">
        <v>93</v>
      </c>
      <c r="AI31" s="187">
        <v>500</v>
      </c>
      <c r="AJ31" s="178">
        <f t="shared" si="11"/>
        <v>0</v>
      </c>
      <c r="AK31" s="163">
        <f t="shared" si="12"/>
        <v>0</v>
      </c>
      <c r="AL31" s="173" t="e">
        <f t="shared" si="13"/>
        <v>#DIV/0!</v>
      </c>
      <c r="AM31" s="140"/>
      <c r="AN31" s="140" t="e">
        <f t="shared" si="14"/>
        <v>#DIV/0!</v>
      </c>
      <c r="AO31" s="174">
        <f t="shared" si="15"/>
        <v>0</v>
      </c>
      <c r="AP31" s="175"/>
      <c r="AQ31" s="120" t="s">
        <v>94</v>
      </c>
      <c r="AR31" s="120" t="e">
        <f t="shared" si="16"/>
        <v>#DIV/0!</v>
      </c>
    </row>
    <row r="32" spans="1:44" x14ac:dyDescent="0.25">
      <c r="A32" s="191"/>
      <c r="B32" s="143">
        <f>Stempels!A23</f>
        <v>0</v>
      </c>
      <c r="C32" s="143" t="str">
        <f t="shared" si="0"/>
        <v>schoor</v>
      </c>
      <c r="D32" s="142">
        <f>Stempels!B23</f>
        <v>0</v>
      </c>
      <c r="E32" s="142">
        <f>Stempels!C23</f>
        <v>0</v>
      </c>
      <c r="F32" s="143">
        <v>355</v>
      </c>
      <c r="G32" s="177">
        <f>Stempels!E23</f>
        <v>0</v>
      </c>
      <c r="H32" s="177">
        <f>Stempels!F23</f>
        <v>0</v>
      </c>
      <c r="I32" s="178">
        <f>Stempels!G23</f>
        <v>0</v>
      </c>
      <c r="J32" s="143">
        <f>Stempels!H23</f>
        <v>0</v>
      </c>
      <c r="K32" s="179">
        <f t="shared" si="1"/>
        <v>0</v>
      </c>
      <c r="L32" s="180">
        <f t="shared" si="2"/>
        <v>0</v>
      </c>
      <c r="M32" s="181">
        <f>Stempels!I23</f>
        <v>0</v>
      </c>
      <c r="N32" s="182">
        <v>88</v>
      </c>
      <c r="O32" s="162" t="e">
        <f>IF(B32="",0,HLOOKUP(B32,'E -Stempels UGT'!$E$8:$AT$149,142,0))</f>
        <v>#DIV/0!</v>
      </c>
      <c r="P32" s="163" t="e">
        <f>IF(B32="",0,HLOOKUP(B32,'E - Stempels BGT'!$E$8:$AT$149,142,0))</f>
        <v>#DIV/0!</v>
      </c>
      <c r="Q32" s="222" t="s">
        <v>95</v>
      </c>
      <c r="R32" s="163" t="e">
        <f>(K32/2*SIN(MAX(H32:I32)*PI()/180))/((VLOOKUP(Q32,'tab gording'!$B$4:$Q$147,16,0)+2*W32)*E32*F32/1000)/$V$6</f>
        <v>#DIV/0!</v>
      </c>
      <c r="S32" s="173">
        <f t="shared" si="3"/>
        <v>0</v>
      </c>
      <c r="T32" s="163">
        <f t="shared" si="4"/>
        <v>0</v>
      </c>
      <c r="U32" s="183">
        <f t="shared" si="5"/>
        <v>0</v>
      </c>
      <c r="V32" s="184">
        <f t="shared" si="6"/>
        <v>0</v>
      </c>
      <c r="W32" s="185">
        <v>25</v>
      </c>
      <c r="X32" s="163">
        <f t="shared" si="7"/>
        <v>0</v>
      </c>
      <c r="Y32" s="185">
        <v>6</v>
      </c>
      <c r="Z32" s="140">
        <v>2</v>
      </c>
      <c r="AA32" s="140" t="s">
        <v>93</v>
      </c>
      <c r="AB32" s="192">
        <v>450</v>
      </c>
      <c r="AC32" s="187" t="e">
        <f t="shared" si="8"/>
        <v>#DIV/0!</v>
      </c>
      <c r="AD32" s="188">
        <f t="shared" si="9"/>
        <v>0</v>
      </c>
      <c r="AE32" s="163">
        <f t="shared" si="10"/>
        <v>0</v>
      </c>
      <c r="AF32" s="189">
        <v>6</v>
      </c>
      <c r="AG32" s="140">
        <v>2</v>
      </c>
      <c r="AH32" s="140" t="s">
        <v>93</v>
      </c>
      <c r="AI32" s="187">
        <v>500</v>
      </c>
      <c r="AJ32" s="178">
        <f t="shared" si="11"/>
        <v>0</v>
      </c>
      <c r="AK32" s="163">
        <f t="shared" si="12"/>
        <v>0</v>
      </c>
      <c r="AL32" s="173" t="e">
        <f t="shared" si="13"/>
        <v>#DIV/0!</v>
      </c>
      <c r="AM32" s="140"/>
      <c r="AN32" s="140" t="e">
        <f t="shared" si="14"/>
        <v>#DIV/0!</v>
      </c>
      <c r="AO32" s="174">
        <f t="shared" si="15"/>
        <v>0</v>
      </c>
      <c r="AP32" s="175"/>
      <c r="AQ32" s="120" t="s">
        <v>94</v>
      </c>
      <c r="AR32" s="120" t="e">
        <f t="shared" si="16"/>
        <v>#DIV/0!</v>
      </c>
    </row>
    <row r="33" spans="1:44" x14ac:dyDescent="0.25">
      <c r="A33" s="191"/>
      <c r="B33" s="143">
        <f>Stempels!A24</f>
        <v>0</v>
      </c>
      <c r="C33" s="143" t="str">
        <f t="shared" si="0"/>
        <v>schoor</v>
      </c>
      <c r="D33" s="142">
        <f>Stempels!B24</f>
        <v>0</v>
      </c>
      <c r="E33" s="142">
        <f>Stempels!C24</f>
        <v>0</v>
      </c>
      <c r="F33" s="143">
        <v>355</v>
      </c>
      <c r="G33" s="177">
        <f>Stempels!E24</f>
        <v>0</v>
      </c>
      <c r="H33" s="177">
        <f>Stempels!F24</f>
        <v>0</v>
      </c>
      <c r="I33" s="178">
        <f>Stempels!G24</f>
        <v>0</v>
      </c>
      <c r="J33" s="143">
        <f>Stempels!H24</f>
        <v>0</v>
      </c>
      <c r="K33" s="179">
        <f t="shared" si="1"/>
        <v>0</v>
      </c>
      <c r="L33" s="180">
        <f t="shared" si="2"/>
        <v>0</v>
      </c>
      <c r="M33" s="181">
        <f>Stempels!I24</f>
        <v>0</v>
      </c>
      <c r="N33" s="182">
        <v>90</v>
      </c>
      <c r="O33" s="162" t="e">
        <f>IF(B33="",0,HLOOKUP(B33,'E -Stempels UGT'!$E$8:$AT$149,142,0))</f>
        <v>#DIV/0!</v>
      </c>
      <c r="P33" s="163" t="e">
        <f>IF(B33="",0,HLOOKUP(B33,'E - Stempels BGT'!$E$8:$AT$149,142,0))</f>
        <v>#DIV/0!</v>
      </c>
      <c r="Q33" s="222" t="s">
        <v>95</v>
      </c>
      <c r="R33" s="163" t="e">
        <f>(K33/2*SIN(MAX(H33:I33)*PI()/180))/((VLOOKUP(Q33,'tab gording'!$B$4:$Q$147,16,0)+2*W33)*E33*F33/1000)/$V$6</f>
        <v>#DIV/0!</v>
      </c>
      <c r="S33" s="173">
        <f t="shared" si="3"/>
        <v>0</v>
      </c>
      <c r="T33" s="163">
        <f t="shared" si="4"/>
        <v>0</v>
      </c>
      <c r="U33" s="183">
        <f t="shared" si="5"/>
        <v>0</v>
      </c>
      <c r="V33" s="184">
        <f t="shared" si="6"/>
        <v>0</v>
      </c>
      <c r="W33" s="185">
        <v>25</v>
      </c>
      <c r="X33" s="163">
        <f t="shared" si="7"/>
        <v>0</v>
      </c>
      <c r="Y33" s="185">
        <v>6</v>
      </c>
      <c r="Z33" s="140">
        <v>2</v>
      </c>
      <c r="AA33" s="140" t="s">
        <v>93</v>
      </c>
      <c r="AB33" s="192">
        <v>450</v>
      </c>
      <c r="AC33" s="187" t="e">
        <f t="shared" si="8"/>
        <v>#DIV/0!</v>
      </c>
      <c r="AD33" s="188">
        <f t="shared" si="9"/>
        <v>0</v>
      </c>
      <c r="AE33" s="163">
        <f t="shared" si="10"/>
        <v>0</v>
      </c>
      <c r="AF33" s="189">
        <v>6</v>
      </c>
      <c r="AG33" s="140">
        <v>2</v>
      </c>
      <c r="AH33" s="140" t="s">
        <v>93</v>
      </c>
      <c r="AI33" s="187">
        <v>500</v>
      </c>
      <c r="AJ33" s="178">
        <f t="shared" si="11"/>
        <v>0</v>
      </c>
      <c r="AK33" s="163">
        <f t="shared" si="12"/>
        <v>0</v>
      </c>
      <c r="AL33" s="173" t="e">
        <f t="shared" si="13"/>
        <v>#DIV/0!</v>
      </c>
      <c r="AM33" s="140"/>
      <c r="AN33" s="140" t="e">
        <f t="shared" si="14"/>
        <v>#DIV/0!</v>
      </c>
      <c r="AO33" s="174">
        <f t="shared" si="15"/>
        <v>0</v>
      </c>
      <c r="AP33" s="175"/>
      <c r="AQ33" s="120" t="s">
        <v>94</v>
      </c>
      <c r="AR33" s="120" t="e">
        <f t="shared" si="16"/>
        <v>#DIV/0!</v>
      </c>
    </row>
    <row r="34" spans="1:44" x14ac:dyDescent="0.25">
      <c r="A34" s="191"/>
      <c r="B34" s="143">
        <f>Stempels!A25</f>
        <v>0</v>
      </c>
      <c r="C34" s="143" t="str">
        <f t="shared" si="0"/>
        <v>schoor</v>
      </c>
      <c r="D34" s="142">
        <f>Stempels!B25</f>
        <v>0</v>
      </c>
      <c r="E34" s="142">
        <f>Stempels!C25</f>
        <v>0</v>
      </c>
      <c r="F34" s="143">
        <v>355</v>
      </c>
      <c r="G34" s="177">
        <f>Stempels!E25</f>
        <v>0</v>
      </c>
      <c r="H34" s="177">
        <f>Stempels!F25</f>
        <v>0</v>
      </c>
      <c r="I34" s="178">
        <f>Stempels!G25</f>
        <v>0</v>
      </c>
      <c r="J34" s="143">
        <f>Stempels!H25</f>
        <v>0</v>
      </c>
      <c r="K34" s="179">
        <f t="shared" si="1"/>
        <v>0</v>
      </c>
      <c r="L34" s="180">
        <f t="shared" si="2"/>
        <v>0</v>
      </c>
      <c r="M34" s="181">
        <f>Stempels!I25</f>
        <v>0</v>
      </c>
      <c r="N34" s="182">
        <v>92</v>
      </c>
      <c r="O34" s="162" t="e">
        <f>IF(B34="",0,HLOOKUP(B34,'E -Stempels UGT'!$E$8:$AT$149,142,0))</f>
        <v>#DIV/0!</v>
      </c>
      <c r="P34" s="163" t="e">
        <f>IF(B34="",0,HLOOKUP(B34,'E - Stempels BGT'!$E$8:$AT$149,142,0))</f>
        <v>#DIV/0!</v>
      </c>
      <c r="Q34" s="222" t="s">
        <v>95</v>
      </c>
      <c r="R34" s="163" t="e">
        <f>(K34/2*SIN(MAX(H34:I34)*PI()/180))/((VLOOKUP(Q34,'tab gording'!$B$4:$Q$147,16,0)+2*W34)*E34*F34/1000)/$V$6</f>
        <v>#DIV/0!</v>
      </c>
      <c r="S34" s="173">
        <f t="shared" si="3"/>
        <v>0</v>
      </c>
      <c r="T34" s="163">
        <f t="shared" si="4"/>
        <v>0</v>
      </c>
      <c r="U34" s="183">
        <f t="shared" si="5"/>
        <v>0</v>
      </c>
      <c r="V34" s="184">
        <f t="shared" si="6"/>
        <v>0</v>
      </c>
      <c r="W34" s="185">
        <v>25</v>
      </c>
      <c r="X34" s="163">
        <f t="shared" si="7"/>
        <v>0</v>
      </c>
      <c r="Y34" s="185">
        <v>6</v>
      </c>
      <c r="Z34" s="140">
        <v>2</v>
      </c>
      <c r="AA34" s="140" t="s">
        <v>93</v>
      </c>
      <c r="AB34" s="192">
        <v>450</v>
      </c>
      <c r="AC34" s="187" t="e">
        <f t="shared" si="8"/>
        <v>#DIV/0!</v>
      </c>
      <c r="AD34" s="188">
        <f t="shared" si="9"/>
        <v>0</v>
      </c>
      <c r="AE34" s="163">
        <f t="shared" si="10"/>
        <v>0</v>
      </c>
      <c r="AF34" s="189">
        <v>6</v>
      </c>
      <c r="AG34" s="140">
        <v>2</v>
      </c>
      <c r="AH34" s="140" t="s">
        <v>93</v>
      </c>
      <c r="AI34" s="187">
        <v>500</v>
      </c>
      <c r="AJ34" s="178">
        <f t="shared" si="11"/>
        <v>0</v>
      </c>
      <c r="AK34" s="163">
        <f t="shared" si="12"/>
        <v>0</v>
      </c>
      <c r="AL34" s="173" t="e">
        <f t="shared" si="13"/>
        <v>#DIV/0!</v>
      </c>
      <c r="AM34" s="140"/>
      <c r="AN34" s="140" t="e">
        <f t="shared" si="14"/>
        <v>#DIV/0!</v>
      </c>
      <c r="AO34" s="174">
        <f t="shared" si="15"/>
        <v>0</v>
      </c>
      <c r="AP34" s="175"/>
      <c r="AQ34" s="120" t="s">
        <v>94</v>
      </c>
      <c r="AR34" s="120" t="e">
        <f t="shared" si="16"/>
        <v>#DIV/0!</v>
      </c>
    </row>
    <row r="35" spans="1:44" x14ac:dyDescent="0.25">
      <c r="A35" s="191"/>
      <c r="B35" s="143">
        <f>Stempels!A26</f>
        <v>0</v>
      </c>
      <c r="C35" s="143" t="str">
        <f t="shared" si="0"/>
        <v>schoor</v>
      </c>
      <c r="D35" s="142">
        <f>Stempels!B26</f>
        <v>0</v>
      </c>
      <c r="E35" s="142">
        <f>Stempels!C26</f>
        <v>0</v>
      </c>
      <c r="F35" s="143">
        <v>355</v>
      </c>
      <c r="G35" s="177">
        <f>Stempels!E26</f>
        <v>0</v>
      </c>
      <c r="H35" s="177">
        <f>Stempels!F26</f>
        <v>0</v>
      </c>
      <c r="I35" s="178">
        <f>Stempels!G26</f>
        <v>0</v>
      </c>
      <c r="J35" s="143">
        <f>Stempels!H26</f>
        <v>0</v>
      </c>
      <c r="K35" s="179">
        <f t="shared" si="1"/>
        <v>0</v>
      </c>
      <c r="L35" s="180">
        <f t="shared" si="2"/>
        <v>0</v>
      </c>
      <c r="M35" s="181">
        <f>Stempels!I26</f>
        <v>0</v>
      </c>
      <c r="N35" s="182">
        <v>94</v>
      </c>
      <c r="O35" s="162" t="e">
        <f>IF(B35="",0,HLOOKUP(B35,'E -Stempels UGT'!$E$8:$AT$149,142,0))</f>
        <v>#DIV/0!</v>
      </c>
      <c r="P35" s="163" t="e">
        <f>IF(B35="",0,HLOOKUP(B35,'E - Stempels BGT'!$E$8:$AT$149,142,0))</f>
        <v>#DIV/0!</v>
      </c>
      <c r="Q35" s="222" t="s">
        <v>95</v>
      </c>
      <c r="R35" s="163" t="e">
        <f>(K35/2*SIN(MAX(H35:I35)*PI()/180))/((VLOOKUP(Q35,'tab gording'!$B$4:$Q$147,16,0)+2*W35)*E35*F35/1000)/$V$6</f>
        <v>#DIV/0!</v>
      </c>
      <c r="S35" s="173">
        <f t="shared" si="3"/>
        <v>0</v>
      </c>
      <c r="T35" s="163">
        <f t="shared" si="4"/>
        <v>0</v>
      </c>
      <c r="U35" s="183">
        <f t="shared" si="5"/>
        <v>0</v>
      </c>
      <c r="V35" s="184">
        <f t="shared" si="6"/>
        <v>0</v>
      </c>
      <c r="W35" s="185">
        <v>25</v>
      </c>
      <c r="X35" s="163">
        <f t="shared" si="7"/>
        <v>0</v>
      </c>
      <c r="Y35" s="185">
        <v>6</v>
      </c>
      <c r="Z35" s="140">
        <v>2</v>
      </c>
      <c r="AA35" s="140" t="s">
        <v>93</v>
      </c>
      <c r="AB35" s="192">
        <v>450</v>
      </c>
      <c r="AC35" s="187" t="e">
        <f t="shared" si="8"/>
        <v>#DIV/0!</v>
      </c>
      <c r="AD35" s="188">
        <f t="shared" si="9"/>
        <v>0</v>
      </c>
      <c r="AE35" s="163">
        <f t="shared" si="10"/>
        <v>0</v>
      </c>
      <c r="AF35" s="189">
        <v>6</v>
      </c>
      <c r="AG35" s="140">
        <v>2</v>
      </c>
      <c r="AH35" s="140" t="s">
        <v>93</v>
      </c>
      <c r="AI35" s="187">
        <v>500</v>
      </c>
      <c r="AJ35" s="178">
        <f t="shared" si="11"/>
        <v>0</v>
      </c>
      <c r="AK35" s="163">
        <f t="shared" si="12"/>
        <v>0</v>
      </c>
      <c r="AL35" s="173" t="e">
        <f t="shared" si="13"/>
        <v>#DIV/0!</v>
      </c>
      <c r="AM35" s="140"/>
      <c r="AN35" s="140" t="e">
        <f t="shared" si="14"/>
        <v>#DIV/0!</v>
      </c>
      <c r="AO35" s="174">
        <f t="shared" si="15"/>
        <v>0</v>
      </c>
      <c r="AP35" s="175"/>
      <c r="AQ35" s="120" t="s">
        <v>94</v>
      </c>
      <c r="AR35" s="120" t="e">
        <f t="shared" si="16"/>
        <v>#DIV/0!</v>
      </c>
    </row>
    <row r="36" spans="1:44" x14ac:dyDescent="0.25">
      <c r="A36" s="191"/>
      <c r="B36" s="143">
        <f>Stempels!A27</f>
        <v>0</v>
      </c>
      <c r="C36" s="143" t="str">
        <f t="shared" si="0"/>
        <v>schoor</v>
      </c>
      <c r="D36" s="143">
        <f>Stempels!B27</f>
        <v>0</v>
      </c>
      <c r="E36" s="143">
        <f>Stempels!C27</f>
        <v>0</v>
      </c>
      <c r="F36" s="143">
        <v>355</v>
      </c>
      <c r="G36" s="177">
        <f>Stempels!E27</f>
        <v>0</v>
      </c>
      <c r="H36" s="177">
        <f>Stempels!F27</f>
        <v>0</v>
      </c>
      <c r="I36" s="178">
        <f>Stempels!G27</f>
        <v>0</v>
      </c>
      <c r="J36" s="143">
        <f>Stempels!H27</f>
        <v>0</v>
      </c>
      <c r="K36" s="179">
        <f t="shared" si="1"/>
        <v>0</v>
      </c>
      <c r="L36" s="180">
        <f t="shared" si="2"/>
        <v>0</v>
      </c>
      <c r="M36" s="181">
        <f>Stempels!I27</f>
        <v>0</v>
      </c>
      <c r="N36" s="182">
        <v>96</v>
      </c>
      <c r="O36" s="162" t="e">
        <f>IF(B36="",0,HLOOKUP(B36,'E -Stempels UGT'!$E$8:$AT$149,142,0))</f>
        <v>#DIV/0!</v>
      </c>
      <c r="P36" s="163" t="e">
        <f>IF(B36="",0,HLOOKUP(B36,'E - Stempels BGT'!$E$8:$AT$149,142,0))</f>
        <v>#DIV/0!</v>
      </c>
      <c r="Q36" s="222" t="s">
        <v>95</v>
      </c>
      <c r="R36" s="163" t="e">
        <f>(K36/2*SIN(MAX(H36:I36)*PI()/180))/((VLOOKUP(Q36,'tab gording'!$B$4:$Q$147,16,0)+2*W36)*E36*F43/1000)/$V$6</f>
        <v>#DIV/0!</v>
      </c>
      <c r="S36" s="173">
        <f t="shared" si="3"/>
        <v>0</v>
      </c>
      <c r="T36" s="163">
        <f t="shared" si="4"/>
        <v>0</v>
      </c>
      <c r="U36" s="183">
        <f t="shared" si="5"/>
        <v>0</v>
      </c>
      <c r="V36" s="184">
        <f t="shared" si="6"/>
        <v>0</v>
      </c>
      <c r="W36" s="185">
        <v>25</v>
      </c>
      <c r="X36" s="163">
        <f t="shared" si="7"/>
        <v>0</v>
      </c>
      <c r="Y36" s="185">
        <v>6</v>
      </c>
      <c r="Z36" s="140">
        <v>2</v>
      </c>
      <c r="AA36" s="140" t="s">
        <v>93</v>
      </c>
      <c r="AB36" s="192">
        <v>450</v>
      </c>
      <c r="AC36" s="187" t="e">
        <f t="shared" si="8"/>
        <v>#DIV/0!</v>
      </c>
      <c r="AD36" s="188">
        <f t="shared" si="9"/>
        <v>0</v>
      </c>
      <c r="AE36" s="163">
        <f t="shared" si="10"/>
        <v>0</v>
      </c>
      <c r="AF36" s="189">
        <v>6</v>
      </c>
      <c r="AG36" s="140">
        <v>2</v>
      </c>
      <c r="AH36" s="140" t="s">
        <v>93</v>
      </c>
      <c r="AI36" s="187">
        <v>500</v>
      </c>
      <c r="AJ36" s="178">
        <f t="shared" si="11"/>
        <v>0</v>
      </c>
      <c r="AK36" s="163">
        <f t="shared" si="12"/>
        <v>0</v>
      </c>
      <c r="AL36" s="173" t="e">
        <f>((U36/2)*SIN(MAX(H36:I36)*PI()/180))/((14.5+27*2+28*2+W36*2)*E36*F43/1000)/$V$6</f>
        <v>#DIV/0!</v>
      </c>
      <c r="AM36" s="140"/>
      <c r="AN36" s="140" t="e">
        <f t="shared" si="14"/>
        <v>#DIV/0!</v>
      </c>
      <c r="AO36" s="174">
        <f t="shared" si="15"/>
        <v>0</v>
      </c>
      <c r="AP36" s="175"/>
      <c r="AQ36" s="120" t="s">
        <v>94</v>
      </c>
      <c r="AR36" s="120" t="e">
        <f t="shared" si="16"/>
        <v>#DIV/0!</v>
      </c>
    </row>
    <row r="37" spans="1:44" x14ac:dyDescent="0.25">
      <c r="A37" s="191"/>
      <c r="B37" s="143">
        <f>Stempels!A28</f>
        <v>0</v>
      </c>
      <c r="C37" s="143" t="str">
        <f t="shared" si="0"/>
        <v>schoor</v>
      </c>
      <c r="D37" s="143">
        <f>Stempels!B28</f>
        <v>0</v>
      </c>
      <c r="E37" s="143">
        <f>Stempels!C28</f>
        <v>0</v>
      </c>
      <c r="F37" s="143">
        <v>355</v>
      </c>
      <c r="G37" s="177">
        <f>Stempels!E28</f>
        <v>0</v>
      </c>
      <c r="H37" s="177">
        <f>Stempels!F28</f>
        <v>0</v>
      </c>
      <c r="I37" s="178">
        <f>Stempels!G28</f>
        <v>0</v>
      </c>
      <c r="J37" s="143">
        <f>Stempels!H28</f>
        <v>0</v>
      </c>
      <c r="K37" s="179">
        <f t="shared" si="1"/>
        <v>0</v>
      </c>
      <c r="L37" s="180">
        <f t="shared" si="2"/>
        <v>0</v>
      </c>
      <c r="M37" s="181">
        <f>Stempels!I28</f>
        <v>0</v>
      </c>
      <c r="N37" s="182"/>
      <c r="O37" s="162" t="e">
        <f>IF(B37="",0,HLOOKUP(B37,'E -Stempels UGT'!$E$8:$AT$149,142,0))</f>
        <v>#DIV/0!</v>
      </c>
      <c r="P37" s="163" t="e">
        <f>IF(B37="",0,HLOOKUP(B37,'E - Stempels BGT'!$E$8:$AT$149,142,0))</f>
        <v>#DIV/0!</v>
      </c>
      <c r="Q37" s="222" t="s">
        <v>95</v>
      </c>
      <c r="R37" s="163" t="e">
        <f>(K37/2*SIN(MAX(H37:I37)*PI()/180))/((VLOOKUP(Q37,'tab gording'!$B$4:$Q$147,16,0)+2*W37)*E37*F37/1000)/$V$6</f>
        <v>#DIV/0!</v>
      </c>
      <c r="S37" s="173">
        <f t="shared" si="3"/>
        <v>0</v>
      </c>
      <c r="T37" s="163">
        <f t="shared" si="4"/>
        <v>0</v>
      </c>
      <c r="U37" s="183">
        <f t="shared" si="5"/>
        <v>0</v>
      </c>
      <c r="V37" s="184">
        <f t="shared" si="6"/>
        <v>0</v>
      </c>
      <c r="W37" s="185">
        <v>25</v>
      </c>
      <c r="X37" s="163">
        <f t="shared" si="7"/>
        <v>0</v>
      </c>
      <c r="Y37" s="185">
        <v>6</v>
      </c>
      <c r="Z37" s="140">
        <v>2</v>
      </c>
      <c r="AA37" s="140" t="s">
        <v>93</v>
      </c>
      <c r="AB37" s="192">
        <v>450</v>
      </c>
      <c r="AC37" s="187" t="e">
        <f t="shared" si="8"/>
        <v>#DIV/0!</v>
      </c>
      <c r="AD37" s="188">
        <f t="shared" si="9"/>
        <v>0</v>
      </c>
      <c r="AE37" s="163">
        <f t="shared" si="10"/>
        <v>0</v>
      </c>
      <c r="AF37" s="189">
        <v>6</v>
      </c>
      <c r="AG37" s="140">
        <v>2</v>
      </c>
      <c r="AH37" s="140" t="s">
        <v>93</v>
      </c>
      <c r="AI37" s="187">
        <v>500</v>
      </c>
      <c r="AJ37" s="178">
        <f t="shared" si="11"/>
        <v>0</v>
      </c>
      <c r="AK37" s="163">
        <f t="shared" si="12"/>
        <v>0</v>
      </c>
      <c r="AL37" s="173" t="e">
        <f t="shared" si="13"/>
        <v>#DIV/0!</v>
      </c>
      <c r="AM37" s="140"/>
      <c r="AN37" s="140" t="e">
        <f t="shared" si="14"/>
        <v>#DIV/0!</v>
      </c>
      <c r="AO37" s="174">
        <f t="shared" si="15"/>
        <v>0</v>
      </c>
      <c r="AP37" s="175"/>
      <c r="AQ37" s="120" t="s">
        <v>94</v>
      </c>
      <c r="AR37" s="120" t="e">
        <f t="shared" si="16"/>
        <v>#DIV/0!</v>
      </c>
    </row>
    <row r="38" spans="1:44" x14ac:dyDescent="0.25">
      <c r="A38" s="191"/>
      <c r="B38" s="143">
        <f>Stempels!A29</f>
        <v>0</v>
      </c>
      <c r="C38" s="143" t="str">
        <f t="shared" si="0"/>
        <v>schoor</v>
      </c>
      <c r="D38" s="143">
        <f>Stempels!B29</f>
        <v>0</v>
      </c>
      <c r="E38" s="143">
        <f>Stempels!C29</f>
        <v>0</v>
      </c>
      <c r="F38" s="143">
        <v>355</v>
      </c>
      <c r="G38" s="177">
        <f>Stempels!E29</f>
        <v>0</v>
      </c>
      <c r="H38" s="177">
        <f>Stempels!F29</f>
        <v>0</v>
      </c>
      <c r="I38" s="178">
        <f>Stempels!G29</f>
        <v>0</v>
      </c>
      <c r="J38" s="143">
        <f>Stempels!H29</f>
        <v>0</v>
      </c>
      <c r="K38" s="179">
        <f t="shared" si="1"/>
        <v>0</v>
      </c>
      <c r="L38" s="180">
        <f t="shared" si="2"/>
        <v>0</v>
      </c>
      <c r="M38" s="181">
        <f>Stempels!I29</f>
        <v>0</v>
      </c>
      <c r="N38" s="182"/>
      <c r="O38" s="162" t="e">
        <f>IF(B38="",0,HLOOKUP(B38,'E -Stempels UGT'!$E$8:$AT$149,142,0))</f>
        <v>#DIV/0!</v>
      </c>
      <c r="P38" s="163" t="e">
        <f>IF(B38="",0,HLOOKUP(B38,'E - Stempels BGT'!$E$8:$AT$149,142,0))</f>
        <v>#DIV/0!</v>
      </c>
      <c r="Q38" s="222" t="s">
        <v>95</v>
      </c>
      <c r="R38" s="163" t="e">
        <f>(K38/2*SIN(MAX(H38:I38)*PI()/180))/((VLOOKUP(Q38,'tab gording'!$B$4:$Q$147,16,0)+2*W38)*E38*F38/1000)/$V$6</f>
        <v>#DIV/0!</v>
      </c>
      <c r="S38" s="173">
        <f t="shared" si="3"/>
        <v>0</v>
      </c>
      <c r="T38" s="163">
        <f t="shared" si="4"/>
        <v>0</v>
      </c>
      <c r="U38" s="183">
        <f t="shared" si="5"/>
        <v>0</v>
      </c>
      <c r="V38" s="184">
        <f t="shared" si="6"/>
        <v>0</v>
      </c>
      <c r="W38" s="185">
        <v>25</v>
      </c>
      <c r="X38" s="163">
        <f t="shared" si="7"/>
        <v>0</v>
      </c>
      <c r="Y38" s="185">
        <v>6</v>
      </c>
      <c r="Z38" s="140">
        <v>2</v>
      </c>
      <c r="AA38" s="140" t="s">
        <v>93</v>
      </c>
      <c r="AB38" s="192">
        <v>450</v>
      </c>
      <c r="AC38" s="187" t="e">
        <f t="shared" si="8"/>
        <v>#DIV/0!</v>
      </c>
      <c r="AD38" s="188">
        <f t="shared" si="9"/>
        <v>0</v>
      </c>
      <c r="AE38" s="163">
        <f t="shared" si="10"/>
        <v>0</v>
      </c>
      <c r="AF38" s="189">
        <v>6</v>
      </c>
      <c r="AG38" s="140">
        <v>2</v>
      </c>
      <c r="AH38" s="140" t="s">
        <v>93</v>
      </c>
      <c r="AI38" s="187">
        <v>500</v>
      </c>
      <c r="AJ38" s="178">
        <f t="shared" si="11"/>
        <v>0</v>
      </c>
      <c r="AK38" s="163">
        <f t="shared" si="12"/>
        <v>0</v>
      </c>
      <c r="AL38" s="173" t="e">
        <f t="shared" si="13"/>
        <v>#DIV/0!</v>
      </c>
      <c r="AM38" s="140"/>
      <c r="AN38" s="140" t="e">
        <f t="shared" si="14"/>
        <v>#DIV/0!</v>
      </c>
      <c r="AO38" s="174">
        <f t="shared" si="15"/>
        <v>0</v>
      </c>
      <c r="AP38" s="175"/>
      <c r="AQ38" s="120" t="s">
        <v>94</v>
      </c>
      <c r="AR38" s="120" t="e">
        <f t="shared" si="16"/>
        <v>#DIV/0!</v>
      </c>
    </row>
    <row r="39" spans="1:44" x14ac:dyDescent="0.25">
      <c r="A39" s="191"/>
      <c r="B39" s="143">
        <f>Stempels!A30</f>
        <v>0</v>
      </c>
      <c r="C39" s="143" t="str">
        <f t="shared" si="0"/>
        <v>schoor</v>
      </c>
      <c r="D39" s="143">
        <f>Stempels!B30</f>
        <v>0</v>
      </c>
      <c r="E39" s="143">
        <f>Stempels!C30</f>
        <v>0</v>
      </c>
      <c r="F39" s="143">
        <v>355</v>
      </c>
      <c r="G39" s="177">
        <f>Stempels!E30</f>
        <v>0</v>
      </c>
      <c r="H39" s="177">
        <f>Stempels!F30</f>
        <v>0</v>
      </c>
      <c r="I39" s="178">
        <f>Stempels!G30</f>
        <v>0</v>
      </c>
      <c r="J39" s="143">
        <f>Stempels!H30</f>
        <v>0</v>
      </c>
      <c r="K39" s="179">
        <f t="shared" si="1"/>
        <v>0</v>
      </c>
      <c r="L39" s="180">
        <f t="shared" si="2"/>
        <v>0</v>
      </c>
      <c r="M39" s="181">
        <f>Stempels!I30</f>
        <v>0</v>
      </c>
      <c r="N39" s="182"/>
      <c r="O39" s="162" t="e">
        <f>IF(B39="",0,HLOOKUP(B39,'E -Stempels UGT'!$E$8:$AT$149,142,0))</f>
        <v>#DIV/0!</v>
      </c>
      <c r="P39" s="163" t="e">
        <f>IF(B39="",0,HLOOKUP(B39,'E - Stempels BGT'!$E$8:$AT$149,142,0))</f>
        <v>#DIV/0!</v>
      </c>
      <c r="Q39" s="222" t="s">
        <v>95</v>
      </c>
      <c r="R39" s="163" t="e">
        <f>(K39/2*SIN(MAX(H39:I39)*PI()/180))/((VLOOKUP(Q39,'tab gording'!$B$4:$Q$147,16,0)+2*W39)*E39*F39/1000)/$V$6</f>
        <v>#DIV/0!</v>
      </c>
      <c r="S39" s="173">
        <f t="shared" si="3"/>
        <v>0</v>
      </c>
      <c r="T39" s="163">
        <f t="shared" si="4"/>
        <v>0</v>
      </c>
      <c r="U39" s="183">
        <f t="shared" si="5"/>
        <v>0</v>
      </c>
      <c r="V39" s="184">
        <f t="shared" si="6"/>
        <v>0</v>
      </c>
      <c r="W39" s="185">
        <v>25</v>
      </c>
      <c r="X39" s="163">
        <f t="shared" si="7"/>
        <v>0</v>
      </c>
      <c r="Y39" s="185">
        <v>6</v>
      </c>
      <c r="Z39" s="140">
        <v>2</v>
      </c>
      <c r="AA39" s="140" t="s">
        <v>93</v>
      </c>
      <c r="AB39" s="192">
        <v>450</v>
      </c>
      <c r="AC39" s="187" t="e">
        <f t="shared" si="8"/>
        <v>#DIV/0!</v>
      </c>
      <c r="AD39" s="188">
        <f t="shared" si="9"/>
        <v>0</v>
      </c>
      <c r="AE39" s="163">
        <f t="shared" si="10"/>
        <v>0</v>
      </c>
      <c r="AF39" s="189">
        <v>6</v>
      </c>
      <c r="AG39" s="140">
        <v>2</v>
      </c>
      <c r="AH39" s="140" t="s">
        <v>93</v>
      </c>
      <c r="AI39" s="187">
        <v>500</v>
      </c>
      <c r="AJ39" s="178">
        <f t="shared" si="11"/>
        <v>0</v>
      </c>
      <c r="AK39" s="163">
        <f t="shared" si="12"/>
        <v>0</v>
      </c>
      <c r="AL39" s="173" t="e">
        <f t="shared" si="13"/>
        <v>#DIV/0!</v>
      </c>
      <c r="AM39" s="140"/>
      <c r="AN39" s="140" t="e">
        <f t="shared" si="14"/>
        <v>#DIV/0!</v>
      </c>
      <c r="AO39" s="174">
        <f t="shared" si="15"/>
        <v>0</v>
      </c>
      <c r="AP39" s="175"/>
      <c r="AQ39" s="120" t="s">
        <v>94</v>
      </c>
      <c r="AR39" s="120" t="e">
        <f t="shared" si="16"/>
        <v>#DIV/0!</v>
      </c>
    </row>
    <row r="40" spans="1:44" x14ac:dyDescent="0.25">
      <c r="A40" s="191"/>
      <c r="B40" s="143">
        <f>Stempels!A31</f>
        <v>0</v>
      </c>
      <c r="C40" s="143" t="str">
        <f t="shared" si="0"/>
        <v>schoor</v>
      </c>
      <c r="D40" s="143">
        <f>Stempels!B31</f>
        <v>0</v>
      </c>
      <c r="E40" s="143">
        <f>Stempels!C31</f>
        <v>0</v>
      </c>
      <c r="F40" s="143">
        <v>355</v>
      </c>
      <c r="G40" s="177">
        <f>Stempels!E31</f>
        <v>0</v>
      </c>
      <c r="H40" s="177">
        <f>Stempels!F31</f>
        <v>0</v>
      </c>
      <c r="I40" s="178">
        <f>Stempels!G31</f>
        <v>0</v>
      </c>
      <c r="J40" s="143">
        <f>Stempels!H31</f>
        <v>0</v>
      </c>
      <c r="K40" s="179">
        <f t="shared" si="1"/>
        <v>0</v>
      </c>
      <c r="L40" s="180">
        <f t="shared" si="2"/>
        <v>0</v>
      </c>
      <c r="M40" s="181">
        <f>Stempels!I31</f>
        <v>0</v>
      </c>
      <c r="N40" s="182"/>
      <c r="O40" s="162" t="e">
        <f>IF(B40="",0,HLOOKUP(B40,'E -Stempels UGT'!$E$8:$AT$149,142,0))</f>
        <v>#DIV/0!</v>
      </c>
      <c r="P40" s="163" t="e">
        <f>IF(B40="",0,HLOOKUP(B40,'E - Stempels BGT'!$E$8:$AT$149,142,0))</f>
        <v>#DIV/0!</v>
      </c>
      <c r="Q40" s="222" t="s">
        <v>95</v>
      </c>
      <c r="R40" s="163" t="e">
        <f>(K40/2*SIN(MAX(H40:I40)*PI()/180))/((VLOOKUP(Q40,'tab gording'!$B$4:$Q$147,16,0)+2*W40)*E40*F40/1000)/$V$6</f>
        <v>#DIV/0!</v>
      </c>
      <c r="S40" s="173">
        <f t="shared" si="3"/>
        <v>0</v>
      </c>
      <c r="T40" s="163">
        <f t="shared" si="4"/>
        <v>0</v>
      </c>
      <c r="U40" s="183">
        <f t="shared" si="5"/>
        <v>0</v>
      </c>
      <c r="V40" s="184">
        <f t="shared" si="6"/>
        <v>0</v>
      </c>
      <c r="W40" s="185">
        <v>25</v>
      </c>
      <c r="X40" s="163">
        <f t="shared" si="7"/>
        <v>0</v>
      </c>
      <c r="Y40" s="185">
        <v>6</v>
      </c>
      <c r="Z40" s="140">
        <v>2</v>
      </c>
      <c r="AA40" s="140" t="s">
        <v>93</v>
      </c>
      <c r="AB40" s="192">
        <v>450</v>
      </c>
      <c r="AC40" s="187" t="e">
        <f t="shared" si="8"/>
        <v>#DIV/0!</v>
      </c>
      <c r="AD40" s="188">
        <f t="shared" si="9"/>
        <v>0</v>
      </c>
      <c r="AE40" s="163">
        <f t="shared" si="10"/>
        <v>0</v>
      </c>
      <c r="AF40" s="189">
        <v>6</v>
      </c>
      <c r="AG40" s="140">
        <v>2</v>
      </c>
      <c r="AH40" s="140" t="s">
        <v>93</v>
      </c>
      <c r="AI40" s="187">
        <v>500</v>
      </c>
      <c r="AJ40" s="178">
        <f t="shared" si="11"/>
        <v>0</v>
      </c>
      <c r="AK40" s="163">
        <f t="shared" si="12"/>
        <v>0</v>
      </c>
      <c r="AL40" s="173" t="e">
        <f t="shared" si="13"/>
        <v>#DIV/0!</v>
      </c>
      <c r="AM40" s="140"/>
      <c r="AN40" s="140" t="e">
        <f t="shared" si="14"/>
        <v>#DIV/0!</v>
      </c>
      <c r="AO40" s="174">
        <f t="shared" si="15"/>
        <v>0</v>
      </c>
      <c r="AP40" s="175"/>
      <c r="AQ40" s="120" t="s">
        <v>94</v>
      </c>
      <c r="AR40" s="120" t="e">
        <f t="shared" si="16"/>
        <v>#DIV/0!</v>
      </c>
    </row>
    <row r="41" spans="1:44" x14ac:dyDescent="0.25">
      <c r="A41" s="191"/>
      <c r="B41" s="143">
        <f>Stempels!A32</f>
        <v>0</v>
      </c>
      <c r="C41" s="143" t="str">
        <f t="shared" si="0"/>
        <v>schoor</v>
      </c>
      <c r="D41" s="143">
        <f>Stempels!B32</f>
        <v>0</v>
      </c>
      <c r="E41" s="143">
        <f>Stempels!C32</f>
        <v>0</v>
      </c>
      <c r="F41" s="143">
        <v>355</v>
      </c>
      <c r="G41" s="177">
        <f>Stempels!E32</f>
        <v>0</v>
      </c>
      <c r="H41" s="177">
        <f>Stempels!F32</f>
        <v>0</v>
      </c>
      <c r="I41" s="178">
        <f>Stempels!G32</f>
        <v>0</v>
      </c>
      <c r="J41" s="143">
        <f>Stempels!H32</f>
        <v>0</v>
      </c>
      <c r="K41" s="179">
        <f t="shared" si="1"/>
        <v>0</v>
      </c>
      <c r="L41" s="180">
        <f t="shared" si="2"/>
        <v>0</v>
      </c>
      <c r="M41" s="181">
        <f>Stempels!I32</f>
        <v>0</v>
      </c>
      <c r="N41" s="182"/>
      <c r="O41" s="162" t="e">
        <f>IF(B41="",0,HLOOKUP(B41,'E -Stempels UGT'!$E$8:$AT$149,142,0))</f>
        <v>#DIV/0!</v>
      </c>
      <c r="P41" s="163" t="e">
        <f>IF(B41="",0,HLOOKUP(B41,'E - Stempels BGT'!$E$8:$AT$149,142,0))</f>
        <v>#DIV/0!</v>
      </c>
      <c r="Q41" s="222" t="s">
        <v>95</v>
      </c>
      <c r="R41" s="163" t="e">
        <f>(K41/2*SIN(MAX(H41:I41)*PI()/180))/((VLOOKUP(Q41,'tab gording'!$B$4:$Q$147,16,0)+2*W41)*E41*F41/1000)/$V$6</f>
        <v>#DIV/0!</v>
      </c>
      <c r="S41" s="173">
        <f t="shared" si="3"/>
        <v>0</v>
      </c>
      <c r="T41" s="163">
        <f t="shared" si="4"/>
        <v>0</v>
      </c>
      <c r="U41" s="183">
        <f t="shared" si="5"/>
        <v>0</v>
      </c>
      <c r="V41" s="184">
        <f t="shared" si="6"/>
        <v>0</v>
      </c>
      <c r="W41" s="185">
        <v>25</v>
      </c>
      <c r="X41" s="163">
        <f t="shared" si="7"/>
        <v>0</v>
      </c>
      <c r="Y41" s="185">
        <v>6</v>
      </c>
      <c r="Z41" s="140">
        <v>2</v>
      </c>
      <c r="AA41" s="140" t="s">
        <v>93</v>
      </c>
      <c r="AB41" s="192">
        <v>450</v>
      </c>
      <c r="AC41" s="187" t="e">
        <f t="shared" si="8"/>
        <v>#DIV/0!</v>
      </c>
      <c r="AD41" s="188">
        <f t="shared" si="9"/>
        <v>0</v>
      </c>
      <c r="AE41" s="163">
        <f t="shared" si="10"/>
        <v>0</v>
      </c>
      <c r="AF41" s="189">
        <v>6</v>
      </c>
      <c r="AG41" s="140">
        <v>2</v>
      </c>
      <c r="AH41" s="140" t="s">
        <v>93</v>
      </c>
      <c r="AI41" s="187">
        <v>500</v>
      </c>
      <c r="AJ41" s="178">
        <f t="shared" si="11"/>
        <v>0</v>
      </c>
      <c r="AK41" s="163">
        <f t="shared" si="12"/>
        <v>0</v>
      </c>
      <c r="AL41" s="173" t="e">
        <f t="shared" si="13"/>
        <v>#DIV/0!</v>
      </c>
      <c r="AM41" s="140"/>
      <c r="AN41" s="140" t="e">
        <f t="shared" si="14"/>
        <v>#DIV/0!</v>
      </c>
      <c r="AO41" s="174">
        <f t="shared" si="15"/>
        <v>0</v>
      </c>
      <c r="AP41" s="175"/>
      <c r="AQ41" s="120" t="s">
        <v>94</v>
      </c>
      <c r="AR41" s="120" t="e">
        <f t="shared" si="16"/>
        <v>#DIV/0!</v>
      </c>
    </row>
    <row r="42" spans="1:44" x14ac:dyDescent="0.25">
      <c r="A42" s="191"/>
      <c r="B42" s="143">
        <f>Stempels!A33</f>
        <v>0</v>
      </c>
      <c r="C42" s="143" t="str">
        <f t="shared" si="0"/>
        <v>schoor</v>
      </c>
      <c r="D42" s="143">
        <f>Stempels!B33</f>
        <v>0</v>
      </c>
      <c r="E42" s="143">
        <f>Stempels!C33</f>
        <v>0</v>
      </c>
      <c r="F42" s="143">
        <v>355</v>
      </c>
      <c r="G42" s="177">
        <f>Stempels!E33</f>
        <v>0</v>
      </c>
      <c r="H42" s="177">
        <f>Stempels!F33</f>
        <v>0</v>
      </c>
      <c r="I42" s="178">
        <f>Stempels!G33</f>
        <v>0</v>
      </c>
      <c r="J42" s="143">
        <f>Stempels!H33</f>
        <v>0</v>
      </c>
      <c r="K42" s="179">
        <f t="shared" si="1"/>
        <v>0</v>
      </c>
      <c r="L42" s="180">
        <f t="shared" si="2"/>
        <v>0</v>
      </c>
      <c r="M42" s="181">
        <f>Stempels!I33</f>
        <v>0</v>
      </c>
      <c r="N42" s="182"/>
      <c r="O42" s="162" t="e">
        <f>IF(B42="",0,HLOOKUP(B42,'E -Stempels UGT'!$E$8:$AT$149,142,0))</f>
        <v>#DIV/0!</v>
      </c>
      <c r="P42" s="163" t="e">
        <f>IF(B42="",0,HLOOKUP(B42,'E - Stempels BGT'!$E$8:$AT$149,142,0))</f>
        <v>#DIV/0!</v>
      </c>
      <c r="Q42" s="222" t="s">
        <v>95</v>
      </c>
      <c r="R42" s="163" t="e">
        <f>(K42/2*SIN(MAX(H42:I42)*PI()/180))/((VLOOKUP(Q42,'tab gording'!$B$4:$Q$147,16,0)+2*W42)*E42*F42/1000)/$V$6</f>
        <v>#DIV/0!</v>
      </c>
      <c r="S42" s="173">
        <f t="shared" si="3"/>
        <v>0</v>
      </c>
      <c r="T42" s="163">
        <f t="shared" si="4"/>
        <v>0</v>
      </c>
      <c r="U42" s="183">
        <f t="shared" si="5"/>
        <v>0</v>
      </c>
      <c r="V42" s="184">
        <f t="shared" si="6"/>
        <v>0</v>
      </c>
      <c r="W42" s="185">
        <v>25</v>
      </c>
      <c r="X42" s="163">
        <f t="shared" si="7"/>
        <v>0</v>
      </c>
      <c r="Y42" s="185">
        <v>6</v>
      </c>
      <c r="Z42" s="140">
        <v>2</v>
      </c>
      <c r="AA42" s="140" t="s">
        <v>93</v>
      </c>
      <c r="AB42" s="192">
        <v>450</v>
      </c>
      <c r="AC42" s="187" t="e">
        <f t="shared" si="8"/>
        <v>#DIV/0!</v>
      </c>
      <c r="AD42" s="188">
        <f t="shared" si="9"/>
        <v>0</v>
      </c>
      <c r="AE42" s="163">
        <f t="shared" si="10"/>
        <v>0</v>
      </c>
      <c r="AF42" s="189">
        <v>6</v>
      </c>
      <c r="AG42" s="140">
        <v>2</v>
      </c>
      <c r="AH42" s="140" t="s">
        <v>93</v>
      </c>
      <c r="AI42" s="187">
        <v>500</v>
      </c>
      <c r="AJ42" s="178">
        <f t="shared" si="11"/>
        <v>0</v>
      </c>
      <c r="AK42" s="163">
        <f t="shared" si="12"/>
        <v>0</v>
      </c>
      <c r="AL42" s="173" t="e">
        <f t="shared" si="13"/>
        <v>#DIV/0!</v>
      </c>
      <c r="AM42" s="140"/>
      <c r="AN42" s="140" t="e">
        <f t="shared" si="14"/>
        <v>#DIV/0!</v>
      </c>
      <c r="AO42" s="174">
        <f t="shared" si="15"/>
        <v>0</v>
      </c>
      <c r="AP42" s="175"/>
      <c r="AQ42" s="120" t="s">
        <v>94</v>
      </c>
      <c r="AR42" s="120" t="e">
        <f t="shared" si="16"/>
        <v>#DIV/0!</v>
      </c>
    </row>
    <row r="43" spans="1:44" x14ac:dyDescent="0.25">
      <c r="A43" s="191"/>
      <c r="B43" s="143">
        <f>Stempels!A34</f>
        <v>0</v>
      </c>
      <c r="C43" s="143" t="str">
        <f t="shared" si="0"/>
        <v>schoor</v>
      </c>
      <c r="D43" s="143">
        <f>Stempels!B34</f>
        <v>0</v>
      </c>
      <c r="E43" s="143">
        <f>Stempels!C34</f>
        <v>0</v>
      </c>
      <c r="F43" s="143">
        <v>355</v>
      </c>
      <c r="G43" s="177">
        <f>Stempels!E34</f>
        <v>0</v>
      </c>
      <c r="H43" s="177">
        <f>Stempels!F34</f>
        <v>0</v>
      </c>
      <c r="I43" s="178">
        <f>Stempels!G34</f>
        <v>0</v>
      </c>
      <c r="J43" s="143">
        <f>Stempels!H34</f>
        <v>0</v>
      </c>
      <c r="K43" s="179">
        <f t="shared" si="1"/>
        <v>0</v>
      </c>
      <c r="L43" s="180">
        <f t="shared" si="2"/>
        <v>0</v>
      </c>
      <c r="M43" s="181">
        <f>Stempels!I34</f>
        <v>0</v>
      </c>
      <c r="N43" s="182"/>
      <c r="O43" s="162" t="e">
        <f>IF(B43="",0,HLOOKUP(B43,'E -Stempels UGT'!$E$8:$AT$149,142,0))</f>
        <v>#DIV/0!</v>
      </c>
      <c r="P43" s="163" t="e">
        <f>IF(B43="",0,HLOOKUP(B43,'E - Stempels BGT'!$E$8:$AT$149,142,0))</f>
        <v>#DIV/0!</v>
      </c>
      <c r="Q43" s="222" t="s">
        <v>95</v>
      </c>
      <c r="R43" s="163" t="e">
        <f>(K43/2*SIN(MAX(H43:I43)*PI()/180))/((VLOOKUP(Q43,'tab gording'!$B$4:$Q$147,16,0)+2*W43)*E43*#REF!/1000)/$V$6</f>
        <v>#REF!</v>
      </c>
      <c r="S43" s="173">
        <f t="shared" si="3"/>
        <v>0</v>
      </c>
      <c r="T43" s="163">
        <f t="shared" si="4"/>
        <v>0</v>
      </c>
      <c r="U43" s="183">
        <f t="shared" si="5"/>
        <v>0</v>
      </c>
      <c r="V43" s="184">
        <f t="shared" si="6"/>
        <v>0</v>
      </c>
      <c r="W43" s="185">
        <v>25</v>
      </c>
      <c r="X43" s="163">
        <f t="shared" si="7"/>
        <v>0</v>
      </c>
      <c r="Y43" s="185">
        <v>6</v>
      </c>
      <c r="Z43" s="140">
        <v>2</v>
      </c>
      <c r="AA43" s="140" t="s">
        <v>93</v>
      </c>
      <c r="AB43" s="192">
        <v>450</v>
      </c>
      <c r="AC43" s="187" t="e">
        <f t="shared" si="8"/>
        <v>#DIV/0!</v>
      </c>
      <c r="AD43" s="188">
        <f t="shared" si="9"/>
        <v>0</v>
      </c>
      <c r="AE43" s="163">
        <f t="shared" si="10"/>
        <v>0</v>
      </c>
      <c r="AF43" s="189">
        <v>6</v>
      </c>
      <c r="AG43" s="140">
        <v>2</v>
      </c>
      <c r="AH43" s="140" t="s">
        <v>93</v>
      </c>
      <c r="AI43" s="187">
        <v>500</v>
      </c>
      <c r="AJ43" s="178">
        <f t="shared" si="11"/>
        <v>0</v>
      </c>
      <c r="AK43" s="163">
        <f t="shared" si="12"/>
        <v>0</v>
      </c>
      <c r="AL43" s="173" t="e">
        <f>((U43/2)*SIN(MAX(H43:I43)*PI()/180))/((14.5+27*2+28*2+W43*2)*E43*#REF!/1000)/$V$6</f>
        <v>#REF!</v>
      </c>
      <c r="AM43" s="140"/>
      <c r="AN43" s="140" t="e">
        <f t="shared" si="14"/>
        <v>#DIV/0!</v>
      </c>
      <c r="AO43" s="174">
        <f t="shared" si="15"/>
        <v>0</v>
      </c>
      <c r="AP43" s="175"/>
      <c r="AQ43" s="120" t="s">
        <v>94</v>
      </c>
      <c r="AR43" s="120" t="e">
        <f t="shared" si="16"/>
        <v>#DIV/0!</v>
      </c>
    </row>
    <row r="44" spans="1:44" x14ac:dyDescent="0.25">
      <c r="A44" s="191"/>
      <c r="B44" s="143">
        <f>Stempels!A35</f>
        <v>0</v>
      </c>
      <c r="C44" s="143" t="str">
        <f t="shared" si="0"/>
        <v>schoor</v>
      </c>
      <c r="D44" s="143">
        <f>Stempels!B35</f>
        <v>0</v>
      </c>
      <c r="E44" s="143">
        <f>Stempels!C35</f>
        <v>0</v>
      </c>
      <c r="F44" s="143">
        <v>355</v>
      </c>
      <c r="G44" s="177">
        <f>Stempels!E35</f>
        <v>0</v>
      </c>
      <c r="H44" s="177">
        <f>Stempels!F35</f>
        <v>0</v>
      </c>
      <c r="I44" s="178">
        <f>Stempels!G35</f>
        <v>0</v>
      </c>
      <c r="J44" s="143">
        <f>Stempels!H35</f>
        <v>0</v>
      </c>
      <c r="K44" s="179">
        <f t="shared" si="1"/>
        <v>0</v>
      </c>
      <c r="L44" s="180">
        <f t="shared" si="2"/>
        <v>0</v>
      </c>
      <c r="M44" s="181">
        <f>Stempels!I35</f>
        <v>0</v>
      </c>
      <c r="N44" s="182"/>
      <c r="O44" s="162" t="e">
        <f>IF(B44="",0,HLOOKUP(B44,'E -Stempels UGT'!$E$8:$AT$149,142,0))</f>
        <v>#DIV/0!</v>
      </c>
      <c r="P44" s="163" t="e">
        <f>IF(B44="",0,HLOOKUP(B44,'E - Stempels BGT'!$E$8:$AT$149,142,0))</f>
        <v>#DIV/0!</v>
      </c>
      <c r="Q44" s="222" t="s">
        <v>95</v>
      </c>
      <c r="R44" s="163" t="e">
        <f>(K44/2*SIN(MAX(H44:I44)*PI()/180))/((VLOOKUP(Q44,'tab gording'!$B$4:$Q$147,16,0)+2*W44)*E44*F44/1000)/$V$6</f>
        <v>#DIV/0!</v>
      </c>
      <c r="S44" s="173">
        <f t="shared" si="3"/>
        <v>0</v>
      </c>
      <c r="T44" s="163">
        <f t="shared" si="4"/>
        <v>0</v>
      </c>
      <c r="U44" s="183">
        <f t="shared" si="5"/>
        <v>0</v>
      </c>
      <c r="V44" s="184">
        <f t="shared" si="6"/>
        <v>0</v>
      </c>
      <c r="W44" s="185">
        <v>25</v>
      </c>
      <c r="X44" s="163">
        <f t="shared" si="7"/>
        <v>0</v>
      </c>
      <c r="Y44" s="185">
        <v>6</v>
      </c>
      <c r="Z44" s="140">
        <v>2</v>
      </c>
      <c r="AA44" s="140" t="s">
        <v>93</v>
      </c>
      <c r="AB44" s="192">
        <v>450</v>
      </c>
      <c r="AC44" s="187" t="e">
        <f t="shared" si="8"/>
        <v>#DIV/0!</v>
      </c>
      <c r="AD44" s="188">
        <f t="shared" si="9"/>
        <v>0</v>
      </c>
      <c r="AE44" s="163">
        <f t="shared" si="10"/>
        <v>0</v>
      </c>
      <c r="AF44" s="189">
        <v>6</v>
      </c>
      <c r="AG44" s="140">
        <v>2</v>
      </c>
      <c r="AH44" s="140" t="s">
        <v>93</v>
      </c>
      <c r="AI44" s="187">
        <v>500</v>
      </c>
      <c r="AJ44" s="178">
        <f t="shared" si="11"/>
        <v>0</v>
      </c>
      <c r="AK44" s="163">
        <f t="shared" si="12"/>
        <v>0</v>
      </c>
      <c r="AL44" s="173" t="e">
        <f t="shared" si="13"/>
        <v>#DIV/0!</v>
      </c>
      <c r="AM44" s="140"/>
      <c r="AN44" s="140" t="e">
        <f t="shared" si="14"/>
        <v>#DIV/0!</v>
      </c>
      <c r="AO44" s="174">
        <f t="shared" si="15"/>
        <v>0</v>
      </c>
      <c r="AP44" s="175"/>
      <c r="AQ44" s="120" t="s">
        <v>94</v>
      </c>
      <c r="AR44" s="120" t="e">
        <f t="shared" si="16"/>
        <v>#DIV/0!</v>
      </c>
    </row>
    <row r="45" spans="1:44" x14ac:dyDescent="0.25">
      <c r="A45" s="191"/>
      <c r="B45" s="143">
        <f>Stempels!A36</f>
        <v>0</v>
      </c>
      <c r="C45" s="143" t="str">
        <f t="shared" si="0"/>
        <v>schoor</v>
      </c>
      <c r="D45" s="143">
        <f>Stempels!B36</f>
        <v>0</v>
      </c>
      <c r="E45" s="143">
        <f>Stempels!C36</f>
        <v>0</v>
      </c>
      <c r="F45" s="143">
        <v>355</v>
      </c>
      <c r="G45" s="177">
        <f>Stempels!E36</f>
        <v>0</v>
      </c>
      <c r="H45" s="177">
        <f>Stempels!F36</f>
        <v>0</v>
      </c>
      <c r="I45" s="178">
        <f>Stempels!G36</f>
        <v>0</v>
      </c>
      <c r="J45" s="143">
        <f>Stempels!H36</f>
        <v>0</v>
      </c>
      <c r="K45" s="179">
        <f t="shared" si="1"/>
        <v>0</v>
      </c>
      <c r="L45" s="180">
        <f t="shared" si="2"/>
        <v>0</v>
      </c>
      <c r="M45" s="181">
        <f>Stempels!I36</f>
        <v>0</v>
      </c>
      <c r="N45" s="182"/>
      <c r="O45" s="162" t="e">
        <f>IF(B45="",0,HLOOKUP(B45,'E -Stempels UGT'!$E$8:$AT$149,142,0))</f>
        <v>#DIV/0!</v>
      </c>
      <c r="P45" s="163" t="e">
        <f>IF(B45="",0,HLOOKUP(B45,'E - Stempels BGT'!$E$8:$AT$149,142,0))</f>
        <v>#DIV/0!</v>
      </c>
      <c r="Q45" s="222" t="s">
        <v>95</v>
      </c>
      <c r="R45" s="163" t="e">
        <f>(K45/2*SIN(MAX(H45:I45)*PI()/180))/((VLOOKUP(Q45,'tab gording'!$B$4:$Q$147,16,0)+2*W45)*E45*F45/1000)/$V$6</f>
        <v>#DIV/0!</v>
      </c>
      <c r="S45" s="173">
        <f t="shared" si="3"/>
        <v>0</v>
      </c>
      <c r="T45" s="163">
        <f t="shared" si="4"/>
        <v>0</v>
      </c>
      <c r="U45" s="183">
        <f t="shared" si="5"/>
        <v>0</v>
      </c>
      <c r="V45" s="184">
        <f t="shared" si="6"/>
        <v>0</v>
      </c>
      <c r="W45" s="185">
        <v>25</v>
      </c>
      <c r="X45" s="163">
        <f t="shared" si="7"/>
        <v>0</v>
      </c>
      <c r="Y45" s="185">
        <v>6</v>
      </c>
      <c r="Z45" s="140">
        <v>2</v>
      </c>
      <c r="AA45" s="140" t="s">
        <v>93</v>
      </c>
      <c r="AB45" s="192">
        <v>450</v>
      </c>
      <c r="AC45" s="187" t="e">
        <f t="shared" si="8"/>
        <v>#DIV/0!</v>
      </c>
      <c r="AD45" s="188">
        <f t="shared" si="9"/>
        <v>0</v>
      </c>
      <c r="AE45" s="163">
        <f t="shared" si="10"/>
        <v>0</v>
      </c>
      <c r="AF45" s="189">
        <v>6</v>
      </c>
      <c r="AG45" s="140">
        <v>2</v>
      </c>
      <c r="AH45" s="140" t="s">
        <v>93</v>
      </c>
      <c r="AI45" s="187">
        <v>500</v>
      </c>
      <c r="AJ45" s="178">
        <f t="shared" si="11"/>
        <v>0</v>
      </c>
      <c r="AK45" s="163">
        <f t="shared" si="12"/>
        <v>0</v>
      </c>
      <c r="AL45" s="173" t="e">
        <f t="shared" si="13"/>
        <v>#DIV/0!</v>
      </c>
      <c r="AM45" s="140"/>
      <c r="AN45" s="140" t="e">
        <f t="shared" si="14"/>
        <v>#DIV/0!</v>
      </c>
      <c r="AO45" s="174">
        <f t="shared" si="15"/>
        <v>0</v>
      </c>
      <c r="AP45" s="175"/>
      <c r="AQ45" s="120" t="s">
        <v>94</v>
      </c>
      <c r="AR45" s="120" t="e">
        <f t="shared" si="16"/>
        <v>#DIV/0!</v>
      </c>
    </row>
    <row r="46" spans="1:44" x14ac:dyDescent="0.25">
      <c r="A46" s="191"/>
      <c r="B46" s="143">
        <f>Stempels!A37</f>
        <v>0</v>
      </c>
      <c r="C46" s="143" t="str">
        <f t="shared" si="0"/>
        <v>schoor</v>
      </c>
      <c r="D46" s="143">
        <f>Stempels!B37</f>
        <v>0</v>
      </c>
      <c r="E46" s="143">
        <f>Stempels!C37</f>
        <v>0</v>
      </c>
      <c r="F46" s="143">
        <v>355</v>
      </c>
      <c r="G46" s="177">
        <f>Stempels!E37</f>
        <v>0</v>
      </c>
      <c r="H46" s="177">
        <f>Stempels!F37</f>
        <v>0</v>
      </c>
      <c r="I46" s="178">
        <f>Stempels!G37</f>
        <v>0</v>
      </c>
      <c r="J46" s="143">
        <f>Stempels!H37</f>
        <v>0</v>
      </c>
      <c r="K46" s="179">
        <f t="shared" si="1"/>
        <v>0</v>
      </c>
      <c r="L46" s="180">
        <f t="shared" si="2"/>
        <v>0</v>
      </c>
      <c r="M46" s="181">
        <f>Stempels!I37</f>
        <v>0</v>
      </c>
      <c r="N46" s="182"/>
      <c r="O46" s="162" t="e">
        <f>IF(B46="",0,HLOOKUP(B46,'E -Stempels UGT'!$E$8:$AT$149,142,0))</f>
        <v>#DIV/0!</v>
      </c>
      <c r="P46" s="163" t="e">
        <f>IF(B46="",0,HLOOKUP(B46,'E - Stempels BGT'!$E$8:$AT$149,142,0))</f>
        <v>#DIV/0!</v>
      </c>
      <c r="Q46" s="222" t="s">
        <v>95</v>
      </c>
      <c r="R46" s="163" t="e">
        <f>(K46/2*SIN(MAX(H46:I46)*PI()/180))/((VLOOKUP(Q46,'tab gording'!$B$4:$Q$147,16,0)+2*W46)*E46*F46/1000)/$V$6</f>
        <v>#DIV/0!</v>
      </c>
      <c r="S46" s="173">
        <f t="shared" si="3"/>
        <v>0</v>
      </c>
      <c r="T46" s="163">
        <f t="shared" si="4"/>
        <v>0</v>
      </c>
      <c r="U46" s="183">
        <f t="shared" si="5"/>
        <v>0</v>
      </c>
      <c r="V46" s="184">
        <f t="shared" si="6"/>
        <v>0</v>
      </c>
      <c r="W46" s="185">
        <v>25</v>
      </c>
      <c r="X46" s="163">
        <f t="shared" si="7"/>
        <v>0</v>
      </c>
      <c r="Y46" s="185">
        <v>6</v>
      </c>
      <c r="Z46" s="140">
        <v>2</v>
      </c>
      <c r="AA46" s="140" t="s">
        <v>93</v>
      </c>
      <c r="AB46" s="192">
        <v>450</v>
      </c>
      <c r="AC46" s="187" t="e">
        <f t="shared" si="8"/>
        <v>#DIV/0!</v>
      </c>
      <c r="AD46" s="188">
        <f t="shared" si="9"/>
        <v>0</v>
      </c>
      <c r="AE46" s="163">
        <f t="shared" si="10"/>
        <v>0</v>
      </c>
      <c r="AF46" s="189">
        <v>6</v>
      </c>
      <c r="AG46" s="140">
        <v>2</v>
      </c>
      <c r="AH46" s="140" t="s">
        <v>93</v>
      </c>
      <c r="AI46" s="187">
        <v>500</v>
      </c>
      <c r="AJ46" s="178">
        <f t="shared" si="11"/>
        <v>0</v>
      </c>
      <c r="AK46" s="163">
        <f t="shared" si="12"/>
        <v>0</v>
      </c>
      <c r="AL46" s="173" t="e">
        <f t="shared" si="13"/>
        <v>#DIV/0!</v>
      </c>
      <c r="AM46" s="140"/>
      <c r="AN46" s="140" t="e">
        <f t="shared" si="14"/>
        <v>#DIV/0!</v>
      </c>
      <c r="AO46" s="174">
        <f t="shared" si="15"/>
        <v>0</v>
      </c>
      <c r="AP46" s="175"/>
      <c r="AQ46" s="120" t="s">
        <v>94</v>
      </c>
      <c r="AR46" s="120" t="e">
        <f t="shared" si="16"/>
        <v>#DIV/0!</v>
      </c>
    </row>
    <row r="47" spans="1:44" x14ac:dyDescent="0.25">
      <c r="A47" s="191"/>
      <c r="B47" s="143">
        <f>Stempels!A38</f>
        <v>0</v>
      </c>
      <c r="C47" s="143" t="str">
        <f t="shared" si="0"/>
        <v>schoor</v>
      </c>
      <c r="D47" s="143">
        <f>Stempels!B38</f>
        <v>0</v>
      </c>
      <c r="E47" s="143">
        <f>Stempels!C38</f>
        <v>0</v>
      </c>
      <c r="F47" s="143">
        <v>355</v>
      </c>
      <c r="G47" s="177">
        <f>Stempels!E38</f>
        <v>0</v>
      </c>
      <c r="H47" s="177">
        <f>Stempels!F38</f>
        <v>0</v>
      </c>
      <c r="I47" s="178">
        <f>Stempels!G38</f>
        <v>0</v>
      </c>
      <c r="J47" s="143">
        <f>Stempels!H38</f>
        <v>0</v>
      </c>
      <c r="K47" s="179">
        <f t="shared" si="1"/>
        <v>0</v>
      </c>
      <c r="L47" s="180">
        <f t="shared" si="2"/>
        <v>0</v>
      </c>
      <c r="M47" s="181">
        <f>Stempels!I38</f>
        <v>0</v>
      </c>
      <c r="N47" s="182"/>
      <c r="O47" s="162" t="e">
        <f>IF(B47="",0,HLOOKUP(B47,'E -Stempels UGT'!$E$8:$AT$149,142,0))</f>
        <v>#DIV/0!</v>
      </c>
      <c r="P47" s="163" t="e">
        <f>IF(B47="",0,HLOOKUP(B47,'E - Stempels BGT'!$E$8:$AT$149,142,0))</f>
        <v>#DIV/0!</v>
      </c>
      <c r="Q47" s="222" t="s">
        <v>95</v>
      </c>
      <c r="R47" s="163" t="e">
        <f>(K47/2*SIN(MAX(H47:I47)*PI()/180))/((VLOOKUP(Q47,'tab gording'!$B$4:$Q$147,16,0)+2*W47)*E47*F47/1000)/$V$6</f>
        <v>#DIV/0!</v>
      </c>
      <c r="S47" s="173">
        <f t="shared" si="3"/>
        <v>0</v>
      </c>
      <c r="T47" s="163">
        <f t="shared" si="4"/>
        <v>0</v>
      </c>
      <c r="U47" s="183">
        <f t="shared" si="5"/>
        <v>0</v>
      </c>
      <c r="V47" s="184">
        <f t="shared" si="6"/>
        <v>0</v>
      </c>
      <c r="W47" s="185">
        <v>25</v>
      </c>
      <c r="X47" s="163">
        <f t="shared" si="7"/>
        <v>0</v>
      </c>
      <c r="Y47" s="185">
        <v>6</v>
      </c>
      <c r="Z47" s="140">
        <v>2</v>
      </c>
      <c r="AA47" s="140" t="s">
        <v>93</v>
      </c>
      <c r="AB47" s="192">
        <v>450</v>
      </c>
      <c r="AC47" s="187" t="e">
        <f t="shared" si="8"/>
        <v>#DIV/0!</v>
      </c>
      <c r="AD47" s="188">
        <f t="shared" si="9"/>
        <v>0</v>
      </c>
      <c r="AE47" s="163">
        <f t="shared" si="10"/>
        <v>0</v>
      </c>
      <c r="AF47" s="189">
        <v>6</v>
      </c>
      <c r="AG47" s="140">
        <v>2</v>
      </c>
      <c r="AH47" s="140" t="s">
        <v>93</v>
      </c>
      <c r="AI47" s="187">
        <v>500</v>
      </c>
      <c r="AJ47" s="178">
        <f t="shared" si="11"/>
        <v>0</v>
      </c>
      <c r="AK47" s="163">
        <f t="shared" si="12"/>
        <v>0</v>
      </c>
      <c r="AL47" s="173" t="e">
        <f t="shared" si="13"/>
        <v>#DIV/0!</v>
      </c>
      <c r="AM47" s="140"/>
      <c r="AN47" s="140" t="e">
        <f t="shared" si="14"/>
        <v>#DIV/0!</v>
      </c>
      <c r="AO47" s="174">
        <f t="shared" si="15"/>
        <v>0</v>
      </c>
      <c r="AP47" s="175"/>
      <c r="AQ47" s="120" t="s">
        <v>94</v>
      </c>
      <c r="AR47" s="120" t="e">
        <f t="shared" si="16"/>
        <v>#DIV/0!</v>
      </c>
    </row>
    <row r="48" spans="1:44" x14ac:dyDescent="0.25">
      <c r="A48" s="191"/>
      <c r="B48" s="143">
        <f>Stempels!A39</f>
        <v>0</v>
      </c>
      <c r="C48" s="143" t="str">
        <f t="shared" si="0"/>
        <v>schoor</v>
      </c>
      <c r="D48" s="143">
        <f>Stempels!B39</f>
        <v>0</v>
      </c>
      <c r="E48" s="143">
        <f>Stempels!C39</f>
        <v>0</v>
      </c>
      <c r="F48" s="143">
        <v>355</v>
      </c>
      <c r="G48" s="177">
        <f>Stempels!E39</f>
        <v>0</v>
      </c>
      <c r="H48" s="177">
        <f>Stempels!F39</f>
        <v>0</v>
      </c>
      <c r="I48" s="178">
        <f>Stempels!G39</f>
        <v>0</v>
      </c>
      <c r="J48" s="143">
        <f>Stempels!H39</f>
        <v>0</v>
      </c>
      <c r="K48" s="179">
        <f t="shared" si="1"/>
        <v>0</v>
      </c>
      <c r="L48" s="180">
        <f t="shared" si="2"/>
        <v>0</v>
      </c>
      <c r="M48" s="181">
        <f>Stempels!I39</f>
        <v>0</v>
      </c>
      <c r="N48" s="182"/>
      <c r="O48" s="162" t="e">
        <f>IF(B48="",0,HLOOKUP(B48,'E -Stempels UGT'!$E$8:$AT$149,142,0))</f>
        <v>#DIV/0!</v>
      </c>
      <c r="P48" s="163" t="e">
        <f>IF(B48="",0,HLOOKUP(B48,'E - Stempels BGT'!$E$8:$AT$149,142,0))</f>
        <v>#DIV/0!</v>
      </c>
      <c r="Q48" s="222" t="s">
        <v>95</v>
      </c>
      <c r="R48" s="163" t="e">
        <f>(K48/2*SIN(MAX(H48:I48)*PI()/180))/((VLOOKUP(Q48,'tab gording'!$B$4:$Q$147,16,0)+2*W48)*E48*F48/1000)/$V$6</f>
        <v>#DIV/0!</v>
      </c>
      <c r="S48" s="173">
        <f t="shared" si="3"/>
        <v>0</v>
      </c>
      <c r="T48" s="163">
        <f t="shared" si="4"/>
        <v>0</v>
      </c>
      <c r="U48" s="183">
        <f t="shared" si="5"/>
        <v>0</v>
      </c>
      <c r="V48" s="184">
        <f t="shared" si="6"/>
        <v>0</v>
      </c>
      <c r="W48" s="185">
        <v>25</v>
      </c>
      <c r="X48" s="163">
        <f t="shared" si="7"/>
        <v>0</v>
      </c>
      <c r="Y48" s="185">
        <v>6</v>
      </c>
      <c r="Z48" s="140">
        <v>2</v>
      </c>
      <c r="AA48" s="140" t="s">
        <v>93</v>
      </c>
      <c r="AB48" s="192">
        <v>450</v>
      </c>
      <c r="AC48" s="187" t="e">
        <f t="shared" si="8"/>
        <v>#DIV/0!</v>
      </c>
      <c r="AD48" s="188">
        <f t="shared" si="9"/>
        <v>0</v>
      </c>
      <c r="AE48" s="163">
        <f t="shared" si="10"/>
        <v>0</v>
      </c>
      <c r="AF48" s="189">
        <v>6</v>
      </c>
      <c r="AG48" s="140">
        <v>2</v>
      </c>
      <c r="AH48" s="140" t="s">
        <v>93</v>
      </c>
      <c r="AI48" s="187">
        <v>500</v>
      </c>
      <c r="AJ48" s="178">
        <f t="shared" si="11"/>
        <v>0</v>
      </c>
      <c r="AK48" s="163">
        <f t="shared" si="12"/>
        <v>0</v>
      </c>
      <c r="AL48" s="173" t="e">
        <f t="shared" si="13"/>
        <v>#DIV/0!</v>
      </c>
      <c r="AM48" s="140"/>
      <c r="AN48" s="140" t="e">
        <f t="shared" si="14"/>
        <v>#DIV/0!</v>
      </c>
      <c r="AO48" s="174">
        <f t="shared" si="15"/>
        <v>0</v>
      </c>
      <c r="AP48" s="175"/>
      <c r="AQ48" s="120" t="s">
        <v>94</v>
      </c>
      <c r="AR48" s="120" t="e">
        <f t="shared" si="16"/>
        <v>#DIV/0!</v>
      </c>
    </row>
    <row r="49" spans="1:44" x14ac:dyDescent="0.25">
      <c r="A49" s="191"/>
      <c r="B49" s="143">
        <f>Stempels!A40</f>
        <v>0</v>
      </c>
      <c r="C49" s="143" t="str">
        <f t="shared" si="0"/>
        <v>schoor</v>
      </c>
      <c r="D49" s="143">
        <f>Stempels!B40</f>
        <v>0</v>
      </c>
      <c r="E49" s="143">
        <f>Stempels!C40</f>
        <v>0</v>
      </c>
      <c r="F49" s="143">
        <v>355</v>
      </c>
      <c r="G49" s="177">
        <f>Stempels!E40</f>
        <v>0</v>
      </c>
      <c r="H49" s="177">
        <f>Stempels!F40</f>
        <v>0</v>
      </c>
      <c r="I49" s="178">
        <f>Stempels!G40</f>
        <v>0</v>
      </c>
      <c r="J49" s="143">
        <f>Stempels!H40</f>
        <v>0</v>
      </c>
      <c r="K49" s="179">
        <f t="shared" si="1"/>
        <v>0</v>
      </c>
      <c r="L49" s="180">
        <f t="shared" si="2"/>
        <v>0</v>
      </c>
      <c r="M49" s="181">
        <f>Stempels!I40</f>
        <v>0</v>
      </c>
      <c r="N49" s="182"/>
      <c r="O49" s="162" t="e">
        <f>IF(B49="",0,HLOOKUP(B49,'E -Stempels UGT'!$E$8:$AT$149,142,0))</f>
        <v>#DIV/0!</v>
      </c>
      <c r="P49" s="163" t="e">
        <f>IF(B49="",0,HLOOKUP(B49,'E - Stempels BGT'!$E$8:$AT$149,142,0))</f>
        <v>#DIV/0!</v>
      </c>
      <c r="Q49" s="222" t="s">
        <v>95</v>
      </c>
      <c r="R49" s="163" t="e">
        <f>(K49/2*SIN(MAX(H49:I49)*PI()/180))/((VLOOKUP(Q49,'tab gording'!$B$4:$Q$147,16,0)+2*W49)*E49*F49/1000)/$V$6</f>
        <v>#DIV/0!</v>
      </c>
      <c r="S49" s="173">
        <f t="shared" si="3"/>
        <v>0</v>
      </c>
      <c r="T49" s="163">
        <f t="shared" si="4"/>
        <v>0</v>
      </c>
      <c r="U49" s="183">
        <f t="shared" si="5"/>
        <v>0</v>
      </c>
      <c r="V49" s="184">
        <f t="shared" si="6"/>
        <v>0</v>
      </c>
      <c r="W49" s="185">
        <v>25</v>
      </c>
      <c r="X49" s="163">
        <f t="shared" si="7"/>
        <v>0</v>
      </c>
      <c r="Y49" s="185">
        <v>6</v>
      </c>
      <c r="Z49" s="140">
        <v>2</v>
      </c>
      <c r="AA49" s="140" t="s">
        <v>93</v>
      </c>
      <c r="AB49" s="192">
        <v>450</v>
      </c>
      <c r="AC49" s="187" t="e">
        <f t="shared" si="8"/>
        <v>#DIV/0!</v>
      </c>
      <c r="AD49" s="188">
        <f t="shared" si="9"/>
        <v>0</v>
      </c>
      <c r="AE49" s="163">
        <f t="shared" si="10"/>
        <v>0</v>
      </c>
      <c r="AF49" s="189">
        <v>6</v>
      </c>
      <c r="AG49" s="140">
        <v>2</v>
      </c>
      <c r="AH49" s="140" t="s">
        <v>93</v>
      </c>
      <c r="AI49" s="187">
        <v>500</v>
      </c>
      <c r="AJ49" s="178">
        <f t="shared" si="11"/>
        <v>0</v>
      </c>
      <c r="AK49" s="163">
        <f t="shared" si="12"/>
        <v>0</v>
      </c>
      <c r="AL49" s="173" t="e">
        <f t="shared" si="13"/>
        <v>#DIV/0!</v>
      </c>
      <c r="AM49" s="140"/>
      <c r="AN49" s="140" t="e">
        <f t="shared" si="14"/>
        <v>#DIV/0!</v>
      </c>
      <c r="AO49" s="174">
        <f t="shared" si="15"/>
        <v>0</v>
      </c>
      <c r="AP49" s="175"/>
      <c r="AQ49" s="120" t="s">
        <v>94</v>
      </c>
      <c r="AR49" s="120" t="e">
        <f t="shared" si="16"/>
        <v>#DIV/0!</v>
      </c>
    </row>
    <row r="50" spans="1:44" x14ac:dyDescent="0.25">
      <c r="A50" s="191"/>
      <c r="B50" s="143">
        <f>Stempels!A41</f>
        <v>0</v>
      </c>
      <c r="C50" s="143" t="str">
        <f t="shared" si="0"/>
        <v>schoor</v>
      </c>
      <c r="D50" s="143">
        <f>Stempels!B41</f>
        <v>0</v>
      </c>
      <c r="E50" s="143">
        <f>Stempels!C41</f>
        <v>0</v>
      </c>
      <c r="F50" s="143">
        <v>355</v>
      </c>
      <c r="G50" s="177">
        <f>Stempels!E41</f>
        <v>0</v>
      </c>
      <c r="H50" s="177">
        <f>Stempels!F41</f>
        <v>0</v>
      </c>
      <c r="I50" s="178">
        <f>Stempels!G41</f>
        <v>0</v>
      </c>
      <c r="J50" s="143">
        <f>Stempels!H41</f>
        <v>0</v>
      </c>
      <c r="K50" s="179">
        <f t="shared" si="1"/>
        <v>0</v>
      </c>
      <c r="L50" s="180">
        <f t="shared" si="2"/>
        <v>0</v>
      </c>
      <c r="M50" s="181">
        <f>Stempels!I41</f>
        <v>0</v>
      </c>
      <c r="N50" s="182"/>
      <c r="O50" s="162" t="e">
        <f>IF(B50="",0,HLOOKUP(B50,'E -Stempels UGT'!$E$8:$AT$149,142,0))</f>
        <v>#DIV/0!</v>
      </c>
      <c r="P50" s="163" t="e">
        <f>IF(B50="",0,HLOOKUP(B50,'E - Stempels BGT'!$E$8:$AT$149,142,0))</f>
        <v>#DIV/0!</v>
      </c>
      <c r="Q50" s="222" t="s">
        <v>95</v>
      </c>
      <c r="R50" s="163" t="e">
        <f>(K50/2*SIN(MAX(H50:I50)*PI()/180))/((VLOOKUP(Q50,'tab gording'!$B$4:$Q$147,16,0)+2*W50)*E50*F50/1000)/$V$6</f>
        <v>#DIV/0!</v>
      </c>
      <c r="S50" s="173">
        <f t="shared" si="3"/>
        <v>0</v>
      </c>
      <c r="T50" s="163">
        <f t="shared" si="4"/>
        <v>0</v>
      </c>
      <c r="U50" s="183">
        <f t="shared" si="5"/>
        <v>0</v>
      </c>
      <c r="V50" s="184">
        <f t="shared" si="6"/>
        <v>0</v>
      </c>
      <c r="W50" s="185">
        <v>25</v>
      </c>
      <c r="X50" s="163">
        <f t="shared" si="7"/>
        <v>0</v>
      </c>
      <c r="Y50" s="185">
        <v>6</v>
      </c>
      <c r="Z50" s="140">
        <v>2</v>
      </c>
      <c r="AA50" s="140" t="s">
        <v>93</v>
      </c>
      <c r="AB50" s="192">
        <v>450</v>
      </c>
      <c r="AC50" s="187" t="e">
        <f t="shared" si="8"/>
        <v>#DIV/0!</v>
      </c>
      <c r="AD50" s="188">
        <f t="shared" si="9"/>
        <v>0</v>
      </c>
      <c r="AE50" s="163">
        <f t="shared" si="10"/>
        <v>0</v>
      </c>
      <c r="AF50" s="189">
        <v>6</v>
      </c>
      <c r="AG50" s="140">
        <v>2</v>
      </c>
      <c r="AH50" s="140" t="s">
        <v>93</v>
      </c>
      <c r="AI50" s="187">
        <v>500</v>
      </c>
      <c r="AJ50" s="178">
        <f t="shared" si="11"/>
        <v>0</v>
      </c>
      <c r="AK50" s="163">
        <f t="shared" si="12"/>
        <v>0</v>
      </c>
      <c r="AL50" s="173" t="e">
        <f t="shared" si="13"/>
        <v>#DIV/0!</v>
      </c>
      <c r="AM50" s="140"/>
      <c r="AN50" s="140" t="e">
        <f t="shared" si="14"/>
        <v>#DIV/0!</v>
      </c>
      <c r="AO50" s="174">
        <f t="shared" si="15"/>
        <v>0</v>
      </c>
      <c r="AP50" s="175"/>
      <c r="AQ50" s="120" t="s">
        <v>94</v>
      </c>
      <c r="AR50" s="120" t="e">
        <f t="shared" si="16"/>
        <v>#DIV/0!</v>
      </c>
    </row>
    <row r="51" spans="1:44" x14ac:dyDescent="0.25">
      <c r="A51" s="191"/>
      <c r="B51" s="143">
        <f>Stempels!A42</f>
        <v>0</v>
      </c>
      <c r="C51" s="143" t="str">
        <f t="shared" si="0"/>
        <v>schoor</v>
      </c>
      <c r="D51" s="143">
        <f>Stempels!B42</f>
        <v>0</v>
      </c>
      <c r="E51" s="143">
        <f>Stempels!C42</f>
        <v>0</v>
      </c>
      <c r="F51" s="143">
        <v>355</v>
      </c>
      <c r="G51" s="177">
        <f>Stempels!E42</f>
        <v>0</v>
      </c>
      <c r="H51" s="177">
        <f>Stempels!F42</f>
        <v>0</v>
      </c>
      <c r="I51" s="178">
        <f>Stempels!G42</f>
        <v>0</v>
      </c>
      <c r="J51" s="143">
        <f>Stempels!H42</f>
        <v>0</v>
      </c>
      <c r="K51" s="179">
        <f t="shared" si="1"/>
        <v>0</v>
      </c>
      <c r="L51" s="180">
        <f t="shared" si="2"/>
        <v>0</v>
      </c>
      <c r="M51" s="181">
        <f>Stempels!I42</f>
        <v>0</v>
      </c>
      <c r="N51" s="182"/>
      <c r="O51" s="162" t="e">
        <f>IF(B51="",0,HLOOKUP(B51,'E -Stempels UGT'!$E$8:$AT$149,142,0))</f>
        <v>#DIV/0!</v>
      </c>
      <c r="P51" s="163" t="e">
        <f>IF(B51="",0,HLOOKUP(B51,'E - Stempels BGT'!$E$8:$AT$149,142,0))</f>
        <v>#DIV/0!</v>
      </c>
      <c r="Q51" s="222" t="s">
        <v>95</v>
      </c>
      <c r="R51" s="163" t="e">
        <f>(K51/2*SIN(MAX(H51:I51)*PI()/180))/((VLOOKUP(Q51,'tab gording'!$B$4:$Q$147,16,0)+2*W51)*E51*F51/1000)/$V$6</f>
        <v>#DIV/0!</v>
      </c>
      <c r="S51" s="173">
        <f t="shared" si="3"/>
        <v>0</v>
      </c>
      <c r="T51" s="163">
        <f t="shared" si="4"/>
        <v>0</v>
      </c>
      <c r="U51" s="183">
        <f t="shared" si="5"/>
        <v>0</v>
      </c>
      <c r="V51" s="184">
        <f t="shared" si="6"/>
        <v>0</v>
      </c>
      <c r="W51" s="185">
        <v>25</v>
      </c>
      <c r="X51" s="163">
        <f t="shared" si="7"/>
        <v>0</v>
      </c>
      <c r="Y51" s="185">
        <v>6</v>
      </c>
      <c r="Z51" s="140">
        <v>2</v>
      </c>
      <c r="AA51" s="140" t="s">
        <v>93</v>
      </c>
      <c r="AB51" s="192">
        <v>450</v>
      </c>
      <c r="AC51" s="187" t="e">
        <f t="shared" si="8"/>
        <v>#DIV/0!</v>
      </c>
      <c r="AD51" s="188">
        <f t="shared" si="9"/>
        <v>0</v>
      </c>
      <c r="AE51" s="163">
        <f t="shared" si="10"/>
        <v>0</v>
      </c>
      <c r="AF51" s="189">
        <v>6</v>
      </c>
      <c r="AG51" s="140">
        <v>2</v>
      </c>
      <c r="AH51" s="140" t="s">
        <v>93</v>
      </c>
      <c r="AI51" s="187">
        <v>500</v>
      </c>
      <c r="AJ51" s="178">
        <f t="shared" si="11"/>
        <v>0</v>
      </c>
      <c r="AK51" s="163">
        <f t="shared" si="12"/>
        <v>0</v>
      </c>
      <c r="AL51" s="173" t="e">
        <f t="shared" si="13"/>
        <v>#DIV/0!</v>
      </c>
      <c r="AM51" s="140"/>
      <c r="AN51" s="140" t="e">
        <f t="shared" si="14"/>
        <v>#DIV/0!</v>
      </c>
      <c r="AO51" s="174">
        <f t="shared" si="15"/>
        <v>0</v>
      </c>
      <c r="AP51" s="175"/>
      <c r="AQ51" s="120" t="s">
        <v>94</v>
      </c>
      <c r="AR51" s="120" t="e">
        <f t="shared" si="16"/>
        <v>#DIV/0!</v>
      </c>
    </row>
    <row r="52" spans="1:44" ht="14.25" customHeight="1" thickBot="1" x14ac:dyDescent="0.3">
      <c r="A52" s="193"/>
      <c r="B52" s="144">
        <f>Stempels!A43</f>
        <v>0</v>
      </c>
      <c r="C52" s="144" t="str">
        <f t="shared" si="0"/>
        <v>schoor</v>
      </c>
      <c r="D52" s="144">
        <f>Stempels!B43</f>
        <v>0</v>
      </c>
      <c r="E52" s="144">
        <f>Stempels!C43</f>
        <v>0</v>
      </c>
      <c r="F52" s="144">
        <v>355</v>
      </c>
      <c r="G52" s="194">
        <f>Stempels!E43</f>
        <v>0</v>
      </c>
      <c r="H52" s="194">
        <f>Stempels!F43</f>
        <v>0</v>
      </c>
      <c r="I52" s="195">
        <f>Stempels!G43</f>
        <v>0</v>
      </c>
      <c r="J52" s="144">
        <f>Stempels!H43</f>
        <v>0</v>
      </c>
      <c r="K52" s="196">
        <f t="shared" si="1"/>
        <v>0</v>
      </c>
      <c r="L52" s="197">
        <f t="shared" si="2"/>
        <v>0</v>
      </c>
      <c r="M52" s="181">
        <f>Stempels!I43</f>
        <v>0</v>
      </c>
      <c r="N52" s="198">
        <v>96</v>
      </c>
      <c r="O52" s="199" t="e">
        <f>IF(B52="",0,HLOOKUP(B52,'E -Stempels UGT'!$E$8:$AT$149,142,0))</f>
        <v>#DIV/0!</v>
      </c>
      <c r="P52" s="200" t="e">
        <f>IF(B52="",0,HLOOKUP(B52,'E - Stempels BGT'!$E$8:$AT$149,142,0))</f>
        <v>#DIV/0!</v>
      </c>
      <c r="Q52" s="220" t="s">
        <v>95</v>
      </c>
      <c r="R52" s="200" t="e">
        <f>(K52/2*SIN(MAX(H52:I52)*PI()/180))/((VLOOKUP(Q52,'tab gording'!$B$4:$Q$147,16,0)+2*W52)*E52*F52/1000)/$V$6</f>
        <v>#DIV/0!</v>
      </c>
      <c r="S52" s="226">
        <f t="shared" si="3"/>
        <v>0</v>
      </c>
      <c r="T52" s="200">
        <f t="shared" si="4"/>
        <v>0</v>
      </c>
      <c r="U52" s="201">
        <f t="shared" si="5"/>
        <v>0</v>
      </c>
      <c r="V52" s="202">
        <f t="shared" si="6"/>
        <v>0</v>
      </c>
      <c r="W52" s="203">
        <v>25</v>
      </c>
      <c r="X52" s="200">
        <f t="shared" si="7"/>
        <v>0</v>
      </c>
      <c r="Y52" s="203">
        <v>6</v>
      </c>
      <c r="Z52" s="204">
        <v>2</v>
      </c>
      <c r="AA52" s="204" t="s">
        <v>93</v>
      </c>
      <c r="AB52" s="205">
        <v>450</v>
      </c>
      <c r="AC52" s="206" t="e">
        <f t="shared" si="8"/>
        <v>#DIV/0!</v>
      </c>
      <c r="AD52" s="207">
        <f t="shared" si="9"/>
        <v>0</v>
      </c>
      <c r="AE52" s="200">
        <f t="shared" si="10"/>
        <v>0</v>
      </c>
      <c r="AF52" s="208">
        <v>6</v>
      </c>
      <c r="AG52" s="204">
        <v>2</v>
      </c>
      <c r="AH52" s="204" t="s">
        <v>93</v>
      </c>
      <c r="AI52" s="206">
        <v>500</v>
      </c>
      <c r="AJ52" s="195">
        <f t="shared" si="11"/>
        <v>0</v>
      </c>
      <c r="AK52" s="200">
        <f t="shared" si="12"/>
        <v>0</v>
      </c>
      <c r="AL52" s="173" t="e">
        <f t="shared" si="13"/>
        <v>#DIV/0!</v>
      </c>
      <c r="AM52" s="140"/>
      <c r="AN52" s="140" t="e">
        <f t="shared" si="14"/>
        <v>#DIV/0!</v>
      </c>
      <c r="AO52" s="174">
        <f t="shared" si="15"/>
        <v>0</v>
      </c>
      <c r="AP52" s="175"/>
      <c r="AQ52" s="120" t="s">
        <v>94</v>
      </c>
      <c r="AR52" s="120" t="e">
        <f t="shared" si="16"/>
        <v>#DIV/0!</v>
      </c>
    </row>
    <row r="53" spans="1:44" x14ac:dyDescent="0.25">
      <c r="A53" s="209"/>
      <c r="B53" s="121"/>
      <c r="C53" s="121"/>
      <c r="D53" s="121"/>
      <c r="E53" s="121"/>
      <c r="F53" s="121"/>
      <c r="G53" s="210"/>
      <c r="H53" s="173"/>
      <c r="I53" s="173"/>
      <c r="P53" s="121"/>
      <c r="Q53" s="121"/>
      <c r="R53" s="121"/>
      <c r="S53" s="121"/>
      <c r="T53" s="121"/>
      <c r="U53" s="121"/>
      <c r="W53" s="121"/>
    </row>
    <row r="54" spans="1:44" x14ac:dyDescent="0.25">
      <c r="B54" s="120" t="s">
        <v>64</v>
      </c>
      <c r="C54" s="120" t="s">
        <v>96</v>
      </c>
      <c r="D54" s="120" t="s">
        <v>97</v>
      </c>
      <c r="E54" s="120" t="s">
        <v>98</v>
      </c>
      <c r="G54" s="120" t="s">
        <v>99</v>
      </c>
      <c r="J54" s="120"/>
      <c r="K54" s="120" t="s">
        <v>71</v>
      </c>
      <c r="L54" s="120"/>
      <c r="M54" s="120"/>
      <c r="O54" s="121" t="s">
        <v>73</v>
      </c>
      <c r="U54" s="120" t="s">
        <v>100</v>
      </c>
      <c r="V54" s="120"/>
      <c r="W54" s="121"/>
    </row>
    <row r="55" spans="1:44" ht="14.25" customHeight="1" thickBot="1" x14ac:dyDescent="0.3">
      <c r="G55" s="120" t="s">
        <v>101</v>
      </c>
      <c r="H55" s="120" t="s">
        <v>102</v>
      </c>
      <c r="I55" s="120" t="s">
        <v>103</v>
      </c>
      <c r="J55" s="120" t="s">
        <v>104</v>
      </c>
      <c r="K55" s="121" t="s">
        <v>105</v>
      </c>
      <c r="L55" s="120" t="s">
        <v>86</v>
      </c>
      <c r="M55" s="120"/>
      <c r="O55" s="120" t="s">
        <v>59</v>
      </c>
      <c r="P55" s="120" t="s">
        <v>101</v>
      </c>
      <c r="U55" s="120" t="s">
        <v>86</v>
      </c>
      <c r="V55" s="120"/>
      <c r="X55" s="120" t="s">
        <v>106</v>
      </c>
    </row>
    <row r="56" spans="1:44" x14ac:dyDescent="0.25">
      <c r="B56" s="120">
        <f t="shared" ref="B56:E75" si="17">B11</f>
        <v>0</v>
      </c>
      <c r="C56" s="120" t="str">
        <f t="shared" si="17"/>
        <v>schoor</v>
      </c>
      <c r="D56" s="120">
        <f t="shared" si="17"/>
        <v>0</v>
      </c>
      <c r="E56" s="120">
        <f t="shared" si="17"/>
        <v>0</v>
      </c>
      <c r="G56" s="120">
        <f t="shared" ref="G56:G75" si="18">W11</f>
        <v>20</v>
      </c>
      <c r="H56" s="120" t="e">
        <f t="shared" ref="H56:H75" si="19">CEILING((D11/(SIN(MIN(H11:I11)*PI()/180))+100),25)</f>
        <v>#DIV/0!</v>
      </c>
      <c r="I56" s="120" t="e">
        <f t="shared" ref="I56:I75" si="20">CEILING((D11/(SIN(MAX(H11:I11)*PI()/180))+100),25)</f>
        <v>#DIV/0!</v>
      </c>
      <c r="J56" s="211">
        <f>CEILING('tab kopplaat'!BO6,25)</f>
        <v>300</v>
      </c>
      <c r="K56" s="121" t="str">
        <f t="shared" ref="K56:K80" si="21">IF(L56=E56,"ja","nee")</f>
        <v>nee</v>
      </c>
      <c r="L56" s="120">
        <f t="shared" ref="L56:L75" si="22">Y11</f>
        <v>7</v>
      </c>
      <c r="M56" s="120" t="s">
        <v>107</v>
      </c>
      <c r="O56" s="120">
        <f t="shared" ref="O56:O80" si="23">X56</f>
        <v>250</v>
      </c>
      <c r="P56" s="120">
        <f t="shared" ref="P56:P80" si="24">G56+10</f>
        <v>30</v>
      </c>
      <c r="U56" s="121">
        <f t="shared" ref="U56:U75" si="25">AF11</f>
        <v>5</v>
      </c>
      <c r="W56" s="120" t="s">
        <v>107</v>
      </c>
      <c r="X56" s="121">
        <f t="shared" ref="X56:X75" si="26">AI11</f>
        <v>250</v>
      </c>
    </row>
    <row r="57" spans="1:44" x14ac:dyDescent="0.25">
      <c r="B57" s="120">
        <f t="shared" si="17"/>
        <v>0</v>
      </c>
      <c r="C57" s="120" t="str">
        <f t="shared" si="17"/>
        <v>schoor</v>
      </c>
      <c r="D57" s="120">
        <f t="shared" si="17"/>
        <v>0</v>
      </c>
      <c r="E57" s="120">
        <f t="shared" si="17"/>
        <v>0</v>
      </c>
      <c r="G57" s="120">
        <f t="shared" si="18"/>
        <v>20</v>
      </c>
      <c r="H57" s="120" t="e">
        <f t="shared" si="19"/>
        <v>#DIV/0!</v>
      </c>
      <c r="I57" s="120" t="e">
        <f t="shared" si="20"/>
        <v>#DIV/0!</v>
      </c>
      <c r="J57" s="212">
        <f>CEILING('tab kopplaat'!BO7,25)</f>
        <v>300</v>
      </c>
      <c r="K57" s="121" t="str">
        <f t="shared" si="21"/>
        <v>nee</v>
      </c>
      <c r="L57" s="120">
        <f t="shared" si="22"/>
        <v>10</v>
      </c>
      <c r="M57" s="120" t="s">
        <v>107</v>
      </c>
      <c r="O57" s="120">
        <f t="shared" si="23"/>
        <v>600</v>
      </c>
      <c r="P57" s="120">
        <f t="shared" si="24"/>
        <v>30</v>
      </c>
      <c r="U57" s="121">
        <f t="shared" si="25"/>
        <v>9</v>
      </c>
      <c r="W57" s="120" t="s">
        <v>107</v>
      </c>
      <c r="X57" s="121">
        <f t="shared" si="26"/>
        <v>600</v>
      </c>
    </row>
    <row r="58" spans="1:44" x14ac:dyDescent="0.25">
      <c r="B58" s="120">
        <f t="shared" si="17"/>
        <v>0</v>
      </c>
      <c r="C58" s="120" t="str">
        <f t="shared" si="17"/>
        <v>schoor</v>
      </c>
      <c r="D58" s="120">
        <f t="shared" si="17"/>
        <v>0</v>
      </c>
      <c r="E58" s="120">
        <f t="shared" si="17"/>
        <v>0</v>
      </c>
      <c r="G58" s="120">
        <f t="shared" si="18"/>
        <v>30</v>
      </c>
      <c r="H58" s="120" t="e">
        <f t="shared" si="19"/>
        <v>#DIV/0!</v>
      </c>
      <c r="I58" s="120" t="e">
        <f t="shared" si="20"/>
        <v>#DIV/0!</v>
      </c>
      <c r="J58" s="212">
        <f>CEILING('tab kopplaat'!BO8,25)</f>
        <v>300</v>
      </c>
      <c r="K58" s="121" t="str">
        <f t="shared" si="21"/>
        <v>nee</v>
      </c>
      <c r="L58" s="120">
        <f t="shared" si="22"/>
        <v>8</v>
      </c>
      <c r="M58" s="120" t="s">
        <v>107</v>
      </c>
      <c r="O58" s="120">
        <f t="shared" si="23"/>
        <v>500</v>
      </c>
      <c r="P58" s="120">
        <f t="shared" si="24"/>
        <v>40</v>
      </c>
      <c r="U58" s="121">
        <f t="shared" si="25"/>
        <v>9</v>
      </c>
      <c r="W58" s="120" t="s">
        <v>107</v>
      </c>
      <c r="X58" s="121">
        <f t="shared" si="26"/>
        <v>500</v>
      </c>
    </row>
    <row r="59" spans="1:44" x14ac:dyDescent="0.25">
      <c r="B59" s="120">
        <f t="shared" si="17"/>
        <v>0</v>
      </c>
      <c r="C59" s="120" t="str">
        <f t="shared" si="17"/>
        <v>schoor</v>
      </c>
      <c r="D59" s="120">
        <f t="shared" si="17"/>
        <v>0</v>
      </c>
      <c r="E59" s="120">
        <f t="shared" si="17"/>
        <v>0</v>
      </c>
      <c r="G59" s="120">
        <f t="shared" si="18"/>
        <v>30</v>
      </c>
      <c r="H59" s="120" t="e">
        <f t="shared" si="19"/>
        <v>#DIV/0!</v>
      </c>
      <c r="I59" s="120" t="e">
        <f t="shared" si="20"/>
        <v>#DIV/0!</v>
      </c>
      <c r="J59" s="212">
        <f>CEILING('tab kopplaat'!BO9,25)</f>
        <v>300</v>
      </c>
      <c r="K59" s="121" t="str">
        <f t="shared" si="21"/>
        <v>nee</v>
      </c>
      <c r="L59" s="120">
        <f t="shared" si="22"/>
        <v>8</v>
      </c>
      <c r="M59" s="120" t="s">
        <v>107</v>
      </c>
      <c r="O59" s="120">
        <f t="shared" si="23"/>
        <v>500</v>
      </c>
      <c r="P59" s="120">
        <f t="shared" si="24"/>
        <v>40</v>
      </c>
      <c r="U59" s="121">
        <f t="shared" si="25"/>
        <v>9</v>
      </c>
      <c r="W59" s="120" t="s">
        <v>107</v>
      </c>
      <c r="X59" s="121">
        <f t="shared" si="26"/>
        <v>500</v>
      </c>
    </row>
    <row r="60" spans="1:44" x14ac:dyDescent="0.25">
      <c r="B60" s="120">
        <f t="shared" si="17"/>
        <v>0</v>
      </c>
      <c r="C60" s="120" t="str">
        <f t="shared" si="17"/>
        <v>schoor</v>
      </c>
      <c r="D60" s="120">
        <f t="shared" si="17"/>
        <v>0</v>
      </c>
      <c r="E60" s="120">
        <f t="shared" si="17"/>
        <v>0</v>
      </c>
      <c r="G60" s="120">
        <f t="shared" si="18"/>
        <v>30</v>
      </c>
      <c r="H60" s="120" t="e">
        <f t="shared" si="19"/>
        <v>#DIV/0!</v>
      </c>
      <c r="I60" s="120" t="e">
        <f t="shared" si="20"/>
        <v>#DIV/0!</v>
      </c>
      <c r="J60" s="212">
        <f>CEILING('tab kopplaat'!BO10,25)</f>
        <v>300</v>
      </c>
      <c r="K60" s="121" t="str">
        <f t="shared" si="21"/>
        <v>nee</v>
      </c>
      <c r="L60" s="120">
        <f t="shared" si="22"/>
        <v>10</v>
      </c>
      <c r="M60" s="120" t="s">
        <v>107</v>
      </c>
      <c r="O60" s="120">
        <f t="shared" si="23"/>
        <v>600</v>
      </c>
      <c r="P60" s="120">
        <f t="shared" si="24"/>
        <v>40</v>
      </c>
      <c r="U60" s="121">
        <f t="shared" si="25"/>
        <v>9</v>
      </c>
      <c r="W60" s="120" t="s">
        <v>107</v>
      </c>
      <c r="X60" s="121">
        <f t="shared" si="26"/>
        <v>600</v>
      </c>
    </row>
    <row r="61" spans="1:44" x14ac:dyDescent="0.25">
      <c r="B61" s="120">
        <f t="shared" si="17"/>
        <v>0</v>
      </c>
      <c r="C61" s="120" t="str">
        <f t="shared" si="17"/>
        <v>schoor</v>
      </c>
      <c r="D61" s="120">
        <f t="shared" si="17"/>
        <v>0</v>
      </c>
      <c r="E61" s="120">
        <f t="shared" si="17"/>
        <v>0</v>
      </c>
      <c r="G61" s="120">
        <f t="shared" si="18"/>
        <v>30</v>
      </c>
      <c r="H61" s="120" t="e">
        <f t="shared" si="19"/>
        <v>#DIV/0!</v>
      </c>
      <c r="I61" s="120" t="e">
        <f t="shared" si="20"/>
        <v>#DIV/0!</v>
      </c>
      <c r="J61" s="212">
        <f>CEILING('tab kopplaat'!BO11,25)</f>
        <v>300</v>
      </c>
      <c r="K61" s="121" t="str">
        <f t="shared" si="21"/>
        <v>nee</v>
      </c>
      <c r="L61" s="120">
        <f t="shared" si="22"/>
        <v>10</v>
      </c>
      <c r="M61" s="120" t="s">
        <v>107</v>
      </c>
      <c r="O61" s="120">
        <f t="shared" si="23"/>
        <v>600</v>
      </c>
      <c r="P61" s="120">
        <f t="shared" si="24"/>
        <v>40</v>
      </c>
      <c r="U61" s="121">
        <f t="shared" si="25"/>
        <v>9</v>
      </c>
      <c r="W61" s="120" t="s">
        <v>107</v>
      </c>
      <c r="X61" s="121">
        <f t="shared" si="26"/>
        <v>600</v>
      </c>
    </row>
    <row r="62" spans="1:44" x14ac:dyDescent="0.25">
      <c r="B62" s="120">
        <f t="shared" si="17"/>
        <v>0</v>
      </c>
      <c r="C62" s="120" t="str">
        <f t="shared" si="17"/>
        <v>schoor</v>
      </c>
      <c r="D62" s="120">
        <f t="shared" si="17"/>
        <v>0</v>
      </c>
      <c r="E62" s="120">
        <f t="shared" si="17"/>
        <v>0</v>
      </c>
      <c r="G62" s="120">
        <f t="shared" si="18"/>
        <v>30</v>
      </c>
      <c r="H62" s="120" t="e">
        <f t="shared" si="19"/>
        <v>#DIV/0!</v>
      </c>
      <c r="I62" s="120" t="e">
        <f t="shared" si="20"/>
        <v>#DIV/0!</v>
      </c>
      <c r="J62" s="212">
        <f>CEILING('tab kopplaat'!BO12,25)</f>
        <v>300</v>
      </c>
      <c r="K62" s="121" t="str">
        <f t="shared" si="21"/>
        <v>nee</v>
      </c>
      <c r="L62" s="120">
        <f t="shared" si="22"/>
        <v>8</v>
      </c>
      <c r="M62" s="120" t="s">
        <v>107</v>
      </c>
      <c r="O62" s="120">
        <f t="shared" si="23"/>
        <v>500</v>
      </c>
      <c r="P62" s="120">
        <f t="shared" si="24"/>
        <v>40</v>
      </c>
      <c r="U62" s="121">
        <f t="shared" si="25"/>
        <v>9</v>
      </c>
      <c r="W62" s="120" t="s">
        <v>107</v>
      </c>
      <c r="X62" s="121">
        <f t="shared" si="26"/>
        <v>500</v>
      </c>
    </row>
    <row r="63" spans="1:44" x14ac:dyDescent="0.25">
      <c r="B63" s="120">
        <f t="shared" si="17"/>
        <v>0</v>
      </c>
      <c r="C63" s="120" t="str">
        <f t="shared" si="17"/>
        <v>schoor</v>
      </c>
      <c r="D63" s="120">
        <f t="shared" si="17"/>
        <v>0</v>
      </c>
      <c r="E63" s="120">
        <f t="shared" si="17"/>
        <v>0</v>
      </c>
      <c r="G63" s="120">
        <f t="shared" si="18"/>
        <v>30</v>
      </c>
      <c r="H63" s="120" t="e">
        <f t="shared" si="19"/>
        <v>#DIV/0!</v>
      </c>
      <c r="I63" s="120" t="e">
        <f t="shared" si="20"/>
        <v>#DIV/0!</v>
      </c>
      <c r="J63" s="212">
        <f>CEILING('tab kopplaat'!BO13,25)</f>
        <v>300</v>
      </c>
      <c r="K63" s="121" t="str">
        <f t="shared" si="21"/>
        <v>nee</v>
      </c>
      <c r="L63" s="120">
        <f t="shared" si="22"/>
        <v>8</v>
      </c>
      <c r="M63" s="120" t="s">
        <v>107</v>
      </c>
      <c r="O63" s="120">
        <f t="shared" si="23"/>
        <v>500</v>
      </c>
      <c r="P63" s="120">
        <f t="shared" si="24"/>
        <v>40</v>
      </c>
      <c r="U63" s="121">
        <f t="shared" si="25"/>
        <v>9</v>
      </c>
      <c r="W63" s="120" t="s">
        <v>107</v>
      </c>
      <c r="X63" s="121">
        <f t="shared" si="26"/>
        <v>500</v>
      </c>
    </row>
    <row r="64" spans="1:44" x14ac:dyDescent="0.25">
      <c r="B64" s="120">
        <f t="shared" si="17"/>
        <v>0</v>
      </c>
      <c r="C64" s="120" t="str">
        <f t="shared" si="17"/>
        <v>schoor</v>
      </c>
      <c r="D64" s="120">
        <f t="shared" si="17"/>
        <v>0</v>
      </c>
      <c r="E64" s="120">
        <f t="shared" si="17"/>
        <v>0</v>
      </c>
      <c r="G64" s="120">
        <f t="shared" si="18"/>
        <v>30</v>
      </c>
      <c r="H64" s="120" t="e">
        <f t="shared" si="19"/>
        <v>#DIV/0!</v>
      </c>
      <c r="I64" s="120" t="e">
        <f t="shared" si="20"/>
        <v>#DIV/0!</v>
      </c>
      <c r="J64" s="212">
        <f>CEILING('tab kopplaat'!BO14,25)</f>
        <v>300</v>
      </c>
      <c r="K64" s="121" t="str">
        <f t="shared" si="21"/>
        <v>nee</v>
      </c>
      <c r="L64" s="120">
        <f t="shared" si="22"/>
        <v>8</v>
      </c>
      <c r="M64" s="120" t="s">
        <v>107</v>
      </c>
      <c r="O64" s="120">
        <f t="shared" si="23"/>
        <v>600</v>
      </c>
      <c r="P64" s="120">
        <f t="shared" si="24"/>
        <v>40</v>
      </c>
      <c r="U64" s="121">
        <f t="shared" si="25"/>
        <v>9</v>
      </c>
      <c r="W64" s="120" t="s">
        <v>107</v>
      </c>
      <c r="X64" s="121">
        <f t="shared" si="26"/>
        <v>600</v>
      </c>
    </row>
    <row r="65" spans="2:24" x14ac:dyDescent="0.25">
      <c r="B65" s="120">
        <f t="shared" si="17"/>
        <v>0</v>
      </c>
      <c r="C65" s="120" t="str">
        <f t="shared" si="17"/>
        <v>schoor</v>
      </c>
      <c r="D65" s="120">
        <f t="shared" si="17"/>
        <v>0</v>
      </c>
      <c r="E65" s="120">
        <f t="shared" si="17"/>
        <v>0</v>
      </c>
      <c r="G65" s="120">
        <f t="shared" si="18"/>
        <v>30</v>
      </c>
      <c r="H65" s="120" t="e">
        <f t="shared" si="19"/>
        <v>#DIV/0!</v>
      </c>
      <c r="I65" s="120" t="e">
        <f t="shared" si="20"/>
        <v>#DIV/0!</v>
      </c>
      <c r="J65" s="212">
        <f>CEILING('tab kopplaat'!BO15,25)</f>
        <v>300</v>
      </c>
      <c r="K65" s="121" t="str">
        <f t="shared" si="21"/>
        <v>nee</v>
      </c>
      <c r="L65" s="120">
        <f t="shared" si="22"/>
        <v>8</v>
      </c>
      <c r="M65" s="120" t="s">
        <v>107</v>
      </c>
      <c r="O65" s="120">
        <f t="shared" si="23"/>
        <v>600</v>
      </c>
      <c r="P65" s="120">
        <f t="shared" si="24"/>
        <v>40</v>
      </c>
      <c r="U65" s="121">
        <f t="shared" si="25"/>
        <v>9</v>
      </c>
      <c r="W65" s="120" t="s">
        <v>107</v>
      </c>
      <c r="X65" s="121">
        <f t="shared" si="26"/>
        <v>600</v>
      </c>
    </row>
    <row r="66" spans="2:24" x14ac:dyDescent="0.25">
      <c r="B66" s="120">
        <f t="shared" si="17"/>
        <v>0</v>
      </c>
      <c r="C66" s="120" t="str">
        <f t="shared" si="17"/>
        <v>schoor</v>
      </c>
      <c r="D66" s="120">
        <f t="shared" si="17"/>
        <v>0</v>
      </c>
      <c r="E66" s="120">
        <f t="shared" si="17"/>
        <v>0</v>
      </c>
      <c r="G66" s="120">
        <f t="shared" si="18"/>
        <v>30</v>
      </c>
      <c r="H66" s="120" t="e">
        <f t="shared" si="19"/>
        <v>#DIV/0!</v>
      </c>
      <c r="I66" s="120" t="e">
        <f t="shared" si="20"/>
        <v>#DIV/0!</v>
      </c>
      <c r="J66" s="212">
        <f>CEILING('tab kopplaat'!BO16,25)</f>
        <v>300</v>
      </c>
      <c r="K66" s="121" t="str">
        <f t="shared" si="21"/>
        <v>nee</v>
      </c>
      <c r="L66" s="120">
        <f t="shared" si="22"/>
        <v>6</v>
      </c>
      <c r="M66" s="120" t="s">
        <v>107</v>
      </c>
      <c r="O66" s="120">
        <f t="shared" si="23"/>
        <v>500</v>
      </c>
      <c r="P66" s="120">
        <f t="shared" si="24"/>
        <v>40</v>
      </c>
      <c r="U66" s="121">
        <f t="shared" si="25"/>
        <v>9</v>
      </c>
      <c r="W66" s="120" t="s">
        <v>107</v>
      </c>
      <c r="X66" s="121">
        <f t="shared" si="26"/>
        <v>500</v>
      </c>
    </row>
    <row r="67" spans="2:24" x14ac:dyDescent="0.25">
      <c r="B67" s="120">
        <f t="shared" si="17"/>
        <v>0</v>
      </c>
      <c r="C67" s="120" t="str">
        <f t="shared" si="17"/>
        <v>schoor</v>
      </c>
      <c r="D67" s="120">
        <f t="shared" si="17"/>
        <v>0</v>
      </c>
      <c r="E67" s="120">
        <f t="shared" si="17"/>
        <v>0</v>
      </c>
      <c r="G67" s="120">
        <f t="shared" si="18"/>
        <v>30</v>
      </c>
      <c r="H67" s="120" t="e">
        <f t="shared" si="19"/>
        <v>#DIV/0!</v>
      </c>
      <c r="I67" s="120" t="e">
        <f t="shared" si="20"/>
        <v>#DIV/0!</v>
      </c>
      <c r="J67" s="212">
        <f>CEILING('tab kopplaat'!BO17,25)</f>
        <v>300</v>
      </c>
      <c r="K67" s="121" t="str">
        <f t="shared" si="21"/>
        <v>nee</v>
      </c>
      <c r="L67" s="120">
        <f t="shared" si="22"/>
        <v>6</v>
      </c>
      <c r="M67" s="120" t="s">
        <v>107</v>
      </c>
      <c r="O67" s="120">
        <f t="shared" si="23"/>
        <v>500</v>
      </c>
      <c r="P67" s="120">
        <f t="shared" si="24"/>
        <v>40</v>
      </c>
      <c r="U67" s="121">
        <f t="shared" si="25"/>
        <v>9</v>
      </c>
      <c r="W67" s="120" t="s">
        <v>107</v>
      </c>
      <c r="X67" s="121">
        <f t="shared" si="26"/>
        <v>500</v>
      </c>
    </row>
    <row r="68" spans="2:24" x14ac:dyDescent="0.25">
      <c r="B68" s="120">
        <f t="shared" si="17"/>
        <v>0</v>
      </c>
      <c r="C68" s="120" t="str">
        <f t="shared" si="17"/>
        <v>schoor</v>
      </c>
      <c r="D68" s="120">
        <f t="shared" si="17"/>
        <v>0</v>
      </c>
      <c r="E68" s="120">
        <f t="shared" si="17"/>
        <v>0</v>
      </c>
      <c r="G68" s="120">
        <f t="shared" si="18"/>
        <v>30</v>
      </c>
      <c r="H68" s="120" t="e">
        <f t="shared" si="19"/>
        <v>#DIV/0!</v>
      </c>
      <c r="I68" s="120" t="e">
        <f t="shared" si="20"/>
        <v>#DIV/0!</v>
      </c>
      <c r="J68" s="212">
        <f>CEILING('tab kopplaat'!BO18,25)</f>
        <v>300</v>
      </c>
      <c r="K68" s="121" t="str">
        <f t="shared" si="21"/>
        <v>nee</v>
      </c>
      <c r="L68" s="120">
        <f t="shared" si="22"/>
        <v>8</v>
      </c>
      <c r="M68" s="120" t="s">
        <v>107</v>
      </c>
      <c r="O68" s="120">
        <f t="shared" si="23"/>
        <v>600</v>
      </c>
      <c r="P68" s="120">
        <f t="shared" si="24"/>
        <v>40</v>
      </c>
      <c r="U68" s="121">
        <f t="shared" si="25"/>
        <v>9</v>
      </c>
      <c r="W68" s="120" t="s">
        <v>107</v>
      </c>
      <c r="X68" s="121">
        <f t="shared" si="26"/>
        <v>600</v>
      </c>
    </row>
    <row r="69" spans="2:24" x14ac:dyDescent="0.25">
      <c r="B69" s="120">
        <f t="shared" si="17"/>
        <v>0</v>
      </c>
      <c r="C69" s="120" t="str">
        <f t="shared" si="17"/>
        <v>schoor</v>
      </c>
      <c r="D69" s="120">
        <f t="shared" si="17"/>
        <v>0</v>
      </c>
      <c r="E69" s="120">
        <f t="shared" si="17"/>
        <v>0</v>
      </c>
      <c r="G69" s="120">
        <f t="shared" si="18"/>
        <v>30</v>
      </c>
      <c r="H69" s="120" t="e">
        <f t="shared" si="19"/>
        <v>#DIV/0!</v>
      </c>
      <c r="I69" s="120" t="e">
        <f t="shared" si="20"/>
        <v>#DIV/0!</v>
      </c>
      <c r="J69" s="212">
        <f>CEILING('tab kopplaat'!BO19,25)</f>
        <v>300</v>
      </c>
      <c r="K69" s="121" t="str">
        <f t="shared" si="21"/>
        <v>nee</v>
      </c>
      <c r="L69" s="120">
        <f t="shared" si="22"/>
        <v>6</v>
      </c>
      <c r="M69" s="120" t="s">
        <v>107</v>
      </c>
      <c r="O69" s="120">
        <f t="shared" si="23"/>
        <v>500</v>
      </c>
      <c r="P69" s="120">
        <f t="shared" si="24"/>
        <v>40</v>
      </c>
      <c r="U69" s="121">
        <f t="shared" si="25"/>
        <v>9</v>
      </c>
      <c r="W69" s="120" t="s">
        <v>107</v>
      </c>
      <c r="X69" s="121">
        <f t="shared" si="26"/>
        <v>500</v>
      </c>
    </row>
    <row r="70" spans="2:24" x14ac:dyDescent="0.25">
      <c r="B70" s="120">
        <f t="shared" si="17"/>
        <v>0</v>
      </c>
      <c r="C70" s="120" t="str">
        <f t="shared" si="17"/>
        <v>schoor</v>
      </c>
      <c r="D70" s="120">
        <f t="shared" si="17"/>
        <v>0</v>
      </c>
      <c r="E70" s="120">
        <f t="shared" si="17"/>
        <v>0</v>
      </c>
      <c r="G70" s="120">
        <f t="shared" si="18"/>
        <v>30</v>
      </c>
      <c r="H70" s="120" t="e">
        <f t="shared" si="19"/>
        <v>#DIV/0!</v>
      </c>
      <c r="I70" s="120" t="e">
        <f t="shared" si="20"/>
        <v>#DIV/0!</v>
      </c>
      <c r="J70" s="212">
        <f>CEILING('tab kopplaat'!BO20,25)</f>
        <v>300</v>
      </c>
      <c r="K70" s="121" t="str">
        <f t="shared" si="21"/>
        <v>nee</v>
      </c>
      <c r="L70" s="120">
        <f t="shared" si="22"/>
        <v>6</v>
      </c>
      <c r="M70" s="120" t="s">
        <v>107</v>
      </c>
      <c r="O70" s="120">
        <f t="shared" si="23"/>
        <v>500</v>
      </c>
      <c r="P70" s="120">
        <f t="shared" si="24"/>
        <v>40</v>
      </c>
      <c r="U70" s="121">
        <f t="shared" si="25"/>
        <v>9</v>
      </c>
      <c r="W70" s="120" t="s">
        <v>107</v>
      </c>
      <c r="X70" s="121">
        <f t="shared" si="26"/>
        <v>500</v>
      </c>
    </row>
    <row r="71" spans="2:24" x14ac:dyDescent="0.25">
      <c r="B71" s="120">
        <f t="shared" si="17"/>
        <v>0</v>
      </c>
      <c r="C71" s="120" t="str">
        <f t="shared" si="17"/>
        <v>schoor</v>
      </c>
      <c r="D71" s="120">
        <f t="shared" si="17"/>
        <v>0</v>
      </c>
      <c r="E71" s="120">
        <f t="shared" si="17"/>
        <v>0</v>
      </c>
      <c r="G71" s="120">
        <f t="shared" si="18"/>
        <v>30</v>
      </c>
      <c r="H71" s="120" t="e">
        <f t="shared" si="19"/>
        <v>#DIV/0!</v>
      </c>
      <c r="I71" s="120" t="e">
        <f t="shared" si="20"/>
        <v>#DIV/0!</v>
      </c>
      <c r="J71" s="212">
        <f>CEILING('tab kopplaat'!BO21,25)</f>
        <v>300</v>
      </c>
      <c r="K71" s="121" t="str">
        <f t="shared" si="21"/>
        <v>nee</v>
      </c>
      <c r="L71" s="120">
        <f t="shared" si="22"/>
        <v>6</v>
      </c>
      <c r="M71" s="120" t="s">
        <v>107</v>
      </c>
      <c r="O71" s="120">
        <f t="shared" si="23"/>
        <v>500</v>
      </c>
      <c r="P71" s="120">
        <f t="shared" si="24"/>
        <v>40</v>
      </c>
      <c r="U71" s="121">
        <f t="shared" si="25"/>
        <v>9</v>
      </c>
      <c r="W71" s="120" t="s">
        <v>107</v>
      </c>
      <c r="X71" s="121">
        <f t="shared" si="26"/>
        <v>500</v>
      </c>
    </row>
    <row r="72" spans="2:24" x14ac:dyDescent="0.25">
      <c r="B72" s="120">
        <f t="shared" si="17"/>
        <v>0</v>
      </c>
      <c r="C72" s="120" t="str">
        <f t="shared" si="17"/>
        <v>schoor</v>
      </c>
      <c r="D72" s="120">
        <f t="shared" si="17"/>
        <v>0</v>
      </c>
      <c r="E72" s="120">
        <f t="shared" si="17"/>
        <v>0</v>
      </c>
      <c r="G72" s="120">
        <f t="shared" si="18"/>
        <v>25</v>
      </c>
      <c r="H72" s="120" t="e">
        <f t="shared" si="19"/>
        <v>#DIV/0!</v>
      </c>
      <c r="I72" s="120" t="e">
        <f t="shared" si="20"/>
        <v>#DIV/0!</v>
      </c>
      <c r="J72" s="212">
        <f>CEILING('tab kopplaat'!BO22,25)</f>
        <v>300</v>
      </c>
      <c r="K72" s="121" t="str">
        <f t="shared" si="21"/>
        <v>nee</v>
      </c>
      <c r="L72" s="120">
        <f t="shared" si="22"/>
        <v>6</v>
      </c>
      <c r="M72" s="120" t="s">
        <v>107</v>
      </c>
      <c r="O72" s="120">
        <f t="shared" si="23"/>
        <v>500</v>
      </c>
      <c r="P72" s="120">
        <f t="shared" si="24"/>
        <v>35</v>
      </c>
      <c r="U72" s="121">
        <f t="shared" si="25"/>
        <v>6</v>
      </c>
      <c r="W72" s="120" t="s">
        <v>107</v>
      </c>
      <c r="X72" s="121">
        <f t="shared" si="26"/>
        <v>500</v>
      </c>
    </row>
    <row r="73" spans="2:24" x14ac:dyDescent="0.25">
      <c r="B73" s="120">
        <f t="shared" si="17"/>
        <v>0</v>
      </c>
      <c r="C73" s="120" t="str">
        <f t="shared" si="17"/>
        <v>schoor</v>
      </c>
      <c r="D73" s="120">
        <f t="shared" si="17"/>
        <v>0</v>
      </c>
      <c r="E73" s="120">
        <f t="shared" si="17"/>
        <v>0</v>
      </c>
      <c r="G73" s="120">
        <f t="shared" si="18"/>
        <v>25</v>
      </c>
      <c r="H73" s="120" t="e">
        <f t="shared" si="19"/>
        <v>#DIV/0!</v>
      </c>
      <c r="I73" s="120" t="e">
        <f t="shared" si="20"/>
        <v>#DIV/0!</v>
      </c>
      <c r="J73" s="212">
        <f>CEILING('tab kopplaat'!BO23,25)</f>
        <v>300</v>
      </c>
      <c r="K73" s="121" t="str">
        <f t="shared" si="21"/>
        <v>nee</v>
      </c>
      <c r="L73" s="120">
        <f t="shared" si="22"/>
        <v>6</v>
      </c>
      <c r="M73" s="120" t="s">
        <v>107</v>
      </c>
      <c r="O73" s="120">
        <f t="shared" si="23"/>
        <v>500</v>
      </c>
      <c r="P73" s="120">
        <f t="shared" si="24"/>
        <v>35</v>
      </c>
      <c r="U73" s="121">
        <f t="shared" si="25"/>
        <v>6</v>
      </c>
      <c r="W73" s="120" t="s">
        <v>107</v>
      </c>
      <c r="X73" s="121">
        <f t="shared" si="26"/>
        <v>500</v>
      </c>
    </row>
    <row r="74" spans="2:24" x14ac:dyDescent="0.25">
      <c r="B74" s="120">
        <f t="shared" si="17"/>
        <v>0</v>
      </c>
      <c r="C74" s="120" t="str">
        <f t="shared" si="17"/>
        <v>schoor</v>
      </c>
      <c r="D74" s="120">
        <f t="shared" si="17"/>
        <v>0</v>
      </c>
      <c r="E74" s="120">
        <f t="shared" si="17"/>
        <v>0</v>
      </c>
      <c r="G74" s="120">
        <f t="shared" si="18"/>
        <v>25</v>
      </c>
      <c r="H74" s="120" t="e">
        <f t="shared" si="19"/>
        <v>#DIV/0!</v>
      </c>
      <c r="I74" s="120" t="e">
        <f t="shared" si="20"/>
        <v>#DIV/0!</v>
      </c>
      <c r="J74" s="212">
        <f>CEILING('tab kopplaat'!BO24,25)</f>
        <v>300</v>
      </c>
      <c r="K74" s="121" t="str">
        <f t="shared" si="21"/>
        <v>nee</v>
      </c>
      <c r="L74" s="120">
        <f t="shared" si="22"/>
        <v>6</v>
      </c>
      <c r="M74" s="120" t="s">
        <v>107</v>
      </c>
      <c r="O74" s="120">
        <f t="shared" si="23"/>
        <v>500</v>
      </c>
      <c r="P74" s="120">
        <f t="shared" si="24"/>
        <v>35</v>
      </c>
      <c r="U74" s="121">
        <f t="shared" si="25"/>
        <v>6</v>
      </c>
      <c r="W74" s="120" t="s">
        <v>107</v>
      </c>
      <c r="X74" s="121">
        <f t="shared" si="26"/>
        <v>500</v>
      </c>
    </row>
    <row r="75" spans="2:24" x14ac:dyDescent="0.25">
      <c r="B75" s="120">
        <f t="shared" si="17"/>
        <v>0</v>
      </c>
      <c r="C75" s="120" t="str">
        <f t="shared" si="17"/>
        <v>schoor</v>
      </c>
      <c r="D75" s="120">
        <f t="shared" si="17"/>
        <v>0</v>
      </c>
      <c r="E75" s="120">
        <f t="shared" si="17"/>
        <v>0</v>
      </c>
      <c r="G75" s="120">
        <f t="shared" si="18"/>
        <v>25</v>
      </c>
      <c r="H75" s="120" t="e">
        <f t="shared" si="19"/>
        <v>#DIV/0!</v>
      </c>
      <c r="I75" s="120" t="e">
        <f t="shared" si="20"/>
        <v>#DIV/0!</v>
      </c>
      <c r="J75" s="212">
        <f>CEILING('tab kopplaat'!BO25,25)</f>
        <v>300</v>
      </c>
      <c r="K75" s="121" t="str">
        <f t="shared" si="21"/>
        <v>nee</v>
      </c>
      <c r="L75" s="120">
        <f t="shared" si="22"/>
        <v>6</v>
      </c>
      <c r="M75" s="120" t="s">
        <v>107</v>
      </c>
      <c r="O75" s="120">
        <f t="shared" si="23"/>
        <v>500</v>
      </c>
      <c r="P75" s="120">
        <f t="shared" si="24"/>
        <v>35</v>
      </c>
      <c r="U75" s="121">
        <f t="shared" si="25"/>
        <v>6</v>
      </c>
      <c r="W75" s="120" t="s">
        <v>107</v>
      </c>
      <c r="X75" s="121">
        <f t="shared" si="26"/>
        <v>500</v>
      </c>
    </row>
    <row r="76" spans="2:24" x14ac:dyDescent="0.25">
      <c r="B76" s="120" t="e">
        <f>#REF!</f>
        <v>#REF!</v>
      </c>
      <c r="C76" s="120" t="e">
        <f>#REF!</f>
        <v>#REF!</v>
      </c>
      <c r="D76" s="120" t="e">
        <f>#REF!</f>
        <v>#REF!</v>
      </c>
      <c r="E76" s="120" t="e">
        <f>#REF!</f>
        <v>#REF!</v>
      </c>
      <c r="G76" s="120" t="e">
        <f>#REF!</f>
        <v>#REF!</v>
      </c>
      <c r="H76" s="120" t="e">
        <f>CEILING((#REF!/(SIN(MIN(#REF!)*PI()/180))+100),25)</f>
        <v>#REF!</v>
      </c>
      <c r="I76" s="120" t="e">
        <f>CEILING((#REF!/(SIN(MAX(#REF!)*PI()/180))+100),25)</f>
        <v>#REF!</v>
      </c>
      <c r="J76" s="212" t="e">
        <f>CEILING('tab kopplaat'!BO26,25)</f>
        <v>#REF!</v>
      </c>
      <c r="K76" s="121" t="e">
        <f t="shared" si="21"/>
        <v>#REF!</v>
      </c>
      <c r="L76" s="120" t="e">
        <f>#REF!</f>
        <v>#REF!</v>
      </c>
      <c r="M76" s="120" t="s">
        <v>107</v>
      </c>
      <c r="O76" s="120" t="e">
        <f t="shared" si="23"/>
        <v>#REF!</v>
      </c>
      <c r="P76" s="120" t="e">
        <f t="shared" si="24"/>
        <v>#REF!</v>
      </c>
      <c r="U76" s="121" t="e">
        <f>#REF!</f>
        <v>#REF!</v>
      </c>
      <c r="W76" s="120" t="s">
        <v>107</v>
      </c>
      <c r="X76" s="121" t="e">
        <f>#REF!</f>
        <v>#REF!</v>
      </c>
    </row>
    <row r="77" spans="2:24" x14ac:dyDescent="0.25">
      <c r="B77" s="120" t="e">
        <f>#REF!</f>
        <v>#REF!</v>
      </c>
      <c r="C77" s="120" t="e">
        <f>#REF!</f>
        <v>#REF!</v>
      </c>
      <c r="D77" s="120" t="e">
        <f>#REF!</f>
        <v>#REF!</v>
      </c>
      <c r="E77" s="120" t="e">
        <f>#REF!</f>
        <v>#REF!</v>
      </c>
      <c r="G77" s="120" t="e">
        <f>#REF!</f>
        <v>#REF!</v>
      </c>
      <c r="H77" s="120" t="e">
        <f>CEILING((#REF!/(SIN(MIN(#REF!)*PI()/180))+100),25)</f>
        <v>#REF!</v>
      </c>
      <c r="I77" s="120" t="e">
        <f>CEILING((#REF!/(SIN(MAX(#REF!)*PI()/180))+100),25)</f>
        <v>#REF!</v>
      </c>
      <c r="J77" s="212" t="e">
        <f>CEILING('tab kopplaat'!BO27,25)</f>
        <v>#REF!</v>
      </c>
      <c r="K77" s="121" t="e">
        <f t="shared" si="21"/>
        <v>#REF!</v>
      </c>
      <c r="L77" s="120" t="e">
        <f>#REF!</f>
        <v>#REF!</v>
      </c>
      <c r="M77" s="120" t="s">
        <v>107</v>
      </c>
      <c r="O77" s="120" t="e">
        <f t="shared" si="23"/>
        <v>#REF!</v>
      </c>
      <c r="P77" s="120" t="e">
        <f t="shared" si="24"/>
        <v>#REF!</v>
      </c>
      <c r="U77" s="121" t="e">
        <f>#REF!</f>
        <v>#REF!</v>
      </c>
      <c r="W77" s="120" t="s">
        <v>107</v>
      </c>
      <c r="X77" s="121" t="e">
        <f>#REF!</f>
        <v>#REF!</v>
      </c>
    </row>
    <row r="78" spans="2:24" x14ac:dyDescent="0.25">
      <c r="B78" s="120" t="e">
        <f>#REF!</f>
        <v>#REF!</v>
      </c>
      <c r="C78" s="120" t="e">
        <f>#REF!</f>
        <v>#REF!</v>
      </c>
      <c r="D78" s="120" t="e">
        <f>#REF!</f>
        <v>#REF!</v>
      </c>
      <c r="E78" s="120" t="e">
        <f>#REF!</f>
        <v>#REF!</v>
      </c>
      <c r="G78" s="120" t="e">
        <f>#REF!</f>
        <v>#REF!</v>
      </c>
      <c r="H78" s="120" t="e">
        <f>CEILING((#REF!/(SIN(MIN(#REF!)*PI()/180))+100),25)</f>
        <v>#REF!</v>
      </c>
      <c r="I78" s="120" t="e">
        <f>CEILING((#REF!/(SIN(MAX(#REF!)*PI()/180))+100),25)</f>
        <v>#REF!</v>
      </c>
      <c r="J78" s="212" t="e">
        <f>CEILING('tab kopplaat'!BO28,25)</f>
        <v>#REF!</v>
      </c>
      <c r="K78" s="121" t="e">
        <f t="shared" si="21"/>
        <v>#REF!</v>
      </c>
      <c r="L78" s="120" t="e">
        <f>#REF!</f>
        <v>#REF!</v>
      </c>
      <c r="M78" s="120" t="s">
        <v>107</v>
      </c>
      <c r="O78" s="120" t="e">
        <f t="shared" si="23"/>
        <v>#REF!</v>
      </c>
      <c r="P78" s="120" t="e">
        <f t="shared" si="24"/>
        <v>#REF!</v>
      </c>
      <c r="U78" s="121" t="e">
        <f>#REF!</f>
        <v>#REF!</v>
      </c>
      <c r="W78" s="120" t="s">
        <v>107</v>
      </c>
      <c r="X78" s="121" t="e">
        <f>#REF!</f>
        <v>#REF!</v>
      </c>
    </row>
    <row r="79" spans="2:24" x14ac:dyDescent="0.25">
      <c r="B79" s="120" t="e">
        <f>#REF!</f>
        <v>#REF!</v>
      </c>
      <c r="C79" s="120" t="e">
        <f>#REF!</f>
        <v>#REF!</v>
      </c>
      <c r="D79" s="120" t="e">
        <f>#REF!</f>
        <v>#REF!</v>
      </c>
      <c r="E79" s="120" t="e">
        <f>#REF!</f>
        <v>#REF!</v>
      </c>
      <c r="G79" s="120" t="e">
        <f>#REF!</f>
        <v>#REF!</v>
      </c>
      <c r="H79" s="120" t="e">
        <f>CEILING((#REF!/(SIN(MIN(#REF!)*PI()/180))+100),25)</f>
        <v>#REF!</v>
      </c>
      <c r="I79" s="120" t="e">
        <f>CEILING((#REF!/(SIN(MAX(#REF!)*PI()/180))+100),25)</f>
        <v>#REF!</v>
      </c>
      <c r="J79" s="212" t="e">
        <f>CEILING('tab kopplaat'!BO29,25)</f>
        <v>#REF!</v>
      </c>
      <c r="K79" s="121" t="e">
        <f t="shared" si="21"/>
        <v>#REF!</v>
      </c>
      <c r="L79" s="120" t="e">
        <f>#REF!</f>
        <v>#REF!</v>
      </c>
      <c r="M79" s="120" t="s">
        <v>107</v>
      </c>
      <c r="O79" s="120" t="e">
        <f t="shared" si="23"/>
        <v>#REF!</v>
      </c>
      <c r="P79" s="120" t="e">
        <f t="shared" si="24"/>
        <v>#REF!</v>
      </c>
      <c r="U79" s="121" t="e">
        <f>#REF!</f>
        <v>#REF!</v>
      </c>
      <c r="W79" s="120" t="s">
        <v>107</v>
      </c>
      <c r="X79" s="121" t="e">
        <f>#REF!</f>
        <v>#REF!</v>
      </c>
    </row>
    <row r="80" spans="2:24" ht="14.25" customHeight="1" thickBot="1" x14ac:dyDescent="0.3">
      <c r="B80" s="120" t="e">
        <f>#REF!</f>
        <v>#REF!</v>
      </c>
      <c r="C80" s="120" t="e">
        <f>#REF!</f>
        <v>#REF!</v>
      </c>
      <c r="D80" s="120" t="e">
        <f>#REF!</f>
        <v>#REF!</v>
      </c>
      <c r="E80" s="120" t="e">
        <f>#REF!</f>
        <v>#REF!</v>
      </c>
      <c r="G80" s="120" t="e">
        <f>#REF!</f>
        <v>#REF!</v>
      </c>
      <c r="H80" s="120" t="e">
        <f>CEILING((#REF!/(SIN(MIN(#REF!)*PI()/180))+100),25)</f>
        <v>#REF!</v>
      </c>
      <c r="I80" s="120" t="e">
        <f>CEILING((#REF!/(SIN(MAX(#REF!)*PI()/180))+100),25)</f>
        <v>#REF!</v>
      </c>
      <c r="J80" s="213" t="e">
        <f>CEILING('tab kopplaat'!BO30,25)</f>
        <v>#REF!</v>
      </c>
      <c r="K80" s="121" t="e">
        <f t="shared" si="21"/>
        <v>#REF!</v>
      </c>
      <c r="L80" s="120" t="e">
        <f>#REF!</f>
        <v>#REF!</v>
      </c>
      <c r="M80" s="120" t="s">
        <v>107</v>
      </c>
      <c r="O80" s="120" t="e">
        <f t="shared" si="23"/>
        <v>#REF!</v>
      </c>
      <c r="P80" s="120" t="e">
        <f t="shared" si="24"/>
        <v>#REF!</v>
      </c>
      <c r="U80" s="121" t="e">
        <f>#REF!</f>
        <v>#REF!</v>
      </c>
      <c r="W80" s="120" t="s">
        <v>107</v>
      </c>
      <c r="X80" s="121" t="e">
        <f>#REF!</f>
        <v>#REF!</v>
      </c>
    </row>
    <row r="81" spans="10:22" x14ac:dyDescent="0.25">
      <c r="J81" s="120"/>
      <c r="K81" s="120"/>
      <c r="L81" s="120"/>
      <c r="M81" s="120"/>
      <c r="N81" s="120"/>
      <c r="V81" s="120"/>
    </row>
    <row r="82" spans="10:22" x14ac:dyDescent="0.25">
      <c r="J82" s="120"/>
      <c r="K82" s="120"/>
      <c r="L82" s="120"/>
      <c r="M82" s="120"/>
      <c r="N82" s="120"/>
      <c r="V82" s="120"/>
    </row>
    <row r="83" spans="10:22" x14ac:dyDescent="0.25">
      <c r="J83" s="120"/>
      <c r="K83" s="120"/>
      <c r="L83" s="120"/>
      <c r="M83" s="120"/>
      <c r="N83" s="120"/>
      <c r="V83" s="120"/>
    </row>
    <row r="84" spans="10:22" x14ac:dyDescent="0.25">
      <c r="J84" s="120"/>
      <c r="K84" s="120"/>
      <c r="L84" s="120"/>
      <c r="M84" s="120"/>
      <c r="N84" s="120"/>
      <c r="V84" s="120"/>
    </row>
    <row r="85" spans="10:22" x14ac:dyDescent="0.25">
      <c r="J85" s="120"/>
      <c r="K85" s="120"/>
      <c r="L85" s="120"/>
      <c r="M85" s="120"/>
      <c r="N85" s="120"/>
      <c r="V85" s="120"/>
    </row>
    <row r="86" spans="10:22" x14ac:dyDescent="0.25">
      <c r="J86" s="120"/>
      <c r="K86" s="120"/>
      <c r="L86" s="120"/>
      <c r="M86" s="120"/>
      <c r="N86" s="120"/>
      <c r="V86" s="120"/>
    </row>
    <row r="87" spans="10:22" x14ac:dyDescent="0.25">
      <c r="J87" s="120"/>
      <c r="K87" s="120"/>
      <c r="L87" s="120"/>
      <c r="M87" s="120"/>
      <c r="N87" s="120"/>
      <c r="V87" s="120"/>
    </row>
    <row r="88" spans="10:22" x14ac:dyDescent="0.25">
      <c r="J88" s="120"/>
      <c r="K88" s="120"/>
      <c r="L88" s="120"/>
      <c r="M88" s="120"/>
      <c r="N88" s="120"/>
      <c r="V88" s="120"/>
    </row>
    <row r="92" spans="10:22" x14ac:dyDescent="0.25">
      <c r="J92" s="120"/>
      <c r="K92" s="120"/>
      <c r="L92" s="120"/>
      <c r="M92" s="120"/>
      <c r="N92" s="120"/>
      <c r="V92" s="120"/>
    </row>
    <row r="94" spans="10:22" x14ac:dyDescent="0.25">
      <c r="J94" s="120"/>
      <c r="K94" s="120"/>
      <c r="L94" s="120"/>
      <c r="M94" s="120"/>
      <c r="N94" s="120"/>
      <c r="V94" s="120"/>
    </row>
    <row r="95" spans="10:22" x14ac:dyDescent="0.25">
      <c r="J95" s="120"/>
      <c r="K95" s="120"/>
      <c r="L95" s="120"/>
      <c r="M95" s="120"/>
      <c r="N95" s="120"/>
      <c r="V95" s="120"/>
    </row>
  </sheetData>
  <mergeCells count="7">
    <mergeCell ref="Y9:AB9"/>
    <mergeCell ref="AF9:AI9"/>
    <mergeCell ref="H10:I10"/>
    <mergeCell ref="Q9:R9"/>
    <mergeCell ref="O9:P9"/>
    <mergeCell ref="S9:T9"/>
    <mergeCell ref="H9:I9"/>
  </mergeCells>
  <conditionalFormatting sqref="O11:P52 R11:T52 X11:X52">
    <cfRule type="cellIs" dxfId="48" priority="1" operator="greaterThan">
      <formula>1</formula>
    </cfRule>
    <cfRule type="cellIs" dxfId="47" priority="2" operator="lessThan">
      <formula>1</formula>
    </cfRule>
  </conditionalFormatting>
  <conditionalFormatting sqref="AC11:AC52">
    <cfRule type="cellIs" dxfId="46" priority="5" operator="equal">
      <formula>"NIET OK"</formula>
    </cfRule>
  </conditionalFormatting>
  <conditionalFormatting sqref="AE11:AE52">
    <cfRule type="cellIs" dxfId="45" priority="18" operator="lessThan">
      <formula>1</formula>
    </cfRule>
    <cfRule type="cellIs" dxfId="44" priority="20" operator="greaterThan">
      <formula>1</formula>
    </cfRule>
  </conditionalFormatting>
  <conditionalFormatting sqref="AK11:AK52">
    <cfRule type="cellIs" dxfId="43" priority="16" operator="lessThan">
      <formula>1</formula>
    </cfRule>
    <cfRule type="cellIs" dxfId="42" priority="17" operator="greaterThan">
      <formula>1</formula>
    </cfRule>
  </conditionalFormatting>
  <printOptions horizontalCentered="1"/>
  <pageMargins left="0.70866141732283472" right="0.70866141732283472" top="1.377952755905512" bottom="0.70866141732283472" header="0.23622047244094491" footer="0.31496062992125978"/>
  <pageSetup paperSize="9" scale="83" fitToHeight="0" orientation="landscape"/>
  <headerFooter alignWithMargins="0">
    <oddHeader>&amp;C&amp;G&amp;R&amp;"Aptos Narrow,Standaard"
Pagina &amp;P van &amp;N</oddHeader>
    <oddFooter>&amp;L&amp;"-,Vet"&amp;8 &amp;K002C5FENGINEERING EN MONITORING VOOR
GWW EN GEOTECHNIEK &amp;R&amp;"-,Standaard"&amp;8 Op al onze werkzaamheden is DNR 2011 van toepassing.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Y140"/>
  <sheetViews>
    <sheetView view="pageBreakPreview" topLeftCell="A114" zoomScale="115" zoomScaleNormal="100" zoomScaleSheetLayoutView="115" zoomScalePageLayoutView="60" workbookViewId="0">
      <selection activeCell="E60" sqref="E60"/>
    </sheetView>
  </sheetViews>
  <sheetFormatPr defaultColWidth="9.140625" defaultRowHeight="12.75" x14ac:dyDescent="0.2"/>
  <cols>
    <col min="1" max="1" width="30.5703125" style="37" customWidth="1"/>
    <col min="2" max="2" width="21.7109375" style="37" bestFit="1" customWidth="1"/>
    <col min="3" max="3" width="3.42578125" style="37" bestFit="1" customWidth="1"/>
    <col min="4" max="4" width="7.7109375" style="9" bestFit="1" customWidth="1"/>
    <col min="5" max="8" width="12.7109375" style="9" customWidth="1"/>
    <col min="9" max="13" width="12.7109375" style="37" customWidth="1"/>
    <col min="14" max="18" width="9.7109375" style="37" customWidth="1"/>
    <col min="19" max="19" width="9.140625" style="37" customWidth="1"/>
    <col min="20" max="16384" width="9.140625" style="37"/>
  </cols>
  <sheetData>
    <row r="1" spans="1:25" ht="18.75" customHeight="1" x14ac:dyDescent="0.2">
      <c r="A1" s="41" t="s">
        <v>108</v>
      </c>
      <c r="H1" s="37"/>
    </row>
    <row r="2" spans="1:25" ht="15" customHeight="1" x14ac:dyDescent="0.2">
      <c r="A2" s="70"/>
      <c r="B2" s="72"/>
      <c r="E2" s="84" t="s">
        <v>109</v>
      </c>
      <c r="H2" s="84" t="s">
        <v>110</v>
      </c>
      <c r="I2" s="9"/>
      <c r="T2" s="84" t="s">
        <v>109</v>
      </c>
      <c r="U2" s="9"/>
      <c r="V2" s="9"/>
      <c r="W2" s="84" t="s">
        <v>110</v>
      </c>
      <c r="X2" s="9"/>
    </row>
    <row r="3" spans="1:25" ht="15" customHeight="1" x14ac:dyDescent="0.2">
      <c r="A3" s="70" t="s">
        <v>111</v>
      </c>
      <c r="B3" s="72" t="str">
        <f>'C - overzicht'!D3</f>
        <v>H24.0000-1</v>
      </c>
      <c r="E3" s="66" t="s">
        <v>112</v>
      </c>
      <c r="F3" s="44" t="s">
        <v>113</v>
      </c>
      <c r="G3" s="9">
        <v>1.1000000000000001</v>
      </c>
      <c r="H3" s="80" t="s">
        <v>112</v>
      </c>
      <c r="I3" s="44" t="s">
        <v>113</v>
      </c>
      <c r="J3" s="47">
        <v>1</v>
      </c>
      <c r="T3" s="66" t="s">
        <v>112</v>
      </c>
      <c r="U3" s="44" t="s">
        <v>113</v>
      </c>
      <c r="V3" s="9">
        <v>1.1000000000000001</v>
      </c>
      <c r="W3" s="80" t="s">
        <v>112</v>
      </c>
      <c r="X3" s="44" t="s">
        <v>113</v>
      </c>
      <c r="Y3" s="47">
        <v>1</v>
      </c>
    </row>
    <row r="4" spans="1:25" ht="15" customHeight="1" x14ac:dyDescent="0.2">
      <c r="A4" s="70" t="s">
        <v>114</v>
      </c>
      <c r="B4" s="72" t="str">
        <f>'C - overzicht'!D4</f>
        <v>Stempelframe</v>
      </c>
      <c r="E4" s="66" t="s">
        <v>115</v>
      </c>
      <c r="F4" s="44" t="s">
        <v>113</v>
      </c>
      <c r="G4" s="47">
        <v>1</v>
      </c>
      <c r="H4" s="80" t="s">
        <v>115</v>
      </c>
      <c r="I4" s="44" t="s">
        <v>113</v>
      </c>
      <c r="J4" s="47">
        <v>1</v>
      </c>
      <c r="T4" s="66" t="s">
        <v>115</v>
      </c>
      <c r="U4" s="44" t="s">
        <v>113</v>
      </c>
      <c r="V4" s="47">
        <v>1</v>
      </c>
      <c r="W4" s="80" t="s">
        <v>115</v>
      </c>
      <c r="X4" s="44" t="s">
        <v>113</v>
      </c>
      <c r="Y4" s="47">
        <v>1</v>
      </c>
    </row>
    <row r="5" spans="1:25" ht="15" customHeight="1" x14ac:dyDescent="0.2">
      <c r="A5" s="70" t="s">
        <v>116</v>
      </c>
      <c r="B5" s="72" t="str">
        <f>'C - overzicht'!D5</f>
        <v>Amsterdam</v>
      </c>
      <c r="E5" s="66" t="s">
        <v>117</v>
      </c>
      <c r="F5" s="44" t="s">
        <v>113</v>
      </c>
      <c r="G5" s="47">
        <v>1</v>
      </c>
      <c r="H5" s="80" t="s">
        <v>117</v>
      </c>
      <c r="I5" s="44" t="s">
        <v>113</v>
      </c>
      <c r="J5" s="47">
        <v>1</v>
      </c>
      <c r="T5" s="66" t="s">
        <v>117</v>
      </c>
      <c r="U5" s="44" t="s">
        <v>113</v>
      </c>
      <c r="V5" s="47">
        <v>1</v>
      </c>
      <c r="W5" s="80" t="s">
        <v>117</v>
      </c>
      <c r="X5" s="44" t="s">
        <v>113</v>
      </c>
      <c r="Y5" s="47">
        <v>1</v>
      </c>
    </row>
    <row r="6" spans="1:25" ht="15" customHeight="1" x14ac:dyDescent="0.2">
      <c r="A6" s="70" t="s">
        <v>118</v>
      </c>
      <c r="B6" s="219">
        <f ca="1">'C - overzicht'!D6</f>
        <v>45895</v>
      </c>
      <c r="E6" s="10"/>
      <c r="H6" s="10"/>
      <c r="I6" s="9"/>
      <c r="L6" s="9"/>
    </row>
    <row r="8" spans="1:25" ht="12.75" customHeight="1" x14ac:dyDescent="0.2">
      <c r="D8" s="62" t="s">
        <v>119</v>
      </c>
      <c r="E8" s="67" t="str">
        <f>'invoer gording'!B4</f>
        <v>1 t/m 5</v>
      </c>
      <c r="F8" s="67" t="str">
        <f>'invoer gording'!C4</f>
        <v>6 t/m 10</v>
      </c>
      <c r="G8" s="67" t="str">
        <f>'invoer gording'!D4</f>
        <v>11 t/m 15</v>
      </c>
      <c r="H8" s="67" t="str">
        <f>'invoer gording'!E4</f>
        <v>16 t/m 20</v>
      </c>
      <c r="I8" s="67" t="str">
        <f>'invoer gording'!F4</f>
        <v>21 t/m 25</v>
      </c>
      <c r="J8" s="67" t="str">
        <f>'invoer gording'!G4</f>
        <v>26 t/m 30</v>
      </c>
      <c r="K8" s="67" t="str">
        <f>'invoer gording'!H4</f>
        <v>31 t/m 35</v>
      </c>
      <c r="L8" s="67" t="str">
        <f>'invoer gording'!I4</f>
        <v>36 t/m 40</v>
      </c>
      <c r="M8" s="67" t="str">
        <f>'invoer gording'!J4</f>
        <v>41 t/m 45</v>
      </c>
      <c r="N8" s="67"/>
      <c r="O8" s="67"/>
      <c r="P8" s="67"/>
      <c r="Q8" s="67"/>
      <c r="R8" s="67"/>
      <c r="S8" s="67"/>
    </row>
    <row r="9" spans="1:25" ht="12.75" customHeight="1" x14ac:dyDescent="0.2">
      <c r="A9" s="42" t="s">
        <v>120</v>
      </c>
      <c r="D9" s="32" t="s">
        <v>10</v>
      </c>
      <c r="E9" s="67" t="str">
        <f>'invoer gording'!B5</f>
        <v>A</v>
      </c>
      <c r="F9" s="67" t="str">
        <f>'invoer gording'!C5</f>
        <v>B</v>
      </c>
      <c r="G9" s="67" t="str">
        <f>'invoer gording'!D5</f>
        <v>C</v>
      </c>
      <c r="H9" s="67" t="str">
        <f>'invoer gording'!E5</f>
        <v>D</v>
      </c>
      <c r="I9" s="67" t="str">
        <f>'invoer gording'!F5</f>
        <v>E</v>
      </c>
      <c r="J9" s="67" t="str">
        <f>'invoer gording'!G5</f>
        <v>F</v>
      </c>
      <c r="K9" s="67" t="str">
        <f>'invoer gording'!H5</f>
        <v>G</v>
      </c>
      <c r="L9" s="67" t="str">
        <f>'invoer gording'!I5</f>
        <v>H</v>
      </c>
      <c r="M9" s="67" t="str">
        <f>'invoer gording'!J5</f>
        <v>I</v>
      </c>
      <c r="N9" s="67"/>
      <c r="O9" s="67"/>
      <c r="P9" s="67"/>
      <c r="Q9" s="67"/>
      <c r="R9" s="67"/>
      <c r="S9" s="67"/>
    </row>
    <row r="10" spans="1:25" ht="12.75" customHeight="1" x14ac:dyDescent="0.2">
      <c r="A10" s="43" t="s">
        <v>121</v>
      </c>
      <c r="D10" s="10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25" ht="12.75" customHeight="1" x14ac:dyDescent="0.2">
      <c r="A11" s="37" t="s">
        <v>122</v>
      </c>
      <c r="C11" s="37" t="s">
        <v>123</v>
      </c>
      <c r="D11" s="44" t="s">
        <v>113</v>
      </c>
      <c r="E11" s="9">
        <f>'invoer gording'!B11</f>
        <v>235</v>
      </c>
      <c r="F11" s="9">
        <f>'invoer gording'!C11</f>
        <v>235</v>
      </c>
      <c r="G11" s="9">
        <f>'invoer gording'!D11</f>
        <v>235</v>
      </c>
      <c r="H11" s="9">
        <f>'invoer gording'!E11</f>
        <v>235</v>
      </c>
      <c r="I11" s="9">
        <f>'invoer gording'!F11</f>
        <v>235</v>
      </c>
      <c r="J11" s="9">
        <f>'invoer gording'!G11</f>
        <v>235</v>
      </c>
      <c r="K11" s="9">
        <f>'invoer gording'!H11</f>
        <v>235</v>
      </c>
      <c r="L11" s="9">
        <f>'invoer gording'!I11</f>
        <v>235</v>
      </c>
      <c r="M11" s="9">
        <f>'invoer gording'!J11</f>
        <v>235</v>
      </c>
      <c r="N11" s="9"/>
      <c r="O11" s="9"/>
      <c r="P11" s="9"/>
      <c r="Q11" s="9"/>
      <c r="R11" s="9"/>
    </row>
    <row r="12" spans="1:25" ht="12.75" customHeight="1" x14ac:dyDescent="0.2">
      <c r="A12" s="37" t="s">
        <v>124</v>
      </c>
      <c r="B12" s="65" t="s">
        <v>125</v>
      </c>
      <c r="C12" s="37" t="s">
        <v>126</v>
      </c>
      <c r="D12" s="9" t="s">
        <v>127</v>
      </c>
      <c r="E12" s="9">
        <f t="shared" ref="E12:M12" si="0">E11</f>
        <v>235</v>
      </c>
      <c r="F12" s="9">
        <f t="shared" si="0"/>
        <v>235</v>
      </c>
      <c r="G12" s="9">
        <f t="shared" si="0"/>
        <v>235</v>
      </c>
      <c r="H12" s="9">
        <f t="shared" si="0"/>
        <v>235</v>
      </c>
      <c r="I12" s="9">
        <f t="shared" si="0"/>
        <v>235</v>
      </c>
      <c r="J12" s="9">
        <f t="shared" si="0"/>
        <v>235</v>
      </c>
      <c r="K12" s="9">
        <f t="shared" si="0"/>
        <v>235</v>
      </c>
      <c r="L12" s="9">
        <f t="shared" si="0"/>
        <v>235</v>
      </c>
      <c r="M12" s="9">
        <f t="shared" si="0"/>
        <v>235</v>
      </c>
      <c r="N12" s="9"/>
      <c r="O12" s="9"/>
      <c r="P12" s="9"/>
      <c r="Q12" s="9"/>
      <c r="R12" s="9"/>
    </row>
    <row r="13" spans="1:25" ht="12.75" customHeight="1" x14ac:dyDescent="0.2">
      <c r="A13" s="37" t="s">
        <v>128</v>
      </c>
      <c r="B13" s="65" t="s">
        <v>125</v>
      </c>
      <c r="C13" s="37" t="s">
        <v>129</v>
      </c>
      <c r="D13" s="9" t="s">
        <v>127</v>
      </c>
      <c r="E13" s="9">
        <f t="shared" ref="E13:M13" si="1">IF(E11=235,360,IF(E11=275,430,IF(E11=355,510,IF(E11=440,550))))</f>
        <v>360</v>
      </c>
      <c r="F13" s="9">
        <f t="shared" si="1"/>
        <v>360</v>
      </c>
      <c r="G13" s="9">
        <f t="shared" si="1"/>
        <v>360</v>
      </c>
      <c r="H13" s="9">
        <f t="shared" si="1"/>
        <v>360</v>
      </c>
      <c r="I13" s="9">
        <f t="shared" si="1"/>
        <v>360</v>
      </c>
      <c r="J13" s="9">
        <f t="shared" si="1"/>
        <v>360</v>
      </c>
      <c r="K13" s="9">
        <f t="shared" si="1"/>
        <v>360</v>
      </c>
      <c r="L13" s="9">
        <f t="shared" si="1"/>
        <v>360</v>
      </c>
      <c r="M13" s="9">
        <f t="shared" si="1"/>
        <v>360</v>
      </c>
      <c r="N13" s="9"/>
      <c r="O13" s="9"/>
      <c r="P13" s="9"/>
      <c r="Q13" s="9"/>
      <c r="R13" s="9"/>
    </row>
    <row r="14" spans="1:25" ht="12.75" customHeight="1" x14ac:dyDescent="0.2">
      <c r="A14" s="37" t="s">
        <v>130</v>
      </c>
      <c r="B14" s="65" t="s">
        <v>131</v>
      </c>
      <c r="C14" s="37" t="s">
        <v>132</v>
      </c>
      <c r="D14" s="9" t="s">
        <v>127</v>
      </c>
      <c r="E14" s="52">
        <f t="shared" ref="E14:M14" si="2">2.1*10^5</f>
        <v>210000</v>
      </c>
      <c r="F14" s="52">
        <f t="shared" si="2"/>
        <v>210000</v>
      </c>
      <c r="G14" s="52">
        <f t="shared" si="2"/>
        <v>210000</v>
      </c>
      <c r="H14" s="52">
        <f t="shared" si="2"/>
        <v>210000</v>
      </c>
      <c r="I14" s="52">
        <f t="shared" si="2"/>
        <v>210000</v>
      </c>
      <c r="J14" s="52">
        <f t="shared" si="2"/>
        <v>210000</v>
      </c>
      <c r="K14" s="52">
        <f t="shared" si="2"/>
        <v>210000</v>
      </c>
      <c r="L14" s="52">
        <f t="shared" si="2"/>
        <v>210000</v>
      </c>
      <c r="M14" s="52">
        <f t="shared" si="2"/>
        <v>210000</v>
      </c>
      <c r="N14" s="52"/>
      <c r="O14" s="52"/>
      <c r="P14" s="52"/>
      <c r="Q14" s="52"/>
      <c r="R14" s="52"/>
    </row>
    <row r="15" spans="1:25" ht="12.75" customHeight="1" x14ac:dyDescent="0.2">
      <c r="A15" s="45" t="s">
        <v>133</v>
      </c>
      <c r="B15" s="65" t="s">
        <v>134</v>
      </c>
      <c r="D15" s="44" t="s">
        <v>113</v>
      </c>
      <c r="E15" s="47">
        <f t="shared" ref="E15:M15" si="3">SQRT(235/E12)</f>
        <v>1</v>
      </c>
      <c r="F15" s="47">
        <f t="shared" si="3"/>
        <v>1</v>
      </c>
      <c r="G15" s="47">
        <f t="shared" si="3"/>
        <v>1</v>
      </c>
      <c r="H15" s="47">
        <f t="shared" si="3"/>
        <v>1</v>
      </c>
      <c r="I15" s="47">
        <f t="shared" si="3"/>
        <v>1</v>
      </c>
      <c r="J15" s="47">
        <f t="shared" si="3"/>
        <v>1</v>
      </c>
      <c r="K15" s="47">
        <f t="shared" si="3"/>
        <v>1</v>
      </c>
      <c r="L15" s="47">
        <f t="shared" si="3"/>
        <v>1</v>
      </c>
      <c r="M15" s="47">
        <f t="shared" si="3"/>
        <v>1</v>
      </c>
      <c r="N15" s="47"/>
      <c r="O15" s="47"/>
      <c r="P15" s="47"/>
      <c r="Q15" s="47"/>
      <c r="R15" s="47"/>
    </row>
    <row r="16" spans="1:25" ht="12.75" customHeight="1" x14ac:dyDescent="0.2">
      <c r="A16" s="45" t="s">
        <v>135</v>
      </c>
      <c r="B16" s="65" t="s">
        <v>136</v>
      </c>
      <c r="D16" s="44" t="s">
        <v>113</v>
      </c>
      <c r="E16" s="47">
        <f t="shared" ref="E16:M16" si="4">PI()*SQRT((E14/E12))</f>
        <v>93.9129729381402</v>
      </c>
      <c r="F16" s="47">
        <f t="shared" si="4"/>
        <v>93.9129729381402</v>
      </c>
      <c r="G16" s="47">
        <f t="shared" si="4"/>
        <v>93.9129729381402</v>
      </c>
      <c r="H16" s="47">
        <f t="shared" si="4"/>
        <v>93.9129729381402</v>
      </c>
      <c r="I16" s="47">
        <f t="shared" si="4"/>
        <v>93.9129729381402</v>
      </c>
      <c r="J16" s="47">
        <f t="shared" si="4"/>
        <v>93.9129729381402</v>
      </c>
      <c r="K16" s="47">
        <f t="shared" si="4"/>
        <v>93.9129729381402</v>
      </c>
      <c r="L16" s="47">
        <f t="shared" si="4"/>
        <v>93.9129729381402</v>
      </c>
      <c r="M16" s="47">
        <f t="shared" si="4"/>
        <v>93.9129729381402</v>
      </c>
      <c r="N16" s="47"/>
      <c r="O16" s="47"/>
      <c r="P16" s="47"/>
      <c r="Q16" s="47"/>
      <c r="R16" s="47"/>
    </row>
    <row r="17" spans="1:18" ht="12.75" customHeight="1" x14ac:dyDescent="0.2">
      <c r="B17" s="65"/>
      <c r="I17" s="9"/>
      <c r="J17" s="9"/>
      <c r="K17" s="9"/>
      <c r="L17" s="9"/>
      <c r="M17" s="9"/>
    </row>
    <row r="18" spans="1:18" ht="12.75" customHeight="1" x14ac:dyDescent="0.2">
      <c r="A18" s="43" t="s">
        <v>137</v>
      </c>
      <c r="B18" s="65"/>
      <c r="I18" s="9"/>
      <c r="J18" s="9"/>
      <c r="K18" s="9"/>
      <c r="L18" s="9"/>
      <c r="M18" s="9"/>
    </row>
    <row r="19" spans="1:18" ht="12.75" hidden="1" customHeight="1" x14ac:dyDescent="0.2">
      <c r="A19" s="43"/>
      <c r="B19" s="65"/>
      <c r="E19" s="9">
        <f>'invoer gording'!B7</f>
        <v>127</v>
      </c>
      <c r="F19" s="9">
        <f>'invoer gording'!C7</f>
        <v>127</v>
      </c>
      <c r="G19" s="9">
        <f>'invoer gording'!D7</f>
        <v>127</v>
      </c>
      <c r="H19" s="9">
        <f>'invoer gording'!E7</f>
        <v>133</v>
      </c>
      <c r="I19" s="9">
        <f>'invoer gording'!F7</f>
        <v>136</v>
      </c>
      <c r="J19" s="9">
        <f>'invoer gording'!G7</f>
        <v>133</v>
      </c>
      <c r="K19" s="9">
        <f>'invoer gording'!H7</f>
        <v>115</v>
      </c>
      <c r="L19" s="9">
        <f>'invoer gording'!I7</f>
        <v>127</v>
      </c>
      <c r="M19" s="9">
        <f>'invoer gording'!J7</f>
        <v>136</v>
      </c>
    </row>
    <row r="20" spans="1:18" ht="12.75" customHeight="1" x14ac:dyDescent="0.2">
      <c r="A20" s="46" t="s">
        <v>138</v>
      </c>
      <c r="B20" s="65"/>
      <c r="C20" s="63"/>
      <c r="D20" s="55" t="s">
        <v>113</v>
      </c>
      <c r="E20" s="10" t="str">
        <f>VLOOKUP(E19,'tab gording'!$A$4:$O$237,2)</f>
        <v>HEB 600</v>
      </c>
      <c r="F20" s="10" t="str">
        <f>VLOOKUP(F19,'tab gording'!$A$4:$O$237,2)</f>
        <v>HEB 600</v>
      </c>
      <c r="G20" s="10" t="str">
        <f>VLOOKUP(G19,'tab gording'!$A$4:$O$237,2)</f>
        <v>HEB 600</v>
      </c>
      <c r="H20" s="10" t="str">
        <f>VLOOKUP(H19,'tab gording'!$A$4:$O$237,2)</f>
        <v>HEB 700</v>
      </c>
      <c r="I20" s="10" t="str">
        <f>VLOOKUP(I19,'tab gording'!$A$4:$O$237,2)</f>
        <v>HEB 800</v>
      </c>
      <c r="J20" s="10" t="str">
        <f>VLOOKUP(J19,'tab gording'!$A$4:$O$237,2)</f>
        <v>HEB 700</v>
      </c>
      <c r="K20" s="10" t="str">
        <f>VLOOKUP(K19,'tab gording'!$A$4:$O$237,2)</f>
        <v>HEB 400</v>
      </c>
      <c r="L20" s="10" t="str">
        <f>VLOOKUP(L19,'tab gording'!$A$4:$O$237,2)</f>
        <v>HEB 600</v>
      </c>
      <c r="M20" s="10" t="str">
        <f>VLOOKUP(M19,'tab gording'!$A$4:$O$237,2)</f>
        <v>HEB 800</v>
      </c>
      <c r="N20" s="9"/>
      <c r="O20" s="9"/>
      <c r="P20" s="9"/>
      <c r="Q20" s="9"/>
      <c r="R20" s="9"/>
    </row>
    <row r="21" spans="1:18" ht="12.75" customHeight="1" x14ac:dyDescent="0.2">
      <c r="A21" s="46" t="s">
        <v>22</v>
      </c>
      <c r="B21" s="65"/>
      <c r="C21" s="63"/>
      <c r="D21" s="55" t="s">
        <v>139</v>
      </c>
      <c r="E21" s="9">
        <f>'invoer gording'!B10</f>
        <v>1</v>
      </c>
      <c r="F21" s="9">
        <f>'invoer gording'!C10</f>
        <v>1</v>
      </c>
      <c r="G21" s="9">
        <f>'invoer gording'!D10</f>
        <v>1</v>
      </c>
      <c r="H21" s="9">
        <f>'invoer gording'!E10</f>
        <v>1</v>
      </c>
      <c r="I21" s="9">
        <f>'invoer gording'!F10</f>
        <v>1</v>
      </c>
      <c r="J21" s="9">
        <f>'invoer gording'!G10</f>
        <v>1</v>
      </c>
      <c r="K21" s="9">
        <f>'invoer gording'!H10</f>
        <v>1</v>
      </c>
      <c r="L21" s="9">
        <f>'invoer gording'!I10</f>
        <v>1</v>
      </c>
      <c r="M21" s="9">
        <f>'invoer gording'!J10</f>
        <v>1</v>
      </c>
      <c r="N21" s="9"/>
      <c r="O21" s="9"/>
      <c r="P21" s="9"/>
      <c r="Q21" s="9"/>
      <c r="R21" s="9"/>
    </row>
    <row r="22" spans="1:18" ht="12.75" customHeight="1" x14ac:dyDescent="0.2">
      <c r="B22" s="65"/>
      <c r="C22" s="62" t="s">
        <v>140</v>
      </c>
      <c r="D22" s="44" t="s">
        <v>141</v>
      </c>
      <c r="E22" s="9">
        <f>VLOOKUP(E$19,'tab gording'!$A$4:$O$237,3)</f>
        <v>600</v>
      </c>
      <c r="F22" s="9">
        <f>VLOOKUP(F$19,'tab gording'!$A$4:$O$237,3)</f>
        <v>600</v>
      </c>
      <c r="G22" s="9">
        <f>VLOOKUP(G$19,'tab gording'!$A$4:$O$237,3)</f>
        <v>600</v>
      </c>
      <c r="H22" s="9">
        <f>VLOOKUP(H$19,'tab gording'!$A$4:$O$237,3)</f>
        <v>700</v>
      </c>
      <c r="I22" s="9">
        <f>VLOOKUP(I$19,'tab gording'!$A$4:$O$237,3)</f>
        <v>800</v>
      </c>
      <c r="J22" s="9">
        <f>VLOOKUP(J$19,'tab gording'!$A$4:$O$237,3)</f>
        <v>700</v>
      </c>
      <c r="K22" s="9">
        <f>VLOOKUP(K$19,'tab gording'!$A$4:$O$237,3)</f>
        <v>400</v>
      </c>
      <c r="L22" s="9">
        <f>VLOOKUP(L$19,'tab gording'!$A$4:$O$237,3)</f>
        <v>600</v>
      </c>
      <c r="M22" s="9">
        <f>VLOOKUP(M$19,'tab gording'!$A$4:$O$237,3)</f>
        <v>800</v>
      </c>
      <c r="N22" s="9"/>
      <c r="O22" s="9"/>
      <c r="P22" s="9"/>
      <c r="Q22" s="9"/>
      <c r="R22" s="9"/>
    </row>
    <row r="23" spans="1:18" ht="12.75" customHeight="1" x14ac:dyDescent="0.2">
      <c r="B23" s="65"/>
      <c r="C23" s="62" t="s">
        <v>91</v>
      </c>
      <c r="D23" s="44" t="s">
        <v>141</v>
      </c>
      <c r="E23" s="9">
        <f>VLOOKUP(E$19,'tab gording'!$A$4:$O$237,4)</f>
        <v>300</v>
      </c>
      <c r="F23" s="9">
        <f>VLOOKUP(F$19,'tab gording'!$A$4:$O$237,4)</f>
        <v>300</v>
      </c>
      <c r="G23" s="9">
        <f>VLOOKUP(G$19,'tab gording'!$A$4:$O$237,4)</f>
        <v>300</v>
      </c>
      <c r="H23" s="9">
        <f>VLOOKUP(H$19,'tab gording'!$A$4:$O$237,4)</f>
        <v>300</v>
      </c>
      <c r="I23" s="9">
        <f>VLOOKUP(I$19,'tab gording'!$A$4:$O$237,4)</f>
        <v>300</v>
      </c>
      <c r="J23" s="9">
        <f>VLOOKUP(J$19,'tab gording'!$A$4:$O$237,4)</f>
        <v>300</v>
      </c>
      <c r="K23" s="9">
        <f>VLOOKUP(K$19,'tab gording'!$A$4:$O$237,4)</f>
        <v>300</v>
      </c>
      <c r="L23" s="9">
        <f>VLOOKUP(L$19,'tab gording'!$A$4:$O$237,4)</f>
        <v>300</v>
      </c>
      <c r="M23" s="9">
        <f>VLOOKUP(M$19,'tab gording'!$A$4:$O$237,4)</f>
        <v>300</v>
      </c>
      <c r="N23" s="47"/>
      <c r="O23" s="47"/>
      <c r="P23" s="47"/>
      <c r="Q23" s="47"/>
      <c r="R23" s="47"/>
    </row>
    <row r="24" spans="1:18" ht="12.75" customHeight="1" x14ac:dyDescent="0.2">
      <c r="B24" s="65"/>
      <c r="C24" s="62" t="s">
        <v>142</v>
      </c>
      <c r="D24" s="44" t="s">
        <v>141</v>
      </c>
      <c r="E24" s="9">
        <f>VLOOKUP(E$19,'tab gording'!$A$4:$O$237,5)</f>
        <v>15.5</v>
      </c>
      <c r="F24" s="9">
        <f>VLOOKUP(F$19,'tab gording'!$A$4:$O$237,5)</f>
        <v>15.5</v>
      </c>
      <c r="G24" s="9">
        <f>VLOOKUP(G$19,'tab gording'!$A$4:$O$237,5)</f>
        <v>15.5</v>
      </c>
      <c r="H24" s="9">
        <f>VLOOKUP(H$19,'tab gording'!$A$4:$O$237,5)</f>
        <v>17</v>
      </c>
      <c r="I24" s="9">
        <f>VLOOKUP(I$19,'tab gording'!$A$4:$O$237,5)</f>
        <v>17.5</v>
      </c>
      <c r="J24" s="9">
        <f>VLOOKUP(J$19,'tab gording'!$A$4:$O$237,5)</f>
        <v>17</v>
      </c>
      <c r="K24" s="9">
        <f>VLOOKUP(K$19,'tab gording'!$A$4:$O$237,5)</f>
        <v>13.5</v>
      </c>
      <c r="L24" s="9">
        <f>VLOOKUP(L$19,'tab gording'!$A$4:$O$237,5)</f>
        <v>15.5</v>
      </c>
      <c r="M24" s="9">
        <f>VLOOKUP(M$19,'tab gording'!$A$4:$O$237,5)</f>
        <v>17.5</v>
      </c>
      <c r="N24" s="9"/>
      <c r="O24" s="9"/>
      <c r="P24" s="9"/>
      <c r="Q24" s="9"/>
      <c r="R24" s="9"/>
    </row>
    <row r="25" spans="1:18" ht="12.75" customHeight="1" x14ac:dyDescent="0.2">
      <c r="B25" s="65"/>
      <c r="C25" s="62" t="s">
        <v>143</v>
      </c>
      <c r="D25" s="44" t="s">
        <v>141</v>
      </c>
      <c r="E25" s="9">
        <f>VLOOKUP(E$19,'tab gording'!$A$4:$O$237,6)</f>
        <v>30</v>
      </c>
      <c r="F25" s="9">
        <f>VLOOKUP(F$19,'tab gording'!$A$4:$O$237,6)</f>
        <v>30</v>
      </c>
      <c r="G25" s="9">
        <f>VLOOKUP(G$19,'tab gording'!$A$4:$O$237,6)</f>
        <v>30</v>
      </c>
      <c r="H25" s="9">
        <f>VLOOKUP(H$19,'tab gording'!$A$4:$O$237,6)</f>
        <v>32</v>
      </c>
      <c r="I25" s="9">
        <f>VLOOKUP(I$19,'tab gording'!$A$4:$O$237,6)</f>
        <v>33</v>
      </c>
      <c r="J25" s="9">
        <f>VLOOKUP(J$19,'tab gording'!$A$4:$O$237,6)</f>
        <v>32</v>
      </c>
      <c r="K25" s="9">
        <f>VLOOKUP(K$19,'tab gording'!$A$4:$O$237,6)</f>
        <v>24</v>
      </c>
      <c r="L25" s="9">
        <f>VLOOKUP(L$19,'tab gording'!$A$4:$O$237,6)</f>
        <v>30</v>
      </c>
      <c r="M25" s="9">
        <f>VLOOKUP(M$19,'tab gording'!$A$4:$O$237,6)</f>
        <v>33</v>
      </c>
      <c r="N25" s="48"/>
      <c r="O25" s="48"/>
      <c r="P25" s="48"/>
      <c r="Q25" s="48"/>
      <c r="R25" s="48"/>
    </row>
    <row r="26" spans="1:18" ht="12.75" customHeight="1" x14ac:dyDescent="0.2">
      <c r="B26" s="65"/>
      <c r="C26" s="63" t="s">
        <v>144</v>
      </c>
      <c r="D26" s="44" t="s">
        <v>145</v>
      </c>
      <c r="E26" s="9">
        <f>VLOOKUP(E$19,'tab gording'!$A$4:$O$237,7)</f>
        <v>5700000</v>
      </c>
      <c r="F26" s="9">
        <f>VLOOKUP(F$19,'tab gording'!$A$4:$O$237,7)</f>
        <v>5700000</v>
      </c>
      <c r="G26" s="9">
        <f>VLOOKUP(G$19,'tab gording'!$A$4:$O$237,7)</f>
        <v>5700000</v>
      </c>
      <c r="H26" s="9">
        <f>VLOOKUP(H$19,'tab gording'!$A$4:$O$237,7)</f>
        <v>7340000</v>
      </c>
      <c r="I26" s="9">
        <f>VLOOKUP(I$19,'tab gording'!$A$4:$O$237,7)</f>
        <v>8980000</v>
      </c>
      <c r="J26" s="9">
        <f>VLOOKUP(J$19,'tab gording'!$A$4:$O$237,7)</f>
        <v>7340000</v>
      </c>
      <c r="K26" s="9">
        <f>VLOOKUP(K$19,'tab gording'!$A$4:$O$237,7)</f>
        <v>2880000</v>
      </c>
      <c r="L26" s="9">
        <f>VLOOKUP(L$19,'tab gording'!$A$4:$O$237,7)</f>
        <v>5700000</v>
      </c>
      <c r="M26" s="9">
        <f>VLOOKUP(M$19,'tab gording'!$A$4:$O$237,7)</f>
        <v>8980000</v>
      </c>
      <c r="N26" s="48"/>
      <c r="O26" s="48"/>
      <c r="P26" s="48"/>
      <c r="Q26" s="48"/>
      <c r="R26" s="48"/>
    </row>
    <row r="27" spans="1:18" ht="12.75" customHeight="1" x14ac:dyDescent="0.2">
      <c r="B27" s="65"/>
      <c r="C27" s="63" t="s">
        <v>146</v>
      </c>
      <c r="D27" s="44" t="s">
        <v>145</v>
      </c>
      <c r="E27" s="9">
        <f>VLOOKUP(E$19,'tab gording'!$A$4:$O$237,8)</f>
        <v>6426000</v>
      </c>
      <c r="F27" s="9">
        <f>VLOOKUP(F$19,'tab gording'!$A$4:$O$237,8)</f>
        <v>6426000</v>
      </c>
      <c r="G27" s="9">
        <f>VLOOKUP(G$19,'tab gording'!$A$4:$O$237,8)</f>
        <v>6426000</v>
      </c>
      <c r="H27" s="9">
        <f>VLOOKUP(H$19,'tab gording'!$A$4:$O$237,8)</f>
        <v>8328000</v>
      </c>
      <c r="I27" s="9">
        <f>VLOOKUP(I$19,'tab gording'!$A$4:$O$237,8)</f>
        <v>10228000</v>
      </c>
      <c r="J27" s="9">
        <f>VLOOKUP(J$19,'tab gording'!$A$4:$O$237,8)</f>
        <v>8328000</v>
      </c>
      <c r="K27" s="9">
        <f>VLOOKUP(K$19,'tab gording'!$A$4:$O$237,8)</f>
        <v>3232000</v>
      </c>
      <c r="L27" s="9">
        <f>VLOOKUP(L$19,'tab gording'!$A$4:$O$237,8)</f>
        <v>6426000</v>
      </c>
      <c r="M27" s="9">
        <f>VLOOKUP(M$19,'tab gording'!$A$4:$O$237,8)</f>
        <v>10228000</v>
      </c>
      <c r="N27" s="48"/>
      <c r="O27" s="48"/>
      <c r="P27" s="48"/>
      <c r="Q27" s="48"/>
      <c r="R27" s="48"/>
    </row>
    <row r="28" spans="1:18" ht="12.75" customHeight="1" x14ac:dyDescent="0.2">
      <c r="B28" s="65"/>
      <c r="C28" s="62" t="s">
        <v>11</v>
      </c>
      <c r="D28" s="55" t="s">
        <v>147</v>
      </c>
      <c r="E28" s="9">
        <f>VLOOKUP(E$19,'tab gording'!$A$4:$O$237,11)</f>
        <v>27000</v>
      </c>
      <c r="F28" s="9">
        <f>VLOOKUP(F$19,'tab gording'!$A$4:$O$237,11)</f>
        <v>27000</v>
      </c>
      <c r="G28" s="9">
        <f>VLOOKUP(G$19,'tab gording'!$A$4:$O$237,11)</f>
        <v>27000</v>
      </c>
      <c r="H28" s="9">
        <f>VLOOKUP(H$19,'tab gording'!$A$4:$O$237,11)</f>
        <v>30640</v>
      </c>
      <c r="I28" s="9">
        <f>VLOOKUP(I$19,'tab gording'!$A$4:$O$237,11)</f>
        <v>33400</v>
      </c>
      <c r="J28" s="9">
        <f>VLOOKUP(J$19,'tab gording'!$A$4:$O$237,11)</f>
        <v>30640</v>
      </c>
      <c r="K28" s="9">
        <f>VLOOKUP(K$19,'tab gording'!$A$4:$O$237,11)</f>
        <v>19780</v>
      </c>
      <c r="L28" s="9">
        <f>VLOOKUP(L$19,'tab gording'!$A$4:$O$237,11)</f>
        <v>27000</v>
      </c>
      <c r="M28" s="9">
        <f>VLOOKUP(M$19,'tab gording'!$A$4:$O$237,11)</f>
        <v>33400</v>
      </c>
      <c r="N28" s="47"/>
      <c r="O28" s="47"/>
      <c r="P28" s="47"/>
      <c r="Q28" s="47"/>
      <c r="R28" s="47"/>
    </row>
    <row r="29" spans="1:18" ht="12.75" customHeight="1" x14ac:dyDescent="0.2">
      <c r="A29" s="46"/>
      <c r="B29" s="65"/>
      <c r="C29" s="62" t="s">
        <v>148</v>
      </c>
      <c r="D29" s="55" t="s">
        <v>141</v>
      </c>
      <c r="E29" s="9">
        <f>VLOOKUP(E$19,'tab gording'!$A$4:$O$237,12)</f>
        <v>27</v>
      </c>
      <c r="F29" s="9">
        <f>VLOOKUP(F$19,'tab gording'!$A$4:$O$237,12)</f>
        <v>27</v>
      </c>
      <c r="G29" s="9">
        <f>VLOOKUP(G$19,'tab gording'!$A$4:$O$237,12)</f>
        <v>27</v>
      </c>
      <c r="H29" s="9">
        <f>VLOOKUP(H$19,'tab gording'!$A$4:$O$237,12)</f>
        <v>27</v>
      </c>
      <c r="I29" s="9">
        <f>VLOOKUP(I$19,'tab gording'!$A$4:$O$237,12)</f>
        <v>30</v>
      </c>
      <c r="J29" s="9">
        <f>VLOOKUP(J$19,'tab gording'!$A$4:$O$237,12)</f>
        <v>27</v>
      </c>
      <c r="K29" s="9">
        <f>VLOOKUP(K$19,'tab gording'!$A$4:$O$237,12)</f>
        <v>27</v>
      </c>
      <c r="L29" s="9">
        <f>VLOOKUP(L$19,'tab gording'!$A$4:$O$237,12)</f>
        <v>27</v>
      </c>
      <c r="M29" s="9">
        <f>VLOOKUP(M$19,'tab gording'!$A$4:$O$237,12)</f>
        <v>30</v>
      </c>
      <c r="N29" s="9"/>
      <c r="O29" s="9"/>
      <c r="P29" s="9"/>
      <c r="Q29" s="9"/>
      <c r="R29" s="9"/>
    </row>
    <row r="30" spans="1:18" ht="12.75" customHeight="1" x14ac:dyDescent="0.2">
      <c r="A30" s="46"/>
      <c r="B30" s="65"/>
      <c r="C30" s="62" t="s">
        <v>149</v>
      </c>
      <c r="D30" s="55" t="s">
        <v>150</v>
      </c>
      <c r="E30" s="9">
        <f>VLOOKUP(E$19,'tab gording'!$A$4:$O$237,13)</f>
        <v>1710000000</v>
      </c>
      <c r="F30" s="9">
        <f>VLOOKUP(F$19,'tab gording'!$A$4:$O$237,13)</f>
        <v>1710000000</v>
      </c>
      <c r="G30" s="9">
        <f>VLOOKUP(G$19,'tab gording'!$A$4:$O$237,13)</f>
        <v>1710000000</v>
      </c>
      <c r="H30" s="9">
        <f>VLOOKUP(H$19,'tab gording'!$A$4:$O$237,13)</f>
        <v>2568999900</v>
      </c>
      <c r="I30" s="9">
        <f>VLOOKUP(I$19,'tab gording'!$A$4:$O$237,13)</f>
        <v>3591000000</v>
      </c>
      <c r="J30" s="9">
        <f>VLOOKUP(J$19,'tab gording'!$A$4:$O$237,13)</f>
        <v>2568999900</v>
      </c>
      <c r="K30" s="9">
        <f>VLOOKUP(K$19,'tab gording'!$A$4:$O$237,13)</f>
        <v>576800000</v>
      </c>
      <c r="L30" s="9">
        <f>VLOOKUP(L$19,'tab gording'!$A$4:$O$237,13)</f>
        <v>1710000000</v>
      </c>
      <c r="M30" s="9">
        <f>VLOOKUP(M$19,'tab gording'!$A$4:$O$237,13)</f>
        <v>3591000000</v>
      </c>
      <c r="N30" s="9"/>
      <c r="O30" s="9"/>
      <c r="P30" s="9"/>
      <c r="Q30" s="9"/>
      <c r="R30" s="9"/>
    </row>
    <row r="31" spans="1:18" ht="12.75" customHeight="1" x14ac:dyDescent="0.2">
      <c r="A31" s="46"/>
      <c r="B31" s="65"/>
      <c r="C31" s="62" t="s">
        <v>17</v>
      </c>
      <c r="D31" s="55" t="s">
        <v>151</v>
      </c>
      <c r="E31" s="53">
        <f>VLOOKUP(E$19,'tab gording'!$A$4:$O$237,15)</f>
        <v>2.1190000000000002</v>
      </c>
      <c r="F31" s="53">
        <f>VLOOKUP(F$19,'tab gording'!$A$4:$O$237,15)</f>
        <v>2.1190000000000002</v>
      </c>
      <c r="G31" s="53">
        <f>VLOOKUP(G$19,'tab gording'!$A$4:$O$237,15)</f>
        <v>2.1190000000000002</v>
      </c>
      <c r="H31" s="53">
        <f>VLOOKUP(H$19,'tab gording'!$A$4:$O$237,15)</f>
        <v>2.4049999999999998</v>
      </c>
      <c r="I31" s="53">
        <f>VLOOKUP(I$19,'tab gording'!$A$4:$O$237,15)</f>
        <v>2.6230000000000002</v>
      </c>
      <c r="J31" s="53">
        <f>VLOOKUP(J$19,'tab gording'!$A$4:$O$237,15)</f>
        <v>2.4049999999999998</v>
      </c>
      <c r="K31" s="53">
        <f>VLOOKUP(K$19,'tab gording'!$A$4:$O$237,15)</f>
        <v>1.5529999999999999</v>
      </c>
      <c r="L31" s="53">
        <f>VLOOKUP(L$19,'tab gording'!$A$4:$O$237,15)</f>
        <v>2.1190000000000002</v>
      </c>
      <c r="M31" s="53">
        <f>VLOOKUP(M$19,'tab gording'!$A$4:$O$237,15)</f>
        <v>2.6230000000000002</v>
      </c>
      <c r="N31" s="9"/>
      <c r="O31" s="9"/>
      <c r="P31" s="9"/>
      <c r="Q31" s="9"/>
      <c r="R31" s="9"/>
    </row>
    <row r="32" spans="1:18" ht="12.75" customHeight="1" x14ac:dyDescent="0.2">
      <c r="A32" s="46"/>
      <c r="B32" s="65"/>
      <c r="C32" s="62" t="s">
        <v>152</v>
      </c>
      <c r="D32" s="55" t="s">
        <v>141</v>
      </c>
      <c r="E32" s="9">
        <f t="shared" ref="E32:M32" si="5">E22-E25-E25</f>
        <v>540</v>
      </c>
      <c r="F32" s="9">
        <f t="shared" si="5"/>
        <v>540</v>
      </c>
      <c r="G32" s="9">
        <f t="shared" si="5"/>
        <v>540</v>
      </c>
      <c r="H32" s="9">
        <f t="shared" si="5"/>
        <v>636</v>
      </c>
      <c r="I32" s="9">
        <f t="shared" si="5"/>
        <v>734</v>
      </c>
      <c r="J32" s="9">
        <f t="shared" si="5"/>
        <v>636</v>
      </c>
      <c r="K32" s="9">
        <f t="shared" si="5"/>
        <v>352</v>
      </c>
      <c r="L32" s="9">
        <f t="shared" si="5"/>
        <v>540</v>
      </c>
      <c r="M32" s="9">
        <f t="shared" si="5"/>
        <v>734</v>
      </c>
      <c r="N32" s="9"/>
      <c r="O32" s="9"/>
      <c r="P32" s="9"/>
      <c r="Q32" s="9"/>
      <c r="R32" s="9"/>
    </row>
    <row r="33" spans="1:18" ht="12.75" customHeight="1" x14ac:dyDescent="0.2">
      <c r="A33" s="46"/>
      <c r="B33" s="65"/>
      <c r="C33" s="62" t="s">
        <v>153</v>
      </c>
      <c r="D33" s="55" t="s">
        <v>147</v>
      </c>
      <c r="E33" s="9">
        <f t="shared" ref="E33:M33" si="6">E28-(2*E23*E25)+((E24+2*E29)*E25)</f>
        <v>11085</v>
      </c>
      <c r="F33" s="9">
        <f t="shared" si="6"/>
        <v>11085</v>
      </c>
      <c r="G33" s="9">
        <f t="shared" si="6"/>
        <v>11085</v>
      </c>
      <c r="H33" s="9">
        <f t="shared" si="6"/>
        <v>13712</v>
      </c>
      <c r="I33" s="9">
        <f t="shared" si="6"/>
        <v>16157.5</v>
      </c>
      <c r="J33" s="9">
        <f t="shared" si="6"/>
        <v>13712</v>
      </c>
      <c r="K33" s="9">
        <f t="shared" si="6"/>
        <v>7000</v>
      </c>
      <c r="L33" s="9">
        <f t="shared" si="6"/>
        <v>11085</v>
      </c>
      <c r="M33" s="9">
        <f t="shared" si="6"/>
        <v>16157.5</v>
      </c>
      <c r="N33" s="9"/>
      <c r="O33" s="9"/>
      <c r="P33" s="9"/>
      <c r="Q33" s="9"/>
      <c r="R33" s="9"/>
    </row>
    <row r="34" spans="1:18" ht="12.75" customHeight="1" x14ac:dyDescent="0.2">
      <c r="A34" s="46"/>
      <c r="B34" s="65"/>
      <c r="C34" s="62" t="s">
        <v>154</v>
      </c>
      <c r="D34" s="55" t="s">
        <v>147</v>
      </c>
      <c r="E34" s="9">
        <f t="shared" ref="E34:M34" si="7">E23*E25</f>
        <v>9000</v>
      </c>
      <c r="F34" s="9">
        <f t="shared" si="7"/>
        <v>9000</v>
      </c>
      <c r="G34" s="9">
        <f t="shared" si="7"/>
        <v>9000</v>
      </c>
      <c r="H34" s="9">
        <f t="shared" si="7"/>
        <v>9600</v>
      </c>
      <c r="I34" s="9">
        <f t="shared" si="7"/>
        <v>9900</v>
      </c>
      <c r="J34" s="9">
        <f t="shared" si="7"/>
        <v>9600</v>
      </c>
      <c r="K34" s="9">
        <f t="shared" si="7"/>
        <v>7200</v>
      </c>
      <c r="L34" s="9">
        <f t="shared" si="7"/>
        <v>9000</v>
      </c>
      <c r="M34" s="9">
        <f t="shared" si="7"/>
        <v>9900</v>
      </c>
      <c r="N34" s="9"/>
      <c r="O34" s="9"/>
      <c r="P34" s="9"/>
      <c r="Q34" s="9"/>
      <c r="R34" s="9"/>
    </row>
    <row r="35" spans="1:18" ht="12.75" customHeight="1" x14ac:dyDescent="0.2">
      <c r="A35" s="46"/>
      <c r="B35" s="65"/>
      <c r="C35" s="62" t="s">
        <v>155</v>
      </c>
      <c r="D35" s="55" t="s">
        <v>147</v>
      </c>
      <c r="E35" s="9">
        <f t="shared" ref="E35:M35" si="8">E24*E32</f>
        <v>8370</v>
      </c>
      <c r="F35" s="9">
        <f t="shared" si="8"/>
        <v>8370</v>
      </c>
      <c r="G35" s="9">
        <f t="shared" si="8"/>
        <v>8370</v>
      </c>
      <c r="H35" s="9">
        <f t="shared" si="8"/>
        <v>10812</v>
      </c>
      <c r="I35" s="9">
        <f t="shared" si="8"/>
        <v>12845</v>
      </c>
      <c r="J35" s="9">
        <f t="shared" si="8"/>
        <v>10812</v>
      </c>
      <c r="K35" s="9">
        <f t="shared" si="8"/>
        <v>4752</v>
      </c>
      <c r="L35" s="9">
        <f t="shared" si="8"/>
        <v>8370</v>
      </c>
      <c r="M35" s="9">
        <f t="shared" si="8"/>
        <v>12845</v>
      </c>
      <c r="N35" s="9"/>
      <c r="O35" s="9"/>
      <c r="P35" s="9"/>
      <c r="Q35" s="9"/>
      <c r="R35" s="9"/>
    </row>
    <row r="36" spans="1:18" ht="12.75" customHeight="1" x14ac:dyDescent="0.2">
      <c r="A36" s="46"/>
      <c r="B36" s="65"/>
      <c r="C36" s="62" t="s">
        <v>156</v>
      </c>
      <c r="D36" s="55" t="s">
        <v>113</v>
      </c>
      <c r="E36" s="53">
        <f t="shared" ref="E36:M36" si="9">E22/E23</f>
        <v>2</v>
      </c>
      <c r="F36" s="53">
        <f t="shared" si="9"/>
        <v>2</v>
      </c>
      <c r="G36" s="53">
        <f t="shared" si="9"/>
        <v>2</v>
      </c>
      <c r="H36" s="53">
        <f t="shared" si="9"/>
        <v>2.3333333333333335</v>
      </c>
      <c r="I36" s="53">
        <f t="shared" si="9"/>
        <v>2.6666666666666665</v>
      </c>
      <c r="J36" s="53">
        <f t="shared" si="9"/>
        <v>2.3333333333333335</v>
      </c>
      <c r="K36" s="53">
        <f t="shared" si="9"/>
        <v>1.3333333333333333</v>
      </c>
      <c r="L36" s="53">
        <f t="shared" si="9"/>
        <v>2</v>
      </c>
      <c r="M36" s="53">
        <f t="shared" si="9"/>
        <v>2.6666666666666665</v>
      </c>
      <c r="N36" s="9"/>
      <c r="O36" s="9"/>
      <c r="P36" s="9"/>
      <c r="Q36" s="9"/>
      <c r="R36" s="9"/>
    </row>
    <row r="37" spans="1:18" ht="12.75" customHeight="1" x14ac:dyDescent="0.2">
      <c r="A37" s="46"/>
      <c r="B37" s="65"/>
      <c r="C37" s="46"/>
      <c r="D37" s="55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ht="12.75" customHeight="1" x14ac:dyDescent="0.2">
      <c r="A38" s="43" t="s">
        <v>157</v>
      </c>
      <c r="B38" s="65"/>
      <c r="I38" s="9"/>
      <c r="J38" s="9"/>
      <c r="K38" s="9"/>
      <c r="L38" s="9"/>
      <c r="M38" s="9"/>
    </row>
    <row r="39" spans="1:18" ht="12.75" customHeight="1" x14ac:dyDescent="0.2">
      <c r="A39" s="46" t="s">
        <v>158</v>
      </c>
      <c r="B39" s="65"/>
      <c r="D39" s="20" t="s">
        <v>113</v>
      </c>
      <c r="E39" s="53">
        <f t="shared" ref="E39:M39" si="10">(E22-E25-E25-E29-E29)/E24/E15</f>
        <v>31.35483870967742</v>
      </c>
      <c r="F39" s="53">
        <f t="shared" si="10"/>
        <v>31.35483870967742</v>
      </c>
      <c r="G39" s="53">
        <f t="shared" si="10"/>
        <v>31.35483870967742</v>
      </c>
      <c r="H39" s="53">
        <f t="shared" si="10"/>
        <v>34.235294117647058</v>
      </c>
      <c r="I39" s="53">
        <f t="shared" si="10"/>
        <v>38.514285714285712</v>
      </c>
      <c r="J39" s="53">
        <f t="shared" si="10"/>
        <v>34.235294117647058</v>
      </c>
      <c r="K39" s="53">
        <f t="shared" si="10"/>
        <v>22.074074074074073</v>
      </c>
      <c r="L39" s="53">
        <f t="shared" si="10"/>
        <v>31.35483870967742</v>
      </c>
      <c r="M39" s="53">
        <f t="shared" si="10"/>
        <v>38.514285714285712</v>
      </c>
      <c r="N39" s="9"/>
      <c r="O39" s="9"/>
      <c r="P39" s="9"/>
      <c r="Q39" s="9"/>
      <c r="R39" s="9"/>
    </row>
    <row r="40" spans="1:18" ht="12.75" customHeight="1" x14ac:dyDescent="0.2">
      <c r="A40" s="46" t="s">
        <v>159</v>
      </c>
      <c r="B40" s="65"/>
      <c r="D40" s="20" t="s">
        <v>113</v>
      </c>
      <c r="E40" s="53">
        <f t="shared" ref="E40:M40" si="11">(E23/2-(E24/2)-E29)/E25/E15</f>
        <v>3.8416666666666668</v>
      </c>
      <c r="F40" s="53">
        <f t="shared" si="11"/>
        <v>3.8416666666666668</v>
      </c>
      <c r="G40" s="53">
        <f t="shared" si="11"/>
        <v>3.8416666666666668</v>
      </c>
      <c r="H40" s="53">
        <f t="shared" si="11"/>
        <v>3.578125</v>
      </c>
      <c r="I40" s="53">
        <f t="shared" si="11"/>
        <v>3.3712121212121211</v>
      </c>
      <c r="J40" s="53">
        <f t="shared" si="11"/>
        <v>3.578125</v>
      </c>
      <c r="K40" s="53">
        <f t="shared" si="11"/>
        <v>4.84375</v>
      </c>
      <c r="L40" s="53">
        <f t="shared" si="11"/>
        <v>3.8416666666666668</v>
      </c>
      <c r="M40" s="53">
        <f t="shared" si="11"/>
        <v>3.3712121212121211</v>
      </c>
      <c r="N40" s="47"/>
      <c r="O40" s="47"/>
      <c r="P40" s="47"/>
      <c r="Q40" s="47"/>
      <c r="R40" s="47"/>
    </row>
    <row r="41" spans="1:18" ht="12.75" customHeight="1" x14ac:dyDescent="0.2">
      <c r="A41" s="46" t="s">
        <v>160</v>
      </c>
      <c r="B41" s="65" t="s">
        <v>161</v>
      </c>
      <c r="D41" s="56" t="s">
        <v>113</v>
      </c>
      <c r="E41" s="9" t="str">
        <f t="shared" ref="E41:M41" si="12">IF(AND(E36&gt;1.2,E25&lt;40),"a",IF(AND(E36&gt;1.2,E25&gt;40,E25&lt;100),"b",IF(AND(E36&lt;1.2,E25&lt;100),"b",IF(AND(E36&lt;1.2,E25&gt;100),"d"))))</f>
        <v>a</v>
      </c>
      <c r="F41" s="9" t="str">
        <f t="shared" si="12"/>
        <v>a</v>
      </c>
      <c r="G41" s="9" t="str">
        <f t="shared" si="12"/>
        <v>a</v>
      </c>
      <c r="H41" s="9" t="str">
        <f t="shared" si="12"/>
        <v>a</v>
      </c>
      <c r="I41" s="9" t="str">
        <f t="shared" si="12"/>
        <v>a</v>
      </c>
      <c r="J41" s="9" t="str">
        <f t="shared" si="12"/>
        <v>a</v>
      </c>
      <c r="K41" s="9" t="str">
        <f t="shared" si="12"/>
        <v>a</v>
      </c>
      <c r="L41" s="9" t="str">
        <f t="shared" si="12"/>
        <v>a</v>
      </c>
      <c r="M41" s="9" t="str">
        <f t="shared" si="12"/>
        <v>a</v>
      </c>
      <c r="N41" s="9"/>
      <c r="O41" s="9"/>
      <c r="P41" s="9"/>
      <c r="Q41" s="9"/>
      <c r="R41" s="9"/>
    </row>
    <row r="42" spans="1:18" ht="12.75" customHeight="1" x14ac:dyDescent="0.2">
      <c r="A42" s="54" t="s">
        <v>162</v>
      </c>
      <c r="B42" s="65" t="s">
        <v>161</v>
      </c>
      <c r="D42" s="56" t="s">
        <v>113</v>
      </c>
      <c r="E42" s="9" t="str">
        <f t="shared" ref="E42:M42" si="13">IF(AND(E36&gt;1.2,E25&lt;40),"b",IF(AND(E36&gt;1.2,E25&gt;40,E25&lt;100),"c",IF(AND(E36&lt;1.2,E25&lt;100),"c",IF(AND(E36&lt;1.2,E25&gt;100),"d"))))</f>
        <v>b</v>
      </c>
      <c r="F42" s="9" t="str">
        <f t="shared" si="13"/>
        <v>b</v>
      </c>
      <c r="G42" s="9" t="str">
        <f t="shared" si="13"/>
        <v>b</v>
      </c>
      <c r="H42" s="9" t="str">
        <f t="shared" si="13"/>
        <v>b</v>
      </c>
      <c r="I42" s="9" t="str">
        <f t="shared" si="13"/>
        <v>b</v>
      </c>
      <c r="J42" s="9" t="str">
        <f t="shared" si="13"/>
        <v>b</v>
      </c>
      <c r="K42" s="9" t="str">
        <f t="shared" si="13"/>
        <v>b</v>
      </c>
      <c r="L42" s="9" t="str">
        <f t="shared" si="13"/>
        <v>b</v>
      </c>
      <c r="M42" s="9" t="str">
        <f t="shared" si="13"/>
        <v>b</v>
      </c>
      <c r="N42" s="9"/>
      <c r="O42" s="9"/>
      <c r="P42" s="9"/>
      <c r="Q42" s="9"/>
      <c r="R42" s="9"/>
    </row>
    <row r="43" spans="1:18" ht="12.75" customHeight="1" x14ac:dyDescent="0.2">
      <c r="A43" s="46" t="s">
        <v>163</v>
      </c>
      <c r="D43" s="56" t="s">
        <v>113</v>
      </c>
      <c r="E43" s="9">
        <f t="shared" ref="E43:M43" si="14">IF(AND(E$39&lt;72,E$39&lt;83,E$39&lt;124),1,IF(AND(E$39&gt;72,E$39&lt;83,E$39&lt;124),2,IF(AND(E$39&gt;72,E$39&gt;83,E$39&lt;124),3,IF(E$39&gt;124,4))))</f>
        <v>1</v>
      </c>
      <c r="F43" s="9">
        <f t="shared" si="14"/>
        <v>1</v>
      </c>
      <c r="G43" s="9">
        <f t="shared" si="14"/>
        <v>1</v>
      </c>
      <c r="H43" s="9">
        <f t="shared" si="14"/>
        <v>1</v>
      </c>
      <c r="I43" s="9">
        <f t="shared" si="14"/>
        <v>1</v>
      </c>
      <c r="J43" s="9">
        <f t="shared" si="14"/>
        <v>1</v>
      </c>
      <c r="K43" s="9">
        <f t="shared" si="14"/>
        <v>1</v>
      </c>
      <c r="L43" s="9">
        <f t="shared" si="14"/>
        <v>1</v>
      </c>
      <c r="M43" s="9">
        <f t="shared" si="14"/>
        <v>1</v>
      </c>
      <c r="N43" s="9"/>
      <c r="O43" s="9"/>
      <c r="P43" s="9"/>
      <c r="Q43" s="9"/>
      <c r="R43" s="9"/>
    </row>
    <row r="44" spans="1:18" ht="12.75" customHeight="1" x14ac:dyDescent="0.2">
      <c r="A44" s="46" t="s">
        <v>164</v>
      </c>
      <c r="D44" s="56" t="s">
        <v>113</v>
      </c>
      <c r="E44" s="9">
        <f t="shared" ref="E44:M44" si="15">IF(AND(E$39&lt;33,E$39&lt;38,E$39&lt;42),1,IF(AND(E$39&gt;33,E$39&lt;38,E$39&lt;42),2,IF(AND(E$39&gt;33,E$39&gt;38,E$39&lt;42),3,IF(E$39&gt;42,4))))</f>
        <v>1</v>
      </c>
      <c r="F44" s="9">
        <f t="shared" si="15"/>
        <v>1</v>
      </c>
      <c r="G44" s="9">
        <f t="shared" si="15"/>
        <v>1</v>
      </c>
      <c r="H44" s="9">
        <f t="shared" si="15"/>
        <v>2</v>
      </c>
      <c r="I44" s="9">
        <f t="shared" si="15"/>
        <v>3</v>
      </c>
      <c r="J44" s="9">
        <f t="shared" si="15"/>
        <v>2</v>
      </c>
      <c r="K44" s="9">
        <f t="shared" si="15"/>
        <v>1</v>
      </c>
      <c r="L44" s="9">
        <f t="shared" si="15"/>
        <v>1</v>
      </c>
      <c r="M44" s="9">
        <f t="shared" si="15"/>
        <v>3</v>
      </c>
      <c r="N44" s="9"/>
      <c r="O44" s="9"/>
      <c r="P44" s="9"/>
      <c r="Q44" s="9"/>
      <c r="R44" s="9"/>
    </row>
    <row r="45" spans="1:18" ht="12.75" customHeight="1" x14ac:dyDescent="0.2">
      <c r="A45" s="46" t="s">
        <v>165</v>
      </c>
      <c r="D45" s="56" t="s">
        <v>113</v>
      </c>
      <c r="E45" s="9">
        <f t="shared" ref="E45:M45" si="16">IF(AND(E46&lt;E47,E46&lt;E48),1,IF(AND(E46&gt;51,E46&lt;E48),2,IF(AND(E46&lt;51,E46&gt;E48),2,IF(AND(E46&gt;E47,E46&gt;E48),3))))</f>
        <v>1</v>
      </c>
      <c r="F45" s="9">
        <f t="shared" si="16"/>
        <v>1</v>
      </c>
      <c r="G45" s="9">
        <f t="shared" si="16"/>
        <v>1</v>
      </c>
      <c r="H45" s="9">
        <f t="shared" si="16"/>
        <v>1</v>
      </c>
      <c r="I45" s="9">
        <f t="shared" si="16"/>
        <v>2</v>
      </c>
      <c r="J45" s="9">
        <f t="shared" si="16"/>
        <v>1</v>
      </c>
      <c r="K45" s="9">
        <f t="shared" si="16"/>
        <v>1</v>
      </c>
      <c r="L45" s="9">
        <f t="shared" si="16"/>
        <v>1</v>
      </c>
      <c r="M45" s="9">
        <f t="shared" si="16"/>
        <v>2</v>
      </c>
      <c r="N45" s="9"/>
      <c r="O45" s="9"/>
      <c r="P45" s="9"/>
      <c r="Q45" s="9"/>
      <c r="R45" s="9"/>
    </row>
    <row r="46" spans="1:18" ht="12.75" hidden="1" customHeight="1" x14ac:dyDescent="0.2">
      <c r="A46" s="46"/>
      <c r="D46" s="56"/>
      <c r="E46" s="44">
        <f t="shared" ref="E46:M46" si="17">IF(E49&gt;0.5,E39*((13*E49)-1),E31*E49)</f>
        <v>220.95754838709681</v>
      </c>
      <c r="F46" s="44">
        <f t="shared" si="17"/>
        <v>220.95754838709681</v>
      </c>
      <c r="G46" s="44">
        <f t="shared" si="17"/>
        <v>311.04000000000008</v>
      </c>
      <c r="H46" s="44">
        <f t="shared" si="17"/>
        <v>361.10509686903475</v>
      </c>
      <c r="I46" s="44">
        <f t="shared" si="17"/>
        <v>430.86251008187702</v>
      </c>
      <c r="J46" s="44">
        <f t="shared" si="17"/>
        <v>361.10509686903475</v>
      </c>
      <c r="K46" s="44">
        <f t="shared" si="17"/>
        <v>188.39168418743748</v>
      </c>
      <c r="L46" s="44">
        <f t="shared" si="17"/>
        <v>311.04000000000008</v>
      </c>
      <c r="M46" s="44">
        <f t="shared" si="17"/>
        <v>430.86251008187702</v>
      </c>
      <c r="N46" s="9"/>
      <c r="O46" s="9"/>
      <c r="P46" s="9"/>
      <c r="Q46" s="9"/>
      <c r="R46" s="9"/>
    </row>
    <row r="47" spans="1:18" ht="12.75" hidden="1" customHeight="1" x14ac:dyDescent="0.2">
      <c r="A47" s="46"/>
      <c r="D47" s="56"/>
      <c r="E47" s="9">
        <f t="shared" ref="E47:M47" si="18">IF(E49&gt;0.5,396,36)</f>
        <v>396</v>
      </c>
      <c r="F47" s="9">
        <f t="shared" si="18"/>
        <v>396</v>
      </c>
      <c r="G47" s="9">
        <f t="shared" si="18"/>
        <v>396</v>
      </c>
      <c r="H47" s="9">
        <f t="shared" si="18"/>
        <v>396</v>
      </c>
      <c r="I47" s="9">
        <f t="shared" si="18"/>
        <v>396</v>
      </c>
      <c r="J47" s="9">
        <f t="shared" si="18"/>
        <v>396</v>
      </c>
      <c r="K47" s="9">
        <f t="shared" si="18"/>
        <v>396</v>
      </c>
      <c r="L47" s="9">
        <f t="shared" si="18"/>
        <v>396</v>
      </c>
      <c r="M47" s="9">
        <f t="shared" si="18"/>
        <v>396</v>
      </c>
      <c r="N47" s="9"/>
      <c r="O47" s="9"/>
      <c r="P47" s="9"/>
      <c r="Q47" s="9"/>
      <c r="R47" s="9"/>
    </row>
    <row r="48" spans="1:18" ht="12.75" hidden="1" customHeight="1" x14ac:dyDescent="0.2">
      <c r="A48" s="46"/>
      <c r="D48" s="56"/>
      <c r="E48" s="9">
        <f t="shared" ref="E48:M48" si="19">IF(E49&gt;0.5,456,41.5)</f>
        <v>456</v>
      </c>
      <c r="F48" s="9">
        <f t="shared" si="19"/>
        <v>456</v>
      </c>
      <c r="G48" s="9">
        <f t="shared" si="19"/>
        <v>456</v>
      </c>
      <c r="H48" s="9">
        <f t="shared" si="19"/>
        <v>456</v>
      </c>
      <c r="I48" s="9">
        <f t="shared" si="19"/>
        <v>456</v>
      </c>
      <c r="J48" s="9">
        <f t="shared" si="19"/>
        <v>456</v>
      </c>
      <c r="K48" s="9">
        <f t="shared" si="19"/>
        <v>456</v>
      </c>
      <c r="L48" s="9">
        <f t="shared" si="19"/>
        <v>456</v>
      </c>
      <c r="M48" s="9">
        <f t="shared" si="19"/>
        <v>456</v>
      </c>
      <c r="N48" s="9"/>
      <c r="O48" s="9"/>
      <c r="P48" s="9"/>
      <c r="Q48" s="9"/>
      <c r="R48" s="9"/>
    </row>
    <row r="49" spans="1:18" ht="12.75" hidden="1" customHeight="1" x14ac:dyDescent="0.2">
      <c r="A49" s="46" t="s">
        <v>166</v>
      </c>
      <c r="B49" s="65" t="s">
        <v>167</v>
      </c>
      <c r="D49" s="56" t="s">
        <v>113</v>
      </c>
      <c r="E49" s="73">
        <f t="shared" ref="E49:M49" si="20">((E72/E74)*E12+(E67/E68)*E12)/(2*(E72/E74)*E12)</f>
        <v>0.61899999999999999</v>
      </c>
      <c r="F49" s="53">
        <f t="shared" si="20"/>
        <v>0.61899999999999999</v>
      </c>
      <c r="G49" s="53">
        <f t="shared" si="20"/>
        <v>0.84000000000000008</v>
      </c>
      <c r="H49" s="53">
        <f t="shared" si="20"/>
        <v>0.88828795225662061</v>
      </c>
      <c r="I49" s="53">
        <f t="shared" si="20"/>
        <v>0.93746792130025658</v>
      </c>
      <c r="J49" s="53">
        <f t="shared" si="20"/>
        <v>0.88828795225662061</v>
      </c>
      <c r="K49" s="53">
        <f t="shared" si="20"/>
        <v>0.73342481583128705</v>
      </c>
      <c r="L49" s="53">
        <f t="shared" si="20"/>
        <v>0.84000000000000008</v>
      </c>
      <c r="M49" s="53">
        <f t="shared" si="20"/>
        <v>0.93746792130025658</v>
      </c>
      <c r="N49" s="9"/>
      <c r="O49" s="9"/>
      <c r="P49" s="9"/>
      <c r="Q49" s="9"/>
      <c r="R49" s="9"/>
    </row>
    <row r="50" spans="1:18" ht="12.75" customHeight="1" x14ac:dyDescent="0.2">
      <c r="A50" s="46"/>
      <c r="D50" s="56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2.75" customHeight="1" x14ac:dyDescent="0.2">
      <c r="A51" s="49" t="s">
        <v>168</v>
      </c>
      <c r="I51" s="9"/>
      <c r="J51" s="9"/>
      <c r="K51" s="9"/>
      <c r="L51" s="9"/>
      <c r="M51" s="9"/>
    </row>
    <row r="52" spans="1:18" ht="12.75" customHeight="1" x14ac:dyDescent="0.2">
      <c r="A52" s="46" t="s">
        <v>169</v>
      </c>
      <c r="B52" s="65" t="s">
        <v>170</v>
      </c>
      <c r="D52" s="10" t="s">
        <v>151</v>
      </c>
      <c r="E52" s="9">
        <f>'invoer gording'!B16</f>
        <v>40</v>
      </c>
      <c r="F52" s="9">
        <f>'invoer gording'!C16</f>
        <v>100</v>
      </c>
      <c r="G52" s="9">
        <f>'invoer gording'!D16</f>
        <v>100</v>
      </c>
      <c r="H52" s="9">
        <f>'invoer gording'!E16</f>
        <v>100</v>
      </c>
      <c r="I52" s="9">
        <f>'invoer gording'!F16</f>
        <v>100</v>
      </c>
      <c r="J52" s="9">
        <f>'invoer gording'!G16</f>
        <v>100</v>
      </c>
      <c r="K52" s="9">
        <f>'invoer gording'!H16</f>
        <v>100</v>
      </c>
      <c r="L52" s="9">
        <f>'invoer gording'!I16</f>
        <v>100</v>
      </c>
      <c r="M52" s="9">
        <f>'invoer gording'!J16</f>
        <v>100</v>
      </c>
    </row>
    <row r="53" spans="1:18" ht="12.75" customHeight="1" x14ac:dyDescent="0.2">
      <c r="A53" s="46" t="s">
        <v>171</v>
      </c>
      <c r="B53" s="65" t="s">
        <v>172</v>
      </c>
      <c r="D53" s="10" t="s">
        <v>75</v>
      </c>
      <c r="E53" s="9">
        <f>'invoer gording'!B15</f>
        <v>3</v>
      </c>
      <c r="F53" s="9">
        <f>'invoer gording'!C15</f>
        <v>4</v>
      </c>
      <c r="G53" s="9">
        <f>'invoer gording'!D15</f>
        <v>4</v>
      </c>
      <c r="H53" s="9">
        <f>'invoer gording'!E15</f>
        <v>4</v>
      </c>
      <c r="I53" s="9">
        <f>'invoer gording'!F15</f>
        <v>4</v>
      </c>
      <c r="J53" s="9">
        <f>'invoer gording'!G15</f>
        <v>4</v>
      </c>
      <c r="K53" s="9">
        <f>'invoer gording'!H15</f>
        <v>4</v>
      </c>
      <c r="L53" s="9">
        <f>'invoer gording'!I15</f>
        <v>4</v>
      </c>
      <c r="M53" s="9">
        <f>'invoer gording'!J15</f>
        <v>4</v>
      </c>
    </row>
    <row r="54" spans="1:18" ht="12.75" customHeight="1" x14ac:dyDescent="0.2">
      <c r="A54" s="46" t="s">
        <v>29</v>
      </c>
      <c r="B54" s="65"/>
      <c r="D54" s="10" t="s">
        <v>113</v>
      </c>
      <c r="E54" s="74">
        <f>'invoer gording'!B17</f>
        <v>8.5714285714285715E-2</v>
      </c>
      <c r="F54" s="74">
        <f>'invoer gording'!C17</f>
        <v>8.3333333333333329E-2</v>
      </c>
      <c r="G54" s="74">
        <f>'invoer gording'!D17</f>
        <v>8.3333333333333329E-2</v>
      </c>
      <c r="H54" s="74">
        <f>'invoer gording'!E17</f>
        <v>8.3333333333333329E-2</v>
      </c>
      <c r="I54" s="74">
        <f>'invoer gording'!F17</f>
        <v>8.3333333333333329E-2</v>
      </c>
      <c r="J54" s="74">
        <f>'invoer gording'!G17</f>
        <v>8.3333333333333329E-2</v>
      </c>
      <c r="K54" s="74">
        <f>'invoer gording'!H17</f>
        <v>8.3333333333333329E-2</v>
      </c>
      <c r="L54" s="74">
        <f>'invoer gording'!I17</f>
        <v>8.3333333333333329E-2</v>
      </c>
      <c r="M54" s="74">
        <f>'invoer gording'!J17</f>
        <v>8.3333333333333329E-2</v>
      </c>
    </row>
    <row r="55" spans="1:18" ht="12.75" customHeight="1" x14ac:dyDescent="0.2">
      <c r="A55" s="46"/>
      <c r="I55" s="9"/>
      <c r="J55" s="9"/>
      <c r="K55" s="9"/>
      <c r="L55" s="9"/>
      <c r="M55" s="9"/>
    </row>
    <row r="56" spans="1:18" ht="12.75" customHeight="1" x14ac:dyDescent="0.2">
      <c r="A56" s="46" t="s">
        <v>173</v>
      </c>
      <c r="B56" s="65" t="s">
        <v>174</v>
      </c>
      <c r="D56" s="10" t="s">
        <v>78</v>
      </c>
      <c r="E56" s="9">
        <f>'invoer gording'!B12</f>
        <v>1000</v>
      </c>
      <c r="F56" s="9">
        <f>'invoer gording'!C12</f>
        <v>1000</v>
      </c>
      <c r="G56" s="9">
        <f>'invoer gording'!D12</f>
        <v>1000</v>
      </c>
      <c r="H56" s="9">
        <f>'invoer gording'!E12</f>
        <v>1000</v>
      </c>
      <c r="I56" s="9">
        <f>'invoer gording'!F12</f>
        <v>1000</v>
      </c>
      <c r="J56" s="9">
        <f>'invoer gording'!G12</f>
        <v>1000</v>
      </c>
      <c r="K56" s="9">
        <f>'invoer gording'!H12</f>
        <v>1000</v>
      </c>
      <c r="L56" s="9">
        <f>'invoer gording'!I12</f>
        <v>1000</v>
      </c>
      <c r="M56" s="9">
        <f>'invoer gording'!J12</f>
        <v>1000</v>
      </c>
      <c r="N56" s="9"/>
      <c r="O56" s="9"/>
      <c r="P56" s="9"/>
      <c r="Q56" s="9"/>
      <c r="R56" s="9"/>
    </row>
    <row r="57" spans="1:18" ht="12.75" customHeight="1" x14ac:dyDescent="0.2">
      <c r="A57" s="46" t="s">
        <v>175</v>
      </c>
      <c r="B57" s="65" t="s">
        <v>174</v>
      </c>
      <c r="D57" s="10" t="s">
        <v>78</v>
      </c>
      <c r="E57" s="9">
        <f>'invoer gording'!B13</f>
        <v>1000</v>
      </c>
      <c r="F57" s="9">
        <f>'invoer gording'!C13</f>
        <v>1000</v>
      </c>
      <c r="G57" s="9">
        <f>'invoer gording'!D13</f>
        <v>500</v>
      </c>
      <c r="H57" s="9">
        <f>'invoer gording'!E13</f>
        <v>500</v>
      </c>
      <c r="I57" s="9">
        <f>'invoer gording'!F13</f>
        <v>500</v>
      </c>
      <c r="J57" s="9">
        <f>'invoer gording'!G13</f>
        <v>500</v>
      </c>
      <c r="K57" s="9">
        <f>'invoer gording'!H13</f>
        <v>500</v>
      </c>
      <c r="L57" s="9">
        <f>'invoer gording'!I13</f>
        <v>500</v>
      </c>
      <c r="M57" s="9">
        <f>'invoer gording'!J13</f>
        <v>500</v>
      </c>
    </row>
    <row r="58" spans="1:18" ht="12.75" customHeight="1" x14ac:dyDescent="0.2">
      <c r="A58" s="46" t="s">
        <v>176</v>
      </c>
      <c r="B58" s="65" t="s">
        <v>174</v>
      </c>
      <c r="D58" s="10" t="s">
        <v>177</v>
      </c>
      <c r="E58" s="9">
        <f>'invoer gording'!B14</f>
        <v>1000</v>
      </c>
      <c r="F58" s="9">
        <f>'invoer gording'!C14</f>
        <v>1000</v>
      </c>
      <c r="G58" s="9">
        <f>'invoer gording'!D14</f>
        <v>350</v>
      </c>
      <c r="H58" s="9">
        <f>'invoer gording'!E14</f>
        <v>350</v>
      </c>
      <c r="I58" s="9">
        <f>'invoer gording'!F14</f>
        <v>350</v>
      </c>
      <c r="J58" s="9">
        <f>'invoer gording'!G14</f>
        <v>350</v>
      </c>
      <c r="K58" s="9">
        <f>'invoer gording'!H14</f>
        <v>350</v>
      </c>
      <c r="L58" s="9">
        <f>'invoer gording'!I14</f>
        <v>350</v>
      </c>
      <c r="M58" s="9">
        <f>'invoer gording'!J14</f>
        <v>350</v>
      </c>
    </row>
    <row r="59" spans="1:18" ht="12.75" customHeight="1" x14ac:dyDescent="0.2">
      <c r="A59" s="46"/>
      <c r="I59" s="9"/>
      <c r="J59" s="9"/>
      <c r="K59" s="9"/>
      <c r="L59" s="9"/>
      <c r="M59" s="9"/>
    </row>
    <row r="60" spans="1:18" ht="12.75" customHeight="1" x14ac:dyDescent="0.2">
      <c r="A60" s="42" t="s">
        <v>178</v>
      </c>
      <c r="I60" s="9"/>
      <c r="J60" s="9"/>
      <c r="K60" s="9"/>
      <c r="L60" s="9"/>
      <c r="M60" s="9"/>
    </row>
    <row r="61" spans="1:18" ht="12.75" customHeight="1" x14ac:dyDescent="0.2">
      <c r="A61" s="46" t="s">
        <v>179</v>
      </c>
      <c r="D61" s="20" t="s">
        <v>177</v>
      </c>
      <c r="E61" s="47">
        <f t="shared" ref="E61:M61" si="21">(E54*E52*(E53*2)^2)/E21</f>
        <v>123.42857142857144</v>
      </c>
      <c r="F61" s="47">
        <f t="shared" si="21"/>
        <v>533.33333333333326</v>
      </c>
      <c r="G61" s="47">
        <f t="shared" si="21"/>
        <v>533.33333333333326</v>
      </c>
      <c r="H61" s="47">
        <f t="shared" si="21"/>
        <v>533.33333333333326</v>
      </c>
      <c r="I61" s="47">
        <f t="shared" si="21"/>
        <v>533.33333333333326</v>
      </c>
      <c r="J61" s="47">
        <f t="shared" si="21"/>
        <v>533.33333333333326</v>
      </c>
      <c r="K61" s="47">
        <f t="shared" si="21"/>
        <v>533.33333333333326</v>
      </c>
      <c r="L61" s="47">
        <f t="shared" si="21"/>
        <v>533.33333333333326</v>
      </c>
      <c r="M61" s="47">
        <f t="shared" si="21"/>
        <v>533.33333333333326</v>
      </c>
      <c r="N61" s="47"/>
      <c r="O61" s="47"/>
      <c r="P61" s="47"/>
      <c r="Q61" s="47"/>
      <c r="R61" s="47"/>
    </row>
    <row r="62" spans="1:18" ht="12.75" customHeight="1" x14ac:dyDescent="0.2">
      <c r="A62" s="46" t="s">
        <v>180</v>
      </c>
      <c r="D62" s="20" t="s">
        <v>177</v>
      </c>
      <c r="E62" s="47">
        <f t="shared" ref="E62:M62" si="22">(IF(E43&lt;=2,E27*E12,E26*E12))/10^6</f>
        <v>1510.11</v>
      </c>
      <c r="F62" s="47">
        <f t="shared" si="22"/>
        <v>1510.11</v>
      </c>
      <c r="G62" s="47">
        <f t="shared" si="22"/>
        <v>1510.11</v>
      </c>
      <c r="H62" s="47">
        <f t="shared" si="22"/>
        <v>1957.08</v>
      </c>
      <c r="I62" s="47">
        <f t="shared" si="22"/>
        <v>2403.58</v>
      </c>
      <c r="J62" s="47">
        <f t="shared" si="22"/>
        <v>1957.08</v>
      </c>
      <c r="K62" s="47">
        <f t="shared" si="22"/>
        <v>759.52</v>
      </c>
      <c r="L62" s="47">
        <f t="shared" si="22"/>
        <v>1510.11</v>
      </c>
      <c r="M62" s="47">
        <f t="shared" si="22"/>
        <v>2403.58</v>
      </c>
      <c r="N62" s="47"/>
      <c r="O62" s="47"/>
      <c r="P62" s="47"/>
      <c r="Q62" s="47"/>
      <c r="R62" s="47"/>
    </row>
    <row r="63" spans="1:18" ht="12.75" customHeight="1" x14ac:dyDescent="0.2">
      <c r="A63" s="6" t="s">
        <v>181</v>
      </c>
      <c r="C63" s="61" t="s">
        <v>182</v>
      </c>
      <c r="D63" s="10" t="s">
        <v>113</v>
      </c>
      <c r="E63" s="59">
        <f t="shared" ref="E63:M63" si="23">E61/E62</f>
        <v>8.1734821588209772E-2</v>
      </c>
      <c r="F63" s="59">
        <f t="shared" si="23"/>
        <v>0.35317515501078284</v>
      </c>
      <c r="G63" s="59">
        <f t="shared" si="23"/>
        <v>0.35317515501078284</v>
      </c>
      <c r="H63" s="59">
        <f t="shared" si="23"/>
        <v>0.27251483502633173</v>
      </c>
      <c r="I63" s="59">
        <f t="shared" si="23"/>
        <v>0.22189123446414652</v>
      </c>
      <c r="J63" s="59">
        <f t="shared" si="23"/>
        <v>0.27251483502633173</v>
      </c>
      <c r="K63" s="59">
        <f t="shared" si="23"/>
        <v>0.7021978793624043</v>
      </c>
      <c r="L63" s="59">
        <f t="shared" si="23"/>
        <v>0.35317515501078284</v>
      </c>
      <c r="M63" s="59">
        <f t="shared" si="23"/>
        <v>0.22189123446414652</v>
      </c>
      <c r="N63" s="47"/>
      <c r="O63" s="47"/>
      <c r="P63" s="47"/>
      <c r="Q63" s="47"/>
      <c r="R63" s="47"/>
    </row>
    <row r="64" spans="1:18" ht="12.75" customHeight="1" x14ac:dyDescent="0.2">
      <c r="A64" s="45"/>
      <c r="D64" s="20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</row>
    <row r="65" spans="1:18" ht="12.75" customHeight="1" x14ac:dyDescent="0.2">
      <c r="A65" s="42" t="s">
        <v>183</v>
      </c>
      <c r="D65" s="10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2.75" customHeight="1" x14ac:dyDescent="0.2">
      <c r="A66" s="75" t="s">
        <v>184</v>
      </c>
      <c r="B66" s="65" t="s">
        <v>185</v>
      </c>
      <c r="D66" s="20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</row>
    <row r="67" spans="1:18" ht="12.75" customHeight="1" x14ac:dyDescent="0.2">
      <c r="A67" s="4" t="s">
        <v>186</v>
      </c>
      <c r="C67" s="62" t="s">
        <v>187</v>
      </c>
      <c r="D67" s="20" t="s">
        <v>78</v>
      </c>
      <c r="E67" s="9">
        <f t="shared" ref="E67:M67" si="24">E56*$G$3/E21</f>
        <v>1100</v>
      </c>
      <c r="F67" s="9">
        <f t="shared" si="24"/>
        <v>1100</v>
      </c>
      <c r="G67" s="9">
        <f t="shared" si="24"/>
        <v>1100</v>
      </c>
      <c r="H67" s="9">
        <f t="shared" si="24"/>
        <v>1100</v>
      </c>
      <c r="I67" s="9">
        <f t="shared" si="24"/>
        <v>1100</v>
      </c>
      <c r="J67" s="9">
        <f t="shared" si="24"/>
        <v>1100</v>
      </c>
      <c r="K67" s="9">
        <f t="shared" si="24"/>
        <v>1100</v>
      </c>
      <c r="L67" s="9">
        <f t="shared" si="24"/>
        <v>1100</v>
      </c>
      <c r="M67" s="9">
        <f t="shared" si="24"/>
        <v>1100</v>
      </c>
    </row>
    <row r="68" spans="1:18" ht="12.75" customHeight="1" x14ac:dyDescent="0.2">
      <c r="A68" s="4" t="s">
        <v>188</v>
      </c>
      <c r="C68" s="62" t="s">
        <v>189</v>
      </c>
      <c r="D68" s="20" t="s">
        <v>78</v>
      </c>
      <c r="E68" s="47">
        <f t="shared" ref="E68:M68" si="25">(E12*E28)/$G$4/1000</f>
        <v>6345</v>
      </c>
      <c r="F68" s="47">
        <f t="shared" si="25"/>
        <v>6345</v>
      </c>
      <c r="G68" s="47">
        <f t="shared" si="25"/>
        <v>6345</v>
      </c>
      <c r="H68" s="47">
        <f t="shared" si="25"/>
        <v>7200.4</v>
      </c>
      <c r="I68" s="47">
        <f t="shared" si="25"/>
        <v>7849</v>
      </c>
      <c r="J68" s="47">
        <f t="shared" si="25"/>
        <v>7200.4</v>
      </c>
      <c r="K68" s="47">
        <f t="shared" si="25"/>
        <v>4648.3</v>
      </c>
      <c r="L68" s="47">
        <f t="shared" si="25"/>
        <v>6345</v>
      </c>
      <c r="M68" s="47">
        <f t="shared" si="25"/>
        <v>7849</v>
      </c>
      <c r="N68" s="47"/>
      <c r="O68" s="47"/>
      <c r="P68" s="47"/>
      <c r="Q68" s="47"/>
      <c r="R68" s="47"/>
    </row>
    <row r="69" spans="1:18" ht="12.75" customHeight="1" x14ac:dyDescent="0.2">
      <c r="A69" s="4" t="s">
        <v>181</v>
      </c>
      <c r="C69" s="61" t="s">
        <v>190</v>
      </c>
      <c r="D69" s="76" t="s">
        <v>113</v>
      </c>
      <c r="E69" s="59">
        <f t="shared" ref="E69:M69" si="26">E67/E68</f>
        <v>0.17336485421591805</v>
      </c>
      <c r="F69" s="59">
        <f t="shared" si="26"/>
        <v>0.17336485421591805</v>
      </c>
      <c r="G69" s="59">
        <f t="shared" si="26"/>
        <v>0.17336485421591805</v>
      </c>
      <c r="H69" s="59">
        <f t="shared" si="26"/>
        <v>0.15276929059496697</v>
      </c>
      <c r="I69" s="59">
        <f t="shared" si="26"/>
        <v>0.14014524143202955</v>
      </c>
      <c r="J69" s="59">
        <f t="shared" si="26"/>
        <v>0.15276929059496697</v>
      </c>
      <c r="K69" s="59">
        <f t="shared" si="26"/>
        <v>0.23664565540089924</v>
      </c>
      <c r="L69" s="59">
        <f t="shared" si="26"/>
        <v>0.17336485421591805</v>
      </c>
      <c r="M69" s="59">
        <f t="shared" si="26"/>
        <v>0.14014524143202955</v>
      </c>
      <c r="N69" s="47"/>
      <c r="O69" s="47"/>
      <c r="P69" s="47"/>
      <c r="Q69" s="47"/>
      <c r="R69" s="47"/>
    </row>
    <row r="70" spans="1:18" ht="12.75" customHeight="1" x14ac:dyDescent="0.2">
      <c r="A70" s="46"/>
      <c r="D70" s="20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2.75" customHeight="1" x14ac:dyDescent="0.2">
      <c r="A71" s="75" t="s">
        <v>191</v>
      </c>
      <c r="B71" s="65" t="s">
        <v>192</v>
      </c>
      <c r="D71" s="20"/>
      <c r="E71" s="47"/>
      <c r="F71" s="47"/>
      <c r="G71" s="47"/>
      <c r="H71" s="47"/>
      <c r="I71" s="47"/>
      <c r="J71" s="47"/>
      <c r="K71" s="47"/>
      <c r="L71" s="47"/>
      <c r="M71" s="47"/>
    </row>
    <row r="72" spans="1:18" ht="12.75" customHeight="1" x14ac:dyDescent="0.2">
      <c r="A72" s="4" t="s">
        <v>193</v>
      </c>
      <c r="C72" s="62" t="s">
        <v>194</v>
      </c>
      <c r="D72" s="76" t="s">
        <v>177</v>
      </c>
      <c r="E72" s="9">
        <f t="shared" ref="E72:M72" si="27">E58*$G$3/E21</f>
        <v>1100</v>
      </c>
      <c r="F72" s="9">
        <f t="shared" si="27"/>
        <v>1100</v>
      </c>
      <c r="G72" s="9">
        <f t="shared" si="27"/>
        <v>385.00000000000006</v>
      </c>
      <c r="H72" s="9">
        <f t="shared" si="27"/>
        <v>385.00000000000006</v>
      </c>
      <c r="I72" s="9">
        <f t="shared" si="27"/>
        <v>385.00000000000006</v>
      </c>
      <c r="J72" s="9">
        <f t="shared" si="27"/>
        <v>385.00000000000006</v>
      </c>
      <c r="K72" s="9">
        <f t="shared" si="27"/>
        <v>385.00000000000006</v>
      </c>
      <c r="L72" s="9">
        <f t="shared" si="27"/>
        <v>385.00000000000006</v>
      </c>
      <c r="M72" s="9">
        <f t="shared" si="27"/>
        <v>385.00000000000006</v>
      </c>
      <c r="N72" s="9"/>
      <c r="O72" s="9"/>
      <c r="P72" s="9"/>
      <c r="Q72" s="9"/>
      <c r="R72" s="9"/>
    </row>
    <row r="73" spans="1:18" ht="12.75" customHeight="1" x14ac:dyDescent="0.2">
      <c r="A73" s="4"/>
      <c r="C73" s="62" t="s">
        <v>195</v>
      </c>
      <c r="D73" s="76" t="s">
        <v>150</v>
      </c>
      <c r="E73" s="9">
        <f t="shared" ref="E73:M73" si="28">IF(E43&lt;=2,E27,E26)</f>
        <v>6426000</v>
      </c>
      <c r="F73" s="9">
        <f t="shared" si="28"/>
        <v>6426000</v>
      </c>
      <c r="G73" s="9">
        <f t="shared" si="28"/>
        <v>6426000</v>
      </c>
      <c r="H73" s="9">
        <f t="shared" si="28"/>
        <v>8328000</v>
      </c>
      <c r="I73" s="9">
        <f t="shared" si="28"/>
        <v>10228000</v>
      </c>
      <c r="J73" s="9">
        <f t="shared" si="28"/>
        <v>8328000</v>
      </c>
      <c r="K73" s="9">
        <f t="shared" si="28"/>
        <v>3232000</v>
      </c>
      <c r="L73" s="9">
        <f t="shared" si="28"/>
        <v>6426000</v>
      </c>
      <c r="M73" s="9">
        <f t="shared" si="28"/>
        <v>10228000</v>
      </c>
      <c r="N73" s="9"/>
      <c r="O73" s="9"/>
      <c r="P73" s="9"/>
      <c r="Q73" s="9"/>
      <c r="R73" s="9"/>
    </row>
    <row r="74" spans="1:18" ht="12.75" customHeight="1" x14ac:dyDescent="0.2">
      <c r="A74" s="4" t="s">
        <v>196</v>
      </c>
      <c r="C74" s="62" t="s">
        <v>197</v>
      </c>
      <c r="D74" s="76" t="s">
        <v>177</v>
      </c>
      <c r="E74" s="47">
        <f t="shared" ref="E74:M74" si="29">(IF(E43&lt;=2,E27*E12,E26*E12))/10^6/$G$4</f>
        <v>1510.11</v>
      </c>
      <c r="F74" s="47">
        <f t="shared" si="29"/>
        <v>1510.11</v>
      </c>
      <c r="G74" s="47">
        <f t="shared" si="29"/>
        <v>1510.11</v>
      </c>
      <c r="H74" s="47">
        <f t="shared" si="29"/>
        <v>1957.08</v>
      </c>
      <c r="I74" s="47">
        <f t="shared" si="29"/>
        <v>2403.58</v>
      </c>
      <c r="J74" s="47">
        <f t="shared" si="29"/>
        <v>1957.08</v>
      </c>
      <c r="K74" s="47">
        <f t="shared" si="29"/>
        <v>759.52</v>
      </c>
      <c r="L74" s="47">
        <f t="shared" si="29"/>
        <v>1510.11</v>
      </c>
      <c r="M74" s="47">
        <f t="shared" si="29"/>
        <v>2403.58</v>
      </c>
      <c r="N74" s="47"/>
      <c r="O74" s="47"/>
      <c r="P74" s="47"/>
      <c r="Q74" s="47"/>
      <c r="R74" s="47"/>
    </row>
    <row r="75" spans="1:18" ht="12.75" customHeight="1" x14ac:dyDescent="0.2">
      <c r="A75" s="4" t="s">
        <v>181</v>
      </c>
      <c r="C75" s="61" t="s">
        <v>198</v>
      </c>
      <c r="D75" s="76" t="s">
        <v>113</v>
      </c>
      <c r="E75" s="59">
        <f t="shared" ref="E75:M75" si="30">E72/E74</f>
        <v>0.72842375720973973</v>
      </c>
      <c r="F75" s="59">
        <f t="shared" si="30"/>
        <v>0.72842375720973973</v>
      </c>
      <c r="G75" s="59">
        <f t="shared" si="30"/>
        <v>0.25494831502340892</v>
      </c>
      <c r="H75" s="59">
        <f t="shared" si="30"/>
        <v>0.19672164653463325</v>
      </c>
      <c r="I75" s="59">
        <f t="shared" si="30"/>
        <v>0.16017773487880582</v>
      </c>
      <c r="J75" s="59">
        <f t="shared" si="30"/>
        <v>0.19672164653463325</v>
      </c>
      <c r="K75" s="59">
        <f t="shared" si="30"/>
        <v>0.50689909416473566</v>
      </c>
      <c r="L75" s="59">
        <f t="shared" si="30"/>
        <v>0.25494831502340892</v>
      </c>
      <c r="M75" s="59">
        <f t="shared" si="30"/>
        <v>0.16017773487880582</v>
      </c>
    </row>
    <row r="76" spans="1:18" ht="12.75" customHeight="1" x14ac:dyDescent="0.2">
      <c r="A76" s="4"/>
      <c r="D76" s="76"/>
      <c r="I76" s="9"/>
      <c r="J76" s="9"/>
      <c r="K76" s="9"/>
      <c r="L76" s="9"/>
      <c r="M76" s="9"/>
    </row>
    <row r="77" spans="1:18" ht="12.75" customHeight="1" x14ac:dyDescent="0.2">
      <c r="A77" s="75" t="s">
        <v>199</v>
      </c>
      <c r="B77" s="65" t="s">
        <v>200</v>
      </c>
      <c r="I77" s="9"/>
      <c r="J77" s="9"/>
      <c r="K77" s="9"/>
      <c r="L77" s="9"/>
      <c r="M77" s="9"/>
    </row>
    <row r="78" spans="1:18" ht="12.75" customHeight="1" x14ac:dyDescent="0.2">
      <c r="A78" s="4" t="s">
        <v>201</v>
      </c>
      <c r="B78" s="4"/>
      <c r="C78" s="62" t="s">
        <v>202</v>
      </c>
      <c r="D78" s="76" t="s">
        <v>78</v>
      </c>
      <c r="E78" s="47">
        <f t="shared" ref="E78:M78" si="31">E57*$G$3/E21</f>
        <v>1100</v>
      </c>
      <c r="F78" s="47">
        <f t="shared" si="31"/>
        <v>1100</v>
      </c>
      <c r="G78" s="47">
        <f t="shared" si="31"/>
        <v>550</v>
      </c>
      <c r="H78" s="47">
        <f t="shared" si="31"/>
        <v>550</v>
      </c>
      <c r="I78" s="47">
        <f t="shared" si="31"/>
        <v>550</v>
      </c>
      <c r="J78" s="47">
        <f t="shared" si="31"/>
        <v>550</v>
      </c>
      <c r="K78" s="47">
        <f t="shared" si="31"/>
        <v>550</v>
      </c>
      <c r="L78" s="47">
        <f t="shared" si="31"/>
        <v>550</v>
      </c>
      <c r="M78" s="47">
        <f t="shared" si="31"/>
        <v>550</v>
      </c>
      <c r="N78" s="47"/>
      <c r="O78" s="47"/>
      <c r="P78" s="47"/>
      <c r="Q78" s="47"/>
      <c r="R78" s="47"/>
    </row>
    <row r="79" spans="1:18" ht="12.75" customHeight="1" x14ac:dyDescent="0.2">
      <c r="A79" s="4" t="s">
        <v>203</v>
      </c>
      <c r="B79" s="4"/>
      <c r="C79" s="62" t="s">
        <v>204</v>
      </c>
      <c r="D79" s="20" t="s">
        <v>78</v>
      </c>
      <c r="E79" s="47">
        <f t="shared" ref="E79:M79" si="32">IF(E44&lt;=2,E33*E11/SQRT(3)/$G$4/1000,E35*E11/SQRT(3)/$G$4/1000)</f>
        <v>1503.9830174822455</v>
      </c>
      <c r="F79" s="47">
        <f t="shared" si="32"/>
        <v>1503.9830174822455</v>
      </c>
      <c r="G79" s="47">
        <f t="shared" si="32"/>
        <v>1503.9830174822455</v>
      </c>
      <c r="H79" s="47">
        <f t="shared" si="32"/>
        <v>1860.4073194151151</v>
      </c>
      <c r="I79" s="47">
        <f t="shared" si="32"/>
        <v>1742.7750888190747</v>
      </c>
      <c r="J79" s="47">
        <f t="shared" si="32"/>
        <v>1860.4073194151151</v>
      </c>
      <c r="K79" s="47">
        <f t="shared" si="32"/>
        <v>949.74119281693447</v>
      </c>
      <c r="L79" s="47">
        <f t="shared" si="32"/>
        <v>1503.9830174822455</v>
      </c>
      <c r="M79" s="47">
        <f t="shared" si="32"/>
        <v>1742.7750888190747</v>
      </c>
      <c r="N79" s="9"/>
      <c r="O79" s="9"/>
      <c r="P79" s="9"/>
      <c r="Q79" s="9"/>
      <c r="R79" s="9"/>
    </row>
    <row r="80" spans="1:18" ht="12.75" customHeight="1" x14ac:dyDescent="0.2">
      <c r="A80" s="4" t="s">
        <v>181</v>
      </c>
      <c r="B80" s="4"/>
      <c r="C80" s="61" t="s">
        <v>205</v>
      </c>
      <c r="D80" s="76" t="s">
        <v>113</v>
      </c>
      <c r="E80" s="59">
        <f t="shared" ref="E80:M80" si="33">E78/E79</f>
        <v>0.73139123727704292</v>
      </c>
      <c r="F80" s="59">
        <f t="shared" si="33"/>
        <v>0.73139123727704292</v>
      </c>
      <c r="G80" s="59">
        <f t="shared" si="33"/>
        <v>0.36569561863852146</v>
      </c>
      <c r="H80" s="59">
        <f t="shared" si="33"/>
        <v>0.29563418411668685</v>
      </c>
      <c r="I80" s="59">
        <f t="shared" si="33"/>
        <v>0.31558862846306035</v>
      </c>
      <c r="J80" s="59">
        <f t="shared" si="33"/>
        <v>0.29563418411668685</v>
      </c>
      <c r="K80" s="59">
        <f t="shared" si="33"/>
        <v>0.5791051332297158</v>
      </c>
      <c r="L80" s="59">
        <f t="shared" si="33"/>
        <v>0.36569561863852146</v>
      </c>
      <c r="M80" s="59">
        <f t="shared" si="33"/>
        <v>0.31558862846306035</v>
      </c>
      <c r="N80" s="47"/>
      <c r="O80" s="47"/>
      <c r="P80" s="47"/>
      <c r="Q80" s="47"/>
      <c r="R80" s="47"/>
    </row>
    <row r="81" spans="1:18" ht="12.75" customHeight="1" x14ac:dyDescent="0.2">
      <c r="I81" s="9"/>
      <c r="J81" s="9"/>
      <c r="K81" s="9"/>
      <c r="L81" s="9"/>
      <c r="M81" s="9"/>
    </row>
    <row r="82" spans="1:18" ht="12.75" customHeight="1" x14ac:dyDescent="0.2">
      <c r="A82" s="4" t="s">
        <v>206</v>
      </c>
      <c r="I82" s="9"/>
      <c r="J82" s="9"/>
      <c r="K82" s="9"/>
      <c r="L82" s="9"/>
      <c r="M82" s="9"/>
    </row>
    <row r="83" spans="1:18" ht="12.75" customHeight="1" x14ac:dyDescent="0.2">
      <c r="A83" s="4" t="s">
        <v>207</v>
      </c>
      <c r="I83" s="9"/>
      <c r="J83" s="9"/>
      <c r="K83" s="9"/>
      <c r="L83" s="9"/>
      <c r="M83" s="9"/>
    </row>
    <row r="84" spans="1:18" ht="12.75" customHeight="1" x14ac:dyDescent="0.2">
      <c r="C84" s="57" t="s">
        <v>208</v>
      </c>
      <c r="D84" s="10" t="s">
        <v>113</v>
      </c>
      <c r="E84" s="9" t="str">
        <f t="shared" ref="E84:M84" si="34">IF((E32/E24)&gt;((72*E15)/1), "extra controle","geen controle")</f>
        <v>geen controle</v>
      </c>
      <c r="F84" s="9" t="str">
        <f t="shared" si="34"/>
        <v>geen controle</v>
      </c>
      <c r="G84" s="9" t="str">
        <f t="shared" si="34"/>
        <v>geen controle</v>
      </c>
      <c r="H84" s="9" t="str">
        <f t="shared" si="34"/>
        <v>geen controle</v>
      </c>
      <c r="I84" s="9" t="str">
        <f t="shared" si="34"/>
        <v>geen controle</v>
      </c>
      <c r="J84" s="9" t="str">
        <f t="shared" si="34"/>
        <v>geen controle</v>
      </c>
      <c r="K84" s="9" t="str">
        <f t="shared" si="34"/>
        <v>geen controle</v>
      </c>
      <c r="L84" s="9" t="str">
        <f t="shared" si="34"/>
        <v>geen controle</v>
      </c>
      <c r="M84" s="9" t="str">
        <f t="shared" si="34"/>
        <v>geen controle</v>
      </c>
    </row>
    <row r="85" spans="1:18" ht="12.75" customHeight="1" x14ac:dyDescent="0.2">
      <c r="I85" s="9"/>
      <c r="J85" s="9"/>
      <c r="K85" s="9"/>
      <c r="L85" s="9"/>
      <c r="M85" s="9"/>
    </row>
    <row r="86" spans="1:18" ht="12.75" customHeight="1" x14ac:dyDescent="0.2">
      <c r="A86" s="75" t="s">
        <v>209</v>
      </c>
      <c r="B86" s="65" t="s">
        <v>210</v>
      </c>
      <c r="I86" s="9"/>
      <c r="J86" s="9"/>
      <c r="K86" s="9"/>
      <c r="L86" s="9"/>
      <c r="M86" s="9"/>
    </row>
    <row r="87" spans="1:18" ht="12.75" customHeight="1" x14ac:dyDescent="0.2">
      <c r="A87" s="4"/>
      <c r="C87" s="61" t="s">
        <v>205</v>
      </c>
      <c r="D87" s="76" t="s">
        <v>113</v>
      </c>
      <c r="E87" s="53">
        <f t="shared" ref="E87:M87" si="35">E80</f>
        <v>0.73139123727704292</v>
      </c>
      <c r="F87" s="53">
        <f t="shared" si="35"/>
        <v>0.73139123727704292</v>
      </c>
      <c r="G87" s="53">
        <f t="shared" si="35"/>
        <v>0.36569561863852146</v>
      </c>
      <c r="H87" s="53">
        <f t="shared" si="35"/>
        <v>0.29563418411668685</v>
      </c>
      <c r="I87" s="53">
        <f t="shared" si="35"/>
        <v>0.31558862846306035</v>
      </c>
      <c r="J87" s="53">
        <f t="shared" si="35"/>
        <v>0.29563418411668685</v>
      </c>
      <c r="K87" s="53">
        <f t="shared" si="35"/>
        <v>0.5791051332297158</v>
      </c>
      <c r="L87" s="53">
        <f t="shared" si="35"/>
        <v>0.36569561863852146</v>
      </c>
      <c r="M87" s="53">
        <f t="shared" si="35"/>
        <v>0.31558862846306035</v>
      </c>
    </row>
    <row r="88" spans="1:18" ht="12.75" customHeight="1" x14ac:dyDescent="0.2">
      <c r="A88" s="4"/>
      <c r="C88" s="77" t="s">
        <v>211</v>
      </c>
      <c r="D88" s="76" t="s">
        <v>113</v>
      </c>
      <c r="E88" s="9" t="str">
        <f t="shared" ref="E88:M88" si="36">IF(E87&gt;0.5,"ja","nee")</f>
        <v>ja</v>
      </c>
      <c r="F88" s="9" t="str">
        <f t="shared" si="36"/>
        <v>ja</v>
      </c>
      <c r="G88" s="9" t="str">
        <f t="shared" si="36"/>
        <v>nee</v>
      </c>
      <c r="H88" s="9" t="str">
        <f t="shared" si="36"/>
        <v>nee</v>
      </c>
      <c r="I88" s="9" t="str">
        <f t="shared" si="36"/>
        <v>nee</v>
      </c>
      <c r="J88" s="9" t="str">
        <f t="shared" si="36"/>
        <v>nee</v>
      </c>
      <c r="K88" s="9" t="str">
        <f t="shared" si="36"/>
        <v>ja</v>
      </c>
      <c r="L88" s="9" t="str">
        <f t="shared" si="36"/>
        <v>nee</v>
      </c>
      <c r="M88" s="9" t="str">
        <f t="shared" si="36"/>
        <v>nee</v>
      </c>
    </row>
    <row r="89" spans="1:18" ht="12.75" customHeight="1" x14ac:dyDescent="0.2">
      <c r="A89" s="4"/>
      <c r="C89" s="7" t="s">
        <v>212</v>
      </c>
      <c r="D89" s="76" t="s">
        <v>113</v>
      </c>
      <c r="E89" s="73">
        <f t="shared" ref="E89:M89" si="37">IF(E87&lt;=0.5,0,(((2*E78)/E21)/E79)-1)^2</f>
        <v>0.2141676187544031</v>
      </c>
      <c r="F89" s="73">
        <f t="shared" si="37"/>
        <v>0.2141676187544031</v>
      </c>
      <c r="G89" s="73">
        <f t="shared" si="37"/>
        <v>0</v>
      </c>
      <c r="H89" s="73">
        <f t="shared" si="37"/>
        <v>0</v>
      </c>
      <c r="I89" s="73">
        <f t="shared" si="37"/>
        <v>0</v>
      </c>
      <c r="J89" s="73">
        <f t="shared" si="37"/>
        <v>0</v>
      </c>
      <c r="K89" s="73">
        <f t="shared" si="37"/>
        <v>2.5030488413164347E-2</v>
      </c>
      <c r="L89" s="73">
        <f t="shared" si="37"/>
        <v>0</v>
      </c>
      <c r="M89" s="73">
        <f t="shared" si="37"/>
        <v>0</v>
      </c>
    </row>
    <row r="90" spans="1:18" ht="12.75" customHeight="1" x14ac:dyDescent="0.2">
      <c r="A90" s="4"/>
      <c r="C90" s="61" t="s">
        <v>213</v>
      </c>
      <c r="D90" s="10" t="s">
        <v>177</v>
      </c>
      <c r="E90" s="47">
        <f t="shared" ref="E90:M90" si="38">((E73-((E89*E35^2)/(4*E24)))*E12/$J$4)/10^6</f>
        <v>1453.2403053092885</v>
      </c>
      <c r="F90" s="47">
        <f t="shared" si="38"/>
        <v>1453.2403053092885</v>
      </c>
      <c r="G90" s="47">
        <f t="shared" si="38"/>
        <v>1510.11</v>
      </c>
      <c r="H90" s="47">
        <f t="shared" si="38"/>
        <v>1957.08</v>
      </c>
      <c r="I90" s="47">
        <f t="shared" si="38"/>
        <v>2403.58</v>
      </c>
      <c r="J90" s="47">
        <f t="shared" si="38"/>
        <v>1957.08</v>
      </c>
      <c r="K90" s="47">
        <f t="shared" si="38"/>
        <v>757.06021986217399</v>
      </c>
      <c r="L90" s="47">
        <f t="shared" si="38"/>
        <v>1510.11</v>
      </c>
      <c r="M90" s="47">
        <f t="shared" si="38"/>
        <v>2403.58</v>
      </c>
    </row>
    <row r="91" spans="1:18" ht="12.75" customHeight="1" x14ac:dyDescent="0.2">
      <c r="A91" s="4" t="s">
        <v>181</v>
      </c>
      <c r="C91" s="61" t="s">
        <v>214</v>
      </c>
      <c r="D91" s="76" t="s">
        <v>113</v>
      </c>
      <c r="E91" s="59">
        <f t="shared" ref="E91:M91" si="39">E72/E90</f>
        <v>0.75692918506405626</v>
      </c>
      <c r="F91" s="59">
        <f t="shared" si="39"/>
        <v>0.75692918506405626</v>
      </c>
      <c r="G91" s="59">
        <f t="shared" si="39"/>
        <v>0.25494831502340892</v>
      </c>
      <c r="H91" s="59">
        <f t="shared" si="39"/>
        <v>0.19672164653463325</v>
      </c>
      <c r="I91" s="59">
        <f t="shared" si="39"/>
        <v>0.16017773487880582</v>
      </c>
      <c r="J91" s="59">
        <f t="shared" si="39"/>
        <v>0.19672164653463325</v>
      </c>
      <c r="K91" s="59">
        <f t="shared" si="39"/>
        <v>0.50854607057558898</v>
      </c>
      <c r="L91" s="59">
        <f t="shared" si="39"/>
        <v>0.25494831502340892</v>
      </c>
      <c r="M91" s="59">
        <f t="shared" si="39"/>
        <v>0.16017773487880582</v>
      </c>
    </row>
    <row r="92" spans="1:18" ht="12.75" customHeight="1" x14ac:dyDescent="0.2">
      <c r="I92" s="9"/>
      <c r="J92" s="9"/>
      <c r="K92" s="9"/>
      <c r="L92" s="9"/>
      <c r="M92" s="9"/>
    </row>
    <row r="93" spans="1:18" ht="12.75" customHeight="1" x14ac:dyDescent="0.2">
      <c r="A93" s="75" t="s">
        <v>215</v>
      </c>
      <c r="B93" s="65" t="s">
        <v>216</v>
      </c>
      <c r="I93" s="9"/>
      <c r="J93" s="9"/>
      <c r="K93" s="9"/>
      <c r="L93" s="9"/>
      <c r="M93" s="9"/>
    </row>
    <row r="94" spans="1:18" ht="12.75" customHeight="1" x14ac:dyDescent="0.2">
      <c r="A94" s="14" t="s">
        <v>217</v>
      </c>
      <c r="C94" s="64"/>
      <c r="D94" s="10"/>
      <c r="E94" s="53" t="str">
        <f t="shared" ref="E94:M94" si="40">IF(E45&lt;3,"klopt","n.v.t.")</f>
        <v>klopt</v>
      </c>
      <c r="F94" s="53" t="str">
        <f t="shared" si="40"/>
        <v>klopt</v>
      </c>
      <c r="G94" s="53" t="str">
        <f t="shared" si="40"/>
        <v>klopt</v>
      </c>
      <c r="H94" s="53" t="str">
        <f t="shared" si="40"/>
        <v>klopt</v>
      </c>
      <c r="I94" s="53" t="str">
        <f t="shared" si="40"/>
        <v>klopt</v>
      </c>
      <c r="J94" s="53" t="str">
        <f t="shared" si="40"/>
        <v>klopt</v>
      </c>
      <c r="K94" s="53" t="str">
        <f t="shared" si="40"/>
        <v>klopt</v>
      </c>
      <c r="L94" s="53" t="str">
        <f t="shared" si="40"/>
        <v>klopt</v>
      </c>
      <c r="M94" s="53" t="str">
        <f t="shared" si="40"/>
        <v>klopt</v>
      </c>
      <c r="N94" s="53"/>
      <c r="O94" s="53"/>
      <c r="P94" s="53"/>
      <c r="Q94" s="53"/>
      <c r="R94" s="53"/>
    </row>
    <row r="95" spans="1:18" ht="12.75" customHeight="1" x14ac:dyDescent="0.2">
      <c r="A95" s="4" t="s">
        <v>218</v>
      </c>
      <c r="C95" s="64"/>
      <c r="D95" s="10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</row>
    <row r="96" spans="1:18" ht="12.75" customHeight="1" x14ac:dyDescent="0.2">
      <c r="A96" s="4" t="s">
        <v>219</v>
      </c>
      <c r="I96" s="9"/>
      <c r="J96" s="9"/>
      <c r="K96" s="9"/>
      <c r="L96" s="9"/>
      <c r="M96" s="9"/>
    </row>
    <row r="97" spans="1:18" ht="12.75" customHeight="1" x14ac:dyDescent="0.2">
      <c r="A97" s="4"/>
      <c r="C97" s="61" t="s">
        <v>220</v>
      </c>
      <c r="D97" s="10" t="s">
        <v>113</v>
      </c>
      <c r="E97" s="53">
        <f t="shared" ref="E97:M97" si="41">IF(E45&gt;2,"n.v.t.",E69)</f>
        <v>0.17336485421591805</v>
      </c>
      <c r="F97" s="53">
        <f t="shared" si="41"/>
        <v>0.17336485421591805</v>
      </c>
      <c r="G97" s="53">
        <f t="shared" si="41"/>
        <v>0.17336485421591805</v>
      </c>
      <c r="H97" s="53">
        <f t="shared" si="41"/>
        <v>0.15276929059496697</v>
      </c>
      <c r="I97" s="53">
        <f t="shared" si="41"/>
        <v>0.14014524143202955</v>
      </c>
      <c r="J97" s="53">
        <f t="shared" si="41"/>
        <v>0.15276929059496697</v>
      </c>
      <c r="K97" s="53">
        <f t="shared" si="41"/>
        <v>0.23664565540089924</v>
      </c>
      <c r="L97" s="53">
        <f t="shared" si="41"/>
        <v>0.17336485421591805</v>
      </c>
      <c r="M97" s="53">
        <f t="shared" si="41"/>
        <v>0.14014524143202955</v>
      </c>
    </row>
    <row r="98" spans="1:18" ht="12.75" hidden="1" customHeight="1" x14ac:dyDescent="0.2">
      <c r="A98" s="4"/>
      <c r="C98" s="61"/>
      <c r="D98" s="10"/>
      <c r="E98" s="53">
        <f t="shared" ref="E98:M98" si="42">E69</f>
        <v>0.17336485421591805</v>
      </c>
      <c r="F98" s="53">
        <f t="shared" si="42"/>
        <v>0.17336485421591805</v>
      </c>
      <c r="G98" s="53">
        <f t="shared" si="42"/>
        <v>0.17336485421591805</v>
      </c>
      <c r="H98" s="53">
        <f t="shared" si="42"/>
        <v>0.15276929059496697</v>
      </c>
      <c r="I98" s="53">
        <f t="shared" si="42"/>
        <v>0.14014524143202955</v>
      </c>
      <c r="J98" s="53">
        <f t="shared" si="42"/>
        <v>0.15276929059496697</v>
      </c>
      <c r="K98" s="53">
        <f t="shared" si="42"/>
        <v>0.23664565540089924</v>
      </c>
      <c r="L98" s="53">
        <f t="shared" si="42"/>
        <v>0.17336485421591805</v>
      </c>
      <c r="M98" s="53">
        <f t="shared" si="42"/>
        <v>0.14014524143202955</v>
      </c>
    </row>
    <row r="99" spans="1:18" ht="12.75" customHeight="1" x14ac:dyDescent="0.2">
      <c r="A99" s="4"/>
      <c r="C99" s="61" t="s">
        <v>221</v>
      </c>
      <c r="D99" s="56" t="s">
        <v>113</v>
      </c>
      <c r="E99" s="53">
        <f t="shared" ref="E99:M99" si="43">IF(E45&gt;2,"n.v.t.",(E67*1000)/(E32*E24*E12)/(2*$G$4))</f>
        <v>0.27962073260631942</v>
      </c>
      <c r="F99" s="53">
        <f t="shared" si="43"/>
        <v>0.27962073260631942</v>
      </c>
      <c r="G99" s="53">
        <f t="shared" si="43"/>
        <v>0.27962073260631942</v>
      </c>
      <c r="H99" s="53">
        <f t="shared" si="43"/>
        <v>0.21646555049157359</v>
      </c>
      <c r="I99" s="53">
        <f t="shared" si="43"/>
        <v>0.1822051795963327</v>
      </c>
      <c r="J99" s="53">
        <f t="shared" si="43"/>
        <v>0.21646555049157359</v>
      </c>
      <c r="K99" s="53">
        <f t="shared" si="43"/>
        <v>0.4925137903861308</v>
      </c>
      <c r="L99" s="53">
        <f t="shared" si="43"/>
        <v>0.27962073260631942</v>
      </c>
      <c r="M99" s="53">
        <f t="shared" si="43"/>
        <v>0.1822051795963327</v>
      </c>
      <c r="N99" s="47"/>
      <c r="O99" s="47"/>
      <c r="P99" s="47"/>
      <c r="Q99" s="47"/>
      <c r="R99" s="47"/>
    </row>
    <row r="100" spans="1:18" ht="12.75" hidden="1" customHeight="1" x14ac:dyDescent="0.2">
      <c r="A100" s="4"/>
      <c r="C100" s="61"/>
      <c r="D100" s="56"/>
      <c r="E100" s="53">
        <f t="shared" ref="E100:M100" si="44">(E67*1000)/(E32*E24*E12)/(2*$G$4)</f>
        <v>0.27962073260631942</v>
      </c>
      <c r="F100" s="53">
        <f t="shared" si="44"/>
        <v>0.27962073260631942</v>
      </c>
      <c r="G100" s="53">
        <f t="shared" si="44"/>
        <v>0.27962073260631942</v>
      </c>
      <c r="H100" s="53">
        <f t="shared" si="44"/>
        <v>0.21646555049157359</v>
      </c>
      <c r="I100" s="53">
        <f t="shared" si="44"/>
        <v>0.1822051795963327</v>
      </c>
      <c r="J100" s="53">
        <f t="shared" si="44"/>
        <v>0.21646555049157359</v>
      </c>
      <c r="K100" s="53">
        <f t="shared" si="44"/>
        <v>0.4925137903861308</v>
      </c>
      <c r="L100" s="53">
        <f t="shared" si="44"/>
        <v>0.27962073260631942</v>
      </c>
      <c r="M100" s="53">
        <f t="shared" si="44"/>
        <v>0.1822051795963327</v>
      </c>
      <c r="N100" s="47"/>
      <c r="O100" s="47"/>
      <c r="P100" s="47"/>
      <c r="Q100" s="47"/>
      <c r="R100" s="47"/>
    </row>
    <row r="101" spans="1:18" ht="12.75" customHeight="1" x14ac:dyDescent="0.2">
      <c r="A101" s="4"/>
      <c r="C101" s="5" t="s">
        <v>222</v>
      </c>
      <c r="D101" s="10" t="s">
        <v>113</v>
      </c>
      <c r="E101" s="11">
        <f t="shared" ref="E101:M101" si="45">IF(E45&gt;2,"n.v.t.",(E28-(2*E23*E25))/E28)</f>
        <v>0.33333333333333331</v>
      </c>
      <c r="F101" s="11">
        <f t="shared" si="45"/>
        <v>0.33333333333333331</v>
      </c>
      <c r="G101" s="11">
        <f t="shared" si="45"/>
        <v>0.33333333333333331</v>
      </c>
      <c r="H101" s="11">
        <f t="shared" si="45"/>
        <v>0.37336814621409919</v>
      </c>
      <c r="I101" s="11">
        <f t="shared" si="45"/>
        <v>0.40718562874251496</v>
      </c>
      <c r="J101" s="11">
        <f t="shared" si="45"/>
        <v>0.37336814621409919</v>
      </c>
      <c r="K101" s="11">
        <f t="shared" si="45"/>
        <v>0.27199191102123355</v>
      </c>
      <c r="L101" s="11">
        <f t="shared" si="45"/>
        <v>0.33333333333333331</v>
      </c>
      <c r="M101" s="11">
        <f t="shared" si="45"/>
        <v>0.40718562874251496</v>
      </c>
      <c r="N101" s="59"/>
      <c r="O101" s="59"/>
      <c r="P101" s="59"/>
      <c r="Q101" s="59"/>
      <c r="R101" s="59"/>
    </row>
    <row r="102" spans="1:18" ht="12.75" hidden="1" customHeight="1" x14ac:dyDescent="0.2">
      <c r="A102" s="4"/>
      <c r="C102" s="5"/>
      <c r="D102" s="10"/>
      <c r="E102" s="11">
        <f t="shared" ref="E102:M102" si="46">(E28-(2*E23*E25))/E28</f>
        <v>0.33333333333333331</v>
      </c>
      <c r="F102" s="11">
        <f t="shared" si="46"/>
        <v>0.33333333333333331</v>
      </c>
      <c r="G102" s="11">
        <f t="shared" si="46"/>
        <v>0.33333333333333331</v>
      </c>
      <c r="H102" s="11">
        <f t="shared" si="46"/>
        <v>0.37336814621409919</v>
      </c>
      <c r="I102" s="11">
        <f t="shared" si="46"/>
        <v>0.40718562874251496</v>
      </c>
      <c r="J102" s="11">
        <f t="shared" si="46"/>
        <v>0.37336814621409919</v>
      </c>
      <c r="K102" s="11">
        <f t="shared" si="46"/>
        <v>0.27199191102123355</v>
      </c>
      <c r="L102" s="11">
        <f t="shared" si="46"/>
        <v>0.33333333333333331</v>
      </c>
      <c r="M102" s="11">
        <f t="shared" si="46"/>
        <v>0.40718562874251496</v>
      </c>
      <c r="N102" s="59"/>
      <c r="O102" s="59"/>
      <c r="P102" s="59"/>
      <c r="Q102" s="59"/>
      <c r="R102" s="59"/>
    </row>
    <row r="103" spans="1:18" ht="12.75" customHeight="1" x14ac:dyDescent="0.2">
      <c r="A103" s="4"/>
      <c r="C103" s="61" t="s">
        <v>223</v>
      </c>
      <c r="D103" s="10" t="s">
        <v>177</v>
      </c>
      <c r="E103" s="47">
        <f t="shared" ref="E103:M103" si="47">IF(E45&gt;2,"n.v.t.",IF(AND(E97&lt;=0.25,E99&lt;=1),E74,E73*E12*((1-E97)/(1-(0.5*E101)))/10^6))</f>
        <v>1510.11</v>
      </c>
      <c r="F103" s="47">
        <f t="shared" si="47"/>
        <v>1510.11</v>
      </c>
      <c r="G103" s="47">
        <f t="shared" si="47"/>
        <v>1510.11</v>
      </c>
      <c r="H103" s="47">
        <f t="shared" si="47"/>
        <v>1957.08</v>
      </c>
      <c r="I103" s="47">
        <f t="shared" si="47"/>
        <v>2403.58</v>
      </c>
      <c r="J103" s="47">
        <f t="shared" si="47"/>
        <v>1957.08</v>
      </c>
      <c r="K103" s="47">
        <f t="shared" si="47"/>
        <v>759.52</v>
      </c>
      <c r="L103" s="47">
        <f t="shared" si="47"/>
        <v>1510.11</v>
      </c>
      <c r="M103" s="47">
        <f t="shared" si="47"/>
        <v>2403.58</v>
      </c>
    </row>
    <row r="104" spans="1:18" ht="12.75" hidden="1" customHeight="1" x14ac:dyDescent="0.2">
      <c r="A104" s="4"/>
      <c r="C104" s="61" t="s">
        <v>223</v>
      </c>
      <c r="D104" s="10"/>
      <c r="E104" s="47">
        <f t="shared" ref="E104:M104" si="48">IF(AND(E98&lt;=0.25,E100&lt;=1),E74,E73*E12*((1-E98)/(1-(0.5*E102)))/10^6)</f>
        <v>1510.11</v>
      </c>
      <c r="F104" s="47">
        <f t="shared" si="48"/>
        <v>1510.11</v>
      </c>
      <c r="G104" s="47">
        <f t="shared" si="48"/>
        <v>1510.11</v>
      </c>
      <c r="H104" s="47">
        <f t="shared" si="48"/>
        <v>1957.08</v>
      </c>
      <c r="I104" s="47">
        <f t="shared" si="48"/>
        <v>2403.58</v>
      </c>
      <c r="J104" s="47">
        <f t="shared" si="48"/>
        <v>1957.08</v>
      </c>
      <c r="K104" s="47">
        <f t="shared" si="48"/>
        <v>759.52</v>
      </c>
      <c r="L104" s="47">
        <f t="shared" si="48"/>
        <v>1510.11</v>
      </c>
      <c r="M104" s="47">
        <f t="shared" si="48"/>
        <v>2403.58</v>
      </c>
    </row>
    <row r="105" spans="1:18" ht="12.75" customHeight="1" x14ac:dyDescent="0.2">
      <c r="A105" s="4" t="s">
        <v>181</v>
      </c>
      <c r="C105" s="61" t="s">
        <v>224</v>
      </c>
      <c r="D105" s="10" t="s">
        <v>113</v>
      </c>
      <c r="E105" s="59">
        <f t="shared" ref="E105:M105" si="49">IF(E45&gt;2,0,E72/E103)</f>
        <v>0.72842375720973973</v>
      </c>
      <c r="F105" s="59">
        <f t="shared" si="49"/>
        <v>0.72842375720973973</v>
      </c>
      <c r="G105" s="59">
        <f t="shared" si="49"/>
        <v>0.25494831502340892</v>
      </c>
      <c r="H105" s="59">
        <f t="shared" si="49"/>
        <v>0.19672164653463325</v>
      </c>
      <c r="I105" s="59">
        <f t="shared" si="49"/>
        <v>0.16017773487880582</v>
      </c>
      <c r="J105" s="59">
        <f t="shared" si="49"/>
        <v>0.19672164653463325</v>
      </c>
      <c r="K105" s="59">
        <f t="shared" si="49"/>
        <v>0.50689909416473566</v>
      </c>
      <c r="L105" s="59">
        <f t="shared" si="49"/>
        <v>0.25494831502340892</v>
      </c>
      <c r="M105" s="59">
        <f t="shared" si="49"/>
        <v>0.16017773487880582</v>
      </c>
    </row>
    <row r="106" spans="1:18" ht="12.75" hidden="1" customHeight="1" x14ac:dyDescent="0.2">
      <c r="A106" s="4"/>
      <c r="C106" s="61"/>
      <c r="E106" s="59">
        <f t="shared" ref="E106:M106" si="50">E72/E104</f>
        <v>0.72842375720973973</v>
      </c>
      <c r="F106" s="59">
        <f t="shared" si="50"/>
        <v>0.72842375720973973</v>
      </c>
      <c r="G106" s="59">
        <f t="shared" si="50"/>
        <v>0.25494831502340892</v>
      </c>
      <c r="H106" s="59">
        <f t="shared" si="50"/>
        <v>0.19672164653463325</v>
      </c>
      <c r="I106" s="59">
        <f t="shared" si="50"/>
        <v>0.16017773487880582</v>
      </c>
      <c r="J106" s="59">
        <f t="shared" si="50"/>
        <v>0.19672164653463325</v>
      </c>
      <c r="K106" s="59">
        <f t="shared" si="50"/>
        <v>0.50689909416473566</v>
      </c>
      <c r="L106" s="59">
        <f t="shared" si="50"/>
        <v>0.25494831502340892</v>
      </c>
      <c r="M106" s="59">
        <f t="shared" si="50"/>
        <v>0.16017773487880582</v>
      </c>
    </row>
    <row r="107" spans="1:18" ht="12.75" customHeight="1" x14ac:dyDescent="0.2">
      <c r="A107" s="4"/>
      <c r="C107" s="61"/>
      <c r="D107" s="20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</row>
    <row r="108" spans="1:18" ht="12.75" customHeight="1" x14ac:dyDescent="0.2">
      <c r="A108" s="14" t="s">
        <v>225</v>
      </c>
      <c r="C108" s="63"/>
      <c r="D108" s="10"/>
      <c r="E108" s="53" t="str">
        <f t="shared" ref="E108:M108" si="51">IF(E45&gt;2,"klopt","n.v.t.")</f>
        <v>n.v.t.</v>
      </c>
      <c r="F108" s="53" t="str">
        <f t="shared" si="51"/>
        <v>n.v.t.</v>
      </c>
      <c r="G108" s="53" t="str">
        <f t="shared" si="51"/>
        <v>n.v.t.</v>
      </c>
      <c r="H108" s="53" t="str">
        <f t="shared" si="51"/>
        <v>n.v.t.</v>
      </c>
      <c r="I108" s="53" t="str">
        <f t="shared" si="51"/>
        <v>n.v.t.</v>
      </c>
      <c r="J108" s="53" t="str">
        <f t="shared" si="51"/>
        <v>n.v.t.</v>
      </c>
      <c r="K108" s="53" t="str">
        <f t="shared" si="51"/>
        <v>n.v.t.</v>
      </c>
      <c r="L108" s="53" t="str">
        <f t="shared" si="51"/>
        <v>n.v.t.</v>
      </c>
      <c r="M108" s="53" t="str">
        <f t="shared" si="51"/>
        <v>n.v.t.</v>
      </c>
      <c r="N108" s="9"/>
      <c r="O108" s="9"/>
      <c r="P108" s="9"/>
      <c r="Q108" s="9"/>
      <c r="R108" s="9"/>
    </row>
    <row r="109" spans="1:18" ht="12.75" customHeight="1" x14ac:dyDescent="0.2">
      <c r="A109" s="4"/>
      <c r="C109" s="61" t="s">
        <v>226</v>
      </c>
      <c r="D109" s="10" t="s">
        <v>113</v>
      </c>
      <c r="E109" s="59">
        <f t="shared" ref="E109:M109" si="52">IF(E45&lt;3,0,(E67*1000)/(E28*E12)+(E72*10^6/(E26*E12)))</f>
        <v>0</v>
      </c>
      <c r="F109" s="59">
        <f t="shared" si="52"/>
        <v>0</v>
      </c>
      <c r="G109" s="59">
        <f t="shared" si="52"/>
        <v>0</v>
      </c>
      <c r="H109" s="59">
        <f t="shared" si="52"/>
        <v>0</v>
      </c>
      <c r="I109" s="59">
        <f t="shared" si="52"/>
        <v>0</v>
      </c>
      <c r="J109" s="59">
        <f t="shared" si="52"/>
        <v>0</v>
      </c>
      <c r="K109" s="59">
        <f t="shared" si="52"/>
        <v>0</v>
      </c>
      <c r="L109" s="59">
        <f t="shared" si="52"/>
        <v>0</v>
      </c>
      <c r="M109" s="59">
        <f t="shared" si="52"/>
        <v>0</v>
      </c>
      <c r="N109" s="48"/>
      <c r="O109" s="48"/>
      <c r="P109" s="48"/>
      <c r="Q109" s="48"/>
      <c r="R109" s="48"/>
    </row>
    <row r="110" spans="1:18" ht="12.75" customHeight="1" x14ac:dyDescent="0.2">
      <c r="A110" s="6"/>
      <c r="C110" s="61"/>
      <c r="D110" s="20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</row>
    <row r="111" spans="1:18" ht="12.75" customHeight="1" x14ac:dyDescent="0.2">
      <c r="A111" s="75" t="s">
        <v>227</v>
      </c>
      <c r="C111" s="61"/>
      <c r="D111" s="10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</row>
    <row r="112" spans="1:18" ht="12.75" customHeight="1" x14ac:dyDescent="0.2">
      <c r="A112" s="14" t="s">
        <v>217</v>
      </c>
      <c r="C112" s="63"/>
      <c r="E112" s="53" t="str">
        <f t="shared" ref="E112:M112" si="53">IF(E45&lt;3,"klopt","n.v.t.")</f>
        <v>klopt</v>
      </c>
      <c r="F112" s="53" t="str">
        <f t="shared" si="53"/>
        <v>klopt</v>
      </c>
      <c r="G112" s="53" t="str">
        <f t="shared" si="53"/>
        <v>klopt</v>
      </c>
      <c r="H112" s="53" t="str">
        <f t="shared" si="53"/>
        <v>klopt</v>
      </c>
      <c r="I112" s="53" t="str">
        <f t="shared" si="53"/>
        <v>klopt</v>
      </c>
      <c r="J112" s="53" t="str">
        <f t="shared" si="53"/>
        <v>klopt</v>
      </c>
      <c r="K112" s="53" t="str">
        <f t="shared" si="53"/>
        <v>klopt</v>
      </c>
      <c r="L112" s="53" t="str">
        <f t="shared" si="53"/>
        <v>klopt</v>
      </c>
      <c r="M112" s="53" t="str">
        <f t="shared" si="53"/>
        <v>klopt</v>
      </c>
    </row>
    <row r="113" spans="1:18" ht="12.75" customHeight="1" x14ac:dyDescent="0.2">
      <c r="A113" s="50"/>
      <c r="C113" s="61" t="s">
        <v>205</v>
      </c>
      <c r="D113" s="10" t="s">
        <v>113</v>
      </c>
      <c r="E113" s="53">
        <f t="shared" ref="E113:M113" si="54">IF(E112="n.v.t.",E112,E87)</f>
        <v>0.73139123727704292</v>
      </c>
      <c r="F113" s="53">
        <f t="shared" si="54"/>
        <v>0.73139123727704292</v>
      </c>
      <c r="G113" s="53">
        <f t="shared" si="54"/>
        <v>0.36569561863852146</v>
      </c>
      <c r="H113" s="53">
        <f t="shared" si="54"/>
        <v>0.29563418411668685</v>
      </c>
      <c r="I113" s="53">
        <f t="shared" si="54"/>
        <v>0.31558862846306035</v>
      </c>
      <c r="J113" s="53">
        <f t="shared" si="54"/>
        <v>0.29563418411668685</v>
      </c>
      <c r="K113" s="53">
        <f t="shared" si="54"/>
        <v>0.5791051332297158</v>
      </c>
      <c r="L113" s="53">
        <f t="shared" si="54"/>
        <v>0.36569561863852146</v>
      </c>
      <c r="M113" s="53">
        <f t="shared" si="54"/>
        <v>0.31558862846306035</v>
      </c>
    </row>
    <row r="114" spans="1:18" ht="12.75" customHeight="1" x14ac:dyDescent="0.2">
      <c r="A114" s="50"/>
      <c r="C114" s="61" t="s">
        <v>228</v>
      </c>
      <c r="D114" s="10" t="s">
        <v>113</v>
      </c>
      <c r="E114" s="9" t="str">
        <f t="shared" ref="E114:M114" si="55">IF(E112="n.v.t.",E112,IF(E113&gt;0.5,"ja","nee"))</f>
        <v>ja</v>
      </c>
      <c r="F114" s="9" t="str">
        <f t="shared" si="55"/>
        <v>ja</v>
      </c>
      <c r="G114" s="9" t="str">
        <f t="shared" si="55"/>
        <v>nee</v>
      </c>
      <c r="H114" s="9" t="str">
        <f t="shared" si="55"/>
        <v>nee</v>
      </c>
      <c r="I114" s="9" t="str">
        <f t="shared" si="55"/>
        <v>nee</v>
      </c>
      <c r="J114" s="9" t="str">
        <f t="shared" si="55"/>
        <v>nee</v>
      </c>
      <c r="K114" s="9" t="str">
        <f t="shared" si="55"/>
        <v>ja</v>
      </c>
      <c r="L114" s="9" t="str">
        <f t="shared" si="55"/>
        <v>nee</v>
      </c>
      <c r="M114" s="9" t="str">
        <f t="shared" si="55"/>
        <v>nee</v>
      </c>
    </row>
    <row r="115" spans="1:18" ht="12.75" customHeight="1" x14ac:dyDescent="0.2">
      <c r="A115" s="6"/>
      <c r="C115" s="7" t="s">
        <v>212</v>
      </c>
      <c r="D115" s="10" t="s">
        <v>113</v>
      </c>
      <c r="E115" s="73">
        <f t="shared" ref="E115:M115" si="56">IF(E112="n.v.t.",E112,IF(E113&lt;=0.5,0,((((2*E57)/E21)/E79)-1)^2))</f>
        <v>0.10876952383767438</v>
      </c>
      <c r="F115" s="73">
        <f t="shared" si="56"/>
        <v>0.10876952383767438</v>
      </c>
      <c r="G115" s="73">
        <f t="shared" si="56"/>
        <v>0</v>
      </c>
      <c r="H115" s="73">
        <f t="shared" si="56"/>
        <v>0</v>
      </c>
      <c r="I115" s="73">
        <f t="shared" si="56"/>
        <v>0</v>
      </c>
      <c r="J115" s="73">
        <f t="shared" si="56"/>
        <v>0</v>
      </c>
      <c r="K115" s="73">
        <f t="shared" si="56"/>
        <v>2.8003596043619907E-3</v>
      </c>
      <c r="L115" s="73">
        <f t="shared" si="56"/>
        <v>0</v>
      </c>
      <c r="M115" s="73">
        <f t="shared" si="56"/>
        <v>0</v>
      </c>
      <c r="N115" s="47"/>
      <c r="O115" s="47"/>
      <c r="P115" s="47"/>
      <c r="Q115" s="47"/>
      <c r="R115" s="47"/>
    </row>
    <row r="116" spans="1:18" ht="12.75" customHeight="1" x14ac:dyDescent="0.2">
      <c r="A116" s="6"/>
      <c r="C116" s="61" t="s">
        <v>229</v>
      </c>
      <c r="D116" s="56" t="s">
        <v>78</v>
      </c>
      <c r="E116" s="47">
        <f t="shared" ref="E116:M116" si="57">IF(E112="n.v.t.",E112,((E28*E12)-(E115*E33*E12))/($G$4*1000))</f>
        <v>6061.6581096409536</v>
      </c>
      <c r="F116" s="47">
        <f t="shared" si="57"/>
        <v>6061.6581096409536</v>
      </c>
      <c r="G116" s="47">
        <f t="shared" si="57"/>
        <v>6345</v>
      </c>
      <c r="H116" s="47">
        <f t="shared" si="57"/>
        <v>7200.4</v>
      </c>
      <c r="I116" s="47">
        <f t="shared" si="57"/>
        <v>7849</v>
      </c>
      <c r="J116" s="47">
        <f t="shared" si="57"/>
        <v>7200.4</v>
      </c>
      <c r="K116" s="47">
        <f t="shared" si="57"/>
        <v>4643.6934084508239</v>
      </c>
      <c r="L116" s="47">
        <f t="shared" si="57"/>
        <v>6345</v>
      </c>
      <c r="M116" s="47">
        <f t="shared" si="57"/>
        <v>7849</v>
      </c>
      <c r="N116" s="47"/>
      <c r="O116" s="47"/>
      <c r="P116" s="47"/>
      <c r="Q116" s="47"/>
      <c r="R116" s="47"/>
    </row>
    <row r="117" spans="1:18" ht="12.75" customHeight="1" x14ac:dyDescent="0.2">
      <c r="A117" s="6"/>
      <c r="C117" s="5" t="s">
        <v>230</v>
      </c>
      <c r="D117" s="10" t="s">
        <v>113</v>
      </c>
      <c r="E117" s="59">
        <f t="shared" ref="E117:M117" si="58">IF(E112="n.v.t.",E112,IF(((E28-(2*E23*E25))/E28)&lt;0.5,((E28-(2*E23*E25))/E28),0.5))</f>
        <v>0.33333333333333331</v>
      </c>
      <c r="F117" s="59">
        <f t="shared" si="58"/>
        <v>0.33333333333333331</v>
      </c>
      <c r="G117" s="59">
        <f t="shared" si="58"/>
        <v>0.33333333333333331</v>
      </c>
      <c r="H117" s="59">
        <f t="shared" si="58"/>
        <v>0.37336814621409919</v>
      </c>
      <c r="I117" s="59">
        <f t="shared" si="58"/>
        <v>0.40718562874251496</v>
      </c>
      <c r="J117" s="59">
        <f t="shared" si="58"/>
        <v>0.37336814621409919</v>
      </c>
      <c r="K117" s="59">
        <f t="shared" si="58"/>
        <v>0.27199191102123355</v>
      </c>
      <c r="L117" s="59">
        <f t="shared" si="58"/>
        <v>0.33333333333333331</v>
      </c>
      <c r="M117" s="59">
        <f t="shared" si="58"/>
        <v>0.40718562874251496</v>
      </c>
      <c r="N117" s="59"/>
      <c r="O117" s="59"/>
      <c r="P117" s="59"/>
      <c r="Q117" s="59"/>
      <c r="R117" s="59"/>
    </row>
    <row r="118" spans="1:18" ht="12.75" customHeight="1" x14ac:dyDescent="0.2">
      <c r="A118" s="6"/>
      <c r="C118" s="5" t="s">
        <v>231</v>
      </c>
      <c r="D118" s="10" t="s">
        <v>113</v>
      </c>
      <c r="E118" s="53">
        <f t="shared" ref="E118:M118" si="59">IF(E112="n.v.t.",E112,E117*(1-E115))</f>
        <v>0.29707682538744185</v>
      </c>
      <c r="F118" s="53">
        <f t="shared" si="59"/>
        <v>0.29707682538744185</v>
      </c>
      <c r="G118" s="53">
        <f t="shared" si="59"/>
        <v>0.33333333333333331</v>
      </c>
      <c r="H118" s="53">
        <f t="shared" si="59"/>
        <v>0.37336814621409919</v>
      </c>
      <c r="I118" s="53">
        <f t="shared" si="59"/>
        <v>0.40718562874251496</v>
      </c>
      <c r="J118" s="53">
        <f t="shared" si="59"/>
        <v>0.37336814621409919</v>
      </c>
      <c r="K118" s="53">
        <f t="shared" si="59"/>
        <v>0.27123023586089645</v>
      </c>
      <c r="L118" s="53">
        <f t="shared" si="59"/>
        <v>0.33333333333333331</v>
      </c>
      <c r="M118" s="53">
        <f t="shared" si="59"/>
        <v>0.40718562874251496</v>
      </c>
    </row>
    <row r="119" spans="1:18" ht="12.75" customHeight="1" x14ac:dyDescent="0.2">
      <c r="A119" s="50"/>
      <c r="C119" s="61" t="s">
        <v>232</v>
      </c>
      <c r="D119" s="10" t="s">
        <v>177</v>
      </c>
      <c r="E119" s="47">
        <f t="shared" ref="E119:M119" si="60">IF(E112="n.v.t.",E112,((E73-((E115*E33^2)/(4*E24)))*E12/$G$4)/10^6)</f>
        <v>1459.4512120220963</v>
      </c>
      <c r="F119" s="47">
        <f t="shared" si="60"/>
        <v>1459.4512120220963</v>
      </c>
      <c r="G119" s="47">
        <f t="shared" si="60"/>
        <v>1510.11</v>
      </c>
      <c r="H119" s="47">
        <f t="shared" si="60"/>
        <v>1957.08</v>
      </c>
      <c r="I119" s="47">
        <f t="shared" si="60"/>
        <v>2403.58</v>
      </c>
      <c r="J119" s="47">
        <f t="shared" si="60"/>
        <v>1957.08</v>
      </c>
      <c r="K119" s="47">
        <f t="shared" si="60"/>
        <v>758.92284924362536</v>
      </c>
      <c r="L119" s="47">
        <f t="shared" si="60"/>
        <v>1510.11</v>
      </c>
      <c r="M119" s="47">
        <f t="shared" si="60"/>
        <v>2403.58</v>
      </c>
    </row>
    <row r="120" spans="1:18" ht="12.75" customHeight="1" x14ac:dyDescent="0.2">
      <c r="A120" s="6"/>
      <c r="B120" s="58"/>
      <c r="C120" s="61" t="s">
        <v>233</v>
      </c>
      <c r="D120" s="10" t="s">
        <v>113</v>
      </c>
      <c r="E120" s="59">
        <f t="shared" ref="E120:M120" si="61">IF(E112="n.v.t.",0,((E72/E119)+((E67/E116)-(E118/2))/(1-(E118/2))))</f>
        <v>0.79238273936349179</v>
      </c>
      <c r="F120" s="59">
        <f t="shared" si="61"/>
        <v>0.79238273936349179</v>
      </c>
      <c r="G120" s="59">
        <f t="shared" si="61"/>
        <v>0.26298614008251059</v>
      </c>
      <c r="H120" s="59">
        <f t="shared" si="61"/>
        <v>0.15502225102218495</v>
      </c>
      <c r="I120" s="59">
        <f t="shared" si="61"/>
        <v>8.051048163932413E-2</v>
      </c>
      <c r="J120" s="59">
        <f t="shared" si="61"/>
        <v>0.15502225102218495</v>
      </c>
      <c r="K120" s="59">
        <f t="shared" si="61"/>
        <v>0.62445095450030041</v>
      </c>
      <c r="L120" s="59">
        <f t="shared" si="61"/>
        <v>0.26298614008251059</v>
      </c>
      <c r="M120" s="59">
        <f t="shared" si="61"/>
        <v>8.051048163932413E-2</v>
      </c>
      <c r="N120" s="59"/>
      <c r="O120" s="59"/>
      <c r="P120" s="59"/>
      <c r="Q120" s="59"/>
      <c r="R120" s="59"/>
    </row>
    <row r="121" spans="1:18" ht="12.75" customHeight="1" x14ac:dyDescent="0.2">
      <c r="A121" s="6"/>
      <c r="C121" s="61"/>
      <c r="D121" s="10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</row>
    <row r="122" spans="1:18" ht="12.75" customHeight="1" x14ac:dyDescent="0.2">
      <c r="A122" s="14" t="s">
        <v>225</v>
      </c>
      <c r="E122" s="53" t="str">
        <f t="shared" ref="E122:M122" si="62">IF(E45&gt;2,"klopt","n.v.t.")</f>
        <v>n.v.t.</v>
      </c>
      <c r="F122" s="53" t="str">
        <f t="shared" si="62"/>
        <v>n.v.t.</v>
      </c>
      <c r="G122" s="53" t="str">
        <f t="shared" si="62"/>
        <v>n.v.t.</v>
      </c>
      <c r="H122" s="53" t="str">
        <f t="shared" si="62"/>
        <v>n.v.t.</v>
      </c>
      <c r="I122" s="53" t="str">
        <f t="shared" si="62"/>
        <v>n.v.t.</v>
      </c>
      <c r="J122" s="53" t="str">
        <f t="shared" si="62"/>
        <v>n.v.t.</v>
      </c>
      <c r="K122" s="53" t="str">
        <f t="shared" si="62"/>
        <v>n.v.t.</v>
      </c>
      <c r="L122" s="53" t="str">
        <f t="shared" si="62"/>
        <v>n.v.t.</v>
      </c>
      <c r="M122" s="53" t="str">
        <f t="shared" si="62"/>
        <v>n.v.t.</v>
      </c>
    </row>
    <row r="123" spans="1:18" ht="12.75" customHeight="1" x14ac:dyDescent="0.2">
      <c r="A123" s="4"/>
      <c r="C123" s="61" t="s">
        <v>234</v>
      </c>
      <c r="D123" s="10" t="s">
        <v>113</v>
      </c>
      <c r="E123" s="53" t="str">
        <f t="shared" ref="E123:M123" si="63">IF(E122="n.v.t.",E122,(E72*10^6/(((E23*E22^3)-(E23*E32^3))/(6*E22)*E12)))</f>
        <v>n.v.t.</v>
      </c>
      <c r="F123" s="53" t="str">
        <f t="shared" si="63"/>
        <v>n.v.t.</v>
      </c>
      <c r="G123" s="53" t="str">
        <f t="shared" si="63"/>
        <v>n.v.t.</v>
      </c>
      <c r="H123" s="53" t="str">
        <f t="shared" si="63"/>
        <v>n.v.t.</v>
      </c>
      <c r="I123" s="53" t="str">
        <f t="shared" si="63"/>
        <v>n.v.t.</v>
      </c>
      <c r="J123" s="53" t="str">
        <f t="shared" si="63"/>
        <v>n.v.t.</v>
      </c>
      <c r="K123" s="53" t="str">
        <f t="shared" si="63"/>
        <v>n.v.t.</v>
      </c>
      <c r="L123" s="53" t="str">
        <f t="shared" si="63"/>
        <v>n.v.t.</v>
      </c>
      <c r="M123" s="53" t="str">
        <f t="shared" si="63"/>
        <v>n.v.t.</v>
      </c>
    </row>
    <row r="124" spans="1:18" ht="12.75" hidden="1" customHeight="1" x14ac:dyDescent="0.2">
      <c r="A124" s="4"/>
      <c r="C124" s="61" t="s">
        <v>235</v>
      </c>
      <c r="D124" s="10"/>
      <c r="E124" s="53">
        <f t="shared" ref="E124:M124" si="64">(((E23*E22^3)-(E23*E32^3))/(6*E22)*E12)/10^6</f>
        <v>1146.33</v>
      </c>
      <c r="F124" s="53">
        <f t="shared" si="64"/>
        <v>1146.33</v>
      </c>
      <c r="G124" s="53">
        <f t="shared" si="64"/>
        <v>1146.33</v>
      </c>
      <c r="H124" s="53">
        <f t="shared" si="64"/>
        <v>1439.2162742857145</v>
      </c>
      <c r="I124" s="53">
        <f t="shared" si="64"/>
        <v>1711.8735975</v>
      </c>
      <c r="J124" s="53">
        <f t="shared" si="64"/>
        <v>1439.2162742857145</v>
      </c>
      <c r="K124" s="53">
        <f t="shared" si="64"/>
        <v>598.83263999999997</v>
      </c>
      <c r="L124" s="53">
        <f t="shared" si="64"/>
        <v>1146.33</v>
      </c>
      <c r="M124" s="53">
        <f t="shared" si="64"/>
        <v>1711.8735975</v>
      </c>
    </row>
    <row r="125" spans="1:18" ht="12.75" customHeight="1" x14ac:dyDescent="0.2">
      <c r="A125" s="50"/>
      <c r="C125" s="77" t="s">
        <v>236</v>
      </c>
      <c r="D125" s="10" t="s">
        <v>113</v>
      </c>
      <c r="E125" s="53" t="str">
        <f t="shared" ref="E125:M125" si="65">IF(E122="n.v.t.",E122,IF((E32/E24)&gt;(72*E15/1),"voldoet niet","voldoet"))</f>
        <v>n.v.t.</v>
      </c>
      <c r="F125" s="53" t="str">
        <f t="shared" si="65"/>
        <v>n.v.t.</v>
      </c>
      <c r="G125" s="53" t="str">
        <f t="shared" si="65"/>
        <v>n.v.t.</v>
      </c>
      <c r="H125" s="53" t="str">
        <f t="shared" si="65"/>
        <v>n.v.t.</v>
      </c>
      <c r="I125" s="53" t="str">
        <f t="shared" si="65"/>
        <v>n.v.t.</v>
      </c>
      <c r="J125" s="53" t="str">
        <f t="shared" si="65"/>
        <v>n.v.t.</v>
      </c>
      <c r="K125" s="53" t="str">
        <f t="shared" si="65"/>
        <v>n.v.t.</v>
      </c>
      <c r="L125" s="53" t="str">
        <f t="shared" si="65"/>
        <v>n.v.t.</v>
      </c>
      <c r="M125" s="53" t="str">
        <f t="shared" si="65"/>
        <v>n.v.t.</v>
      </c>
      <c r="N125" s="53"/>
      <c r="O125" s="53"/>
      <c r="P125" s="53"/>
      <c r="Q125" s="53"/>
      <c r="R125" s="53"/>
    </row>
    <row r="126" spans="1:18" ht="12.75" hidden="1" customHeight="1" x14ac:dyDescent="0.2">
      <c r="A126" s="50"/>
      <c r="C126" s="61" t="s">
        <v>237</v>
      </c>
      <c r="D126" s="10" t="s">
        <v>113</v>
      </c>
      <c r="E126" s="53" t="str">
        <f t="shared" ref="E126:M126" si="66">IF(OR(E122="n.v.t.",E125="voldoet"),"n.v.t.",E106)</f>
        <v>n.v.t.</v>
      </c>
      <c r="F126" s="53" t="str">
        <f t="shared" si="66"/>
        <v>n.v.t.</v>
      </c>
      <c r="G126" s="53" t="str">
        <f t="shared" si="66"/>
        <v>n.v.t.</v>
      </c>
      <c r="H126" s="53" t="str">
        <f t="shared" si="66"/>
        <v>n.v.t.</v>
      </c>
      <c r="I126" s="53" t="str">
        <f t="shared" si="66"/>
        <v>n.v.t.</v>
      </c>
      <c r="J126" s="53" t="str">
        <f t="shared" si="66"/>
        <v>n.v.t.</v>
      </c>
      <c r="K126" s="53" t="str">
        <f t="shared" si="66"/>
        <v>n.v.t.</v>
      </c>
      <c r="L126" s="53" t="str">
        <f t="shared" si="66"/>
        <v>n.v.t.</v>
      </c>
      <c r="M126" s="53" t="str">
        <f t="shared" si="66"/>
        <v>n.v.t.</v>
      </c>
      <c r="N126" s="53"/>
      <c r="O126" s="53"/>
      <c r="P126" s="53"/>
      <c r="Q126" s="53"/>
      <c r="R126" s="53"/>
    </row>
    <row r="127" spans="1:18" ht="12.75" hidden="1" customHeight="1" x14ac:dyDescent="0.2">
      <c r="A127" s="50"/>
      <c r="C127" s="61" t="s">
        <v>238</v>
      </c>
      <c r="D127" s="10"/>
      <c r="E127" s="53">
        <f t="shared" ref="E127:M127" si="67">IF(E122="n.v.t.",0,IF(AND(E123&gt;1,E126&lt;1),2,1))</f>
        <v>0</v>
      </c>
      <c r="F127" s="53">
        <f t="shared" si="67"/>
        <v>0</v>
      </c>
      <c r="G127" s="53">
        <f t="shared" si="67"/>
        <v>0</v>
      </c>
      <c r="H127" s="53">
        <f t="shared" si="67"/>
        <v>0</v>
      </c>
      <c r="I127" s="53">
        <f t="shared" si="67"/>
        <v>0</v>
      </c>
      <c r="J127" s="53">
        <f t="shared" si="67"/>
        <v>0</v>
      </c>
      <c r="K127" s="53">
        <f t="shared" si="67"/>
        <v>0</v>
      </c>
      <c r="L127" s="53">
        <f t="shared" si="67"/>
        <v>0</v>
      </c>
      <c r="M127" s="53">
        <f t="shared" si="67"/>
        <v>0</v>
      </c>
      <c r="N127" s="53"/>
      <c r="O127" s="53"/>
      <c r="P127" s="53"/>
      <c r="Q127" s="53"/>
      <c r="R127" s="53"/>
    </row>
    <row r="128" spans="1:18" ht="12.75" customHeight="1" x14ac:dyDescent="0.2">
      <c r="C128" s="61" t="s">
        <v>239</v>
      </c>
      <c r="D128" s="10" t="s">
        <v>113</v>
      </c>
      <c r="E128" s="59" t="str">
        <f t="shared" ref="E128:M128" si="68">IF(E127=2,E72/(E124+(E104-E124)*(1-(((2*E78)/(E28*(E12/SQRT(3)))/$G$4/10000)-1)^2)),"n.v.t.")</f>
        <v>n.v.t.</v>
      </c>
      <c r="F128" s="59" t="str">
        <f t="shared" si="68"/>
        <v>n.v.t.</v>
      </c>
      <c r="G128" s="59" t="str">
        <f t="shared" si="68"/>
        <v>n.v.t.</v>
      </c>
      <c r="H128" s="59" t="str">
        <f t="shared" si="68"/>
        <v>n.v.t.</v>
      </c>
      <c r="I128" s="59" t="str">
        <f t="shared" si="68"/>
        <v>n.v.t.</v>
      </c>
      <c r="J128" s="59" t="str">
        <f t="shared" si="68"/>
        <v>n.v.t.</v>
      </c>
      <c r="K128" s="59" t="str">
        <f t="shared" si="68"/>
        <v>n.v.t.</v>
      </c>
      <c r="L128" s="59" t="str">
        <f t="shared" si="68"/>
        <v>n.v.t.</v>
      </c>
      <c r="M128" s="59" t="str">
        <f t="shared" si="68"/>
        <v>n.v.t.</v>
      </c>
      <c r="N128" s="59"/>
      <c r="O128" s="59"/>
      <c r="P128" s="59"/>
      <c r="Q128" s="59"/>
      <c r="R128" s="59"/>
    </row>
    <row r="129" spans="1:19" ht="12.75" hidden="1" customHeight="1" x14ac:dyDescent="0.2">
      <c r="A129" s="6"/>
      <c r="C129" s="61"/>
      <c r="D129" s="10"/>
      <c r="E129" s="59">
        <f t="shared" ref="E129:M129" si="69">IF(AND(E122="klopt",E128="n.v.t."),E123,0)</f>
        <v>0</v>
      </c>
      <c r="F129" s="59">
        <f t="shared" si="69"/>
        <v>0</v>
      </c>
      <c r="G129" s="59">
        <f t="shared" si="69"/>
        <v>0</v>
      </c>
      <c r="H129" s="59">
        <f t="shared" si="69"/>
        <v>0</v>
      </c>
      <c r="I129" s="59">
        <f t="shared" si="69"/>
        <v>0</v>
      </c>
      <c r="J129" s="59">
        <f t="shared" si="69"/>
        <v>0</v>
      </c>
      <c r="K129" s="59">
        <f t="shared" si="69"/>
        <v>0</v>
      </c>
      <c r="L129" s="59">
        <f t="shared" si="69"/>
        <v>0</v>
      </c>
      <c r="M129" s="59">
        <f t="shared" si="69"/>
        <v>0</v>
      </c>
      <c r="N129" s="59"/>
      <c r="O129" s="59"/>
      <c r="P129" s="59"/>
      <c r="Q129" s="59"/>
      <c r="R129" s="59"/>
    </row>
    <row r="130" spans="1:19" ht="12.75" customHeight="1" x14ac:dyDescent="0.2">
      <c r="A130" s="6"/>
      <c r="C130" s="61"/>
      <c r="D130" s="10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</row>
    <row r="131" spans="1:19" ht="12.75" customHeight="1" x14ac:dyDescent="0.2">
      <c r="A131" s="79" t="s">
        <v>240</v>
      </c>
      <c r="C131" s="63"/>
      <c r="I131" s="9"/>
      <c r="J131" s="9"/>
      <c r="K131" s="9"/>
      <c r="L131" s="9"/>
      <c r="M131" s="9"/>
    </row>
    <row r="132" spans="1:19" ht="12.75" customHeight="1" x14ac:dyDescent="0.2">
      <c r="A132" s="4" t="s">
        <v>241</v>
      </c>
      <c r="C132" s="63"/>
      <c r="D132" s="10" t="s">
        <v>113</v>
      </c>
      <c r="E132" s="11">
        <f t="shared" ref="E132:M132" si="70">E63</f>
        <v>8.1734821588209772E-2</v>
      </c>
      <c r="F132" s="11">
        <f t="shared" si="70"/>
        <v>0.35317515501078284</v>
      </c>
      <c r="G132" s="11">
        <f t="shared" si="70"/>
        <v>0.35317515501078284</v>
      </c>
      <c r="H132" s="11">
        <f t="shared" si="70"/>
        <v>0.27251483502633173</v>
      </c>
      <c r="I132" s="11">
        <f t="shared" si="70"/>
        <v>0.22189123446414652</v>
      </c>
      <c r="J132" s="11">
        <f t="shared" si="70"/>
        <v>0.27251483502633173</v>
      </c>
      <c r="K132" s="11">
        <f t="shared" si="70"/>
        <v>0.7021978793624043</v>
      </c>
      <c r="L132" s="11">
        <f t="shared" si="70"/>
        <v>0.35317515501078284</v>
      </c>
      <c r="M132" s="11">
        <f t="shared" si="70"/>
        <v>0.22189123446414652</v>
      </c>
    </row>
    <row r="133" spans="1:19" ht="12.75" customHeight="1" x14ac:dyDescent="0.2">
      <c r="A133" s="1" t="s">
        <v>184</v>
      </c>
      <c r="C133" s="62"/>
      <c r="D133" s="10" t="s">
        <v>113</v>
      </c>
      <c r="E133" s="11">
        <f t="shared" ref="E133:M133" si="71">E69</f>
        <v>0.17336485421591805</v>
      </c>
      <c r="F133" s="11">
        <f t="shared" si="71"/>
        <v>0.17336485421591805</v>
      </c>
      <c r="G133" s="11">
        <f t="shared" si="71"/>
        <v>0.17336485421591805</v>
      </c>
      <c r="H133" s="11">
        <f t="shared" si="71"/>
        <v>0.15276929059496697</v>
      </c>
      <c r="I133" s="11">
        <f t="shared" si="71"/>
        <v>0.14014524143202955</v>
      </c>
      <c r="J133" s="11">
        <f t="shared" si="71"/>
        <v>0.15276929059496697</v>
      </c>
      <c r="K133" s="11">
        <f t="shared" si="71"/>
        <v>0.23664565540089924</v>
      </c>
      <c r="L133" s="11">
        <f t="shared" si="71"/>
        <v>0.17336485421591805</v>
      </c>
      <c r="M133" s="11">
        <f t="shared" si="71"/>
        <v>0.14014524143202955</v>
      </c>
    </row>
    <row r="134" spans="1:19" ht="12.75" customHeight="1" x14ac:dyDescent="0.2">
      <c r="A134" t="s">
        <v>191</v>
      </c>
      <c r="C134" s="5"/>
      <c r="D134" s="10" t="s">
        <v>113</v>
      </c>
      <c r="E134" s="11">
        <f t="shared" ref="E134:M134" si="72">E75</f>
        <v>0.72842375720973973</v>
      </c>
      <c r="F134" s="11">
        <f t="shared" si="72"/>
        <v>0.72842375720973973</v>
      </c>
      <c r="G134" s="11">
        <f t="shared" si="72"/>
        <v>0.25494831502340892</v>
      </c>
      <c r="H134" s="11">
        <f t="shared" si="72"/>
        <v>0.19672164653463325</v>
      </c>
      <c r="I134" s="11">
        <f t="shared" si="72"/>
        <v>0.16017773487880582</v>
      </c>
      <c r="J134" s="11">
        <f t="shared" si="72"/>
        <v>0.19672164653463325</v>
      </c>
      <c r="K134" s="11">
        <f t="shared" si="72"/>
        <v>0.50689909416473566</v>
      </c>
      <c r="L134" s="11">
        <f t="shared" si="72"/>
        <v>0.25494831502340892</v>
      </c>
      <c r="M134" s="11">
        <f t="shared" si="72"/>
        <v>0.16017773487880582</v>
      </c>
      <c r="N134" s="47"/>
      <c r="O134" s="47"/>
      <c r="P134" s="47"/>
      <c r="Q134" s="47"/>
      <c r="R134" s="47"/>
    </row>
    <row r="135" spans="1:19" ht="12.75" customHeight="1" x14ac:dyDescent="0.2">
      <c r="A135" t="s">
        <v>199</v>
      </c>
      <c r="C135" s="7"/>
      <c r="D135" s="10" t="s">
        <v>113</v>
      </c>
      <c r="E135" s="11">
        <f t="shared" ref="E135:M135" si="73">E80</f>
        <v>0.73139123727704292</v>
      </c>
      <c r="F135" s="11">
        <f t="shared" si="73"/>
        <v>0.73139123727704292</v>
      </c>
      <c r="G135" s="11">
        <f t="shared" si="73"/>
        <v>0.36569561863852146</v>
      </c>
      <c r="H135" s="11">
        <f t="shared" si="73"/>
        <v>0.29563418411668685</v>
      </c>
      <c r="I135" s="11">
        <f t="shared" si="73"/>
        <v>0.31558862846306035</v>
      </c>
      <c r="J135" s="11">
        <f t="shared" si="73"/>
        <v>0.29563418411668685</v>
      </c>
      <c r="K135" s="11">
        <f t="shared" si="73"/>
        <v>0.5791051332297158</v>
      </c>
      <c r="L135" s="11">
        <f t="shared" si="73"/>
        <v>0.36569561863852146</v>
      </c>
      <c r="M135" s="11">
        <f t="shared" si="73"/>
        <v>0.31558862846306035</v>
      </c>
      <c r="N135" s="53"/>
      <c r="O135" s="53"/>
      <c r="P135" s="53"/>
      <c r="Q135" s="53"/>
      <c r="R135" s="53"/>
    </row>
    <row r="136" spans="1:19" ht="12.75" customHeight="1" x14ac:dyDescent="0.2">
      <c r="A136" t="s">
        <v>209</v>
      </c>
      <c r="C136" s="5"/>
      <c r="D136" s="10" t="s">
        <v>113</v>
      </c>
      <c r="E136" s="53">
        <f t="shared" ref="E136:M136" si="74">E91</f>
        <v>0.75692918506405626</v>
      </c>
      <c r="F136" s="53">
        <f t="shared" si="74"/>
        <v>0.75692918506405626</v>
      </c>
      <c r="G136" s="53">
        <f t="shared" si="74"/>
        <v>0.25494831502340892</v>
      </c>
      <c r="H136" s="53">
        <f t="shared" si="74"/>
        <v>0.19672164653463325</v>
      </c>
      <c r="I136" s="53">
        <f t="shared" si="74"/>
        <v>0.16017773487880582</v>
      </c>
      <c r="J136" s="53">
        <f t="shared" si="74"/>
        <v>0.19672164653463325</v>
      </c>
      <c r="K136" s="53">
        <f t="shared" si="74"/>
        <v>0.50854607057558898</v>
      </c>
      <c r="L136" s="53">
        <f t="shared" si="74"/>
        <v>0.25494831502340892</v>
      </c>
      <c r="M136" s="53">
        <f t="shared" si="74"/>
        <v>0.16017773487880582</v>
      </c>
      <c r="N136" s="59"/>
      <c r="O136" s="59"/>
      <c r="P136" s="59"/>
      <c r="Q136" s="59"/>
      <c r="R136" s="59"/>
    </row>
    <row r="137" spans="1:19" ht="12.75" customHeight="1" x14ac:dyDescent="0.2">
      <c r="A137" t="s">
        <v>215</v>
      </c>
      <c r="C137" s="63"/>
      <c r="D137" s="10" t="s">
        <v>113</v>
      </c>
      <c r="E137" s="11">
        <f t="shared" ref="E137:M137" si="75">IF(E94="klopt",E105,E109)</f>
        <v>0.72842375720973973</v>
      </c>
      <c r="F137" s="11">
        <f t="shared" si="75"/>
        <v>0.72842375720973973</v>
      </c>
      <c r="G137" s="11">
        <f t="shared" si="75"/>
        <v>0.25494831502340892</v>
      </c>
      <c r="H137" s="11">
        <f t="shared" si="75"/>
        <v>0.19672164653463325</v>
      </c>
      <c r="I137" s="11">
        <f t="shared" si="75"/>
        <v>0.16017773487880582</v>
      </c>
      <c r="J137" s="11">
        <f t="shared" si="75"/>
        <v>0.19672164653463325</v>
      </c>
      <c r="K137" s="11">
        <f t="shared" si="75"/>
        <v>0.50689909416473566</v>
      </c>
      <c r="L137" s="11">
        <f t="shared" si="75"/>
        <v>0.25494831502340892</v>
      </c>
      <c r="M137" s="11">
        <f t="shared" si="75"/>
        <v>0.16017773487880582</v>
      </c>
    </row>
    <row r="138" spans="1:19" ht="12.75" customHeight="1" x14ac:dyDescent="0.2">
      <c r="A138" t="s">
        <v>242</v>
      </c>
      <c r="C138" s="5"/>
      <c r="D138" s="10" t="s">
        <v>113</v>
      </c>
      <c r="E138" s="11">
        <f t="shared" ref="E138:M138" si="76">IF(E112="klopt",E120,E129)</f>
        <v>0.79238273936349179</v>
      </c>
      <c r="F138" s="11">
        <f t="shared" si="76"/>
        <v>0.79238273936349179</v>
      </c>
      <c r="G138" s="11">
        <f t="shared" si="76"/>
        <v>0.26298614008251059</v>
      </c>
      <c r="H138" s="11">
        <f t="shared" si="76"/>
        <v>0.15502225102218495</v>
      </c>
      <c r="I138" s="11">
        <f t="shared" si="76"/>
        <v>8.051048163932413E-2</v>
      </c>
      <c r="J138" s="11">
        <f t="shared" si="76"/>
        <v>0.15502225102218495</v>
      </c>
      <c r="K138" s="11">
        <f t="shared" si="76"/>
        <v>0.62445095450030041</v>
      </c>
      <c r="L138" s="11">
        <f t="shared" si="76"/>
        <v>0.26298614008251059</v>
      </c>
      <c r="M138" s="11">
        <f t="shared" si="76"/>
        <v>8.051048163932413E-2</v>
      </c>
      <c r="N138" s="9"/>
      <c r="O138" s="9"/>
      <c r="P138" s="9"/>
      <c r="Q138" s="9"/>
      <c r="R138" s="9"/>
    </row>
    <row r="139" spans="1:19" ht="12.75" customHeight="1" x14ac:dyDescent="0.2">
      <c r="D139" s="10" t="s">
        <v>243</v>
      </c>
      <c r="E139" s="59">
        <f t="shared" ref="E139:M139" si="77">MAX(E133:E138)</f>
        <v>0.79238273936349179</v>
      </c>
      <c r="F139" s="59">
        <f t="shared" si="77"/>
        <v>0.79238273936349179</v>
      </c>
      <c r="G139" s="59">
        <f t="shared" si="77"/>
        <v>0.36569561863852146</v>
      </c>
      <c r="H139" s="59">
        <f t="shared" si="77"/>
        <v>0.29563418411668685</v>
      </c>
      <c r="I139" s="59">
        <f t="shared" si="77"/>
        <v>0.31558862846306035</v>
      </c>
      <c r="J139" s="59">
        <f t="shared" si="77"/>
        <v>0.29563418411668685</v>
      </c>
      <c r="K139" s="59">
        <f t="shared" si="77"/>
        <v>0.62445095450030041</v>
      </c>
      <c r="L139" s="59">
        <f t="shared" si="77"/>
        <v>0.36569561863852146</v>
      </c>
      <c r="M139" s="59">
        <f t="shared" si="77"/>
        <v>0.31558862846306035</v>
      </c>
      <c r="N139" s="59"/>
      <c r="O139" s="59"/>
      <c r="P139" s="59"/>
      <c r="Q139" s="59"/>
      <c r="R139" s="59"/>
      <c r="S139" s="59"/>
    </row>
    <row r="140" spans="1:19" x14ac:dyDescent="0.2">
      <c r="E140" s="60" t="str">
        <f t="shared" ref="E140:M140" si="78">IF(E139&lt;=1,"voldoet","voldoet niet")</f>
        <v>voldoet</v>
      </c>
      <c r="F140" s="60" t="str">
        <f t="shared" si="78"/>
        <v>voldoet</v>
      </c>
      <c r="G140" s="60" t="str">
        <f t="shared" si="78"/>
        <v>voldoet</v>
      </c>
      <c r="H140" s="60" t="str">
        <f t="shared" si="78"/>
        <v>voldoet</v>
      </c>
      <c r="I140" s="60" t="str">
        <f t="shared" si="78"/>
        <v>voldoet</v>
      </c>
      <c r="J140" s="60" t="str">
        <f t="shared" si="78"/>
        <v>voldoet</v>
      </c>
      <c r="K140" s="60" t="str">
        <f t="shared" si="78"/>
        <v>voldoet</v>
      </c>
      <c r="L140" s="60" t="str">
        <f t="shared" si="78"/>
        <v>voldoet</v>
      </c>
      <c r="M140" s="60" t="str">
        <f t="shared" si="78"/>
        <v>voldoet</v>
      </c>
      <c r="N140" s="60"/>
      <c r="O140" s="60"/>
      <c r="P140" s="60"/>
      <c r="Q140" s="60"/>
      <c r="R140" s="60"/>
    </row>
  </sheetData>
  <conditionalFormatting sqref="E63:M63">
    <cfRule type="cellIs" dxfId="41" priority="17" operator="greaterThan">
      <formula>1</formula>
    </cfRule>
    <cfRule type="cellIs" dxfId="40" priority="18" operator="lessThan">
      <formula>1</formula>
    </cfRule>
  </conditionalFormatting>
  <conditionalFormatting sqref="E69:M69">
    <cfRule type="cellIs" dxfId="39" priority="19" operator="greaterThan">
      <formula>1</formula>
    </cfRule>
    <cfRule type="cellIs" dxfId="38" priority="20" operator="lessThan">
      <formula>1</formula>
    </cfRule>
  </conditionalFormatting>
  <conditionalFormatting sqref="E75:M75 E139:S139">
    <cfRule type="cellIs" dxfId="37" priority="22" operator="greaterThan">
      <formula>1</formula>
    </cfRule>
    <cfRule type="cellIs" dxfId="36" priority="23" operator="lessThan">
      <formula>1</formula>
    </cfRule>
  </conditionalFormatting>
  <conditionalFormatting sqref="E80:M80">
    <cfRule type="cellIs" dxfId="35" priority="13" operator="greaterThan">
      <formula>1</formula>
    </cfRule>
    <cfRule type="cellIs" dxfId="34" priority="14" operator="lessThan">
      <formula>1</formula>
    </cfRule>
  </conditionalFormatting>
  <conditionalFormatting sqref="E91:M91">
    <cfRule type="cellIs" dxfId="33" priority="11" operator="greaterThan">
      <formula>1</formula>
    </cfRule>
    <cfRule type="cellIs" dxfId="32" priority="12" operator="lessThan">
      <formula>1</formula>
    </cfRule>
  </conditionalFormatting>
  <conditionalFormatting sqref="E105:M106">
    <cfRule type="cellIs" dxfId="31" priority="3" operator="greaterThan">
      <formula>1</formula>
    </cfRule>
    <cfRule type="cellIs" dxfId="30" priority="4" operator="lessThan">
      <formula>1</formula>
    </cfRule>
  </conditionalFormatting>
  <conditionalFormatting sqref="E109:M109">
    <cfRule type="cellIs" dxfId="29" priority="7" operator="greaterThan">
      <formula>1</formula>
    </cfRule>
    <cfRule type="cellIs" dxfId="28" priority="8" operator="lessThan">
      <formula>1</formula>
    </cfRule>
  </conditionalFormatting>
  <conditionalFormatting sqref="E120:M120">
    <cfRule type="cellIs" dxfId="27" priority="5" operator="greaterThan">
      <formula>1</formula>
    </cfRule>
    <cfRule type="cellIs" dxfId="26" priority="6" operator="lessThan">
      <formula>1</formula>
    </cfRule>
  </conditionalFormatting>
  <conditionalFormatting sqref="E129:M129">
    <cfRule type="cellIs" dxfId="25" priority="1" operator="greaterThan">
      <formula>1</formula>
    </cfRule>
    <cfRule type="cellIs" dxfId="24" priority="2" operator="lessThan">
      <formula>1</formula>
    </cfRule>
  </conditionalFormatting>
  <pageMargins left="0.70866141732283461" right="0.82677165354330706" top="1.377952755905512" bottom="0.70866141732283461" header="0.31496062992125978" footer="0.31496062992125978"/>
  <pageSetup paperSize="8" scale="61" fitToWidth="0" orientation="portrait" r:id="rId1"/>
  <headerFooter>
    <oddHeader>&amp;C&amp;G
&amp;R
Pagina &amp;P van &amp;N</oddHeader>
    <oddFooter>&amp;L&amp;"-,Vet"&amp;8 &amp;K002C5FENGINEERING EN MONITORING VOOR
GWW EN GEOTECHNIEK &amp;R&amp;"-,Standaard"&amp;8 Op al onze werkzaamheden is DNR 2011 van toepassing.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W150"/>
  <sheetViews>
    <sheetView view="pageBreakPreview" zoomScale="90" zoomScaleNormal="100" zoomScaleSheetLayoutView="90" zoomScalePageLayoutView="50" workbookViewId="0">
      <selection activeCell="G133" sqref="G133"/>
    </sheetView>
  </sheetViews>
  <sheetFormatPr defaultColWidth="9.140625" defaultRowHeight="12.75" x14ac:dyDescent="0.2"/>
  <cols>
    <col min="1" max="1" width="24.7109375" style="37" customWidth="1"/>
    <col min="2" max="2" width="21.7109375" style="37" bestFit="1" customWidth="1"/>
    <col min="3" max="3" width="3.42578125" style="37" bestFit="1" customWidth="1"/>
    <col min="4" max="4" width="7.7109375" style="9" bestFit="1" customWidth="1"/>
    <col min="5" max="41" width="9.7109375" style="37" customWidth="1"/>
    <col min="42" max="42" width="9.140625" style="37" customWidth="1"/>
    <col min="43" max="16384" width="9.140625" style="37"/>
  </cols>
  <sheetData>
    <row r="1" spans="1:49" ht="18.75" customHeight="1" x14ac:dyDescent="0.2">
      <c r="A1" s="41" t="s">
        <v>244</v>
      </c>
      <c r="E1" s="49" t="s">
        <v>245</v>
      </c>
      <c r="H1" s="9"/>
      <c r="K1" s="49" t="s">
        <v>109</v>
      </c>
      <c r="W1" s="49" t="s">
        <v>245</v>
      </c>
      <c r="AC1" s="49" t="s">
        <v>109</v>
      </c>
      <c r="AO1" s="49" t="s">
        <v>245</v>
      </c>
      <c r="AU1" s="49" t="s">
        <v>109</v>
      </c>
    </row>
    <row r="2" spans="1:49" ht="15" customHeight="1" x14ac:dyDescent="0.2">
      <c r="A2" s="70"/>
      <c r="B2" s="72"/>
      <c r="E2" s="46" t="s">
        <v>246</v>
      </c>
      <c r="H2" s="44" t="s">
        <v>141</v>
      </c>
      <c r="I2" s="9">
        <v>30</v>
      </c>
      <c r="K2" s="66" t="s">
        <v>247</v>
      </c>
      <c r="L2" s="44" t="s">
        <v>113</v>
      </c>
      <c r="M2" s="9">
        <v>1.25</v>
      </c>
      <c r="W2" s="37" t="s">
        <v>246</v>
      </c>
      <c r="Z2" s="9" t="s">
        <v>141</v>
      </c>
      <c r="AA2" s="9">
        <f>I2</f>
        <v>30</v>
      </c>
      <c r="AC2" s="66" t="s">
        <v>247</v>
      </c>
      <c r="AD2" s="44" t="s">
        <v>113</v>
      </c>
      <c r="AE2" s="9">
        <f>M2</f>
        <v>1.25</v>
      </c>
      <c r="AO2" s="37" t="s">
        <v>246</v>
      </c>
      <c r="AR2" s="9" t="s">
        <v>141</v>
      </c>
      <c r="AS2" s="9">
        <f>I2</f>
        <v>30</v>
      </c>
      <c r="AU2" s="66" t="s">
        <v>247</v>
      </c>
      <c r="AV2" s="44" t="s">
        <v>113</v>
      </c>
      <c r="AW2" s="9">
        <f>M2</f>
        <v>1.25</v>
      </c>
    </row>
    <row r="3" spans="1:49" ht="15.75" customHeight="1" x14ac:dyDescent="0.2">
      <c r="A3" s="70" t="s">
        <v>111</v>
      </c>
      <c r="B3" s="72" t="str">
        <f>'C - overzicht'!D3</f>
        <v>H24.0000-1</v>
      </c>
      <c r="E3" s="46" t="s">
        <v>248</v>
      </c>
      <c r="H3" s="44" t="s">
        <v>249</v>
      </c>
      <c r="I3" s="9">
        <f>'C - overzicht'!V7*'C - overzicht'!V8</f>
        <v>10000</v>
      </c>
      <c r="K3" s="66" t="s">
        <v>250</v>
      </c>
      <c r="L3" s="44" t="s">
        <v>113</v>
      </c>
      <c r="M3" s="9">
        <v>1.2</v>
      </c>
      <c r="W3" s="46" t="s">
        <v>248</v>
      </c>
      <c r="Z3" s="9" t="s">
        <v>249</v>
      </c>
      <c r="AA3" s="9">
        <f>I3</f>
        <v>10000</v>
      </c>
      <c r="AC3" s="66" t="s">
        <v>250</v>
      </c>
      <c r="AD3" s="44" t="s">
        <v>113</v>
      </c>
      <c r="AE3" s="9">
        <f>M3</f>
        <v>1.2</v>
      </c>
      <c r="AO3" s="46" t="s">
        <v>248</v>
      </c>
      <c r="AR3" s="9" t="s">
        <v>249</v>
      </c>
      <c r="AS3" s="9">
        <f>I3</f>
        <v>10000</v>
      </c>
      <c r="AU3" s="66" t="s">
        <v>250</v>
      </c>
      <c r="AV3" s="44" t="s">
        <v>113</v>
      </c>
      <c r="AW3" s="9">
        <f>M3</f>
        <v>1.2</v>
      </c>
    </row>
    <row r="4" spans="1:49" ht="15.75" customHeight="1" x14ac:dyDescent="0.2">
      <c r="A4" s="70" t="s">
        <v>114</v>
      </c>
      <c r="B4" s="72" t="str">
        <f>'C - overzicht'!D4</f>
        <v>Stempelframe</v>
      </c>
      <c r="E4" s="46"/>
      <c r="G4" s="66" t="s">
        <v>251</v>
      </c>
      <c r="H4" s="44" t="s">
        <v>252</v>
      </c>
      <c r="I4" s="9">
        <v>1.2E-5</v>
      </c>
      <c r="K4" s="66" t="s">
        <v>253</v>
      </c>
      <c r="L4" s="44" t="s">
        <v>113</v>
      </c>
      <c r="M4" s="9">
        <v>1.5</v>
      </c>
      <c r="Y4" s="66" t="s">
        <v>251</v>
      </c>
      <c r="Z4" s="9" t="s">
        <v>252</v>
      </c>
      <c r="AA4" s="9">
        <f>I4</f>
        <v>1.2E-5</v>
      </c>
      <c r="AC4" s="66" t="s">
        <v>253</v>
      </c>
      <c r="AD4" s="44" t="s">
        <v>113</v>
      </c>
      <c r="AE4" s="9">
        <f>M4</f>
        <v>1.5</v>
      </c>
      <c r="AQ4" s="66" t="s">
        <v>251</v>
      </c>
      <c r="AR4" s="9" t="s">
        <v>252</v>
      </c>
      <c r="AS4" s="9">
        <f>I4</f>
        <v>1.2E-5</v>
      </c>
      <c r="AU4" s="66" t="s">
        <v>253</v>
      </c>
      <c r="AV4" s="44" t="s">
        <v>113</v>
      </c>
      <c r="AW4" s="9">
        <f>M4</f>
        <v>1.5</v>
      </c>
    </row>
    <row r="5" spans="1:49" ht="15" customHeight="1" x14ac:dyDescent="0.2">
      <c r="A5" s="70" t="s">
        <v>116</v>
      </c>
      <c r="B5" s="72" t="str">
        <f>'C - overzicht'!D5</f>
        <v>Amsterdam</v>
      </c>
      <c r="E5" s="46" t="s">
        <v>254</v>
      </c>
      <c r="G5" s="66" t="s">
        <v>255</v>
      </c>
      <c r="H5" s="44" t="s">
        <v>256</v>
      </c>
      <c r="I5" s="9">
        <v>30</v>
      </c>
      <c r="K5" s="66" t="s">
        <v>257</v>
      </c>
      <c r="L5" s="44" t="s">
        <v>113</v>
      </c>
      <c r="M5" s="9">
        <v>1.25</v>
      </c>
      <c r="W5" s="37" t="s">
        <v>254</v>
      </c>
      <c r="Y5" s="66" t="s">
        <v>255</v>
      </c>
      <c r="Z5" s="9" t="s">
        <v>256</v>
      </c>
      <c r="AA5" s="9">
        <f>I5</f>
        <v>30</v>
      </c>
      <c r="AC5" s="66" t="s">
        <v>257</v>
      </c>
      <c r="AD5" s="44" t="s">
        <v>113</v>
      </c>
      <c r="AE5" s="9">
        <f>M5</f>
        <v>1.25</v>
      </c>
      <c r="AO5" s="37" t="s">
        <v>254</v>
      </c>
      <c r="AQ5" s="66" t="s">
        <v>255</v>
      </c>
      <c r="AR5" s="9" t="s">
        <v>256</v>
      </c>
      <c r="AS5" s="9">
        <f>I5</f>
        <v>30</v>
      </c>
      <c r="AU5" s="66" t="s">
        <v>257</v>
      </c>
      <c r="AV5" s="44" t="s">
        <v>113</v>
      </c>
      <c r="AW5" s="9">
        <f>M5</f>
        <v>1.25</v>
      </c>
    </row>
    <row r="6" spans="1:49" ht="15" customHeight="1" x14ac:dyDescent="0.2">
      <c r="A6" s="70" t="s">
        <v>118</v>
      </c>
      <c r="B6" s="219">
        <f ca="1">'C - overzicht'!D6</f>
        <v>45895</v>
      </c>
      <c r="E6" s="46" t="s">
        <v>258</v>
      </c>
      <c r="G6" s="63"/>
      <c r="H6" s="10" t="s">
        <v>78</v>
      </c>
      <c r="I6" s="9">
        <v>10</v>
      </c>
      <c r="L6" s="9"/>
      <c r="W6" s="37" t="s">
        <v>258</v>
      </c>
      <c r="Z6" s="9" t="s">
        <v>78</v>
      </c>
      <c r="AA6" s="9">
        <f>I6</f>
        <v>10</v>
      </c>
      <c r="AO6" s="37" t="s">
        <v>258</v>
      </c>
      <c r="AR6" s="9" t="s">
        <v>78</v>
      </c>
      <c r="AS6" s="9">
        <f>I6</f>
        <v>10</v>
      </c>
    </row>
    <row r="7" spans="1:49" x14ac:dyDescent="0.2">
      <c r="D7" s="37"/>
    </row>
    <row r="8" spans="1:49" ht="12.75" customHeight="1" x14ac:dyDescent="0.2">
      <c r="D8" s="62" t="s">
        <v>259</v>
      </c>
      <c r="E8" s="67">
        <f>'C - overzicht'!$B11</f>
        <v>0</v>
      </c>
      <c r="F8" s="67">
        <f>'C - overzicht'!$B12</f>
        <v>0</v>
      </c>
      <c r="G8" s="67">
        <f>'C - overzicht'!$B13</f>
        <v>0</v>
      </c>
      <c r="H8" s="67">
        <f>'C - overzicht'!$B14</f>
        <v>0</v>
      </c>
      <c r="I8" s="67">
        <f>'C - overzicht'!$B15</f>
        <v>0</v>
      </c>
      <c r="J8" s="67">
        <f>'C - overzicht'!$B16</f>
        <v>0</v>
      </c>
      <c r="K8" s="67">
        <f>'C - overzicht'!$B17</f>
        <v>0</v>
      </c>
      <c r="L8" s="67">
        <f>'C - overzicht'!$B18</f>
        <v>0</v>
      </c>
      <c r="M8" s="67">
        <f>'C - overzicht'!$B19</f>
        <v>0</v>
      </c>
      <c r="N8" s="67">
        <f>'C - overzicht'!$B20</f>
        <v>0</v>
      </c>
      <c r="O8" s="67">
        <f>'C - overzicht'!$B21</f>
        <v>0</v>
      </c>
      <c r="P8" s="67">
        <f>'C - overzicht'!$B22</f>
        <v>0</v>
      </c>
      <c r="Q8" s="67">
        <f>'C - overzicht'!$B23</f>
        <v>0</v>
      </c>
      <c r="R8" s="67">
        <f>'C - overzicht'!$B24</f>
        <v>0</v>
      </c>
      <c r="S8" s="67">
        <f>'C - overzicht'!$B25</f>
        <v>0</v>
      </c>
      <c r="T8" s="67">
        <f>'C - overzicht'!$B26</f>
        <v>0</v>
      </c>
      <c r="U8" s="67">
        <f>'C - overzicht'!$B27</f>
        <v>0</v>
      </c>
      <c r="V8" s="67">
        <f>'C - overzicht'!$B28</f>
        <v>0</v>
      </c>
      <c r="W8" s="67">
        <f>'C - overzicht'!$B29</f>
        <v>0</v>
      </c>
      <c r="X8" s="67">
        <f>'C - overzicht'!$B30</f>
        <v>0</v>
      </c>
      <c r="Y8" s="67">
        <f>'C - overzicht'!$B31</f>
        <v>0</v>
      </c>
      <c r="Z8" s="67">
        <f>'C - overzicht'!$B32</f>
        <v>0</v>
      </c>
      <c r="AA8" s="67">
        <f>'C - overzicht'!$B33</f>
        <v>0</v>
      </c>
      <c r="AB8" s="67">
        <f>'C - overzicht'!$B34</f>
        <v>0</v>
      </c>
      <c r="AC8" s="67">
        <f>'C - overzicht'!$B35</f>
        <v>0</v>
      </c>
      <c r="AD8" s="67">
        <f>'C - overzicht'!$B36</f>
        <v>0</v>
      </c>
      <c r="AE8" s="67">
        <f>'C - overzicht'!$B37</f>
        <v>0</v>
      </c>
      <c r="AF8" s="67">
        <f>'C - overzicht'!$B38</f>
        <v>0</v>
      </c>
      <c r="AG8" s="67">
        <f>'C - overzicht'!$B39</f>
        <v>0</v>
      </c>
      <c r="AH8" s="67">
        <f>'C - overzicht'!$B40</f>
        <v>0</v>
      </c>
      <c r="AI8" s="67">
        <f>'C - overzicht'!$B41</f>
        <v>0</v>
      </c>
      <c r="AJ8" s="67">
        <f>'C - overzicht'!$B42</f>
        <v>0</v>
      </c>
      <c r="AK8" s="67">
        <f>'C - overzicht'!$B43</f>
        <v>0</v>
      </c>
      <c r="AL8" s="67">
        <f>'C - overzicht'!$B44</f>
        <v>0</v>
      </c>
      <c r="AM8" s="67">
        <f>'C - overzicht'!$B45</f>
        <v>0</v>
      </c>
      <c r="AN8" s="67">
        <f>'C - overzicht'!$B46</f>
        <v>0</v>
      </c>
      <c r="AO8" s="67">
        <f>'C - overzicht'!$B47</f>
        <v>0</v>
      </c>
      <c r="AP8" s="67">
        <f>'C - overzicht'!$B48</f>
        <v>0</v>
      </c>
      <c r="AQ8" s="67">
        <f>'C - overzicht'!$B49</f>
        <v>0</v>
      </c>
      <c r="AR8" s="67">
        <f>'C - overzicht'!$B50</f>
        <v>0</v>
      </c>
      <c r="AS8" s="67">
        <f>'C - overzicht'!$B51</f>
        <v>0</v>
      </c>
      <c r="AT8" s="67">
        <f>'C - overzicht'!$B52</f>
        <v>0</v>
      </c>
    </row>
    <row r="9" spans="1:49" ht="12.75" customHeight="1" x14ac:dyDescent="0.2">
      <c r="A9" s="42" t="s">
        <v>260</v>
      </c>
      <c r="D9" s="6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49" ht="12.75" customHeight="1" x14ac:dyDescent="0.2">
      <c r="A10" s="43" t="s">
        <v>121</v>
      </c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49" ht="12.75" customHeight="1" x14ac:dyDescent="0.2">
      <c r="A11" s="37" t="s">
        <v>122</v>
      </c>
      <c r="C11" s="37" t="s">
        <v>123</v>
      </c>
      <c r="D11" s="44" t="s">
        <v>113</v>
      </c>
      <c r="E11" s="9">
        <f>VLOOKUP(E8,'C - overzicht'!$B$11:$M$53,5)</f>
        <v>355</v>
      </c>
      <c r="F11" s="9">
        <f>VLOOKUP(F8,'C - overzicht'!$B$11:$M$53,5)</f>
        <v>355</v>
      </c>
      <c r="G11" s="9">
        <f>VLOOKUP(G8,'C - overzicht'!$B$11:$M$53,5)</f>
        <v>355</v>
      </c>
      <c r="H11" s="9">
        <f>VLOOKUP(H8,'C - overzicht'!$B$11:$M$53,5)</f>
        <v>355</v>
      </c>
      <c r="I11" s="9">
        <f>VLOOKUP(I8,'C - overzicht'!$B$11:$M$53,5)</f>
        <v>355</v>
      </c>
      <c r="J11" s="9">
        <f>VLOOKUP(J8,'C - overzicht'!$B$11:$M$53,5)</f>
        <v>355</v>
      </c>
      <c r="K11" s="9">
        <f>VLOOKUP(K8,'C - overzicht'!$B$11:$M$53,5)</f>
        <v>355</v>
      </c>
      <c r="L11" s="9">
        <f>VLOOKUP(L8,'C - overzicht'!$B$11:$M$53,5)</f>
        <v>355</v>
      </c>
      <c r="M11" s="9">
        <f>VLOOKUP(M8,'C - overzicht'!$B$11:$M$53,5)</f>
        <v>355</v>
      </c>
      <c r="N11" s="9">
        <f>VLOOKUP(N8,'C - overzicht'!$B$11:$M$53,5)</f>
        <v>355</v>
      </c>
      <c r="O11" s="9">
        <f>VLOOKUP(O8,'C - overzicht'!$B$11:$M$53,5)</f>
        <v>355</v>
      </c>
      <c r="P11" s="9">
        <f>VLOOKUP(P8,'C - overzicht'!$B$11:$M$53,5)</f>
        <v>355</v>
      </c>
      <c r="Q11" s="9">
        <f>VLOOKUP(Q8,'C - overzicht'!$B$11:$M$53,5)</f>
        <v>355</v>
      </c>
      <c r="R11" s="9">
        <f>VLOOKUP(R8,'C - overzicht'!$B$11:$M$53,5)</f>
        <v>355</v>
      </c>
      <c r="S11" s="9">
        <f>VLOOKUP(S8,'C - overzicht'!$B$11:$M$53,5)</f>
        <v>355</v>
      </c>
      <c r="T11" s="9">
        <f>VLOOKUP(T8,'C - overzicht'!$B$11:$M$53,5)</f>
        <v>355</v>
      </c>
      <c r="U11" s="9">
        <f>VLOOKUP(U8,'C - overzicht'!$B$11:$M$53,5)</f>
        <v>355</v>
      </c>
      <c r="V11" s="9">
        <f>VLOOKUP(V8,'C - overzicht'!$B$11:$M$53,5)</f>
        <v>355</v>
      </c>
      <c r="W11" s="9">
        <f>VLOOKUP(W8,'C - overzicht'!$B$11:$M$53,5)</f>
        <v>355</v>
      </c>
      <c r="X11" s="9">
        <f>VLOOKUP(X8,'C - overzicht'!$B$11:$M$53,5)</f>
        <v>355</v>
      </c>
      <c r="Y11" s="9">
        <f>VLOOKUP(Y8,'C - overzicht'!$B$11:$M$53,5)</f>
        <v>355</v>
      </c>
      <c r="Z11" s="9">
        <f>VLOOKUP(Z8,'C - overzicht'!$B$11:$M$53,5)</f>
        <v>355</v>
      </c>
      <c r="AA11" s="9">
        <f>VLOOKUP(AA8,'C - overzicht'!$B$11:$M$53,5)</f>
        <v>355</v>
      </c>
      <c r="AB11" s="9">
        <f>VLOOKUP(AB8,'C - overzicht'!$B$11:$M$53,5)</f>
        <v>355</v>
      </c>
      <c r="AC11" s="9">
        <f>VLOOKUP(AC8,'C - overzicht'!$B$11:$M$53,5)</f>
        <v>355</v>
      </c>
      <c r="AD11" s="9">
        <f>VLOOKUP(AD8,'C - overzicht'!$B$11:$M$53,5)</f>
        <v>355</v>
      </c>
      <c r="AE11" s="9">
        <f>VLOOKUP(AE8,'C - overzicht'!$B$11:$M$53,5)</f>
        <v>355</v>
      </c>
      <c r="AF11" s="9">
        <f>VLOOKUP(AF8,'C - overzicht'!$B$11:$M$53,5)</f>
        <v>355</v>
      </c>
      <c r="AG11" s="9">
        <f>VLOOKUP(AG8,'C - overzicht'!$B$11:$M$53,5)</f>
        <v>355</v>
      </c>
      <c r="AH11" s="9">
        <f>VLOOKUP(AH8,'C - overzicht'!$B$11:$M$53,5)</f>
        <v>355</v>
      </c>
      <c r="AI11" s="9">
        <f>VLOOKUP(AI8,'C - overzicht'!$B$11:$M$53,5)</f>
        <v>355</v>
      </c>
      <c r="AJ11" s="9">
        <f>VLOOKUP(AJ8,'C - overzicht'!$B$11:$M$53,5)</f>
        <v>355</v>
      </c>
      <c r="AK11" s="9">
        <f>VLOOKUP(AK8,'C - overzicht'!$B$11:$M$53,5)</f>
        <v>355</v>
      </c>
      <c r="AL11" s="9">
        <f>VLOOKUP(AL8,'C - overzicht'!$B$11:$M$53,5)</f>
        <v>355</v>
      </c>
      <c r="AM11" s="9">
        <f>VLOOKUP(AM8,'C - overzicht'!$B$11:$M$53,5)</f>
        <v>355</v>
      </c>
      <c r="AN11" s="9">
        <f>VLOOKUP(AN8,'C - overzicht'!$B$11:$M$53,5)</f>
        <v>355</v>
      </c>
      <c r="AO11" s="9">
        <f>VLOOKUP(AO8,'C - overzicht'!$B$11:$M$53,5)</f>
        <v>355</v>
      </c>
      <c r="AP11" s="9">
        <f>VLOOKUP(AP8,'C - overzicht'!$B$11:$M$53,5)</f>
        <v>355</v>
      </c>
      <c r="AQ11" s="9">
        <f>VLOOKUP(AQ8,'C - overzicht'!$B$11:$M$53,5)</f>
        <v>355</v>
      </c>
      <c r="AR11" s="9">
        <f>VLOOKUP(AR8,'C - overzicht'!$B$11:$M$53,5)</f>
        <v>355</v>
      </c>
      <c r="AS11" s="9">
        <f>VLOOKUP(AS8,'C - overzicht'!$B$11:$M$53,5)</f>
        <v>355</v>
      </c>
      <c r="AT11" s="9">
        <f>VLOOKUP(AT8,'C - overzicht'!$B$11:$M$53,5)</f>
        <v>355</v>
      </c>
    </row>
    <row r="12" spans="1:49" ht="12.75" customHeight="1" x14ac:dyDescent="0.2">
      <c r="A12" s="37" t="s">
        <v>124</v>
      </c>
      <c r="B12" s="65" t="s">
        <v>125</v>
      </c>
      <c r="C12" s="37" t="s">
        <v>126</v>
      </c>
      <c r="D12" s="9" t="s">
        <v>127</v>
      </c>
      <c r="E12" s="9">
        <f t="shared" ref="E12:AT12" si="0">E11</f>
        <v>355</v>
      </c>
      <c r="F12" s="9">
        <f t="shared" si="0"/>
        <v>355</v>
      </c>
      <c r="G12" s="9">
        <f t="shared" si="0"/>
        <v>355</v>
      </c>
      <c r="H12" s="9">
        <f t="shared" si="0"/>
        <v>355</v>
      </c>
      <c r="I12" s="9">
        <f t="shared" si="0"/>
        <v>355</v>
      </c>
      <c r="J12" s="9">
        <f t="shared" si="0"/>
        <v>355</v>
      </c>
      <c r="K12" s="9">
        <f t="shared" si="0"/>
        <v>355</v>
      </c>
      <c r="L12" s="9">
        <f t="shared" si="0"/>
        <v>355</v>
      </c>
      <c r="M12" s="9">
        <f t="shared" si="0"/>
        <v>355</v>
      </c>
      <c r="N12" s="9">
        <f t="shared" si="0"/>
        <v>355</v>
      </c>
      <c r="O12" s="9">
        <f t="shared" si="0"/>
        <v>355</v>
      </c>
      <c r="P12" s="9">
        <f t="shared" si="0"/>
        <v>355</v>
      </c>
      <c r="Q12" s="9">
        <f t="shared" si="0"/>
        <v>355</v>
      </c>
      <c r="R12" s="9">
        <f t="shared" si="0"/>
        <v>355</v>
      </c>
      <c r="S12" s="9">
        <f t="shared" si="0"/>
        <v>355</v>
      </c>
      <c r="T12" s="9">
        <f t="shared" si="0"/>
        <v>355</v>
      </c>
      <c r="U12" s="9">
        <f t="shared" si="0"/>
        <v>355</v>
      </c>
      <c r="V12" s="9">
        <f t="shared" si="0"/>
        <v>355</v>
      </c>
      <c r="W12" s="9">
        <f t="shared" si="0"/>
        <v>355</v>
      </c>
      <c r="X12" s="9">
        <f t="shared" si="0"/>
        <v>355</v>
      </c>
      <c r="Y12" s="9">
        <f t="shared" si="0"/>
        <v>355</v>
      </c>
      <c r="Z12" s="9">
        <f t="shared" si="0"/>
        <v>355</v>
      </c>
      <c r="AA12" s="9">
        <f t="shared" si="0"/>
        <v>355</v>
      </c>
      <c r="AB12" s="9">
        <f t="shared" si="0"/>
        <v>355</v>
      </c>
      <c r="AC12" s="9">
        <f t="shared" si="0"/>
        <v>355</v>
      </c>
      <c r="AD12" s="9">
        <f t="shared" si="0"/>
        <v>355</v>
      </c>
      <c r="AE12" s="9">
        <f t="shared" si="0"/>
        <v>355</v>
      </c>
      <c r="AF12" s="9">
        <f t="shared" si="0"/>
        <v>355</v>
      </c>
      <c r="AG12" s="9">
        <f t="shared" si="0"/>
        <v>355</v>
      </c>
      <c r="AH12" s="9">
        <f t="shared" si="0"/>
        <v>355</v>
      </c>
      <c r="AI12" s="9">
        <f t="shared" si="0"/>
        <v>355</v>
      </c>
      <c r="AJ12" s="9">
        <f t="shared" si="0"/>
        <v>355</v>
      </c>
      <c r="AK12" s="9">
        <f t="shared" si="0"/>
        <v>355</v>
      </c>
      <c r="AL12" s="9">
        <f t="shared" si="0"/>
        <v>355</v>
      </c>
      <c r="AM12" s="9">
        <f t="shared" si="0"/>
        <v>355</v>
      </c>
      <c r="AN12" s="9">
        <f t="shared" si="0"/>
        <v>355</v>
      </c>
      <c r="AO12" s="9">
        <f t="shared" si="0"/>
        <v>355</v>
      </c>
      <c r="AP12" s="9">
        <f t="shared" si="0"/>
        <v>355</v>
      </c>
      <c r="AQ12" s="9">
        <f t="shared" si="0"/>
        <v>355</v>
      </c>
      <c r="AR12" s="9">
        <f t="shared" si="0"/>
        <v>355</v>
      </c>
      <c r="AS12" s="9">
        <f t="shared" si="0"/>
        <v>355</v>
      </c>
      <c r="AT12" s="9">
        <f t="shared" si="0"/>
        <v>355</v>
      </c>
    </row>
    <row r="13" spans="1:49" ht="12.75" customHeight="1" x14ac:dyDescent="0.2">
      <c r="A13" s="37" t="s">
        <v>128</v>
      </c>
      <c r="B13" s="65" t="s">
        <v>125</v>
      </c>
      <c r="C13" s="37" t="s">
        <v>129</v>
      </c>
      <c r="D13" s="9" t="s">
        <v>127</v>
      </c>
      <c r="E13" s="9">
        <f t="shared" ref="E13:AT13" si="1">IF(E11=235,360,IF(E11=275,430,IF(E11=355,510,IF(E11=440,550))))</f>
        <v>510</v>
      </c>
      <c r="F13" s="9">
        <f t="shared" si="1"/>
        <v>510</v>
      </c>
      <c r="G13" s="9">
        <f t="shared" si="1"/>
        <v>510</v>
      </c>
      <c r="H13" s="9">
        <f t="shared" si="1"/>
        <v>510</v>
      </c>
      <c r="I13" s="9">
        <f t="shared" si="1"/>
        <v>510</v>
      </c>
      <c r="J13" s="9">
        <f t="shared" si="1"/>
        <v>510</v>
      </c>
      <c r="K13" s="9">
        <f t="shared" si="1"/>
        <v>510</v>
      </c>
      <c r="L13" s="9">
        <f t="shared" si="1"/>
        <v>510</v>
      </c>
      <c r="M13" s="9">
        <f t="shared" si="1"/>
        <v>510</v>
      </c>
      <c r="N13" s="9">
        <f t="shared" si="1"/>
        <v>510</v>
      </c>
      <c r="O13" s="9">
        <f t="shared" si="1"/>
        <v>510</v>
      </c>
      <c r="P13" s="9">
        <f t="shared" si="1"/>
        <v>510</v>
      </c>
      <c r="Q13" s="9">
        <f t="shared" si="1"/>
        <v>510</v>
      </c>
      <c r="R13" s="9">
        <f t="shared" si="1"/>
        <v>510</v>
      </c>
      <c r="S13" s="9">
        <f t="shared" si="1"/>
        <v>510</v>
      </c>
      <c r="T13" s="9">
        <f t="shared" si="1"/>
        <v>510</v>
      </c>
      <c r="U13" s="9">
        <f t="shared" si="1"/>
        <v>510</v>
      </c>
      <c r="V13" s="9">
        <f t="shared" si="1"/>
        <v>510</v>
      </c>
      <c r="W13" s="9">
        <f t="shared" si="1"/>
        <v>510</v>
      </c>
      <c r="X13" s="9">
        <f t="shared" si="1"/>
        <v>510</v>
      </c>
      <c r="Y13" s="9">
        <f t="shared" si="1"/>
        <v>510</v>
      </c>
      <c r="Z13" s="9">
        <f t="shared" si="1"/>
        <v>510</v>
      </c>
      <c r="AA13" s="9">
        <f t="shared" si="1"/>
        <v>510</v>
      </c>
      <c r="AB13" s="9">
        <f t="shared" si="1"/>
        <v>510</v>
      </c>
      <c r="AC13" s="9">
        <f t="shared" si="1"/>
        <v>510</v>
      </c>
      <c r="AD13" s="9">
        <f t="shared" si="1"/>
        <v>510</v>
      </c>
      <c r="AE13" s="9">
        <f t="shared" si="1"/>
        <v>510</v>
      </c>
      <c r="AF13" s="9">
        <f t="shared" si="1"/>
        <v>510</v>
      </c>
      <c r="AG13" s="9">
        <f t="shared" si="1"/>
        <v>510</v>
      </c>
      <c r="AH13" s="9">
        <f t="shared" si="1"/>
        <v>510</v>
      </c>
      <c r="AI13" s="9">
        <f t="shared" si="1"/>
        <v>510</v>
      </c>
      <c r="AJ13" s="9">
        <f t="shared" si="1"/>
        <v>510</v>
      </c>
      <c r="AK13" s="9">
        <f t="shared" si="1"/>
        <v>510</v>
      </c>
      <c r="AL13" s="9">
        <f t="shared" si="1"/>
        <v>510</v>
      </c>
      <c r="AM13" s="9">
        <f t="shared" si="1"/>
        <v>510</v>
      </c>
      <c r="AN13" s="9">
        <f t="shared" si="1"/>
        <v>510</v>
      </c>
      <c r="AO13" s="9">
        <f t="shared" si="1"/>
        <v>510</v>
      </c>
      <c r="AP13" s="9">
        <f t="shared" si="1"/>
        <v>510</v>
      </c>
      <c r="AQ13" s="9">
        <f t="shared" si="1"/>
        <v>510</v>
      </c>
      <c r="AR13" s="9">
        <f t="shared" si="1"/>
        <v>510</v>
      </c>
      <c r="AS13" s="9">
        <f t="shared" si="1"/>
        <v>510</v>
      </c>
      <c r="AT13" s="9">
        <f t="shared" si="1"/>
        <v>510</v>
      </c>
    </row>
    <row r="14" spans="1:49" ht="12.75" customHeight="1" x14ac:dyDescent="0.2">
      <c r="A14" s="37" t="s">
        <v>130</v>
      </c>
      <c r="B14" s="65" t="s">
        <v>131</v>
      </c>
      <c r="C14" s="37" t="s">
        <v>132</v>
      </c>
      <c r="D14" s="9" t="s">
        <v>127</v>
      </c>
      <c r="E14" s="52">
        <f t="shared" ref="E14:AT14" si="2">2.1*10^5</f>
        <v>210000</v>
      </c>
      <c r="F14" s="52">
        <f t="shared" si="2"/>
        <v>210000</v>
      </c>
      <c r="G14" s="52">
        <f t="shared" si="2"/>
        <v>210000</v>
      </c>
      <c r="H14" s="52">
        <f t="shared" si="2"/>
        <v>210000</v>
      </c>
      <c r="I14" s="52">
        <f t="shared" si="2"/>
        <v>210000</v>
      </c>
      <c r="J14" s="52">
        <f t="shared" si="2"/>
        <v>210000</v>
      </c>
      <c r="K14" s="52">
        <f t="shared" si="2"/>
        <v>210000</v>
      </c>
      <c r="L14" s="52">
        <f t="shared" si="2"/>
        <v>210000</v>
      </c>
      <c r="M14" s="52">
        <f t="shared" si="2"/>
        <v>210000</v>
      </c>
      <c r="N14" s="52">
        <f t="shared" si="2"/>
        <v>210000</v>
      </c>
      <c r="O14" s="52">
        <f t="shared" si="2"/>
        <v>210000</v>
      </c>
      <c r="P14" s="52">
        <f t="shared" si="2"/>
        <v>210000</v>
      </c>
      <c r="Q14" s="52">
        <f t="shared" si="2"/>
        <v>210000</v>
      </c>
      <c r="R14" s="52">
        <f t="shared" si="2"/>
        <v>210000</v>
      </c>
      <c r="S14" s="52">
        <f t="shared" si="2"/>
        <v>210000</v>
      </c>
      <c r="T14" s="52">
        <f t="shared" si="2"/>
        <v>210000</v>
      </c>
      <c r="U14" s="52">
        <f t="shared" si="2"/>
        <v>210000</v>
      </c>
      <c r="V14" s="52">
        <f t="shared" si="2"/>
        <v>210000</v>
      </c>
      <c r="W14" s="52">
        <f t="shared" si="2"/>
        <v>210000</v>
      </c>
      <c r="X14" s="52">
        <f t="shared" si="2"/>
        <v>210000</v>
      </c>
      <c r="Y14" s="52">
        <f t="shared" si="2"/>
        <v>210000</v>
      </c>
      <c r="Z14" s="52">
        <f t="shared" si="2"/>
        <v>210000</v>
      </c>
      <c r="AA14" s="52">
        <f t="shared" si="2"/>
        <v>210000</v>
      </c>
      <c r="AB14" s="52">
        <f t="shared" si="2"/>
        <v>210000</v>
      </c>
      <c r="AC14" s="52">
        <f t="shared" si="2"/>
        <v>210000</v>
      </c>
      <c r="AD14" s="52">
        <f t="shared" si="2"/>
        <v>210000</v>
      </c>
      <c r="AE14" s="52">
        <f t="shared" si="2"/>
        <v>210000</v>
      </c>
      <c r="AF14" s="52">
        <f t="shared" si="2"/>
        <v>210000</v>
      </c>
      <c r="AG14" s="52">
        <f t="shared" si="2"/>
        <v>210000</v>
      </c>
      <c r="AH14" s="52">
        <f t="shared" si="2"/>
        <v>210000</v>
      </c>
      <c r="AI14" s="52">
        <f t="shared" si="2"/>
        <v>210000</v>
      </c>
      <c r="AJ14" s="52">
        <f t="shared" si="2"/>
        <v>210000</v>
      </c>
      <c r="AK14" s="52">
        <f t="shared" si="2"/>
        <v>210000</v>
      </c>
      <c r="AL14" s="52">
        <f t="shared" si="2"/>
        <v>210000</v>
      </c>
      <c r="AM14" s="52">
        <f t="shared" si="2"/>
        <v>210000</v>
      </c>
      <c r="AN14" s="52">
        <f t="shared" si="2"/>
        <v>210000</v>
      </c>
      <c r="AO14" s="52">
        <f t="shared" si="2"/>
        <v>210000</v>
      </c>
      <c r="AP14" s="52">
        <f t="shared" si="2"/>
        <v>210000</v>
      </c>
      <c r="AQ14" s="52">
        <f t="shared" si="2"/>
        <v>210000</v>
      </c>
      <c r="AR14" s="52">
        <f t="shared" si="2"/>
        <v>210000</v>
      </c>
      <c r="AS14" s="52">
        <f t="shared" si="2"/>
        <v>210000</v>
      </c>
      <c r="AT14" s="52">
        <f t="shared" si="2"/>
        <v>210000</v>
      </c>
    </row>
    <row r="15" spans="1:49" ht="12.75" customHeight="1" x14ac:dyDescent="0.2">
      <c r="A15" s="45" t="s">
        <v>133</v>
      </c>
      <c r="B15" s="65" t="s">
        <v>134</v>
      </c>
      <c r="D15" s="44" t="s">
        <v>113</v>
      </c>
      <c r="E15" s="47">
        <f t="shared" ref="E15:AT15" si="3">SQRT(235/E12)</f>
        <v>0.81361651346682706</v>
      </c>
      <c r="F15" s="47">
        <f t="shared" si="3"/>
        <v>0.81361651346682706</v>
      </c>
      <c r="G15" s="47">
        <f t="shared" si="3"/>
        <v>0.81361651346682706</v>
      </c>
      <c r="H15" s="47">
        <f t="shared" si="3"/>
        <v>0.81361651346682706</v>
      </c>
      <c r="I15" s="47">
        <f t="shared" si="3"/>
        <v>0.81361651346682706</v>
      </c>
      <c r="J15" s="47">
        <f t="shared" si="3"/>
        <v>0.81361651346682706</v>
      </c>
      <c r="K15" s="47">
        <f t="shared" si="3"/>
        <v>0.81361651346682706</v>
      </c>
      <c r="L15" s="47">
        <f t="shared" si="3"/>
        <v>0.81361651346682706</v>
      </c>
      <c r="M15" s="47">
        <f t="shared" si="3"/>
        <v>0.81361651346682706</v>
      </c>
      <c r="N15" s="47">
        <f t="shared" si="3"/>
        <v>0.81361651346682706</v>
      </c>
      <c r="O15" s="47">
        <f t="shared" si="3"/>
        <v>0.81361651346682706</v>
      </c>
      <c r="P15" s="47">
        <f t="shared" si="3"/>
        <v>0.81361651346682706</v>
      </c>
      <c r="Q15" s="47">
        <f t="shared" si="3"/>
        <v>0.81361651346682706</v>
      </c>
      <c r="R15" s="47">
        <f t="shared" si="3"/>
        <v>0.81361651346682706</v>
      </c>
      <c r="S15" s="47">
        <f t="shared" si="3"/>
        <v>0.81361651346682706</v>
      </c>
      <c r="T15" s="47">
        <f t="shared" si="3"/>
        <v>0.81361651346682706</v>
      </c>
      <c r="U15" s="47">
        <f t="shared" si="3"/>
        <v>0.81361651346682706</v>
      </c>
      <c r="V15" s="47">
        <f t="shared" si="3"/>
        <v>0.81361651346682706</v>
      </c>
      <c r="W15" s="47">
        <f t="shared" si="3"/>
        <v>0.81361651346682706</v>
      </c>
      <c r="X15" s="47">
        <f t="shared" si="3"/>
        <v>0.81361651346682706</v>
      </c>
      <c r="Y15" s="47">
        <f t="shared" si="3"/>
        <v>0.81361651346682706</v>
      </c>
      <c r="Z15" s="47">
        <f t="shared" si="3"/>
        <v>0.81361651346682706</v>
      </c>
      <c r="AA15" s="47">
        <f t="shared" si="3"/>
        <v>0.81361651346682706</v>
      </c>
      <c r="AB15" s="47">
        <f t="shared" si="3"/>
        <v>0.81361651346682706</v>
      </c>
      <c r="AC15" s="47">
        <f t="shared" si="3"/>
        <v>0.81361651346682706</v>
      </c>
      <c r="AD15" s="47">
        <f t="shared" si="3"/>
        <v>0.81361651346682706</v>
      </c>
      <c r="AE15" s="47">
        <f t="shared" si="3"/>
        <v>0.81361651346682706</v>
      </c>
      <c r="AF15" s="47">
        <f t="shared" si="3"/>
        <v>0.81361651346682706</v>
      </c>
      <c r="AG15" s="47">
        <f t="shared" si="3"/>
        <v>0.81361651346682706</v>
      </c>
      <c r="AH15" s="47">
        <f t="shared" si="3"/>
        <v>0.81361651346682706</v>
      </c>
      <c r="AI15" s="47">
        <f t="shared" si="3"/>
        <v>0.81361651346682706</v>
      </c>
      <c r="AJ15" s="47">
        <f t="shared" si="3"/>
        <v>0.81361651346682706</v>
      </c>
      <c r="AK15" s="47">
        <f t="shared" si="3"/>
        <v>0.81361651346682706</v>
      </c>
      <c r="AL15" s="47">
        <f t="shared" si="3"/>
        <v>0.81361651346682706</v>
      </c>
      <c r="AM15" s="47">
        <f t="shared" si="3"/>
        <v>0.81361651346682706</v>
      </c>
      <c r="AN15" s="47">
        <f t="shared" si="3"/>
        <v>0.81361651346682706</v>
      </c>
      <c r="AO15" s="47">
        <f t="shared" si="3"/>
        <v>0.81361651346682706</v>
      </c>
      <c r="AP15" s="47">
        <f t="shared" si="3"/>
        <v>0.81361651346682706</v>
      </c>
      <c r="AQ15" s="47">
        <f t="shared" si="3"/>
        <v>0.81361651346682706</v>
      </c>
      <c r="AR15" s="47">
        <f t="shared" si="3"/>
        <v>0.81361651346682706</v>
      </c>
      <c r="AS15" s="47">
        <f t="shared" si="3"/>
        <v>0.81361651346682706</v>
      </c>
      <c r="AT15" s="47">
        <f t="shared" si="3"/>
        <v>0.81361651346682706</v>
      </c>
    </row>
    <row r="16" spans="1:49" ht="12.75" customHeight="1" x14ac:dyDescent="0.2">
      <c r="A16" s="45" t="s">
        <v>135</v>
      </c>
      <c r="B16" s="65" t="s">
        <v>136</v>
      </c>
      <c r="D16" s="44" t="s">
        <v>113</v>
      </c>
      <c r="E16" s="47">
        <f t="shared" ref="E16:AT16" si="4">PI()*SQRT((E14/E12))</f>
        <v>76.409145611234095</v>
      </c>
      <c r="F16" s="47">
        <f t="shared" si="4"/>
        <v>76.409145611234095</v>
      </c>
      <c r="G16" s="47">
        <f t="shared" si="4"/>
        <v>76.409145611234095</v>
      </c>
      <c r="H16" s="47">
        <f t="shared" si="4"/>
        <v>76.409145611234095</v>
      </c>
      <c r="I16" s="47">
        <f t="shared" si="4"/>
        <v>76.409145611234095</v>
      </c>
      <c r="J16" s="47">
        <f t="shared" si="4"/>
        <v>76.409145611234095</v>
      </c>
      <c r="K16" s="47">
        <f t="shared" si="4"/>
        <v>76.409145611234095</v>
      </c>
      <c r="L16" s="47">
        <f t="shared" si="4"/>
        <v>76.409145611234095</v>
      </c>
      <c r="M16" s="47">
        <f t="shared" si="4"/>
        <v>76.409145611234095</v>
      </c>
      <c r="N16" s="47">
        <f t="shared" si="4"/>
        <v>76.409145611234095</v>
      </c>
      <c r="O16" s="47">
        <f t="shared" si="4"/>
        <v>76.409145611234095</v>
      </c>
      <c r="P16" s="47">
        <f t="shared" si="4"/>
        <v>76.409145611234095</v>
      </c>
      <c r="Q16" s="47">
        <f t="shared" si="4"/>
        <v>76.409145611234095</v>
      </c>
      <c r="R16" s="47">
        <f t="shared" si="4"/>
        <v>76.409145611234095</v>
      </c>
      <c r="S16" s="47">
        <f t="shared" si="4"/>
        <v>76.409145611234095</v>
      </c>
      <c r="T16" s="47">
        <f t="shared" si="4"/>
        <v>76.409145611234095</v>
      </c>
      <c r="U16" s="47">
        <f t="shared" si="4"/>
        <v>76.409145611234095</v>
      </c>
      <c r="V16" s="47">
        <f t="shared" si="4"/>
        <v>76.409145611234095</v>
      </c>
      <c r="W16" s="47">
        <f t="shared" si="4"/>
        <v>76.409145611234095</v>
      </c>
      <c r="X16" s="47">
        <f t="shared" si="4"/>
        <v>76.409145611234095</v>
      </c>
      <c r="Y16" s="47">
        <f t="shared" si="4"/>
        <v>76.409145611234095</v>
      </c>
      <c r="Z16" s="47">
        <f t="shared" si="4"/>
        <v>76.409145611234095</v>
      </c>
      <c r="AA16" s="47">
        <f t="shared" si="4"/>
        <v>76.409145611234095</v>
      </c>
      <c r="AB16" s="47">
        <f t="shared" si="4"/>
        <v>76.409145611234095</v>
      </c>
      <c r="AC16" s="47">
        <f t="shared" si="4"/>
        <v>76.409145611234095</v>
      </c>
      <c r="AD16" s="47">
        <f t="shared" si="4"/>
        <v>76.409145611234095</v>
      </c>
      <c r="AE16" s="47">
        <f t="shared" si="4"/>
        <v>76.409145611234095</v>
      </c>
      <c r="AF16" s="47">
        <f t="shared" si="4"/>
        <v>76.409145611234095</v>
      </c>
      <c r="AG16" s="47">
        <f t="shared" si="4"/>
        <v>76.409145611234095</v>
      </c>
      <c r="AH16" s="47">
        <f t="shared" si="4"/>
        <v>76.409145611234095</v>
      </c>
      <c r="AI16" s="47">
        <f t="shared" si="4"/>
        <v>76.409145611234095</v>
      </c>
      <c r="AJ16" s="47">
        <f t="shared" si="4"/>
        <v>76.409145611234095</v>
      </c>
      <c r="AK16" s="47">
        <f t="shared" si="4"/>
        <v>76.409145611234095</v>
      </c>
      <c r="AL16" s="47">
        <f t="shared" si="4"/>
        <v>76.409145611234095</v>
      </c>
      <c r="AM16" s="47">
        <f t="shared" si="4"/>
        <v>76.409145611234095</v>
      </c>
      <c r="AN16" s="47">
        <f t="shared" si="4"/>
        <v>76.409145611234095</v>
      </c>
      <c r="AO16" s="47">
        <f t="shared" si="4"/>
        <v>76.409145611234095</v>
      </c>
      <c r="AP16" s="47">
        <f t="shared" si="4"/>
        <v>76.409145611234095</v>
      </c>
      <c r="AQ16" s="47">
        <f t="shared" si="4"/>
        <v>76.409145611234095</v>
      </c>
      <c r="AR16" s="47">
        <f t="shared" si="4"/>
        <v>76.409145611234095</v>
      </c>
      <c r="AS16" s="47">
        <f t="shared" si="4"/>
        <v>76.409145611234095</v>
      </c>
      <c r="AT16" s="47">
        <f t="shared" si="4"/>
        <v>76.409145611234095</v>
      </c>
    </row>
    <row r="17" spans="1:46" ht="12.75" customHeight="1" x14ac:dyDescent="0.2">
      <c r="B17" s="65"/>
    </row>
    <row r="18" spans="1:46" ht="12.75" customHeight="1" x14ac:dyDescent="0.2">
      <c r="A18" s="43" t="s">
        <v>137</v>
      </c>
      <c r="B18" s="65"/>
    </row>
    <row r="19" spans="1:46" ht="12.75" customHeight="1" x14ac:dyDescent="0.2">
      <c r="A19" s="46" t="s">
        <v>261</v>
      </c>
      <c r="B19" s="65"/>
      <c r="C19" s="63" t="s">
        <v>262</v>
      </c>
      <c r="D19" s="44" t="s">
        <v>141</v>
      </c>
      <c r="E19" s="9">
        <f>VLOOKUP(E$8,'C - overzicht'!$B$11:$P$53,3,0)</f>
        <v>0</v>
      </c>
      <c r="F19" s="9">
        <f>VLOOKUP(F$8,'C - overzicht'!$B$11:$P$53,3,0)</f>
        <v>0</v>
      </c>
      <c r="G19" s="9">
        <f>VLOOKUP(G$8,'C - overzicht'!$B$11:$P$53,3,0)</f>
        <v>0</v>
      </c>
      <c r="H19" s="9">
        <f>VLOOKUP(H$8,'C - overzicht'!$B$11:$P$53,3,0)</f>
        <v>0</v>
      </c>
      <c r="I19" s="9">
        <f>VLOOKUP(I$8,'C - overzicht'!$B$11:$P$53,3,0)</f>
        <v>0</v>
      </c>
      <c r="J19" s="9">
        <f>VLOOKUP(J$8,'C - overzicht'!$B$11:$P$53,3,0)</f>
        <v>0</v>
      </c>
      <c r="K19" s="9">
        <f>VLOOKUP(K$8,'C - overzicht'!$B$11:$P$53,3,0)</f>
        <v>0</v>
      </c>
      <c r="L19" s="9">
        <f>VLOOKUP(L$8,'C - overzicht'!$B$11:$P$53,3,0)</f>
        <v>0</v>
      </c>
      <c r="M19" s="9">
        <f>VLOOKUP(M$8,'C - overzicht'!$B$11:$P$53,3,0)</f>
        <v>0</v>
      </c>
      <c r="N19" s="9">
        <f>VLOOKUP(N$8,'C - overzicht'!$B$11:$P$53,3,0)</f>
        <v>0</v>
      </c>
      <c r="O19" s="9">
        <f>VLOOKUP(O$8,'C - overzicht'!$B$11:$P$53,3,0)</f>
        <v>0</v>
      </c>
      <c r="P19" s="9">
        <f>VLOOKUP(P$8,'C - overzicht'!$B$11:$P$53,3,0)</f>
        <v>0</v>
      </c>
      <c r="Q19" s="9">
        <f>VLOOKUP(Q$8,'C - overzicht'!$B$11:$P$53,3,0)</f>
        <v>0</v>
      </c>
      <c r="R19" s="9">
        <f>VLOOKUP(R$8,'C - overzicht'!$B$11:$P$53,3,0)</f>
        <v>0</v>
      </c>
      <c r="S19" s="9">
        <f>VLOOKUP(S$8,'C - overzicht'!$B$11:$P$53,3,0)</f>
        <v>0</v>
      </c>
      <c r="T19" s="9">
        <f>VLOOKUP(T$8,'C - overzicht'!$B$11:$P$53,3,0)</f>
        <v>0</v>
      </c>
      <c r="U19" s="9">
        <f>VLOOKUP(U$8,'C - overzicht'!$B$11:$P$53,3,0)</f>
        <v>0</v>
      </c>
      <c r="V19" s="9">
        <f>VLOOKUP(V$8,'C - overzicht'!$B$11:$P$53,3,0)</f>
        <v>0</v>
      </c>
      <c r="W19" s="9">
        <f>VLOOKUP(W$8,'C - overzicht'!$B$11:$P$53,3,0)</f>
        <v>0</v>
      </c>
      <c r="X19" s="9">
        <f>VLOOKUP(X$8,'C - overzicht'!$B$11:$P$53,3,0)</f>
        <v>0</v>
      </c>
      <c r="Y19" s="9">
        <f>VLOOKUP(Y$8,'C - overzicht'!$B$11:$P$53,3,0)</f>
        <v>0</v>
      </c>
      <c r="Z19" s="9">
        <f>VLOOKUP(Z$8,'C - overzicht'!$B$11:$P$53,3,0)</f>
        <v>0</v>
      </c>
      <c r="AA19" s="9">
        <f>VLOOKUP(AA$8,'C - overzicht'!$B$11:$P$53,3,0)</f>
        <v>0</v>
      </c>
      <c r="AB19" s="9">
        <f>VLOOKUP(AB$8,'C - overzicht'!$B$11:$P$53,3,0)</f>
        <v>0</v>
      </c>
      <c r="AC19" s="9">
        <f>VLOOKUP(AC$8,'C - overzicht'!$B$11:$P$53,3,0)</f>
        <v>0</v>
      </c>
      <c r="AD19" s="9">
        <f>VLOOKUP(AD$8,'C - overzicht'!$B$11:$P$53,3,0)</f>
        <v>0</v>
      </c>
      <c r="AE19" s="9">
        <f>VLOOKUP(AE$8,'C - overzicht'!$B$11:$P$53,3,0)</f>
        <v>0</v>
      </c>
      <c r="AF19" s="9">
        <f>VLOOKUP(AF$8,'C - overzicht'!$B$11:$P$53,3,0)</f>
        <v>0</v>
      </c>
      <c r="AG19" s="9">
        <f>VLOOKUP(AG$8,'C - overzicht'!$B$11:$P$53,3,0)</f>
        <v>0</v>
      </c>
      <c r="AH19" s="9">
        <f>VLOOKUP(AH$8,'C - overzicht'!$B$11:$P$53,3,0)</f>
        <v>0</v>
      </c>
      <c r="AI19" s="9">
        <f>VLOOKUP(AI$8,'C - overzicht'!$B$11:$P$53,3,0)</f>
        <v>0</v>
      </c>
      <c r="AJ19" s="9">
        <f>VLOOKUP(AJ$8,'C - overzicht'!$B$11:$P$53,3,0)</f>
        <v>0</v>
      </c>
      <c r="AK19" s="9">
        <f>VLOOKUP(AK$8,'C - overzicht'!$B$11:$P$53,3,0)</f>
        <v>0</v>
      </c>
      <c r="AL19" s="9">
        <f>VLOOKUP(AL$8,'C - overzicht'!$B$11:$P$53,3,0)</f>
        <v>0</v>
      </c>
      <c r="AM19" s="9">
        <f>VLOOKUP(AM$8,'C - overzicht'!$B$11:$P$53,3,0)</f>
        <v>0</v>
      </c>
      <c r="AN19" s="9">
        <f>VLOOKUP(AN$8,'C - overzicht'!$B$11:$P$53,3,0)</f>
        <v>0</v>
      </c>
      <c r="AO19" s="9">
        <f>VLOOKUP(AO$8,'C - overzicht'!$B$11:$P$53,3,0)</f>
        <v>0</v>
      </c>
      <c r="AP19" s="9">
        <f>VLOOKUP(AP$8,'C - overzicht'!$B$11:$P$53,3,0)</f>
        <v>0</v>
      </c>
      <c r="AQ19" s="9">
        <f>VLOOKUP(AQ$8,'C - overzicht'!$B$11:$P$53,3,0)</f>
        <v>0</v>
      </c>
      <c r="AR19" s="9">
        <f>VLOOKUP(AR$8,'C - overzicht'!$B$11:$P$53,3,0)</f>
        <v>0</v>
      </c>
      <c r="AS19" s="9">
        <f>VLOOKUP(AS$8,'C - overzicht'!$B$11:$P$53,3,0)</f>
        <v>0</v>
      </c>
      <c r="AT19" s="9">
        <f>VLOOKUP(AT$8,'C - overzicht'!$B$11:$P$53,3,0)</f>
        <v>0</v>
      </c>
    </row>
    <row r="20" spans="1:46" ht="12.75" customHeight="1" x14ac:dyDescent="0.2">
      <c r="A20" s="46" t="s">
        <v>263</v>
      </c>
      <c r="B20" s="65"/>
      <c r="C20" s="63" t="s">
        <v>264</v>
      </c>
      <c r="D20" s="44" t="s">
        <v>141</v>
      </c>
      <c r="E20" s="9">
        <f>VLOOKUP(E$8,'C - overzicht'!$B$11:$P$53,4,0)</f>
        <v>0</v>
      </c>
      <c r="F20" s="9">
        <f>VLOOKUP(F$8,'C - overzicht'!$B$11:$P$53,4,0)</f>
        <v>0</v>
      </c>
      <c r="G20" s="9">
        <f>VLOOKUP(G$8,'C - overzicht'!$B$11:$P$53,4,0)</f>
        <v>0</v>
      </c>
      <c r="H20" s="9">
        <f>VLOOKUP(H$8,'C - overzicht'!$B$11:$P$53,4,0)</f>
        <v>0</v>
      </c>
      <c r="I20" s="9">
        <f>VLOOKUP(I$8,'C - overzicht'!$B$11:$P$53,4,0)</f>
        <v>0</v>
      </c>
      <c r="J20" s="9">
        <f>VLOOKUP(J$8,'C - overzicht'!$B$11:$P$53,4,0)</f>
        <v>0</v>
      </c>
      <c r="K20" s="9">
        <f>VLOOKUP(K$8,'C - overzicht'!$B$11:$P$53,4,0)</f>
        <v>0</v>
      </c>
      <c r="L20" s="9">
        <f>VLOOKUP(L$8,'C - overzicht'!$B$11:$P$53,4,0)</f>
        <v>0</v>
      </c>
      <c r="M20" s="9">
        <f>VLOOKUP(M$8,'C - overzicht'!$B$11:$P$53,4,0)</f>
        <v>0</v>
      </c>
      <c r="N20" s="9">
        <f>VLOOKUP(N$8,'C - overzicht'!$B$11:$P$53,4,0)</f>
        <v>0</v>
      </c>
      <c r="O20" s="9">
        <f>VLOOKUP(O$8,'C - overzicht'!$B$11:$P$53,4,0)</f>
        <v>0</v>
      </c>
      <c r="P20" s="9">
        <f>VLOOKUP(P$8,'C - overzicht'!$B$11:$P$53,4,0)</f>
        <v>0</v>
      </c>
      <c r="Q20" s="9">
        <f>VLOOKUP(Q$8,'C - overzicht'!$B$11:$P$53,4,0)</f>
        <v>0</v>
      </c>
      <c r="R20" s="9">
        <f>VLOOKUP(R$8,'C - overzicht'!$B$11:$P$53,4,0)</f>
        <v>0</v>
      </c>
      <c r="S20" s="9">
        <f>VLOOKUP(S$8,'C - overzicht'!$B$11:$P$53,4,0)</f>
        <v>0</v>
      </c>
      <c r="T20" s="9">
        <f>VLOOKUP(T$8,'C - overzicht'!$B$11:$P$53,4,0)</f>
        <v>0</v>
      </c>
      <c r="U20" s="9">
        <f>VLOOKUP(U$8,'C - overzicht'!$B$11:$P$53,4,0)</f>
        <v>0</v>
      </c>
      <c r="V20" s="9">
        <f>VLOOKUP(V$8,'C - overzicht'!$B$11:$P$53,4,0)</f>
        <v>0</v>
      </c>
      <c r="W20" s="9">
        <f>VLOOKUP(W$8,'C - overzicht'!$B$11:$P$53,4,0)</f>
        <v>0</v>
      </c>
      <c r="X20" s="9">
        <f>VLOOKUP(X$8,'C - overzicht'!$B$11:$P$53,4,0)</f>
        <v>0</v>
      </c>
      <c r="Y20" s="9">
        <f>VLOOKUP(Y$8,'C - overzicht'!$B$11:$P$53,4,0)</f>
        <v>0</v>
      </c>
      <c r="Z20" s="9">
        <f>VLOOKUP(Z$8,'C - overzicht'!$B$11:$P$53,4,0)</f>
        <v>0</v>
      </c>
      <c r="AA20" s="9">
        <f>VLOOKUP(AA$8,'C - overzicht'!$B$11:$P$53,4,0)</f>
        <v>0</v>
      </c>
      <c r="AB20" s="9">
        <f>VLOOKUP(AB$8,'C - overzicht'!$B$11:$P$53,4,0)</f>
        <v>0</v>
      </c>
      <c r="AC20" s="9">
        <f>VLOOKUP(AC$8,'C - overzicht'!$B$11:$P$53,4,0)</f>
        <v>0</v>
      </c>
      <c r="AD20" s="9">
        <f>VLOOKUP(AD$8,'C - overzicht'!$B$11:$P$53,4,0)</f>
        <v>0</v>
      </c>
      <c r="AE20" s="9">
        <f>VLOOKUP(AE$8,'C - overzicht'!$B$11:$P$53,4,0)</f>
        <v>0</v>
      </c>
      <c r="AF20" s="9">
        <f>VLOOKUP(AF$8,'C - overzicht'!$B$11:$P$53,4,0)</f>
        <v>0</v>
      </c>
      <c r="AG20" s="9">
        <f>VLOOKUP(AG$8,'C - overzicht'!$B$11:$P$53,4,0)</f>
        <v>0</v>
      </c>
      <c r="AH20" s="9">
        <f>VLOOKUP(AH$8,'C - overzicht'!$B$11:$P$53,4,0)</f>
        <v>0</v>
      </c>
      <c r="AI20" s="9">
        <f>VLOOKUP(AI$8,'C - overzicht'!$B$11:$P$53,4,0)</f>
        <v>0</v>
      </c>
      <c r="AJ20" s="9">
        <f>VLOOKUP(AJ$8,'C - overzicht'!$B$11:$P$53,4,0)</f>
        <v>0</v>
      </c>
      <c r="AK20" s="9">
        <f>VLOOKUP(AK$8,'C - overzicht'!$B$11:$P$53,4,0)</f>
        <v>0</v>
      </c>
      <c r="AL20" s="9">
        <f>VLOOKUP(AL$8,'C - overzicht'!$B$11:$P$53,4,0)</f>
        <v>0</v>
      </c>
      <c r="AM20" s="9">
        <f>VLOOKUP(AM$8,'C - overzicht'!$B$11:$P$53,4,0)</f>
        <v>0</v>
      </c>
      <c r="AN20" s="9">
        <f>VLOOKUP(AN$8,'C - overzicht'!$B$11:$P$53,4,0)</f>
        <v>0</v>
      </c>
      <c r="AO20" s="9">
        <f>VLOOKUP(AO$8,'C - overzicht'!$B$11:$P$53,4,0)</f>
        <v>0</v>
      </c>
      <c r="AP20" s="9">
        <f>VLOOKUP(AP$8,'C - overzicht'!$B$11:$P$53,4,0)</f>
        <v>0</v>
      </c>
      <c r="AQ20" s="9">
        <f>VLOOKUP(AQ$8,'C - overzicht'!$B$11:$P$53,4,0)</f>
        <v>0</v>
      </c>
      <c r="AR20" s="9">
        <f>VLOOKUP(AR$8,'C - overzicht'!$B$11:$P$53,4,0)</f>
        <v>0</v>
      </c>
      <c r="AS20" s="9">
        <f>VLOOKUP(AS$8,'C - overzicht'!$B$11:$P$53,4,0)</f>
        <v>0</v>
      </c>
      <c r="AT20" s="9">
        <f>VLOOKUP(AT$8,'C - overzicht'!$B$11:$P$53,4,0)</f>
        <v>0</v>
      </c>
    </row>
    <row r="21" spans="1:46" ht="12.75" customHeight="1" x14ac:dyDescent="0.2">
      <c r="B21" s="65"/>
      <c r="C21" s="63" t="s">
        <v>265</v>
      </c>
      <c r="D21" s="44" t="s">
        <v>141</v>
      </c>
      <c r="E21" s="9">
        <f t="shared" ref="E21:AT21" si="5">E19-E20-E20</f>
        <v>0</v>
      </c>
      <c r="F21" s="9">
        <f t="shared" si="5"/>
        <v>0</v>
      </c>
      <c r="G21" s="9">
        <f t="shared" si="5"/>
        <v>0</v>
      </c>
      <c r="H21" s="9">
        <f t="shared" si="5"/>
        <v>0</v>
      </c>
      <c r="I21" s="9">
        <f t="shared" si="5"/>
        <v>0</v>
      </c>
      <c r="J21" s="9">
        <f t="shared" si="5"/>
        <v>0</v>
      </c>
      <c r="K21" s="9">
        <f t="shared" si="5"/>
        <v>0</v>
      </c>
      <c r="L21" s="9">
        <f t="shared" si="5"/>
        <v>0</v>
      </c>
      <c r="M21" s="9">
        <f t="shared" si="5"/>
        <v>0</v>
      </c>
      <c r="N21" s="9">
        <f t="shared" si="5"/>
        <v>0</v>
      </c>
      <c r="O21" s="9">
        <f t="shared" si="5"/>
        <v>0</v>
      </c>
      <c r="P21" s="9">
        <f t="shared" si="5"/>
        <v>0</v>
      </c>
      <c r="Q21" s="9">
        <f t="shared" si="5"/>
        <v>0</v>
      </c>
      <c r="R21" s="9">
        <f t="shared" si="5"/>
        <v>0</v>
      </c>
      <c r="S21" s="9">
        <f t="shared" si="5"/>
        <v>0</v>
      </c>
      <c r="T21" s="9">
        <f t="shared" si="5"/>
        <v>0</v>
      </c>
      <c r="U21" s="9">
        <f t="shared" si="5"/>
        <v>0</v>
      </c>
      <c r="V21" s="9">
        <f t="shared" si="5"/>
        <v>0</v>
      </c>
      <c r="W21" s="9">
        <f t="shared" si="5"/>
        <v>0</v>
      </c>
      <c r="X21" s="9">
        <f t="shared" si="5"/>
        <v>0</v>
      </c>
      <c r="Y21" s="9">
        <f t="shared" si="5"/>
        <v>0</v>
      </c>
      <c r="Z21" s="9">
        <f t="shared" si="5"/>
        <v>0</v>
      </c>
      <c r="AA21" s="9">
        <f t="shared" si="5"/>
        <v>0</v>
      </c>
      <c r="AB21" s="9">
        <f t="shared" si="5"/>
        <v>0</v>
      </c>
      <c r="AC21" s="9">
        <f t="shared" si="5"/>
        <v>0</v>
      </c>
      <c r="AD21" s="9">
        <f t="shared" si="5"/>
        <v>0</v>
      </c>
      <c r="AE21" s="9">
        <f t="shared" si="5"/>
        <v>0</v>
      </c>
      <c r="AF21" s="9">
        <f t="shared" si="5"/>
        <v>0</v>
      </c>
      <c r="AG21" s="9">
        <f t="shared" si="5"/>
        <v>0</v>
      </c>
      <c r="AH21" s="9">
        <f t="shared" si="5"/>
        <v>0</v>
      </c>
      <c r="AI21" s="9">
        <f t="shared" si="5"/>
        <v>0</v>
      </c>
      <c r="AJ21" s="9">
        <f t="shared" si="5"/>
        <v>0</v>
      </c>
      <c r="AK21" s="9">
        <f t="shared" si="5"/>
        <v>0</v>
      </c>
      <c r="AL21" s="9">
        <f t="shared" si="5"/>
        <v>0</v>
      </c>
      <c r="AM21" s="9">
        <f t="shared" si="5"/>
        <v>0</v>
      </c>
      <c r="AN21" s="9">
        <f t="shared" si="5"/>
        <v>0</v>
      </c>
      <c r="AO21" s="9">
        <f t="shared" si="5"/>
        <v>0</v>
      </c>
      <c r="AP21" s="9">
        <f t="shared" si="5"/>
        <v>0</v>
      </c>
      <c r="AQ21" s="9">
        <f t="shared" si="5"/>
        <v>0</v>
      </c>
      <c r="AR21" s="9">
        <f t="shared" si="5"/>
        <v>0</v>
      </c>
      <c r="AS21" s="9">
        <f t="shared" si="5"/>
        <v>0</v>
      </c>
      <c r="AT21" s="9">
        <f t="shared" si="5"/>
        <v>0</v>
      </c>
    </row>
    <row r="22" spans="1:46" ht="12.75" customHeight="1" x14ac:dyDescent="0.2">
      <c r="B22" s="65"/>
      <c r="C22" s="63" t="s">
        <v>266</v>
      </c>
      <c r="D22" s="44" t="s">
        <v>267</v>
      </c>
      <c r="E22" s="47">
        <f t="shared" ref="E22:AT22" si="6">(0.25*PI()*E19^2)-(0.25*PI()*E21^2)</f>
        <v>0</v>
      </c>
      <c r="F22" s="47">
        <f t="shared" si="6"/>
        <v>0</v>
      </c>
      <c r="G22" s="47">
        <f t="shared" si="6"/>
        <v>0</v>
      </c>
      <c r="H22" s="47">
        <f t="shared" si="6"/>
        <v>0</v>
      </c>
      <c r="I22" s="47">
        <f t="shared" si="6"/>
        <v>0</v>
      </c>
      <c r="J22" s="47">
        <f t="shared" si="6"/>
        <v>0</v>
      </c>
      <c r="K22" s="47">
        <f t="shared" si="6"/>
        <v>0</v>
      </c>
      <c r="L22" s="47">
        <f t="shared" si="6"/>
        <v>0</v>
      </c>
      <c r="M22" s="47">
        <f t="shared" si="6"/>
        <v>0</v>
      </c>
      <c r="N22" s="47">
        <f t="shared" si="6"/>
        <v>0</v>
      </c>
      <c r="O22" s="47">
        <f t="shared" si="6"/>
        <v>0</v>
      </c>
      <c r="P22" s="47">
        <f t="shared" si="6"/>
        <v>0</v>
      </c>
      <c r="Q22" s="47">
        <f t="shared" si="6"/>
        <v>0</v>
      </c>
      <c r="R22" s="47">
        <f t="shared" si="6"/>
        <v>0</v>
      </c>
      <c r="S22" s="47">
        <f t="shared" si="6"/>
        <v>0</v>
      </c>
      <c r="T22" s="47">
        <f t="shared" si="6"/>
        <v>0</v>
      </c>
      <c r="U22" s="47">
        <f t="shared" si="6"/>
        <v>0</v>
      </c>
      <c r="V22" s="47">
        <f t="shared" si="6"/>
        <v>0</v>
      </c>
      <c r="W22" s="47">
        <f t="shared" si="6"/>
        <v>0</v>
      </c>
      <c r="X22" s="47">
        <f t="shared" si="6"/>
        <v>0</v>
      </c>
      <c r="Y22" s="47">
        <f t="shared" si="6"/>
        <v>0</v>
      </c>
      <c r="Z22" s="47">
        <f t="shared" si="6"/>
        <v>0</v>
      </c>
      <c r="AA22" s="47">
        <f t="shared" si="6"/>
        <v>0</v>
      </c>
      <c r="AB22" s="47">
        <f t="shared" si="6"/>
        <v>0</v>
      </c>
      <c r="AC22" s="47">
        <f t="shared" si="6"/>
        <v>0</v>
      </c>
      <c r="AD22" s="47">
        <f t="shared" si="6"/>
        <v>0</v>
      </c>
      <c r="AE22" s="47">
        <f t="shared" si="6"/>
        <v>0</v>
      </c>
      <c r="AF22" s="47">
        <f t="shared" si="6"/>
        <v>0</v>
      </c>
      <c r="AG22" s="47">
        <f t="shared" si="6"/>
        <v>0</v>
      </c>
      <c r="AH22" s="47">
        <f t="shared" si="6"/>
        <v>0</v>
      </c>
      <c r="AI22" s="47">
        <f t="shared" si="6"/>
        <v>0</v>
      </c>
      <c r="AJ22" s="47">
        <f t="shared" si="6"/>
        <v>0</v>
      </c>
      <c r="AK22" s="47">
        <f t="shared" si="6"/>
        <v>0</v>
      </c>
      <c r="AL22" s="47">
        <f t="shared" si="6"/>
        <v>0</v>
      </c>
      <c r="AM22" s="47">
        <f t="shared" si="6"/>
        <v>0</v>
      </c>
      <c r="AN22" s="47">
        <f t="shared" si="6"/>
        <v>0</v>
      </c>
      <c r="AO22" s="47">
        <f t="shared" si="6"/>
        <v>0</v>
      </c>
      <c r="AP22" s="47">
        <f t="shared" si="6"/>
        <v>0</v>
      </c>
      <c r="AQ22" s="47">
        <f t="shared" si="6"/>
        <v>0</v>
      </c>
      <c r="AR22" s="47">
        <f t="shared" si="6"/>
        <v>0</v>
      </c>
      <c r="AS22" s="47">
        <f t="shared" si="6"/>
        <v>0</v>
      </c>
      <c r="AT22" s="47">
        <f t="shared" si="6"/>
        <v>0</v>
      </c>
    </row>
    <row r="23" spans="1:46" ht="12.75" customHeight="1" x14ac:dyDescent="0.2">
      <c r="B23" s="65"/>
      <c r="C23" s="63" t="s">
        <v>153</v>
      </c>
      <c r="D23" s="44" t="s">
        <v>267</v>
      </c>
      <c r="E23" s="9">
        <f t="shared" ref="E23:AT23" si="7">2*E22/PI()</f>
        <v>0</v>
      </c>
      <c r="F23" s="9">
        <f t="shared" si="7"/>
        <v>0</v>
      </c>
      <c r="G23" s="9">
        <f t="shared" si="7"/>
        <v>0</v>
      </c>
      <c r="H23" s="9">
        <f t="shared" si="7"/>
        <v>0</v>
      </c>
      <c r="I23" s="9">
        <f t="shared" si="7"/>
        <v>0</v>
      </c>
      <c r="J23" s="9">
        <f t="shared" si="7"/>
        <v>0</v>
      </c>
      <c r="K23" s="9">
        <f t="shared" si="7"/>
        <v>0</v>
      </c>
      <c r="L23" s="9">
        <f t="shared" si="7"/>
        <v>0</v>
      </c>
      <c r="M23" s="9">
        <f t="shared" si="7"/>
        <v>0</v>
      </c>
      <c r="N23" s="9">
        <f t="shared" si="7"/>
        <v>0</v>
      </c>
      <c r="O23" s="9">
        <f t="shared" si="7"/>
        <v>0</v>
      </c>
      <c r="P23" s="9">
        <f t="shared" si="7"/>
        <v>0</v>
      </c>
      <c r="Q23" s="9">
        <f t="shared" si="7"/>
        <v>0</v>
      </c>
      <c r="R23" s="9">
        <f t="shared" si="7"/>
        <v>0</v>
      </c>
      <c r="S23" s="9">
        <f t="shared" si="7"/>
        <v>0</v>
      </c>
      <c r="T23" s="9">
        <f t="shared" si="7"/>
        <v>0</v>
      </c>
      <c r="U23" s="9">
        <f t="shared" si="7"/>
        <v>0</v>
      </c>
      <c r="V23" s="9">
        <f t="shared" si="7"/>
        <v>0</v>
      </c>
      <c r="W23" s="9">
        <f t="shared" si="7"/>
        <v>0</v>
      </c>
      <c r="X23" s="9">
        <f t="shared" si="7"/>
        <v>0</v>
      </c>
      <c r="Y23" s="9">
        <f t="shared" si="7"/>
        <v>0</v>
      </c>
      <c r="Z23" s="9">
        <f t="shared" si="7"/>
        <v>0</v>
      </c>
      <c r="AA23" s="9">
        <f t="shared" si="7"/>
        <v>0</v>
      </c>
      <c r="AB23" s="9">
        <f t="shared" si="7"/>
        <v>0</v>
      </c>
      <c r="AC23" s="9">
        <f t="shared" si="7"/>
        <v>0</v>
      </c>
      <c r="AD23" s="9">
        <f t="shared" si="7"/>
        <v>0</v>
      </c>
      <c r="AE23" s="9">
        <f t="shared" si="7"/>
        <v>0</v>
      </c>
      <c r="AF23" s="9">
        <f t="shared" si="7"/>
        <v>0</v>
      </c>
      <c r="AG23" s="9">
        <f t="shared" si="7"/>
        <v>0</v>
      </c>
      <c r="AH23" s="9">
        <f t="shared" si="7"/>
        <v>0</v>
      </c>
      <c r="AI23" s="9">
        <f t="shared" si="7"/>
        <v>0</v>
      </c>
      <c r="AJ23" s="9">
        <f t="shared" si="7"/>
        <v>0</v>
      </c>
      <c r="AK23" s="9">
        <f t="shared" si="7"/>
        <v>0</v>
      </c>
      <c r="AL23" s="9">
        <f t="shared" si="7"/>
        <v>0</v>
      </c>
      <c r="AM23" s="9">
        <f t="shared" si="7"/>
        <v>0</v>
      </c>
      <c r="AN23" s="9">
        <f t="shared" si="7"/>
        <v>0</v>
      </c>
      <c r="AO23" s="9">
        <f t="shared" si="7"/>
        <v>0</v>
      </c>
      <c r="AP23" s="9">
        <f t="shared" si="7"/>
        <v>0</v>
      </c>
      <c r="AQ23" s="9">
        <f t="shared" si="7"/>
        <v>0</v>
      </c>
      <c r="AR23" s="9">
        <f t="shared" si="7"/>
        <v>0</v>
      </c>
      <c r="AS23" s="9">
        <f t="shared" si="7"/>
        <v>0</v>
      </c>
      <c r="AT23" s="9">
        <f t="shared" si="7"/>
        <v>0</v>
      </c>
    </row>
    <row r="24" spans="1:46" ht="12.75" customHeight="1" x14ac:dyDescent="0.2">
      <c r="B24" s="65"/>
      <c r="C24" s="63" t="s">
        <v>19</v>
      </c>
      <c r="D24" s="44" t="s">
        <v>150</v>
      </c>
      <c r="E24" s="48">
        <f t="shared" ref="E24:AT24" si="8">(PI()*(E19^4-E21^4))/64</f>
        <v>0</v>
      </c>
      <c r="F24" s="48">
        <f t="shared" si="8"/>
        <v>0</v>
      </c>
      <c r="G24" s="48">
        <f t="shared" si="8"/>
        <v>0</v>
      </c>
      <c r="H24" s="48">
        <f t="shared" si="8"/>
        <v>0</v>
      </c>
      <c r="I24" s="48">
        <f t="shared" si="8"/>
        <v>0</v>
      </c>
      <c r="J24" s="48">
        <f t="shared" si="8"/>
        <v>0</v>
      </c>
      <c r="K24" s="48">
        <f t="shared" si="8"/>
        <v>0</v>
      </c>
      <c r="L24" s="48">
        <f t="shared" si="8"/>
        <v>0</v>
      </c>
      <c r="M24" s="48">
        <f t="shared" si="8"/>
        <v>0</v>
      </c>
      <c r="N24" s="48">
        <f t="shared" si="8"/>
        <v>0</v>
      </c>
      <c r="O24" s="48">
        <f t="shared" si="8"/>
        <v>0</v>
      </c>
      <c r="P24" s="48">
        <f t="shared" si="8"/>
        <v>0</v>
      </c>
      <c r="Q24" s="48">
        <f t="shared" si="8"/>
        <v>0</v>
      </c>
      <c r="R24" s="48">
        <f t="shared" si="8"/>
        <v>0</v>
      </c>
      <c r="S24" s="48">
        <f t="shared" si="8"/>
        <v>0</v>
      </c>
      <c r="T24" s="48">
        <f t="shared" si="8"/>
        <v>0</v>
      </c>
      <c r="U24" s="48">
        <f t="shared" si="8"/>
        <v>0</v>
      </c>
      <c r="V24" s="48">
        <f t="shared" si="8"/>
        <v>0</v>
      </c>
      <c r="W24" s="48">
        <f t="shared" si="8"/>
        <v>0</v>
      </c>
      <c r="X24" s="48">
        <f t="shared" si="8"/>
        <v>0</v>
      </c>
      <c r="Y24" s="48">
        <f t="shared" si="8"/>
        <v>0</v>
      </c>
      <c r="Z24" s="48">
        <f t="shared" si="8"/>
        <v>0</v>
      </c>
      <c r="AA24" s="48">
        <f t="shared" si="8"/>
        <v>0</v>
      </c>
      <c r="AB24" s="48">
        <f t="shared" si="8"/>
        <v>0</v>
      </c>
      <c r="AC24" s="48">
        <f t="shared" si="8"/>
        <v>0</v>
      </c>
      <c r="AD24" s="48">
        <f t="shared" si="8"/>
        <v>0</v>
      </c>
      <c r="AE24" s="48">
        <f t="shared" si="8"/>
        <v>0</v>
      </c>
      <c r="AF24" s="48">
        <f t="shared" si="8"/>
        <v>0</v>
      </c>
      <c r="AG24" s="48">
        <f t="shared" si="8"/>
        <v>0</v>
      </c>
      <c r="AH24" s="48">
        <f t="shared" si="8"/>
        <v>0</v>
      </c>
      <c r="AI24" s="48">
        <f t="shared" si="8"/>
        <v>0</v>
      </c>
      <c r="AJ24" s="48">
        <f t="shared" si="8"/>
        <v>0</v>
      </c>
      <c r="AK24" s="48">
        <f t="shared" si="8"/>
        <v>0</v>
      </c>
      <c r="AL24" s="48">
        <f t="shared" si="8"/>
        <v>0</v>
      </c>
      <c r="AM24" s="48">
        <f t="shared" si="8"/>
        <v>0</v>
      </c>
      <c r="AN24" s="48">
        <f t="shared" si="8"/>
        <v>0</v>
      </c>
      <c r="AO24" s="48">
        <f t="shared" si="8"/>
        <v>0</v>
      </c>
      <c r="AP24" s="48">
        <f t="shared" si="8"/>
        <v>0</v>
      </c>
      <c r="AQ24" s="48">
        <f t="shared" si="8"/>
        <v>0</v>
      </c>
      <c r="AR24" s="48">
        <f t="shared" si="8"/>
        <v>0</v>
      </c>
      <c r="AS24" s="48">
        <f t="shared" si="8"/>
        <v>0</v>
      </c>
      <c r="AT24" s="48">
        <f t="shared" si="8"/>
        <v>0</v>
      </c>
    </row>
    <row r="25" spans="1:46" ht="12.75" customHeight="1" x14ac:dyDescent="0.2">
      <c r="B25" s="65"/>
      <c r="C25" s="63" t="s">
        <v>144</v>
      </c>
      <c r="D25" s="44" t="s">
        <v>145</v>
      </c>
      <c r="E25" s="48" t="e">
        <f t="shared" ref="E25:AT25" si="9">PI()*(E19^4-E21^4)/(32*E19)</f>
        <v>#DIV/0!</v>
      </c>
      <c r="F25" s="48" t="e">
        <f t="shared" si="9"/>
        <v>#DIV/0!</v>
      </c>
      <c r="G25" s="48" t="e">
        <f t="shared" si="9"/>
        <v>#DIV/0!</v>
      </c>
      <c r="H25" s="48" t="e">
        <f t="shared" si="9"/>
        <v>#DIV/0!</v>
      </c>
      <c r="I25" s="48" t="e">
        <f t="shared" si="9"/>
        <v>#DIV/0!</v>
      </c>
      <c r="J25" s="48" t="e">
        <f t="shared" si="9"/>
        <v>#DIV/0!</v>
      </c>
      <c r="K25" s="48" t="e">
        <f t="shared" si="9"/>
        <v>#DIV/0!</v>
      </c>
      <c r="L25" s="48" t="e">
        <f t="shared" si="9"/>
        <v>#DIV/0!</v>
      </c>
      <c r="M25" s="48" t="e">
        <f t="shared" si="9"/>
        <v>#DIV/0!</v>
      </c>
      <c r="N25" s="48" t="e">
        <f t="shared" si="9"/>
        <v>#DIV/0!</v>
      </c>
      <c r="O25" s="48" t="e">
        <f t="shared" si="9"/>
        <v>#DIV/0!</v>
      </c>
      <c r="P25" s="48" t="e">
        <f t="shared" si="9"/>
        <v>#DIV/0!</v>
      </c>
      <c r="Q25" s="48" t="e">
        <f t="shared" si="9"/>
        <v>#DIV/0!</v>
      </c>
      <c r="R25" s="48" t="e">
        <f t="shared" si="9"/>
        <v>#DIV/0!</v>
      </c>
      <c r="S25" s="48" t="e">
        <f t="shared" si="9"/>
        <v>#DIV/0!</v>
      </c>
      <c r="T25" s="48" t="e">
        <f t="shared" si="9"/>
        <v>#DIV/0!</v>
      </c>
      <c r="U25" s="48" t="e">
        <f t="shared" si="9"/>
        <v>#DIV/0!</v>
      </c>
      <c r="V25" s="48" t="e">
        <f t="shared" si="9"/>
        <v>#DIV/0!</v>
      </c>
      <c r="W25" s="48" t="e">
        <f t="shared" si="9"/>
        <v>#DIV/0!</v>
      </c>
      <c r="X25" s="48" t="e">
        <f t="shared" si="9"/>
        <v>#DIV/0!</v>
      </c>
      <c r="Y25" s="48" t="e">
        <f t="shared" si="9"/>
        <v>#DIV/0!</v>
      </c>
      <c r="Z25" s="48" t="e">
        <f t="shared" si="9"/>
        <v>#DIV/0!</v>
      </c>
      <c r="AA25" s="48" t="e">
        <f t="shared" si="9"/>
        <v>#DIV/0!</v>
      </c>
      <c r="AB25" s="48" t="e">
        <f t="shared" si="9"/>
        <v>#DIV/0!</v>
      </c>
      <c r="AC25" s="48" t="e">
        <f t="shared" si="9"/>
        <v>#DIV/0!</v>
      </c>
      <c r="AD25" s="48" t="e">
        <f t="shared" si="9"/>
        <v>#DIV/0!</v>
      </c>
      <c r="AE25" s="48" t="e">
        <f t="shared" si="9"/>
        <v>#DIV/0!</v>
      </c>
      <c r="AF25" s="48" t="e">
        <f t="shared" si="9"/>
        <v>#DIV/0!</v>
      </c>
      <c r="AG25" s="48" t="e">
        <f t="shared" si="9"/>
        <v>#DIV/0!</v>
      </c>
      <c r="AH25" s="48" t="e">
        <f t="shared" si="9"/>
        <v>#DIV/0!</v>
      </c>
      <c r="AI25" s="48" t="e">
        <f t="shared" si="9"/>
        <v>#DIV/0!</v>
      </c>
      <c r="AJ25" s="48" t="e">
        <f t="shared" si="9"/>
        <v>#DIV/0!</v>
      </c>
      <c r="AK25" s="48" t="e">
        <f t="shared" si="9"/>
        <v>#DIV/0!</v>
      </c>
      <c r="AL25" s="48" t="e">
        <f t="shared" si="9"/>
        <v>#DIV/0!</v>
      </c>
      <c r="AM25" s="48" t="e">
        <f t="shared" si="9"/>
        <v>#DIV/0!</v>
      </c>
      <c r="AN25" s="48" t="e">
        <f t="shared" si="9"/>
        <v>#DIV/0!</v>
      </c>
      <c r="AO25" s="48" t="e">
        <f t="shared" si="9"/>
        <v>#DIV/0!</v>
      </c>
      <c r="AP25" s="48" t="e">
        <f t="shared" si="9"/>
        <v>#DIV/0!</v>
      </c>
      <c r="AQ25" s="48" t="e">
        <f t="shared" si="9"/>
        <v>#DIV/0!</v>
      </c>
      <c r="AR25" s="48" t="e">
        <f t="shared" si="9"/>
        <v>#DIV/0!</v>
      </c>
      <c r="AS25" s="48" t="e">
        <f t="shared" si="9"/>
        <v>#DIV/0!</v>
      </c>
      <c r="AT25" s="48" t="e">
        <f t="shared" si="9"/>
        <v>#DIV/0!</v>
      </c>
    </row>
    <row r="26" spans="1:46" ht="12.75" customHeight="1" x14ac:dyDescent="0.2">
      <c r="B26" s="65"/>
      <c r="C26" s="63" t="s">
        <v>146</v>
      </c>
      <c r="D26" s="44" t="s">
        <v>145</v>
      </c>
      <c r="E26" s="48">
        <f t="shared" ref="E26:AT26" si="10">(E19-E20)^2*E20</f>
        <v>0</v>
      </c>
      <c r="F26" s="48">
        <f t="shared" si="10"/>
        <v>0</v>
      </c>
      <c r="G26" s="48">
        <f t="shared" si="10"/>
        <v>0</v>
      </c>
      <c r="H26" s="48">
        <f t="shared" si="10"/>
        <v>0</v>
      </c>
      <c r="I26" s="48">
        <f t="shared" si="10"/>
        <v>0</v>
      </c>
      <c r="J26" s="48">
        <f t="shared" si="10"/>
        <v>0</v>
      </c>
      <c r="K26" s="48">
        <f t="shared" si="10"/>
        <v>0</v>
      </c>
      <c r="L26" s="48">
        <f t="shared" si="10"/>
        <v>0</v>
      </c>
      <c r="M26" s="48">
        <f t="shared" si="10"/>
        <v>0</v>
      </c>
      <c r="N26" s="48">
        <f t="shared" si="10"/>
        <v>0</v>
      </c>
      <c r="O26" s="48">
        <f t="shared" si="10"/>
        <v>0</v>
      </c>
      <c r="P26" s="48">
        <f t="shared" si="10"/>
        <v>0</v>
      </c>
      <c r="Q26" s="48">
        <f t="shared" si="10"/>
        <v>0</v>
      </c>
      <c r="R26" s="48">
        <f t="shared" si="10"/>
        <v>0</v>
      </c>
      <c r="S26" s="48">
        <f t="shared" si="10"/>
        <v>0</v>
      </c>
      <c r="T26" s="48">
        <f t="shared" si="10"/>
        <v>0</v>
      </c>
      <c r="U26" s="48">
        <f t="shared" si="10"/>
        <v>0</v>
      </c>
      <c r="V26" s="48">
        <f t="shared" si="10"/>
        <v>0</v>
      </c>
      <c r="W26" s="48">
        <f t="shared" si="10"/>
        <v>0</v>
      </c>
      <c r="X26" s="48">
        <f t="shared" si="10"/>
        <v>0</v>
      </c>
      <c r="Y26" s="48">
        <f t="shared" si="10"/>
        <v>0</v>
      </c>
      <c r="Z26" s="48">
        <f t="shared" si="10"/>
        <v>0</v>
      </c>
      <c r="AA26" s="48">
        <f t="shared" si="10"/>
        <v>0</v>
      </c>
      <c r="AB26" s="48">
        <f t="shared" si="10"/>
        <v>0</v>
      </c>
      <c r="AC26" s="48">
        <f t="shared" si="10"/>
        <v>0</v>
      </c>
      <c r="AD26" s="48">
        <f t="shared" si="10"/>
        <v>0</v>
      </c>
      <c r="AE26" s="48">
        <f t="shared" si="10"/>
        <v>0</v>
      </c>
      <c r="AF26" s="48">
        <f t="shared" si="10"/>
        <v>0</v>
      </c>
      <c r="AG26" s="48">
        <f t="shared" si="10"/>
        <v>0</v>
      </c>
      <c r="AH26" s="48">
        <f t="shared" si="10"/>
        <v>0</v>
      </c>
      <c r="AI26" s="48">
        <f t="shared" si="10"/>
        <v>0</v>
      </c>
      <c r="AJ26" s="48">
        <f t="shared" si="10"/>
        <v>0</v>
      </c>
      <c r="AK26" s="48">
        <f t="shared" si="10"/>
        <v>0</v>
      </c>
      <c r="AL26" s="48">
        <f t="shared" si="10"/>
        <v>0</v>
      </c>
      <c r="AM26" s="48">
        <f t="shared" si="10"/>
        <v>0</v>
      </c>
      <c r="AN26" s="48">
        <f t="shared" si="10"/>
        <v>0</v>
      </c>
      <c r="AO26" s="48">
        <f t="shared" si="10"/>
        <v>0</v>
      </c>
      <c r="AP26" s="48">
        <f t="shared" si="10"/>
        <v>0</v>
      </c>
      <c r="AQ26" s="48">
        <f t="shared" si="10"/>
        <v>0</v>
      </c>
      <c r="AR26" s="48">
        <f t="shared" si="10"/>
        <v>0</v>
      </c>
      <c r="AS26" s="48">
        <f t="shared" si="10"/>
        <v>0</v>
      </c>
      <c r="AT26" s="48">
        <f t="shared" si="10"/>
        <v>0</v>
      </c>
    </row>
    <row r="27" spans="1:46" ht="12.75" customHeight="1" x14ac:dyDescent="0.2">
      <c r="B27" s="65"/>
      <c r="C27" s="63" t="s">
        <v>17</v>
      </c>
      <c r="D27" s="44" t="s">
        <v>249</v>
      </c>
      <c r="E27" s="47">
        <f t="shared" ref="E27:AT27" si="11">E22*78.5/1000000</f>
        <v>0</v>
      </c>
      <c r="F27" s="47">
        <f t="shared" si="11"/>
        <v>0</v>
      </c>
      <c r="G27" s="47">
        <f t="shared" si="11"/>
        <v>0</v>
      </c>
      <c r="H27" s="47">
        <f t="shared" si="11"/>
        <v>0</v>
      </c>
      <c r="I27" s="47">
        <f t="shared" si="11"/>
        <v>0</v>
      </c>
      <c r="J27" s="47">
        <f t="shared" si="11"/>
        <v>0</v>
      </c>
      <c r="K27" s="47">
        <f t="shared" si="11"/>
        <v>0</v>
      </c>
      <c r="L27" s="47">
        <f t="shared" si="11"/>
        <v>0</v>
      </c>
      <c r="M27" s="47">
        <f t="shared" si="11"/>
        <v>0</v>
      </c>
      <c r="N27" s="47">
        <f t="shared" si="11"/>
        <v>0</v>
      </c>
      <c r="O27" s="47">
        <f t="shared" si="11"/>
        <v>0</v>
      </c>
      <c r="P27" s="47">
        <f t="shared" si="11"/>
        <v>0</v>
      </c>
      <c r="Q27" s="47">
        <f t="shared" si="11"/>
        <v>0</v>
      </c>
      <c r="R27" s="47">
        <f t="shared" si="11"/>
        <v>0</v>
      </c>
      <c r="S27" s="47">
        <f t="shared" si="11"/>
        <v>0</v>
      </c>
      <c r="T27" s="47">
        <f t="shared" si="11"/>
        <v>0</v>
      </c>
      <c r="U27" s="47">
        <f t="shared" si="11"/>
        <v>0</v>
      </c>
      <c r="V27" s="47">
        <f t="shared" si="11"/>
        <v>0</v>
      </c>
      <c r="W27" s="47">
        <f t="shared" si="11"/>
        <v>0</v>
      </c>
      <c r="X27" s="47">
        <f t="shared" si="11"/>
        <v>0</v>
      </c>
      <c r="Y27" s="47">
        <f t="shared" si="11"/>
        <v>0</v>
      </c>
      <c r="Z27" s="47">
        <f t="shared" si="11"/>
        <v>0</v>
      </c>
      <c r="AA27" s="47">
        <f t="shared" si="11"/>
        <v>0</v>
      </c>
      <c r="AB27" s="47">
        <f t="shared" si="11"/>
        <v>0</v>
      </c>
      <c r="AC27" s="47">
        <f t="shared" si="11"/>
        <v>0</v>
      </c>
      <c r="AD27" s="47">
        <f t="shared" si="11"/>
        <v>0</v>
      </c>
      <c r="AE27" s="47">
        <f t="shared" si="11"/>
        <v>0</v>
      </c>
      <c r="AF27" s="47">
        <f t="shared" si="11"/>
        <v>0</v>
      </c>
      <c r="AG27" s="47">
        <f t="shared" si="11"/>
        <v>0</v>
      </c>
      <c r="AH27" s="47">
        <f t="shared" si="11"/>
        <v>0</v>
      </c>
      <c r="AI27" s="47">
        <f t="shared" si="11"/>
        <v>0</v>
      </c>
      <c r="AJ27" s="47">
        <f t="shared" si="11"/>
        <v>0</v>
      </c>
      <c r="AK27" s="47">
        <f t="shared" si="11"/>
        <v>0</v>
      </c>
      <c r="AL27" s="47">
        <f t="shared" si="11"/>
        <v>0</v>
      </c>
      <c r="AM27" s="47">
        <f t="shared" si="11"/>
        <v>0</v>
      </c>
      <c r="AN27" s="47">
        <f t="shared" si="11"/>
        <v>0</v>
      </c>
      <c r="AO27" s="47">
        <f t="shared" si="11"/>
        <v>0</v>
      </c>
      <c r="AP27" s="47">
        <f t="shared" si="11"/>
        <v>0</v>
      </c>
      <c r="AQ27" s="47">
        <f t="shared" si="11"/>
        <v>0</v>
      </c>
      <c r="AR27" s="47">
        <f t="shared" si="11"/>
        <v>0</v>
      </c>
      <c r="AS27" s="47">
        <f t="shared" si="11"/>
        <v>0</v>
      </c>
      <c r="AT27" s="47">
        <f t="shared" si="11"/>
        <v>0</v>
      </c>
    </row>
    <row r="28" spans="1:46" ht="12.75" customHeight="1" x14ac:dyDescent="0.2">
      <c r="A28" s="46" t="s">
        <v>268</v>
      </c>
      <c r="B28" s="65"/>
      <c r="D28" s="55" t="s">
        <v>75</v>
      </c>
      <c r="E28" s="9">
        <f>VLOOKUP(E$8,'C - overzicht'!$B$11:$P$53,6,0)</f>
        <v>0</v>
      </c>
      <c r="F28" s="9">
        <f>VLOOKUP(F$8,'C - overzicht'!$B$11:$P$53,6,0)</f>
        <v>0</v>
      </c>
      <c r="G28" s="9">
        <f>VLOOKUP(G$8,'C - overzicht'!$B$11:$P$53,6,0)</f>
        <v>0</v>
      </c>
      <c r="H28" s="9">
        <f>VLOOKUP(H$8,'C - overzicht'!$B$11:$P$53,6,0)</f>
        <v>0</v>
      </c>
      <c r="I28" s="9">
        <f>VLOOKUP(I$8,'C - overzicht'!$B$11:$P$53,6,0)</f>
        <v>0</v>
      </c>
      <c r="J28" s="9">
        <f>VLOOKUP(J$8,'C - overzicht'!$B$11:$P$53,6,0)</f>
        <v>0</v>
      </c>
      <c r="K28" s="9">
        <f>VLOOKUP(K$8,'C - overzicht'!$B$11:$P$53,6,0)</f>
        <v>0</v>
      </c>
      <c r="L28" s="9">
        <f>VLOOKUP(L$8,'C - overzicht'!$B$11:$P$53,6,0)</f>
        <v>0</v>
      </c>
      <c r="M28" s="9">
        <f>VLOOKUP(M$8,'C - overzicht'!$B$11:$P$53,6,0)</f>
        <v>0</v>
      </c>
      <c r="N28" s="9">
        <f>VLOOKUP(N$8,'C - overzicht'!$B$11:$P$53,6,0)</f>
        <v>0</v>
      </c>
      <c r="O28" s="9">
        <f>VLOOKUP(O$8,'C - overzicht'!$B$11:$P$53,6,0)</f>
        <v>0</v>
      </c>
      <c r="P28" s="9">
        <f>VLOOKUP(P$8,'C - overzicht'!$B$11:$P$53,6,0)</f>
        <v>0</v>
      </c>
      <c r="Q28" s="9">
        <f>VLOOKUP(Q$8,'C - overzicht'!$B$11:$P$53,6,0)</f>
        <v>0</v>
      </c>
      <c r="R28" s="9">
        <f>VLOOKUP(R$8,'C - overzicht'!$B$11:$P$53,6,0)</f>
        <v>0</v>
      </c>
      <c r="S28" s="9">
        <f>VLOOKUP(S$8,'C - overzicht'!$B$11:$P$53,6,0)</f>
        <v>0</v>
      </c>
      <c r="T28" s="9">
        <f>VLOOKUP(T$8,'C - overzicht'!$B$11:$P$53,6,0)</f>
        <v>0</v>
      </c>
      <c r="U28" s="9">
        <f>VLOOKUP(U$8,'C - overzicht'!$B$11:$P$53,6,0)</f>
        <v>0</v>
      </c>
      <c r="V28" s="9">
        <f>VLOOKUP(V$8,'C - overzicht'!$B$11:$P$53,6,0)</f>
        <v>0</v>
      </c>
      <c r="W28" s="9">
        <f>VLOOKUP(W$8,'C - overzicht'!$B$11:$P$53,6,0)</f>
        <v>0</v>
      </c>
      <c r="X28" s="9">
        <f>VLOOKUP(X$8,'C - overzicht'!$B$11:$P$53,6,0)</f>
        <v>0</v>
      </c>
      <c r="Y28" s="9">
        <f>VLOOKUP(Y$8,'C - overzicht'!$B$11:$P$53,6,0)</f>
        <v>0</v>
      </c>
      <c r="Z28" s="9">
        <f>VLOOKUP(Z$8,'C - overzicht'!$B$11:$P$53,6,0)</f>
        <v>0</v>
      </c>
      <c r="AA28" s="9">
        <f>VLOOKUP(AA$8,'C - overzicht'!$B$11:$P$53,6,0)</f>
        <v>0</v>
      </c>
      <c r="AB28" s="9">
        <f>VLOOKUP(AB$8,'C - overzicht'!$B$11:$P$53,6,0)</f>
        <v>0</v>
      </c>
      <c r="AC28" s="9">
        <f>VLOOKUP(AC$8,'C - overzicht'!$B$11:$P$53,6,0)</f>
        <v>0</v>
      </c>
      <c r="AD28" s="9">
        <f>VLOOKUP(AD$8,'C - overzicht'!$B$11:$P$53,6,0)</f>
        <v>0</v>
      </c>
      <c r="AE28" s="9">
        <f>VLOOKUP(AE$8,'C - overzicht'!$B$11:$P$53,6,0)</f>
        <v>0</v>
      </c>
      <c r="AF28" s="9">
        <f>VLOOKUP(AF$8,'C - overzicht'!$B$11:$P$53,6,0)</f>
        <v>0</v>
      </c>
      <c r="AG28" s="9">
        <f>VLOOKUP(AG$8,'C - overzicht'!$B$11:$P$53,6,0)</f>
        <v>0</v>
      </c>
      <c r="AH28" s="9">
        <f>VLOOKUP(AH$8,'C - overzicht'!$B$11:$P$53,6,0)</f>
        <v>0</v>
      </c>
      <c r="AI28" s="9">
        <f>VLOOKUP(AI$8,'C - overzicht'!$B$11:$P$53,6,0)</f>
        <v>0</v>
      </c>
      <c r="AJ28" s="9">
        <f>VLOOKUP(AJ$8,'C - overzicht'!$B$11:$P$53,6,0)</f>
        <v>0</v>
      </c>
      <c r="AK28" s="9">
        <f>VLOOKUP(AK$8,'C - overzicht'!$B$11:$P$53,6,0)</f>
        <v>0</v>
      </c>
      <c r="AL28" s="9">
        <f>VLOOKUP(AL$8,'C - overzicht'!$B$11:$P$53,6,0)</f>
        <v>0</v>
      </c>
      <c r="AM28" s="9">
        <f>VLOOKUP(AM$8,'C - overzicht'!$B$11:$P$53,6,0)</f>
        <v>0</v>
      </c>
      <c r="AN28" s="9">
        <f>VLOOKUP(AN$8,'C - overzicht'!$B$11:$P$53,6,0)</f>
        <v>0</v>
      </c>
      <c r="AO28" s="9">
        <f>VLOOKUP(AO$8,'C - overzicht'!$B$11:$P$53,6,0)</f>
        <v>0</v>
      </c>
      <c r="AP28" s="9">
        <f>VLOOKUP(AP$8,'C - overzicht'!$B$11:$P$53,6,0)</f>
        <v>0</v>
      </c>
      <c r="AQ28" s="9">
        <f>VLOOKUP(AQ$8,'C - overzicht'!$B$11:$P$53,6,0)</f>
        <v>0</v>
      </c>
      <c r="AR28" s="9">
        <f>VLOOKUP(AR$8,'C - overzicht'!$B$11:$P$53,6,0)</f>
        <v>0</v>
      </c>
      <c r="AS28" s="9">
        <f>VLOOKUP(AS$8,'C - overzicht'!$B$11:$P$53,6,0)</f>
        <v>0</v>
      </c>
      <c r="AT28" s="9">
        <f>VLOOKUP(AT$8,'C - overzicht'!$B$11:$P$53,6,0)</f>
        <v>0</v>
      </c>
    </row>
    <row r="29" spans="1:46" ht="12.75" customHeight="1" x14ac:dyDescent="0.2">
      <c r="B29" s="65"/>
      <c r="D29" s="44"/>
    </row>
    <row r="30" spans="1:46" ht="12.75" customHeight="1" x14ac:dyDescent="0.2">
      <c r="A30" s="43" t="s">
        <v>157</v>
      </c>
      <c r="B30" s="65"/>
    </row>
    <row r="31" spans="1:46" ht="12.75" customHeight="1" x14ac:dyDescent="0.2">
      <c r="A31" s="37" t="s">
        <v>269</v>
      </c>
      <c r="B31" s="65" t="s">
        <v>134</v>
      </c>
      <c r="D31" s="20" t="s">
        <v>113</v>
      </c>
      <c r="E31" s="9" t="e">
        <f t="shared" ref="E31:AT31" si="12">E19/E20</f>
        <v>#DIV/0!</v>
      </c>
      <c r="F31" s="9" t="e">
        <f t="shared" si="12"/>
        <v>#DIV/0!</v>
      </c>
      <c r="G31" s="9" t="e">
        <f t="shared" si="12"/>
        <v>#DIV/0!</v>
      </c>
      <c r="H31" s="9" t="e">
        <f t="shared" si="12"/>
        <v>#DIV/0!</v>
      </c>
      <c r="I31" s="9" t="e">
        <f t="shared" si="12"/>
        <v>#DIV/0!</v>
      </c>
      <c r="J31" s="9" t="e">
        <f t="shared" si="12"/>
        <v>#DIV/0!</v>
      </c>
      <c r="K31" s="9" t="e">
        <f t="shared" si="12"/>
        <v>#DIV/0!</v>
      </c>
      <c r="L31" s="9" t="e">
        <f t="shared" si="12"/>
        <v>#DIV/0!</v>
      </c>
      <c r="M31" s="9" t="e">
        <f t="shared" si="12"/>
        <v>#DIV/0!</v>
      </c>
      <c r="N31" s="9" t="e">
        <f t="shared" si="12"/>
        <v>#DIV/0!</v>
      </c>
      <c r="O31" s="9" t="e">
        <f t="shared" si="12"/>
        <v>#DIV/0!</v>
      </c>
      <c r="P31" s="9" t="e">
        <f t="shared" si="12"/>
        <v>#DIV/0!</v>
      </c>
      <c r="Q31" s="9" t="e">
        <f t="shared" si="12"/>
        <v>#DIV/0!</v>
      </c>
      <c r="R31" s="9" t="e">
        <f t="shared" si="12"/>
        <v>#DIV/0!</v>
      </c>
      <c r="S31" s="9" t="e">
        <f t="shared" si="12"/>
        <v>#DIV/0!</v>
      </c>
      <c r="T31" s="9" t="e">
        <f t="shared" si="12"/>
        <v>#DIV/0!</v>
      </c>
      <c r="U31" s="9" t="e">
        <f t="shared" si="12"/>
        <v>#DIV/0!</v>
      </c>
      <c r="V31" s="9" t="e">
        <f t="shared" si="12"/>
        <v>#DIV/0!</v>
      </c>
      <c r="W31" s="9" t="e">
        <f t="shared" si="12"/>
        <v>#DIV/0!</v>
      </c>
      <c r="X31" s="9" t="e">
        <f t="shared" si="12"/>
        <v>#DIV/0!</v>
      </c>
      <c r="Y31" s="9" t="e">
        <f t="shared" si="12"/>
        <v>#DIV/0!</v>
      </c>
      <c r="Z31" s="9" t="e">
        <f t="shared" si="12"/>
        <v>#DIV/0!</v>
      </c>
      <c r="AA31" s="9" t="e">
        <f t="shared" si="12"/>
        <v>#DIV/0!</v>
      </c>
      <c r="AB31" s="9" t="e">
        <f t="shared" si="12"/>
        <v>#DIV/0!</v>
      </c>
      <c r="AC31" s="9" t="e">
        <f t="shared" si="12"/>
        <v>#DIV/0!</v>
      </c>
      <c r="AD31" s="9" t="e">
        <f t="shared" si="12"/>
        <v>#DIV/0!</v>
      </c>
      <c r="AE31" s="9" t="e">
        <f t="shared" si="12"/>
        <v>#DIV/0!</v>
      </c>
      <c r="AF31" s="9" t="e">
        <f t="shared" si="12"/>
        <v>#DIV/0!</v>
      </c>
      <c r="AG31" s="9" t="e">
        <f t="shared" si="12"/>
        <v>#DIV/0!</v>
      </c>
      <c r="AH31" s="9" t="e">
        <f t="shared" si="12"/>
        <v>#DIV/0!</v>
      </c>
      <c r="AI31" s="9" t="e">
        <f t="shared" si="12"/>
        <v>#DIV/0!</v>
      </c>
      <c r="AJ31" s="9" t="e">
        <f t="shared" si="12"/>
        <v>#DIV/0!</v>
      </c>
      <c r="AK31" s="9" t="e">
        <f t="shared" si="12"/>
        <v>#DIV/0!</v>
      </c>
      <c r="AL31" s="9" t="e">
        <f t="shared" si="12"/>
        <v>#DIV/0!</v>
      </c>
      <c r="AM31" s="9" t="e">
        <f t="shared" si="12"/>
        <v>#DIV/0!</v>
      </c>
      <c r="AN31" s="9" t="e">
        <f t="shared" si="12"/>
        <v>#DIV/0!</v>
      </c>
      <c r="AO31" s="9" t="e">
        <f t="shared" si="12"/>
        <v>#DIV/0!</v>
      </c>
      <c r="AP31" s="9" t="e">
        <f t="shared" si="12"/>
        <v>#DIV/0!</v>
      </c>
      <c r="AQ31" s="9" t="e">
        <f t="shared" si="12"/>
        <v>#DIV/0!</v>
      </c>
      <c r="AR31" s="9" t="e">
        <f t="shared" si="12"/>
        <v>#DIV/0!</v>
      </c>
      <c r="AS31" s="9" t="e">
        <f t="shared" si="12"/>
        <v>#DIV/0!</v>
      </c>
      <c r="AT31" s="9" t="e">
        <f t="shared" si="12"/>
        <v>#DIV/0!</v>
      </c>
    </row>
    <row r="32" spans="1:46" ht="12.75" customHeight="1" x14ac:dyDescent="0.2">
      <c r="A32" s="45" t="s">
        <v>270</v>
      </c>
      <c r="B32" s="65" t="s">
        <v>134</v>
      </c>
      <c r="D32" s="20" t="s">
        <v>113</v>
      </c>
      <c r="E32" s="47">
        <f t="shared" ref="E32:AT32" si="13">E15^2</f>
        <v>0.66197183098591561</v>
      </c>
      <c r="F32" s="47">
        <f t="shared" si="13"/>
        <v>0.66197183098591561</v>
      </c>
      <c r="G32" s="47">
        <f t="shared" si="13"/>
        <v>0.66197183098591561</v>
      </c>
      <c r="H32" s="47">
        <f t="shared" si="13"/>
        <v>0.66197183098591561</v>
      </c>
      <c r="I32" s="47">
        <f t="shared" si="13"/>
        <v>0.66197183098591561</v>
      </c>
      <c r="J32" s="47">
        <f t="shared" si="13"/>
        <v>0.66197183098591561</v>
      </c>
      <c r="K32" s="47">
        <f t="shared" si="13"/>
        <v>0.66197183098591561</v>
      </c>
      <c r="L32" s="47">
        <f t="shared" si="13"/>
        <v>0.66197183098591561</v>
      </c>
      <c r="M32" s="47">
        <f t="shared" si="13"/>
        <v>0.66197183098591561</v>
      </c>
      <c r="N32" s="47">
        <f t="shared" si="13"/>
        <v>0.66197183098591561</v>
      </c>
      <c r="O32" s="47">
        <f t="shared" si="13"/>
        <v>0.66197183098591561</v>
      </c>
      <c r="P32" s="47">
        <f t="shared" si="13"/>
        <v>0.66197183098591561</v>
      </c>
      <c r="Q32" s="47">
        <f t="shared" si="13"/>
        <v>0.66197183098591561</v>
      </c>
      <c r="R32" s="47">
        <f t="shared" si="13"/>
        <v>0.66197183098591561</v>
      </c>
      <c r="S32" s="47">
        <f t="shared" si="13"/>
        <v>0.66197183098591561</v>
      </c>
      <c r="T32" s="47">
        <f t="shared" si="13"/>
        <v>0.66197183098591561</v>
      </c>
      <c r="U32" s="47">
        <f t="shared" si="13"/>
        <v>0.66197183098591561</v>
      </c>
      <c r="V32" s="47">
        <f t="shared" si="13"/>
        <v>0.66197183098591561</v>
      </c>
      <c r="W32" s="47">
        <f t="shared" si="13"/>
        <v>0.66197183098591561</v>
      </c>
      <c r="X32" s="47">
        <f t="shared" si="13"/>
        <v>0.66197183098591561</v>
      </c>
      <c r="Y32" s="47">
        <f t="shared" si="13"/>
        <v>0.66197183098591561</v>
      </c>
      <c r="Z32" s="47">
        <f t="shared" si="13"/>
        <v>0.66197183098591561</v>
      </c>
      <c r="AA32" s="47">
        <f t="shared" si="13"/>
        <v>0.66197183098591561</v>
      </c>
      <c r="AB32" s="47">
        <f t="shared" si="13"/>
        <v>0.66197183098591561</v>
      </c>
      <c r="AC32" s="47">
        <f t="shared" si="13"/>
        <v>0.66197183098591561</v>
      </c>
      <c r="AD32" s="47">
        <f t="shared" si="13"/>
        <v>0.66197183098591561</v>
      </c>
      <c r="AE32" s="47">
        <f t="shared" si="13"/>
        <v>0.66197183098591561</v>
      </c>
      <c r="AF32" s="47">
        <f t="shared" si="13"/>
        <v>0.66197183098591561</v>
      </c>
      <c r="AG32" s="47">
        <f t="shared" si="13"/>
        <v>0.66197183098591561</v>
      </c>
      <c r="AH32" s="47">
        <f t="shared" si="13"/>
        <v>0.66197183098591561</v>
      </c>
      <c r="AI32" s="47">
        <f t="shared" si="13"/>
        <v>0.66197183098591561</v>
      </c>
      <c r="AJ32" s="47">
        <f t="shared" si="13"/>
        <v>0.66197183098591561</v>
      </c>
      <c r="AK32" s="47">
        <f t="shared" si="13"/>
        <v>0.66197183098591561</v>
      </c>
      <c r="AL32" s="47">
        <f t="shared" si="13"/>
        <v>0.66197183098591561</v>
      </c>
      <c r="AM32" s="47">
        <f t="shared" si="13"/>
        <v>0.66197183098591561</v>
      </c>
      <c r="AN32" s="47">
        <f t="shared" si="13"/>
        <v>0.66197183098591561</v>
      </c>
      <c r="AO32" s="47">
        <f t="shared" si="13"/>
        <v>0.66197183098591561</v>
      </c>
      <c r="AP32" s="47">
        <f t="shared" si="13"/>
        <v>0.66197183098591561</v>
      </c>
      <c r="AQ32" s="47">
        <f t="shared" si="13"/>
        <v>0.66197183098591561</v>
      </c>
      <c r="AR32" s="47">
        <f t="shared" si="13"/>
        <v>0.66197183098591561</v>
      </c>
      <c r="AS32" s="47">
        <f t="shared" si="13"/>
        <v>0.66197183098591561</v>
      </c>
      <c r="AT32" s="47">
        <f t="shared" si="13"/>
        <v>0.66197183098591561</v>
      </c>
    </row>
    <row r="33" spans="1:46" ht="12.75" customHeight="1" x14ac:dyDescent="0.2">
      <c r="A33" s="46" t="s">
        <v>271</v>
      </c>
      <c r="D33" s="56" t="s">
        <v>113</v>
      </c>
      <c r="E33" s="9" t="str">
        <f t="shared" ref="E33:AT33" si="14">IF(E12&lt;=420,"a","a0")</f>
        <v>a</v>
      </c>
      <c r="F33" s="9" t="str">
        <f t="shared" si="14"/>
        <v>a</v>
      </c>
      <c r="G33" s="9" t="str">
        <f t="shared" si="14"/>
        <v>a</v>
      </c>
      <c r="H33" s="9" t="str">
        <f t="shared" si="14"/>
        <v>a</v>
      </c>
      <c r="I33" s="9" t="str">
        <f t="shared" si="14"/>
        <v>a</v>
      </c>
      <c r="J33" s="9" t="str">
        <f t="shared" si="14"/>
        <v>a</v>
      </c>
      <c r="K33" s="9" t="str">
        <f t="shared" si="14"/>
        <v>a</v>
      </c>
      <c r="L33" s="9" t="str">
        <f t="shared" si="14"/>
        <v>a</v>
      </c>
      <c r="M33" s="9" t="str">
        <f t="shared" si="14"/>
        <v>a</v>
      </c>
      <c r="N33" s="9" t="str">
        <f t="shared" si="14"/>
        <v>a</v>
      </c>
      <c r="O33" s="9" t="str">
        <f t="shared" si="14"/>
        <v>a</v>
      </c>
      <c r="P33" s="9" t="str">
        <f t="shared" si="14"/>
        <v>a</v>
      </c>
      <c r="Q33" s="9" t="str">
        <f t="shared" si="14"/>
        <v>a</v>
      </c>
      <c r="R33" s="9" t="str">
        <f t="shared" si="14"/>
        <v>a</v>
      </c>
      <c r="S33" s="9" t="str">
        <f t="shared" si="14"/>
        <v>a</v>
      </c>
      <c r="T33" s="9" t="str">
        <f t="shared" si="14"/>
        <v>a</v>
      </c>
      <c r="U33" s="9" t="str">
        <f t="shared" si="14"/>
        <v>a</v>
      </c>
      <c r="V33" s="9" t="str">
        <f t="shared" si="14"/>
        <v>a</v>
      </c>
      <c r="W33" s="9" t="str">
        <f t="shared" si="14"/>
        <v>a</v>
      </c>
      <c r="X33" s="9" t="str">
        <f t="shared" si="14"/>
        <v>a</v>
      </c>
      <c r="Y33" s="9" t="str">
        <f t="shared" si="14"/>
        <v>a</v>
      </c>
      <c r="Z33" s="9" t="str">
        <f t="shared" si="14"/>
        <v>a</v>
      </c>
      <c r="AA33" s="9" t="str">
        <f t="shared" si="14"/>
        <v>a</v>
      </c>
      <c r="AB33" s="9" t="str">
        <f t="shared" si="14"/>
        <v>a</v>
      </c>
      <c r="AC33" s="9" t="str">
        <f t="shared" si="14"/>
        <v>a</v>
      </c>
      <c r="AD33" s="9" t="str">
        <f t="shared" si="14"/>
        <v>a</v>
      </c>
      <c r="AE33" s="9" t="str">
        <f t="shared" si="14"/>
        <v>a</v>
      </c>
      <c r="AF33" s="9" t="str">
        <f t="shared" si="14"/>
        <v>a</v>
      </c>
      <c r="AG33" s="9" t="str">
        <f t="shared" si="14"/>
        <v>a</v>
      </c>
      <c r="AH33" s="9" t="str">
        <f t="shared" si="14"/>
        <v>a</v>
      </c>
      <c r="AI33" s="9" t="str">
        <f t="shared" si="14"/>
        <v>a</v>
      </c>
      <c r="AJ33" s="9" t="str">
        <f t="shared" si="14"/>
        <v>a</v>
      </c>
      <c r="AK33" s="9" t="str">
        <f t="shared" si="14"/>
        <v>a</v>
      </c>
      <c r="AL33" s="9" t="str">
        <f t="shared" si="14"/>
        <v>a</v>
      </c>
      <c r="AM33" s="9" t="str">
        <f t="shared" si="14"/>
        <v>a</v>
      </c>
      <c r="AN33" s="9" t="str">
        <f t="shared" si="14"/>
        <v>a</v>
      </c>
      <c r="AO33" s="9" t="str">
        <f t="shared" si="14"/>
        <v>a</v>
      </c>
      <c r="AP33" s="9" t="str">
        <f t="shared" si="14"/>
        <v>a</v>
      </c>
      <c r="AQ33" s="9" t="str">
        <f t="shared" si="14"/>
        <v>a</v>
      </c>
      <c r="AR33" s="9" t="str">
        <f t="shared" si="14"/>
        <v>a</v>
      </c>
      <c r="AS33" s="9" t="str">
        <f t="shared" si="14"/>
        <v>a</v>
      </c>
      <c r="AT33" s="9" t="str">
        <f t="shared" si="14"/>
        <v>a</v>
      </c>
    </row>
    <row r="34" spans="1:46" ht="12.75" customHeight="1" x14ac:dyDescent="0.2">
      <c r="A34" s="54" t="s">
        <v>272</v>
      </c>
      <c r="D34" s="56" t="s">
        <v>113</v>
      </c>
      <c r="E34" s="53">
        <f t="shared" ref="E34:AT34" si="15">IF(E33="a",0.21,0.13)</f>
        <v>0.21</v>
      </c>
      <c r="F34" s="53">
        <f t="shared" si="15"/>
        <v>0.21</v>
      </c>
      <c r="G34" s="53">
        <f t="shared" si="15"/>
        <v>0.21</v>
      </c>
      <c r="H34" s="53">
        <f t="shared" si="15"/>
        <v>0.21</v>
      </c>
      <c r="I34" s="53">
        <f t="shared" si="15"/>
        <v>0.21</v>
      </c>
      <c r="J34" s="53">
        <f t="shared" si="15"/>
        <v>0.21</v>
      </c>
      <c r="K34" s="53">
        <f t="shared" si="15"/>
        <v>0.21</v>
      </c>
      <c r="L34" s="53">
        <f t="shared" si="15"/>
        <v>0.21</v>
      </c>
      <c r="M34" s="53">
        <f t="shared" si="15"/>
        <v>0.21</v>
      </c>
      <c r="N34" s="53">
        <f t="shared" si="15"/>
        <v>0.21</v>
      </c>
      <c r="O34" s="53">
        <f t="shared" si="15"/>
        <v>0.21</v>
      </c>
      <c r="P34" s="53">
        <f t="shared" si="15"/>
        <v>0.21</v>
      </c>
      <c r="Q34" s="53">
        <f t="shared" si="15"/>
        <v>0.21</v>
      </c>
      <c r="R34" s="53">
        <f t="shared" si="15"/>
        <v>0.21</v>
      </c>
      <c r="S34" s="53">
        <f t="shared" si="15"/>
        <v>0.21</v>
      </c>
      <c r="T34" s="53">
        <f t="shared" si="15"/>
        <v>0.21</v>
      </c>
      <c r="U34" s="53">
        <f t="shared" si="15"/>
        <v>0.21</v>
      </c>
      <c r="V34" s="53">
        <f t="shared" si="15"/>
        <v>0.21</v>
      </c>
      <c r="W34" s="53">
        <f t="shared" si="15"/>
        <v>0.21</v>
      </c>
      <c r="X34" s="53">
        <f t="shared" si="15"/>
        <v>0.21</v>
      </c>
      <c r="Y34" s="53">
        <f t="shared" si="15"/>
        <v>0.21</v>
      </c>
      <c r="Z34" s="53">
        <f t="shared" si="15"/>
        <v>0.21</v>
      </c>
      <c r="AA34" s="53">
        <f t="shared" si="15"/>
        <v>0.21</v>
      </c>
      <c r="AB34" s="53">
        <f t="shared" si="15"/>
        <v>0.21</v>
      </c>
      <c r="AC34" s="53">
        <f t="shared" si="15"/>
        <v>0.21</v>
      </c>
      <c r="AD34" s="53">
        <f t="shared" si="15"/>
        <v>0.21</v>
      </c>
      <c r="AE34" s="53">
        <f t="shared" si="15"/>
        <v>0.21</v>
      </c>
      <c r="AF34" s="53">
        <f t="shared" si="15"/>
        <v>0.21</v>
      </c>
      <c r="AG34" s="53">
        <f t="shared" si="15"/>
        <v>0.21</v>
      </c>
      <c r="AH34" s="53">
        <f t="shared" si="15"/>
        <v>0.21</v>
      </c>
      <c r="AI34" s="53">
        <f t="shared" si="15"/>
        <v>0.21</v>
      </c>
      <c r="AJ34" s="53">
        <f t="shared" si="15"/>
        <v>0.21</v>
      </c>
      <c r="AK34" s="53">
        <f t="shared" si="15"/>
        <v>0.21</v>
      </c>
      <c r="AL34" s="53">
        <f t="shared" si="15"/>
        <v>0.21</v>
      </c>
      <c r="AM34" s="53">
        <f t="shared" si="15"/>
        <v>0.21</v>
      </c>
      <c r="AN34" s="53">
        <f t="shared" si="15"/>
        <v>0.21</v>
      </c>
      <c r="AO34" s="53">
        <f t="shared" si="15"/>
        <v>0.21</v>
      </c>
      <c r="AP34" s="53">
        <f t="shared" si="15"/>
        <v>0.21</v>
      </c>
      <c r="AQ34" s="53">
        <f t="shared" si="15"/>
        <v>0.21</v>
      </c>
      <c r="AR34" s="53">
        <f t="shared" si="15"/>
        <v>0.21</v>
      </c>
      <c r="AS34" s="53">
        <f t="shared" si="15"/>
        <v>0.21</v>
      </c>
      <c r="AT34" s="53">
        <f t="shared" si="15"/>
        <v>0.21</v>
      </c>
    </row>
    <row r="35" spans="1:46" ht="12.75" hidden="1" customHeight="1" x14ac:dyDescent="0.2">
      <c r="A35" s="45"/>
      <c r="D35" s="20"/>
      <c r="E35" s="47" t="e">
        <f t="shared" ref="E35:AT35" si="16">E31/E32</f>
        <v>#DIV/0!</v>
      </c>
      <c r="F35" s="47" t="e">
        <f t="shared" si="16"/>
        <v>#DIV/0!</v>
      </c>
      <c r="G35" s="47" t="e">
        <f t="shared" si="16"/>
        <v>#DIV/0!</v>
      </c>
      <c r="H35" s="47" t="e">
        <f t="shared" si="16"/>
        <v>#DIV/0!</v>
      </c>
      <c r="I35" s="47" t="e">
        <f t="shared" si="16"/>
        <v>#DIV/0!</v>
      </c>
      <c r="J35" s="47" t="e">
        <f t="shared" si="16"/>
        <v>#DIV/0!</v>
      </c>
      <c r="K35" s="47" t="e">
        <f t="shared" si="16"/>
        <v>#DIV/0!</v>
      </c>
      <c r="L35" s="47" t="e">
        <f t="shared" si="16"/>
        <v>#DIV/0!</v>
      </c>
      <c r="M35" s="47" t="e">
        <f t="shared" si="16"/>
        <v>#DIV/0!</v>
      </c>
      <c r="N35" s="47" t="e">
        <f t="shared" si="16"/>
        <v>#DIV/0!</v>
      </c>
      <c r="O35" s="47" t="e">
        <f t="shared" si="16"/>
        <v>#DIV/0!</v>
      </c>
      <c r="P35" s="47" t="e">
        <f t="shared" si="16"/>
        <v>#DIV/0!</v>
      </c>
      <c r="Q35" s="47" t="e">
        <f t="shared" si="16"/>
        <v>#DIV/0!</v>
      </c>
      <c r="R35" s="47" t="e">
        <f t="shared" si="16"/>
        <v>#DIV/0!</v>
      </c>
      <c r="S35" s="47" t="e">
        <f t="shared" si="16"/>
        <v>#DIV/0!</v>
      </c>
      <c r="T35" s="47" t="e">
        <f t="shared" si="16"/>
        <v>#DIV/0!</v>
      </c>
      <c r="U35" s="47" t="e">
        <f t="shared" si="16"/>
        <v>#DIV/0!</v>
      </c>
      <c r="V35" s="47" t="e">
        <f t="shared" si="16"/>
        <v>#DIV/0!</v>
      </c>
      <c r="W35" s="47" t="e">
        <f t="shared" si="16"/>
        <v>#DIV/0!</v>
      </c>
      <c r="X35" s="47" t="e">
        <f t="shared" si="16"/>
        <v>#DIV/0!</v>
      </c>
      <c r="Y35" s="47" t="e">
        <f t="shared" si="16"/>
        <v>#DIV/0!</v>
      </c>
      <c r="Z35" s="47" t="e">
        <f t="shared" si="16"/>
        <v>#DIV/0!</v>
      </c>
      <c r="AA35" s="47" t="e">
        <f t="shared" si="16"/>
        <v>#DIV/0!</v>
      </c>
      <c r="AB35" s="47" t="e">
        <f t="shared" si="16"/>
        <v>#DIV/0!</v>
      </c>
      <c r="AC35" s="47" t="e">
        <f t="shared" si="16"/>
        <v>#DIV/0!</v>
      </c>
      <c r="AD35" s="47" t="e">
        <f t="shared" si="16"/>
        <v>#DIV/0!</v>
      </c>
      <c r="AE35" s="47" t="e">
        <f t="shared" si="16"/>
        <v>#DIV/0!</v>
      </c>
      <c r="AF35" s="47" t="e">
        <f t="shared" si="16"/>
        <v>#DIV/0!</v>
      </c>
      <c r="AG35" s="47" t="e">
        <f t="shared" si="16"/>
        <v>#DIV/0!</v>
      </c>
      <c r="AH35" s="47" t="e">
        <f t="shared" si="16"/>
        <v>#DIV/0!</v>
      </c>
      <c r="AI35" s="47" t="e">
        <f t="shared" si="16"/>
        <v>#DIV/0!</v>
      </c>
      <c r="AJ35" s="47" t="e">
        <f t="shared" si="16"/>
        <v>#DIV/0!</v>
      </c>
      <c r="AK35" s="47" t="e">
        <f t="shared" si="16"/>
        <v>#DIV/0!</v>
      </c>
      <c r="AL35" s="47" t="e">
        <f t="shared" si="16"/>
        <v>#DIV/0!</v>
      </c>
      <c r="AM35" s="47" t="e">
        <f t="shared" si="16"/>
        <v>#DIV/0!</v>
      </c>
      <c r="AN35" s="47" t="e">
        <f t="shared" si="16"/>
        <v>#DIV/0!</v>
      </c>
      <c r="AO35" s="47" t="e">
        <f t="shared" si="16"/>
        <v>#DIV/0!</v>
      </c>
      <c r="AP35" s="47" t="e">
        <f t="shared" si="16"/>
        <v>#DIV/0!</v>
      </c>
      <c r="AQ35" s="47" t="e">
        <f t="shared" si="16"/>
        <v>#DIV/0!</v>
      </c>
      <c r="AR35" s="47" t="e">
        <f t="shared" si="16"/>
        <v>#DIV/0!</v>
      </c>
      <c r="AS35" s="47" t="e">
        <f t="shared" si="16"/>
        <v>#DIV/0!</v>
      </c>
      <c r="AT35" s="47" t="e">
        <f t="shared" si="16"/>
        <v>#DIV/0!</v>
      </c>
    </row>
    <row r="36" spans="1:46" ht="12.75" hidden="1" customHeight="1" x14ac:dyDescent="0.2">
      <c r="A36" s="45"/>
      <c r="D36" s="20">
        <v>1</v>
      </c>
      <c r="E36" s="47" t="e">
        <f t="shared" ref="E36:AT36" si="17">IF(E35&lt;=50,1,0)</f>
        <v>#DIV/0!</v>
      </c>
      <c r="F36" s="47" t="e">
        <f t="shared" si="17"/>
        <v>#DIV/0!</v>
      </c>
      <c r="G36" s="47" t="e">
        <f t="shared" si="17"/>
        <v>#DIV/0!</v>
      </c>
      <c r="H36" s="47" t="e">
        <f t="shared" si="17"/>
        <v>#DIV/0!</v>
      </c>
      <c r="I36" s="47" t="e">
        <f t="shared" si="17"/>
        <v>#DIV/0!</v>
      </c>
      <c r="J36" s="47" t="e">
        <f t="shared" si="17"/>
        <v>#DIV/0!</v>
      </c>
      <c r="K36" s="47" t="e">
        <f t="shared" si="17"/>
        <v>#DIV/0!</v>
      </c>
      <c r="L36" s="47" t="e">
        <f t="shared" si="17"/>
        <v>#DIV/0!</v>
      </c>
      <c r="M36" s="47" t="e">
        <f t="shared" si="17"/>
        <v>#DIV/0!</v>
      </c>
      <c r="N36" s="47" t="e">
        <f t="shared" si="17"/>
        <v>#DIV/0!</v>
      </c>
      <c r="O36" s="47" t="e">
        <f t="shared" si="17"/>
        <v>#DIV/0!</v>
      </c>
      <c r="P36" s="47" t="e">
        <f t="shared" si="17"/>
        <v>#DIV/0!</v>
      </c>
      <c r="Q36" s="47" t="e">
        <f t="shared" si="17"/>
        <v>#DIV/0!</v>
      </c>
      <c r="R36" s="47" t="e">
        <f t="shared" si="17"/>
        <v>#DIV/0!</v>
      </c>
      <c r="S36" s="47" t="e">
        <f t="shared" si="17"/>
        <v>#DIV/0!</v>
      </c>
      <c r="T36" s="47" t="e">
        <f t="shared" si="17"/>
        <v>#DIV/0!</v>
      </c>
      <c r="U36" s="47" t="e">
        <f t="shared" si="17"/>
        <v>#DIV/0!</v>
      </c>
      <c r="V36" s="47" t="e">
        <f t="shared" si="17"/>
        <v>#DIV/0!</v>
      </c>
      <c r="W36" s="47" t="e">
        <f t="shared" si="17"/>
        <v>#DIV/0!</v>
      </c>
      <c r="X36" s="47" t="e">
        <f t="shared" si="17"/>
        <v>#DIV/0!</v>
      </c>
      <c r="Y36" s="47" t="e">
        <f t="shared" si="17"/>
        <v>#DIV/0!</v>
      </c>
      <c r="Z36" s="47" t="e">
        <f t="shared" si="17"/>
        <v>#DIV/0!</v>
      </c>
      <c r="AA36" s="47" t="e">
        <f t="shared" si="17"/>
        <v>#DIV/0!</v>
      </c>
      <c r="AB36" s="47" t="e">
        <f t="shared" si="17"/>
        <v>#DIV/0!</v>
      </c>
      <c r="AC36" s="47" t="e">
        <f t="shared" si="17"/>
        <v>#DIV/0!</v>
      </c>
      <c r="AD36" s="47" t="e">
        <f t="shared" si="17"/>
        <v>#DIV/0!</v>
      </c>
      <c r="AE36" s="47" t="e">
        <f t="shared" si="17"/>
        <v>#DIV/0!</v>
      </c>
      <c r="AF36" s="47" t="e">
        <f t="shared" si="17"/>
        <v>#DIV/0!</v>
      </c>
      <c r="AG36" s="47" t="e">
        <f t="shared" si="17"/>
        <v>#DIV/0!</v>
      </c>
      <c r="AH36" s="47" t="e">
        <f t="shared" si="17"/>
        <v>#DIV/0!</v>
      </c>
      <c r="AI36" s="47" t="e">
        <f t="shared" si="17"/>
        <v>#DIV/0!</v>
      </c>
      <c r="AJ36" s="47" t="e">
        <f t="shared" si="17"/>
        <v>#DIV/0!</v>
      </c>
      <c r="AK36" s="47" t="e">
        <f t="shared" si="17"/>
        <v>#DIV/0!</v>
      </c>
      <c r="AL36" s="47" t="e">
        <f t="shared" si="17"/>
        <v>#DIV/0!</v>
      </c>
      <c r="AM36" s="47" t="e">
        <f t="shared" si="17"/>
        <v>#DIV/0!</v>
      </c>
      <c r="AN36" s="47" t="e">
        <f t="shared" si="17"/>
        <v>#DIV/0!</v>
      </c>
      <c r="AO36" s="47" t="e">
        <f t="shared" si="17"/>
        <v>#DIV/0!</v>
      </c>
      <c r="AP36" s="47" t="e">
        <f t="shared" si="17"/>
        <v>#DIV/0!</v>
      </c>
      <c r="AQ36" s="47" t="e">
        <f t="shared" si="17"/>
        <v>#DIV/0!</v>
      </c>
      <c r="AR36" s="47" t="e">
        <f t="shared" si="17"/>
        <v>#DIV/0!</v>
      </c>
      <c r="AS36" s="47" t="e">
        <f t="shared" si="17"/>
        <v>#DIV/0!</v>
      </c>
      <c r="AT36" s="47" t="e">
        <f t="shared" si="17"/>
        <v>#DIV/0!</v>
      </c>
    </row>
    <row r="37" spans="1:46" ht="12.75" hidden="1" customHeight="1" x14ac:dyDescent="0.2">
      <c r="A37" s="45"/>
      <c r="D37" s="20">
        <v>2</v>
      </c>
      <c r="E37" s="47" t="e">
        <f t="shared" ref="E37:AT37" si="18">IF(E35&lt;=70,1,0)</f>
        <v>#DIV/0!</v>
      </c>
      <c r="F37" s="47" t="e">
        <f t="shared" si="18"/>
        <v>#DIV/0!</v>
      </c>
      <c r="G37" s="47" t="e">
        <f t="shared" si="18"/>
        <v>#DIV/0!</v>
      </c>
      <c r="H37" s="47" t="e">
        <f t="shared" si="18"/>
        <v>#DIV/0!</v>
      </c>
      <c r="I37" s="47" t="e">
        <f t="shared" si="18"/>
        <v>#DIV/0!</v>
      </c>
      <c r="J37" s="47" t="e">
        <f t="shared" si="18"/>
        <v>#DIV/0!</v>
      </c>
      <c r="K37" s="47" t="e">
        <f t="shared" si="18"/>
        <v>#DIV/0!</v>
      </c>
      <c r="L37" s="47" t="e">
        <f t="shared" si="18"/>
        <v>#DIV/0!</v>
      </c>
      <c r="M37" s="47" t="e">
        <f t="shared" si="18"/>
        <v>#DIV/0!</v>
      </c>
      <c r="N37" s="47" t="e">
        <f t="shared" si="18"/>
        <v>#DIV/0!</v>
      </c>
      <c r="O37" s="47" t="e">
        <f t="shared" si="18"/>
        <v>#DIV/0!</v>
      </c>
      <c r="P37" s="47" t="e">
        <f t="shared" si="18"/>
        <v>#DIV/0!</v>
      </c>
      <c r="Q37" s="47" t="e">
        <f t="shared" si="18"/>
        <v>#DIV/0!</v>
      </c>
      <c r="R37" s="47" t="e">
        <f t="shared" si="18"/>
        <v>#DIV/0!</v>
      </c>
      <c r="S37" s="47" t="e">
        <f t="shared" si="18"/>
        <v>#DIV/0!</v>
      </c>
      <c r="T37" s="47" t="e">
        <f t="shared" si="18"/>
        <v>#DIV/0!</v>
      </c>
      <c r="U37" s="47" t="e">
        <f t="shared" si="18"/>
        <v>#DIV/0!</v>
      </c>
      <c r="V37" s="47" t="e">
        <f t="shared" si="18"/>
        <v>#DIV/0!</v>
      </c>
      <c r="W37" s="47" t="e">
        <f t="shared" si="18"/>
        <v>#DIV/0!</v>
      </c>
      <c r="X37" s="47" t="e">
        <f t="shared" si="18"/>
        <v>#DIV/0!</v>
      </c>
      <c r="Y37" s="47" t="e">
        <f t="shared" si="18"/>
        <v>#DIV/0!</v>
      </c>
      <c r="Z37" s="47" t="e">
        <f t="shared" si="18"/>
        <v>#DIV/0!</v>
      </c>
      <c r="AA37" s="47" t="e">
        <f t="shared" si="18"/>
        <v>#DIV/0!</v>
      </c>
      <c r="AB37" s="47" t="e">
        <f t="shared" si="18"/>
        <v>#DIV/0!</v>
      </c>
      <c r="AC37" s="47" t="e">
        <f t="shared" si="18"/>
        <v>#DIV/0!</v>
      </c>
      <c r="AD37" s="47" t="e">
        <f t="shared" si="18"/>
        <v>#DIV/0!</v>
      </c>
      <c r="AE37" s="47" t="e">
        <f t="shared" si="18"/>
        <v>#DIV/0!</v>
      </c>
      <c r="AF37" s="47" t="e">
        <f t="shared" si="18"/>
        <v>#DIV/0!</v>
      </c>
      <c r="AG37" s="47" t="e">
        <f t="shared" si="18"/>
        <v>#DIV/0!</v>
      </c>
      <c r="AH37" s="47" t="e">
        <f t="shared" si="18"/>
        <v>#DIV/0!</v>
      </c>
      <c r="AI37" s="47" t="e">
        <f t="shared" si="18"/>
        <v>#DIV/0!</v>
      </c>
      <c r="AJ37" s="47" t="e">
        <f t="shared" si="18"/>
        <v>#DIV/0!</v>
      </c>
      <c r="AK37" s="47" t="e">
        <f t="shared" si="18"/>
        <v>#DIV/0!</v>
      </c>
      <c r="AL37" s="47" t="e">
        <f t="shared" si="18"/>
        <v>#DIV/0!</v>
      </c>
      <c r="AM37" s="47" t="e">
        <f t="shared" si="18"/>
        <v>#DIV/0!</v>
      </c>
      <c r="AN37" s="47" t="e">
        <f t="shared" si="18"/>
        <v>#DIV/0!</v>
      </c>
      <c r="AO37" s="47" t="e">
        <f t="shared" si="18"/>
        <v>#DIV/0!</v>
      </c>
      <c r="AP37" s="47" t="e">
        <f t="shared" si="18"/>
        <v>#DIV/0!</v>
      </c>
      <c r="AQ37" s="47" t="e">
        <f t="shared" si="18"/>
        <v>#DIV/0!</v>
      </c>
      <c r="AR37" s="47" t="e">
        <f t="shared" si="18"/>
        <v>#DIV/0!</v>
      </c>
      <c r="AS37" s="47" t="e">
        <f t="shared" si="18"/>
        <v>#DIV/0!</v>
      </c>
      <c r="AT37" s="47" t="e">
        <f t="shared" si="18"/>
        <v>#DIV/0!</v>
      </c>
    </row>
    <row r="38" spans="1:46" ht="12.75" hidden="1" customHeight="1" x14ac:dyDescent="0.2">
      <c r="A38" s="45"/>
      <c r="D38" s="20">
        <v>3</v>
      </c>
      <c r="E38" s="47" t="e">
        <f t="shared" ref="E38:AT38" si="19">IF(E35&lt;=90,1,0)</f>
        <v>#DIV/0!</v>
      </c>
      <c r="F38" s="47" t="e">
        <f t="shared" si="19"/>
        <v>#DIV/0!</v>
      </c>
      <c r="G38" s="47" t="e">
        <f t="shared" si="19"/>
        <v>#DIV/0!</v>
      </c>
      <c r="H38" s="47" t="e">
        <f t="shared" si="19"/>
        <v>#DIV/0!</v>
      </c>
      <c r="I38" s="47" t="e">
        <f t="shared" si="19"/>
        <v>#DIV/0!</v>
      </c>
      <c r="J38" s="47" t="e">
        <f t="shared" si="19"/>
        <v>#DIV/0!</v>
      </c>
      <c r="K38" s="47" t="e">
        <f t="shared" si="19"/>
        <v>#DIV/0!</v>
      </c>
      <c r="L38" s="47" t="e">
        <f t="shared" si="19"/>
        <v>#DIV/0!</v>
      </c>
      <c r="M38" s="47" t="e">
        <f t="shared" si="19"/>
        <v>#DIV/0!</v>
      </c>
      <c r="N38" s="47" t="e">
        <f t="shared" si="19"/>
        <v>#DIV/0!</v>
      </c>
      <c r="O38" s="47" t="e">
        <f t="shared" si="19"/>
        <v>#DIV/0!</v>
      </c>
      <c r="P38" s="47" t="e">
        <f t="shared" si="19"/>
        <v>#DIV/0!</v>
      </c>
      <c r="Q38" s="47" t="e">
        <f t="shared" si="19"/>
        <v>#DIV/0!</v>
      </c>
      <c r="R38" s="47" t="e">
        <f t="shared" si="19"/>
        <v>#DIV/0!</v>
      </c>
      <c r="S38" s="47" t="e">
        <f t="shared" si="19"/>
        <v>#DIV/0!</v>
      </c>
      <c r="T38" s="47" t="e">
        <f t="shared" si="19"/>
        <v>#DIV/0!</v>
      </c>
      <c r="U38" s="47" t="e">
        <f t="shared" si="19"/>
        <v>#DIV/0!</v>
      </c>
      <c r="V38" s="47" t="e">
        <f t="shared" si="19"/>
        <v>#DIV/0!</v>
      </c>
      <c r="W38" s="47" t="e">
        <f t="shared" si="19"/>
        <v>#DIV/0!</v>
      </c>
      <c r="X38" s="47" t="e">
        <f t="shared" si="19"/>
        <v>#DIV/0!</v>
      </c>
      <c r="Y38" s="47" t="e">
        <f t="shared" si="19"/>
        <v>#DIV/0!</v>
      </c>
      <c r="Z38" s="47" t="e">
        <f t="shared" si="19"/>
        <v>#DIV/0!</v>
      </c>
      <c r="AA38" s="47" t="e">
        <f t="shared" si="19"/>
        <v>#DIV/0!</v>
      </c>
      <c r="AB38" s="47" t="e">
        <f t="shared" si="19"/>
        <v>#DIV/0!</v>
      </c>
      <c r="AC38" s="47" t="e">
        <f t="shared" si="19"/>
        <v>#DIV/0!</v>
      </c>
      <c r="AD38" s="47" t="e">
        <f t="shared" si="19"/>
        <v>#DIV/0!</v>
      </c>
      <c r="AE38" s="47" t="e">
        <f t="shared" si="19"/>
        <v>#DIV/0!</v>
      </c>
      <c r="AF38" s="47" t="e">
        <f t="shared" si="19"/>
        <v>#DIV/0!</v>
      </c>
      <c r="AG38" s="47" t="e">
        <f t="shared" si="19"/>
        <v>#DIV/0!</v>
      </c>
      <c r="AH38" s="47" t="e">
        <f t="shared" si="19"/>
        <v>#DIV/0!</v>
      </c>
      <c r="AI38" s="47" t="e">
        <f t="shared" si="19"/>
        <v>#DIV/0!</v>
      </c>
      <c r="AJ38" s="47" t="e">
        <f t="shared" si="19"/>
        <v>#DIV/0!</v>
      </c>
      <c r="AK38" s="47" t="e">
        <f t="shared" si="19"/>
        <v>#DIV/0!</v>
      </c>
      <c r="AL38" s="47" t="e">
        <f t="shared" si="19"/>
        <v>#DIV/0!</v>
      </c>
      <c r="AM38" s="47" t="e">
        <f t="shared" si="19"/>
        <v>#DIV/0!</v>
      </c>
      <c r="AN38" s="47" t="e">
        <f t="shared" si="19"/>
        <v>#DIV/0!</v>
      </c>
      <c r="AO38" s="47" t="e">
        <f t="shared" si="19"/>
        <v>#DIV/0!</v>
      </c>
      <c r="AP38" s="47" t="e">
        <f t="shared" si="19"/>
        <v>#DIV/0!</v>
      </c>
      <c r="AQ38" s="47" t="e">
        <f t="shared" si="19"/>
        <v>#DIV/0!</v>
      </c>
      <c r="AR38" s="47" t="e">
        <f t="shared" si="19"/>
        <v>#DIV/0!</v>
      </c>
      <c r="AS38" s="47" t="e">
        <f t="shared" si="19"/>
        <v>#DIV/0!</v>
      </c>
      <c r="AT38" s="47" t="e">
        <f t="shared" si="19"/>
        <v>#DIV/0!</v>
      </c>
    </row>
    <row r="39" spans="1:46" ht="12.75" hidden="1" customHeight="1" x14ac:dyDescent="0.2">
      <c r="A39" s="45"/>
      <c r="D39" s="20"/>
      <c r="E39" s="47" t="e">
        <f t="shared" ref="E39:AT39" si="20">SUM(E36:E38)</f>
        <v>#DIV/0!</v>
      </c>
      <c r="F39" s="47" t="e">
        <f t="shared" si="20"/>
        <v>#DIV/0!</v>
      </c>
      <c r="G39" s="47" t="e">
        <f t="shared" si="20"/>
        <v>#DIV/0!</v>
      </c>
      <c r="H39" s="47" t="e">
        <f t="shared" si="20"/>
        <v>#DIV/0!</v>
      </c>
      <c r="I39" s="47" t="e">
        <f t="shared" si="20"/>
        <v>#DIV/0!</v>
      </c>
      <c r="J39" s="47" t="e">
        <f t="shared" si="20"/>
        <v>#DIV/0!</v>
      </c>
      <c r="K39" s="47" t="e">
        <f t="shared" si="20"/>
        <v>#DIV/0!</v>
      </c>
      <c r="L39" s="47" t="e">
        <f t="shared" si="20"/>
        <v>#DIV/0!</v>
      </c>
      <c r="M39" s="47" t="e">
        <f t="shared" si="20"/>
        <v>#DIV/0!</v>
      </c>
      <c r="N39" s="47" t="e">
        <f t="shared" si="20"/>
        <v>#DIV/0!</v>
      </c>
      <c r="O39" s="47" t="e">
        <f t="shared" si="20"/>
        <v>#DIV/0!</v>
      </c>
      <c r="P39" s="47" t="e">
        <f t="shared" si="20"/>
        <v>#DIV/0!</v>
      </c>
      <c r="Q39" s="47" t="e">
        <f t="shared" si="20"/>
        <v>#DIV/0!</v>
      </c>
      <c r="R39" s="47" t="e">
        <f t="shared" si="20"/>
        <v>#DIV/0!</v>
      </c>
      <c r="S39" s="47" t="e">
        <f t="shared" si="20"/>
        <v>#DIV/0!</v>
      </c>
      <c r="T39" s="47" t="e">
        <f t="shared" si="20"/>
        <v>#DIV/0!</v>
      </c>
      <c r="U39" s="47" t="e">
        <f t="shared" si="20"/>
        <v>#DIV/0!</v>
      </c>
      <c r="V39" s="47" t="e">
        <f t="shared" si="20"/>
        <v>#DIV/0!</v>
      </c>
      <c r="W39" s="47" t="e">
        <f t="shared" si="20"/>
        <v>#DIV/0!</v>
      </c>
      <c r="X39" s="47" t="e">
        <f t="shared" si="20"/>
        <v>#DIV/0!</v>
      </c>
      <c r="Y39" s="47" t="e">
        <f t="shared" si="20"/>
        <v>#DIV/0!</v>
      </c>
      <c r="Z39" s="47" t="e">
        <f t="shared" si="20"/>
        <v>#DIV/0!</v>
      </c>
      <c r="AA39" s="47" t="e">
        <f t="shared" si="20"/>
        <v>#DIV/0!</v>
      </c>
      <c r="AB39" s="47" t="e">
        <f t="shared" si="20"/>
        <v>#DIV/0!</v>
      </c>
      <c r="AC39" s="47" t="e">
        <f t="shared" si="20"/>
        <v>#DIV/0!</v>
      </c>
      <c r="AD39" s="47" t="e">
        <f t="shared" si="20"/>
        <v>#DIV/0!</v>
      </c>
      <c r="AE39" s="47" t="e">
        <f t="shared" si="20"/>
        <v>#DIV/0!</v>
      </c>
      <c r="AF39" s="47" t="e">
        <f t="shared" si="20"/>
        <v>#DIV/0!</v>
      </c>
      <c r="AG39" s="47" t="e">
        <f t="shared" si="20"/>
        <v>#DIV/0!</v>
      </c>
      <c r="AH39" s="47" t="e">
        <f t="shared" si="20"/>
        <v>#DIV/0!</v>
      </c>
      <c r="AI39" s="47" t="e">
        <f t="shared" si="20"/>
        <v>#DIV/0!</v>
      </c>
      <c r="AJ39" s="47" t="e">
        <f t="shared" si="20"/>
        <v>#DIV/0!</v>
      </c>
      <c r="AK39" s="47" t="e">
        <f t="shared" si="20"/>
        <v>#DIV/0!</v>
      </c>
      <c r="AL39" s="47" t="e">
        <f t="shared" si="20"/>
        <v>#DIV/0!</v>
      </c>
      <c r="AM39" s="47" t="e">
        <f t="shared" si="20"/>
        <v>#DIV/0!</v>
      </c>
      <c r="AN39" s="47" t="e">
        <f t="shared" si="20"/>
        <v>#DIV/0!</v>
      </c>
      <c r="AO39" s="47" t="e">
        <f t="shared" si="20"/>
        <v>#DIV/0!</v>
      </c>
      <c r="AP39" s="47" t="e">
        <f t="shared" si="20"/>
        <v>#DIV/0!</v>
      </c>
      <c r="AQ39" s="47" t="e">
        <f t="shared" si="20"/>
        <v>#DIV/0!</v>
      </c>
      <c r="AR39" s="47" t="e">
        <f t="shared" si="20"/>
        <v>#DIV/0!</v>
      </c>
      <c r="AS39" s="47" t="e">
        <f t="shared" si="20"/>
        <v>#DIV/0!</v>
      </c>
      <c r="AT39" s="47" t="e">
        <f t="shared" si="20"/>
        <v>#DIV/0!</v>
      </c>
    </row>
    <row r="40" spans="1:46" ht="12.75" customHeight="1" x14ac:dyDescent="0.2">
      <c r="A40" s="37" t="s">
        <v>273</v>
      </c>
      <c r="D40" s="20" t="s">
        <v>113</v>
      </c>
      <c r="E40" s="9" t="e">
        <f t="shared" ref="E40:AT40" si="21">IF(E39=3,1,IF(E39=2,2,IF(E39=1,3,IF(E39=0,4))))</f>
        <v>#DIV/0!</v>
      </c>
      <c r="F40" s="9" t="e">
        <f t="shared" si="21"/>
        <v>#DIV/0!</v>
      </c>
      <c r="G40" s="9" t="e">
        <f t="shared" si="21"/>
        <v>#DIV/0!</v>
      </c>
      <c r="H40" s="9" t="e">
        <f t="shared" si="21"/>
        <v>#DIV/0!</v>
      </c>
      <c r="I40" s="9" t="e">
        <f t="shared" si="21"/>
        <v>#DIV/0!</v>
      </c>
      <c r="J40" s="9" t="e">
        <f t="shared" si="21"/>
        <v>#DIV/0!</v>
      </c>
      <c r="K40" s="9" t="e">
        <f t="shared" si="21"/>
        <v>#DIV/0!</v>
      </c>
      <c r="L40" s="9" t="e">
        <f t="shared" si="21"/>
        <v>#DIV/0!</v>
      </c>
      <c r="M40" s="9" t="e">
        <f t="shared" si="21"/>
        <v>#DIV/0!</v>
      </c>
      <c r="N40" s="9" t="e">
        <f t="shared" si="21"/>
        <v>#DIV/0!</v>
      </c>
      <c r="O40" s="9" t="e">
        <f t="shared" si="21"/>
        <v>#DIV/0!</v>
      </c>
      <c r="P40" s="9" t="e">
        <f t="shared" si="21"/>
        <v>#DIV/0!</v>
      </c>
      <c r="Q40" s="9" t="e">
        <f t="shared" si="21"/>
        <v>#DIV/0!</v>
      </c>
      <c r="R40" s="9" t="e">
        <f t="shared" si="21"/>
        <v>#DIV/0!</v>
      </c>
      <c r="S40" s="9" t="e">
        <f t="shared" si="21"/>
        <v>#DIV/0!</v>
      </c>
      <c r="T40" s="9" t="e">
        <f t="shared" si="21"/>
        <v>#DIV/0!</v>
      </c>
      <c r="U40" s="9" t="e">
        <f t="shared" si="21"/>
        <v>#DIV/0!</v>
      </c>
      <c r="V40" s="9" t="e">
        <f t="shared" si="21"/>
        <v>#DIV/0!</v>
      </c>
      <c r="W40" s="9" t="e">
        <f t="shared" si="21"/>
        <v>#DIV/0!</v>
      </c>
      <c r="X40" s="9" t="e">
        <f t="shared" si="21"/>
        <v>#DIV/0!</v>
      </c>
      <c r="Y40" s="9" t="e">
        <f t="shared" si="21"/>
        <v>#DIV/0!</v>
      </c>
      <c r="Z40" s="9" t="e">
        <f t="shared" si="21"/>
        <v>#DIV/0!</v>
      </c>
      <c r="AA40" s="9" t="e">
        <f t="shared" si="21"/>
        <v>#DIV/0!</v>
      </c>
      <c r="AB40" s="9" t="e">
        <f t="shared" si="21"/>
        <v>#DIV/0!</v>
      </c>
      <c r="AC40" s="9" t="e">
        <f t="shared" si="21"/>
        <v>#DIV/0!</v>
      </c>
      <c r="AD40" s="9" t="e">
        <f t="shared" si="21"/>
        <v>#DIV/0!</v>
      </c>
      <c r="AE40" s="9" t="e">
        <f t="shared" si="21"/>
        <v>#DIV/0!</v>
      </c>
      <c r="AF40" s="9" t="e">
        <f t="shared" si="21"/>
        <v>#DIV/0!</v>
      </c>
      <c r="AG40" s="9" t="e">
        <f t="shared" si="21"/>
        <v>#DIV/0!</v>
      </c>
      <c r="AH40" s="9" t="e">
        <f t="shared" si="21"/>
        <v>#DIV/0!</v>
      </c>
      <c r="AI40" s="9" t="e">
        <f t="shared" si="21"/>
        <v>#DIV/0!</v>
      </c>
      <c r="AJ40" s="9" t="e">
        <f t="shared" si="21"/>
        <v>#DIV/0!</v>
      </c>
      <c r="AK40" s="9" t="e">
        <f t="shared" si="21"/>
        <v>#DIV/0!</v>
      </c>
      <c r="AL40" s="9" t="e">
        <f t="shared" si="21"/>
        <v>#DIV/0!</v>
      </c>
      <c r="AM40" s="9" t="e">
        <f t="shared" si="21"/>
        <v>#DIV/0!</v>
      </c>
      <c r="AN40" s="9" t="e">
        <f t="shared" si="21"/>
        <v>#DIV/0!</v>
      </c>
      <c r="AO40" s="9" t="e">
        <f t="shared" si="21"/>
        <v>#DIV/0!</v>
      </c>
      <c r="AP40" s="9" t="e">
        <f t="shared" si="21"/>
        <v>#DIV/0!</v>
      </c>
      <c r="AQ40" s="9" t="e">
        <f t="shared" si="21"/>
        <v>#DIV/0!</v>
      </c>
      <c r="AR40" s="9" t="e">
        <f t="shared" si="21"/>
        <v>#DIV/0!</v>
      </c>
      <c r="AS40" s="9" t="e">
        <f t="shared" si="21"/>
        <v>#DIV/0!</v>
      </c>
      <c r="AT40" s="9" t="e">
        <f t="shared" si="21"/>
        <v>#DIV/0!</v>
      </c>
    </row>
    <row r="41" spans="1:46" ht="12.75" customHeight="1" x14ac:dyDescent="0.2"/>
    <row r="42" spans="1:46" ht="12.75" customHeight="1" x14ac:dyDescent="0.2">
      <c r="A42" s="49" t="s">
        <v>274</v>
      </c>
    </row>
    <row r="43" spans="1:46" ht="12.75" customHeight="1" x14ac:dyDescent="0.2">
      <c r="A43" s="46" t="s">
        <v>275</v>
      </c>
      <c r="D43" s="10" t="s">
        <v>78</v>
      </c>
      <c r="E43" s="9">
        <f>VLOOKUP(E$8,'C - overzicht'!$B$11:$P$53,9,0)</f>
        <v>0</v>
      </c>
      <c r="F43" s="9">
        <f>VLOOKUP(F$8,'C - overzicht'!$B$11:$P$53,9,0)</f>
        <v>0</v>
      </c>
      <c r="G43" s="9">
        <f>VLOOKUP(G$8,'C - overzicht'!$B$11:$P$53,9,0)</f>
        <v>0</v>
      </c>
      <c r="H43" s="9">
        <f>VLOOKUP(H$8,'C - overzicht'!$B$11:$P$53,9,0)</f>
        <v>0</v>
      </c>
      <c r="I43" s="9">
        <f>VLOOKUP(I$8,'C - overzicht'!$B$11:$P$53,9,0)</f>
        <v>0</v>
      </c>
      <c r="J43" s="9">
        <f>VLOOKUP(J$8,'C - overzicht'!$B$11:$P$53,9,0)</f>
        <v>0</v>
      </c>
      <c r="K43" s="9">
        <f>VLOOKUP(K$8,'C - overzicht'!$B$11:$P$53,9,0)</f>
        <v>0</v>
      </c>
      <c r="L43" s="9">
        <f>VLOOKUP(L$8,'C - overzicht'!$B$11:$P$53,9,0)</f>
        <v>0</v>
      </c>
      <c r="M43" s="9">
        <f>VLOOKUP(M$8,'C - overzicht'!$B$11:$P$53,9,0)</f>
        <v>0</v>
      </c>
      <c r="N43" s="9">
        <f>VLOOKUP(N$8,'C - overzicht'!$B$11:$P$53,9,0)</f>
        <v>0</v>
      </c>
      <c r="O43" s="9">
        <f>VLOOKUP(O$8,'C - overzicht'!$B$11:$P$53,9,0)</f>
        <v>0</v>
      </c>
      <c r="P43" s="9">
        <f>VLOOKUP(P$8,'C - overzicht'!$B$11:$P$53,9,0)</f>
        <v>0</v>
      </c>
      <c r="Q43" s="9">
        <f>VLOOKUP(Q$8,'C - overzicht'!$B$11:$P$53,9,0)</f>
        <v>0</v>
      </c>
      <c r="R43" s="9">
        <f>VLOOKUP(R$8,'C - overzicht'!$B$11:$P$53,9,0)</f>
        <v>0</v>
      </c>
      <c r="S43" s="9">
        <f>VLOOKUP(S$8,'C - overzicht'!$B$11:$P$53,9,0)</f>
        <v>0</v>
      </c>
      <c r="T43" s="9">
        <f>VLOOKUP(T$8,'C - overzicht'!$B$11:$P$53,9,0)</f>
        <v>0</v>
      </c>
      <c r="U43" s="9">
        <f>VLOOKUP(U$8,'C - overzicht'!$B$11:$P$53,9,0)</f>
        <v>0</v>
      </c>
      <c r="V43" s="9">
        <f>VLOOKUP(V$8,'C - overzicht'!$B$11:$P$53,9,0)</f>
        <v>0</v>
      </c>
      <c r="W43" s="9">
        <f>VLOOKUP(W$8,'C - overzicht'!$B$11:$P$53,9,0)</f>
        <v>0</v>
      </c>
      <c r="X43" s="9">
        <f>VLOOKUP(X$8,'C - overzicht'!$B$11:$P$53,9,0)</f>
        <v>0</v>
      </c>
      <c r="Y43" s="9">
        <f>VLOOKUP(Y$8,'C - overzicht'!$B$11:$P$53,9,0)</f>
        <v>0</v>
      </c>
      <c r="Z43" s="9">
        <f>VLOOKUP(Z$8,'C - overzicht'!$B$11:$P$53,9,0)</f>
        <v>0</v>
      </c>
      <c r="AA43" s="9">
        <f>VLOOKUP(AA$8,'C - overzicht'!$B$11:$P$53,9,0)</f>
        <v>0</v>
      </c>
      <c r="AB43" s="9">
        <f>VLOOKUP(AB$8,'C - overzicht'!$B$11:$P$53,9,0)</f>
        <v>0</v>
      </c>
      <c r="AC43" s="9">
        <f>VLOOKUP(AC$8,'C - overzicht'!$B$11:$P$53,9,0)</f>
        <v>0</v>
      </c>
      <c r="AD43" s="9">
        <f>VLOOKUP(AD$8,'C - overzicht'!$B$11:$P$53,9,0)</f>
        <v>0</v>
      </c>
      <c r="AE43" s="9">
        <f>VLOOKUP(AE$8,'C - overzicht'!$B$11:$P$53,9,0)</f>
        <v>0</v>
      </c>
      <c r="AF43" s="9">
        <f>VLOOKUP(AF$8,'C - overzicht'!$B$11:$P$53,9,0)</f>
        <v>0</v>
      </c>
      <c r="AG43" s="9">
        <f>VLOOKUP(AG$8,'C - overzicht'!$B$11:$P$53,9,0)</f>
        <v>0</v>
      </c>
      <c r="AH43" s="9">
        <f>VLOOKUP(AH$8,'C - overzicht'!$B$11:$P$53,9,0)</f>
        <v>0</v>
      </c>
      <c r="AI43" s="9">
        <f>VLOOKUP(AI$8,'C - overzicht'!$B$11:$P$53,9,0)</f>
        <v>0</v>
      </c>
      <c r="AJ43" s="9">
        <f>VLOOKUP(AJ$8,'C - overzicht'!$B$11:$P$53,9,0)</f>
        <v>0</v>
      </c>
      <c r="AK43" s="9">
        <f>VLOOKUP(AK$8,'C - overzicht'!$B$11:$P$53,9,0)</f>
        <v>0</v>
      </c>
      <c r="AL43" s="9">
        <f>VLOOKUP(AL$8,'C - overzicht'!$B$11:$P$53,9,0)</f>
        <v>0</v>
      </c>
      <c r="AM43" s="9">
        <f>VLOOKUP(AM$8,'C - overzicht'!$B$11:$P$53,9,0)</f>
        <v>0</v>
      </c>
      <c r="AN43" s="9">
        <f>VLOOKUP(AN$8,'C - overzicht'!$B$11:$P$53,9,0)</f>
        <v>0</v>
      </c>
      <c r="AO43" s="9">
        <f>VLOOKUP(AO$8,'C - overzicht'!$B$11:$P$53,9,0)</f>
        <v>0</v>
      </c>
      <c r="AP43" s="9">
        <f>VLOOKUP(AP$8,'C - overzicht'!$B$11:$P$53,9,0)</f>
        <v>0</v>
      </c>
      <c r="AQ43" s="9">
        <f>VLOOKUP(AQ$8,'C - overzicht'!$B$11:$P$53,9,0)</f>
        <v>0</v>
      </c>
      <c r="AR43" s="9">
        <f>VLOOKUP(AR$8,'C - overzicht'!$B$11:$P$53,9,0)</f>
        <v>0</v>
      </c>
      <c r="AS43" s="9">
        <f>VLOOKUP(AS$8,'C - overzicht'!$B$11:$P$53,9,0)</f>
        <v>0</v>
      </c>
      <c r="AT43" s="9">
        <f>VLOOKUP(AT$8,'C - overzicht'!$B$11:$P$53,9,0)</f>
        <v>0</v>
      </c>
    </row>
    <row r="44" spans="1:46" ht="12.75" customHeight="1" x14ac:dyDescent="0.2">
      <c r="A44" s="46"/>
    </row>
    <row r="45" spans="1:46" ht="12.75" customHeight="1" x14ac:dyDescent="0.2">
      <c r="A45" s="42" t="s">
        <v>276</v>
      </c>
    </row>
    <row r="46" spans="1:46" ht="12.75" customHeight="1" x14ac:dyDescent="0.2">
      <c r="A46" s="37" t="s">
        <v>277</v>
      </c>
      <c r="D46" s="20" t="s">
        <v>177</v>
      </c>
      <c r="E46" s="47">
        <f t="shared" ref="E46:AT46" si="22">1/8*E27*E28^2</f>
        <v>0</v>
      </c>
      <c r="F46" s="47">
        <f t="shared" si="22"/>
        <v>0</v>
      </c>
      <c r="G46" s="47">
        <f t="shared" si="22"/>
        <v>0</v>
      </c>
      <c r="H46" s="47">
        <f t="shared" si="22"/>
        <v>0</v>
      </c>
      <c r="I46" s="47">
        <f t="shared" si="22"/>
        <v>0</v>
      </c>
      <c r="J46" s="47">
        <f t="shared" si="22"/>
        <v>0</v>
      </c>
      <c r="K46" s="47">
        <f t="shared" si="22"/>
        <v>0</v>
      </c>
      <c r="L46" s="47">
        <f t="shared" si="22"/>
        <v>0</v>
      </c>
      <c r="M46" s="47">
        <f t="shared" si="22"/>
        <v>0</v>
      </c>
      <c r="N46" s="47">
        <f t="shared" si="22"/>
        <v>0</v>
      </c>
      <c r="O46" s="47">
        <f t="shared" si="22"/>
        <v>0</v>
      </c>
      <c r="P46" s="47">
        <f t="shared" si="22"/>
        <v>0</v>
      </c>
      <c r="Q46" s="47">
        <f t="shared" si="22"/>
        <v>0</v>
      </c>
      <c r="R46" s="47">
        <f t="shared" si="22"/>
        <v>0</v>
      </c>
      <c r="S46" s="47">
        <f t="shared" si="22"/>
        <v>0</v>
      </c>
      <c r="T46" s="47">
        <f t="shared" si="22"/>
        <v>0</v>
      </c>
      <c r="U46" s="47">
        <f t="shared" si="22"/>
        <v>0</v>
      </c>
      <c r="V46" s="47">
        <f t="shared" si="22"/>
        <v>0</v>
      </c>
      <c r="W46" s="47">
        <f t="shared" si="22"/>
        <v>0</v>
      </c>
      <c r="X46" s="47">
        <f t="shared" si="22"/>
        <v>0</v>
      </c>
      <c r="Y46" s="47">
        <f t="shared" si="22"/>
        <v>0</v>
      </c>
      <c r="Z46" s="47">
        <f t="shared" si="22"/>
        <v>0</v>
      </c>
      <c r="AA46" s="47">
        <f t="shared" si="22"/>
        <v>0</v>
      </c>
      <c r="AB46" s="47">
        <f t="shared" si="22"/>
        <v>0</v>
      </c>
      <c r="AC46" s="47">
        <f t="shared" si="22"/>
        <v>0</v>
      </c>
      <c r="AD46" s="47">
        <f t="shared" si="22"/>
        <v>0</v>
      </c>
      <c r="AE46" s="47">
        <f t="shared" si="22"/>
        <v>0</v>
      </c>
      <c r="AF46" s="47">
        <f t="shared" si="22"/>
        <v>0</v>
      </c>
      <c r="AG46" s="47">
        <f t="shared" si="22"/>
        <v>0</v>
      </c>
      <c r="AH46" s="47">
        <f t="shared" si="22"/>
        <v>0</v>
      </c>
      <c r="AI46" s="47">
        <f t="shared" si="22"/>
        <v>0</v>
      </c>
      <c r="AJ46" s="47">
        <f t="shared" si="22"/>
        <v>0</v>
      </c>
      <c r="AK46" s="47">
        <f t="shared" si="22"/>
        <v>0</v>
      </c>
      <c r="AL46" s="47">
        <f t="shared" si="22"/>
        <v>0</v>
      </c>
      <c r="AM46" s="47">
        <f t="shared" si="22"/>
        <v>0</v>
      </c>
      <c r="AN46" s="47">
        <f t="shared" si="22"/>
        <v>0</v>
      </c>
      <c r="AO46" s="47">
        <f t="shared" si="22"/>
        <v>0</v>
      </c>
      <c r="AP46" s="47">
        <f t="shared" si="22"/>
        <v>0</v>
      </c>
      <c r="AQ46" s="47">
        <f t="shared" si="22"/>
        <v>0</v>
      </c>
      <c r="AR46" s="47">
        <f t="shared" si="22"/>
        <v>0</v>
      </c>
      <c r="AS46" s="47">
        <f t="shared" si="22"/>
        <v>0</v>
      </c>
      <c r="AT46" s="47">
        <f t="shared" si="22"/>
        <v>0</v>
      </c>
    </row>
    <row r="47" spans="1:46" ht="12.75" customHeight="1" x14ac:dyDescent="0.2">
      <c r="A47" s="37" t="s">
        <v>278</v>
      </c>
      <c r="D47" s="20" t="s">
        <v>177</v>
      </c>
      <c r="E47" s="47">
        <f t="shared" ref="E47:AT47" si="23">1/8*1*E28^2</f>
        <v>0</v>
      </c>
      <c r="F47" s="47">
        <f t="shared" si="23"/>
        <v>0</v>
      </c>
      <c r="G47" s="47">
        <f t="shared" si="23"/>
        <v>0</v>
      </c>
      <c r="H47" s="47">
        <f t="shared" si="23"/>
        <v>0</v>
      </c>
      <c r="I47" s="47">
        <f t="shared" si="23"/>
        <v>0</v>
      </c>
      <c r="J47" s="47">
        <f t="shared" si="23"/>
        <v>0</v>
      </c>
      <c r="K47" s="47">
        <f t="shared" si="23"/>
        <v>0</v>
      </c>
      <c r="L47" s="47">
        <f t="shared" si="23"/>
        <v>0</v>
      </c>
      <c r="M47" s="47">
        <f t="shared" si="23"/>
        <v>0</v>
      </c>
      <c r="N47" s="47">
        <f t="shared" si="23"/>
        <v>0</v>
      </c>
      <c r="O47" s="47">
        <f t="shared" si="23"/>
        <v>0</v>
      </c>
      <c r="P47" s="47">
        <f t="shared" si="23"/>
        <v>0</v>
      </c>
      <c r="Q47" s="47">
        <f t="shared" si="23"/>
        <v>0</v>
      </c>
      <c r="R47" s="47">
        <f t="shared" si="23"/>
        <v>0</v>
      </c>
      <c r="S47" s="47">
        <f t="shared" si="23"/>
        <v>0</v>
      </c>
      <c r="T47" s="47">
        <f t="shared" si="23"/>
        <v>0</v>
      </c>
      <c r="U47" s="47">
        <f t="shared" si="23"/>
        <v>0</v>
      </c>
      <c r="V47" s="47">
        <f t="shared" si="23"/>
        <v>0</v>
      </c>
      <c r="W47" s="47">
        <f t="shared" si="23"/>
        <v>0</v>
      </c>
      <c r="X47" s="47">
        <f t="shared" si="23"/>
        <v>0</v>
      </c>
      <c r="Y47" s="47">
        <f t="shared" si="23"/>
        <v>0</v>
      </c>
      <c r="Z47" s="47">
        <f t="shared" si="23"/>
        <v>0</v>
      </c>
      <c r="AA47" s="47">
        <f t="shared" si="23"/>
        <v>0</v>
      </c>
      <c r="AB47" s="47">
        <f t="shared" si="23"/>
        <v>0</v>
      </c>
      <c r="AC47" s="47">
        <f t="shared" si="23"/>
        <v>0</v>
      </c>
      <c r="AD47" s="47">
        <f t="shared" si="23"/>
        <v>0</v>
      </c>
      <c r="AE47" s="47">
        <f t="shared" si="23"/>
        <v>0</v>
      </c>
      <c r="AF47" s="47">
        <f t="shared" si="23"/>
        <v>0</v>
      </c>
      <c r="AG47" s="47">
        <f t="shared" si="23"/>
        <v>0</v>
      </c>
      <c r="AH47" s="47">
        <f t="shared" si="23"/>
        <v>0</v>
      </c>
      <c r="AI47" s="47">
        <f t="shared" si="23"/>
        <v>0</v>
      </c>
      <c r="AJ47" s="47">
        <f t="shared" si="23"/>
        <v>0</v>
      </c>
      <c r="AK47" s="47">
        <f t="shared" si="23"/>
        <v>0</v>
      </c>
      <c r="AL47" s="47">
        <f t="shared" si="23"/>
        <v>0</v>
      </c>
      <c r="AM47" s="47">
        <f t="shared" si="23"/>
        <v>0</v>
      </c>
      <c r="AN47" s="47">
        <f t="shared" si="23"/>
        <v>0</v>
      </c>
      <c r="AO47" s="47">
        <f t="shared" si="23"/>
        <v>0</v>
      </c>
      <c r="AP47" s="47">
        <f t="shared" si="23"/>
        <v>0</v>
      </c>
      <c r="AQ47" s="47">
        <f t="shared" si="23"/>
        <v>0</v>
      </c>
      <c r="AR47" s="47">
        <f t="shared" si="23"/>
        <v>0</v>
      </c>
      <c r="AS47" s="47">
        <f t="shared" si="23"/>
        <v>0</v>
      </c>
      <c r="AT47" s="47">
        <f t="shared" si="23"/>
        <v>0</v>
      </c>
    </row>
    <row r="48" spans="1:46" ht="12.75" customHeight="1" x14ac:dyDescent="0.2">
      <c r="A48" s="46" t="s">
        <v>279</v>
      </c>
      <c r="D48" s="20" t="s">
        <v>177</v>
      </c>
      <c r="E48" s="47">
        <f t="shared" ref="E48:AT48" si="24">0.25*$I$6*E28</f>
        <v>0</v>
      </c>
      <c r="F48" s="47">
        <f t="shared" si="24"/>
        <v>0</v>
      </c>
      <c r="G48" s="47">
        <f t="shared" si="24"/>
        <v>0</v>
      </c>
      <c r="H48" s="47">
        <f t="shared" si="24"/>
        <v>0</v>
      </c>
      <c r="I48" s="47">
        <f t="shared" si="24"/>
        <v>0</v>
      </c>
      <c r="J48" s="47">
        <f t="shared" si="24"/>
        <v>0</v>
      </c>
      <c r="K48" s="47">
        <f t="shared" si="24"/>
        <v>0</v>
      </c>
      <c r="L48" s="47">
        <f t="shared" si="24"/>
        <v>0</v>
      </c>
      <c r="M48" s="47">
        <f t="shared" si="24"/>
        <v>0</v>
      </c>
      <c r="N48" s="47">
        <f t="shared" si="24"/>
        <v>0</v>
      </c>
      <c r="O48" s="47">
        <f t="shared" si="24"/>
        <v>0</v>
      </c>
      <c r="P48" s="47">
        <f t="shared" si="24"/>
        <v>0</v>
      </c>
      <c r="Q48" s="47">
        <f t="shared" si="24"/>
        <v>0</v>
      </c>
      <c r="R48" s="47">
        <f t="shared" si="24"/>
        <v>0</v>
      </c>
      <c r="S48" s="47">
        <f t="shared" si="24"/>
        <v>0</v>
      </c>
      <c r="T48" s="47">
        <f t="shared" si="24"/>
        <v>0</v>
      </c>
      <c r="U48" s="47">
        <f t="shared" si="24"/>
        <v>0</v>
      </c>
      <c r="V48" s="47">
        <f t="shared" si="24"/>
        <v>0</v>
      </c>
      <c r="W48" s="47">
        <f t="shared" si="24"/>
        <v>0</v>
      </c>
      <c r="X48" s="47">
        <f t="shared" si="24"/>
        <v>0</v>
      </c>
      <c r="Y48" s="47">
        <f t="shared" si="24"/>
        <v>0</v>
      </c>
      <c r="Z48" s="47">
        <f t="shared" si="24"/>
        <v>0</v>
      </c>
      <c r="AA48" s="47">
        <f t="shared" si="24"/>
        <v>0</v>
      </c>
      <c r="AB48" s="47">
        <f t="shared" si="24"/>
        <v>0</v>
      </c>
      <c r="AC48" s="47">
        <f t="shared" si="24"/>
        <v>0</v>
      </c>
      <c r="AD48" s="47">
        <f t="shared" si="24"/>
        <v>0</v>
      </c>
      <c r="AE48" s="47">
        <f t="shared" si="24"/>
        <v>0</v>
      </c>
      <c r="AF48" s="47">
        <f t="shared" si="24"/>
        <v>0</v>
      </c>
      <c r="AG48" s="47">
        <f t="shared" si="24"/>
        <v>0</v>
      </c>
      <c r="AH48" s="47">
        <f t="shared" si="24"/>
        <v>0</v>
      </c>
      <c r="AI48" s="47">
        <f t="shared" si="24"/>
        <v>0</v>
      </c>
      <c r="AJ48" s="47">
        <f t="shared" si="24"/>
        <v>0</v>
      </c>
      <c r="AK48" s="47">
        <f t="shared" si="24"/>
        <v>0</v>
      </c>
      <c r="AL48" s="47">
        <f t="shared" si="24"/>
        <v>0</v>
      </c>
      <c r="AM48" s="47">
        <f t="shared" si="24"/>
        <v>0</v>
      </c>
      <c r="AN48" s="47">
        <f t="shared" si="24"/>
        <v>0</v>
      </c>
      <c r="AO48" s="47">
        <f t="shared" si="24"/>
        <v>0</v>
      </c>
      <c r="AP48" s="47">
        <f t="shared" si="24"/>
        <v>0</v>
      </c>
      <c r="AQ48" s="47">
        <f t="shared" si="24"/>
        <v>0</v>
      </c>
      <c r="AR48" s="47">
        <f t="shared" si="24"/>
        <v>0</v>
      </c>
      <c r="AS48" s="47">
        <f t="shared" si="24"/>
        <v>0</v>
      </c>
      <c r="AT48" s="47">
        <f t="shared" si="24"/>
        <v>0</v>
      </c>
    </row>
    <row r="49" spans="1:46" ht="12.75" customHeight="1" x14ac:dyDescent="0.2">
      <c r="A49" s="45" t="s">
        <v>280</v>
      </c>
      <c r="D49" s="20" t="s">
        <v>141</v>
      </c>
      <c r="E49" s="47" t="e">
        <f t="shared" ref="E49:AT49" si="25">(5/384)*(E27*(E28*1000)^4)/(E14*E24)</f>
        <v>#DIV/0!</v>
      </c>
      <c r="F49" s="47" t="e">
        <f t="shared" si="25"/>
        <v>#DIV/0!</v>
      </c>
      <c r="G49" s="47" t="e">
        <f t="shared" si="25"/>
        <v>#DIV/0!</v>
      </c>
      <c r="H49" s="47" t="e">
        <f t="shared" si="25"/>
        <v>#DIV/0!</v>
      </c>
      <c r="I49" s="47" t="e">
        <f t="shared" si="25"/>
        <v>#DIV/0!</v>
      </c>
      <c r="J49" s="47" t="e">
        <f t="shared" si="25"/>
        <v>#DIV/0!</v>
      </c>
      <c r="K49" s="47" t="e">
        <f t="shared" si="25"/>
        <v>#DIV/0!</v>
      </c>
      <c r="L49" s="47" t="e">
        <f t="shared" si="25"/>
        <v>#DIV/0!</v>
      </c>
      <c r="M49" s="47" t="e">
        <f t="shared" si="25"/>
        <v>#DIV/0!</v>
      </c>
      <c r="N49" s="47" t="e">
        <f t="shared" si="25"/>
        <v>#DIV/0!</v>
      </c>
      <c r="O49" s="47" t="e">
        <f t="shared" si="25"/>
        <v>#DIV/0!</v>
      </c>
      <c r="P49" s="47" t="e">
        <f t="shared" si="25"/>
        <v>#DIV/0!</v>
      </c>
      <c r="Q49" s="47" t="e">
        <f t="shared" si="25"/>
        <v>#DIV/0!</v>
      </c>
      <c r="R49" s="47" t="e">
        <f t="shared" si="25"/>
        <v>#DIV/0!</v>
      </c>
      <c r="S49" s="47" t="e">
        <f t="shared" si="25"/>
        <v>#DIV/0!</v>
      </c>
      <c r="T49" s="47" t="e">
        <f t="shared" si="25"/>
        <v>#DIV/0!</v>
      </c>
      <c r="U49" s="47" t="e">
        <f t="shared" si="25"/>
        <v>#DIV/0!</v>
      </c>
      <c r="V49" s="47" t="e">
        <f t="shared" si="25"/>
        <v>#DIV/0!</v>
      </c>
      <c r="W49" s="47" t="e">
        <f t="shared" si="25"/>
        <v>#DIV/0!</v>
      </c>
      <c r="X49" s="47" t="e">
        <f t="shared" si="25"/>
        <v>#DIV/0!</v>
      </c>
      <c r="Y49" s="47" t="e">
        <f t="shared" si="25"/>
        <v>#DIV/0!</v>
      </c>
      <c r="Z49" s="47" t="e">
        <f t="shared" si="25"/>
        <v>#DIV/0!</v>
      </c>
      <c r="AA49" s="47" t="e">
        <f t="shared" si="25"/>
        <v>#DIV/0!</v>
      </c>
      <c r="AB49" s="47" t="e">
        <f t="shared" si="25"/>
        <v>#DIV/0!</v>
      </c>
      <c r="AC49" s="47" t="e">
        <f t="shared" si="25"/>
        <v>#DIV/0!</v>
      </c>
      <c r="AD49" s="47" t="e">
        <f t="shared" si="25"/>
        <v>#DIV/0!</v>
      </c>
      <c r="AE49" s="47" t="e">
        <f t="shared" si="25"/>
        <v>#DIV/0!</v>
      </c>
      <c r="AF49" s="47" t="e">
        <f t="shared" si="25"/>
        <v>#DIV/0!</v>
      </c>
      <c r="AG49" s="47" t="e">
        <f t="shared" si="25"/>
        <v>#DIV/0!</v>
      </c>
      <c r="AH49" s="47" t="e">
        <f t="shared" si="25"/>
        <v>#DIV/0!</v>
      </c>
      <c r="AI49" s="47" t="e">
        <f t="shared" si="25"/>
        <v>#DIV/0!</v>
      </c>
      <c r="AJ49" s="47" t="e">
        <f t="shared" si="25"/>
        <v>#DIV/0!</v>
      </c>
      <c r="AK49" s="47" t="e">
        <f t="shared" si="25"/>
        <v>#DIV/0!</v>
      </c>
      <c r="AL49" s="47" t="e">
        <f t="shared" si="25"/>
        <v>#DIV/0!</v>
      </c>
      <c r="AM49" s="47" t="e">
        <f t="shared" si="25"/>
        <v>#DIV/0!</v>
      </c>
      <c r="AN49" s="47" t="e">
        <f t="shared" si="25"/>
        <v>#DIV/0!</v>
      </c>
      <c r="AO49" s="47" t="e">
        <f t="shared" si="25"/>
        <v>#DIV/0!</v>
      </c>
      <c r="AP49" s="47" t="e">
        <f t="shared" si="25"/>
        <v>#DIV/0!</v>
      </c>
      <c r="AQ49" s="47" t="e">
        <f t="shared" si="25"/>
        <v>#DIV/0!</v>
      </c>
      <c r="AR49" s="47" t="e">
        <f t="shared" si="25"/>
        <v>#DIV/0!</v>
      </c>
      <c r="AS49" s="47" t="e">
        <f t="shared" si="25"/>
        <v>#DIV/0!</v>
      </c>
      <c r="AT49" s="47" t="e">
        <f t="shared" si="25"/>
        <v>#DIV/0!</v>
      </c>
    </row>
    <row r="50" spans="1:46" ht="12.75" customHeight="1" x14ac:dyDescent="0.2">
      <c r="A50" s="45" t="s">
        <v>281</v>
      </c>
      <c r="D50" s="20" t="s">
        <v>177</v>
      </c>
      <c r="E50" s="47" t="e">
        <f t="shared" ref="E50:AT50" si="26">(E43*E49/1000)</f>
        <v>#DIV/0!</v>
      </c>
      <c r="F50" s="47" t="e">
        <f t="shared" si="26"/>
        <v>#DIV/0!</v>
      </c>
      <c r="G50" s="47" t="e">
        <f t="shared" si="26"/>
        <v>#DIV/0!</v>
      </c>
      <c r="H50" s="47" t="e">
        <f t="shared" si="26"/>
        <v>#DIV/0!</v>
      </c>
      <c r="I50" s="47" t="e">
        <f t="shared" si="26"/>
        <v>#DIV/0!</v>
      </c>
      <c r="J50" s="47" t="e">
        <f t="shared" si="26"/>
        <v>#DIV/0!</v>
      </c>
      <c r="K50" s="47" t="e">
        <f t="shared" si="26"/>
        <v>#DIV/0!</v>
      </c>
      <c r="L50" s="47" t="e">
        <f t="shared" si="26"/>
        <v>#DIV/0!</v>
      </c>
      <c r="M50" s="47" t="e">
        <f t="shared" si="26"/>
        <v>#DIV/0!</v>
      </c>
      <c r="N50" s="47" t="e">
        <f t="shared" si="26"/>
        <v>#DIV/0!</v>
      </c>
      <c r="O50" s="47" t="e">
        <f t="shared" si="26"/>
        <v>#DIV/0!</v>
      </c>
      <c r="P50" s="47" t="e">
        <f t="shared" si="26"/>
        <v>#DIV/0!</v>
      </c>
      <c r="Q50" s="47" t="e">
        <f t="shared" si="26"/>
        <v>#DIV/0!</v>
      </c>
      <c r="R50" s="47" t="e">
        <f t="shared" si="26"/>
        <v>#DIV/0!</v>
      </c>
      <c r="S50" s="47" t="e">
        <f t="shared" si="26"/>
        <v>#DIV/0!</v>
      </c>
      <c r="T50" s="47" t="e">
        <f t="shared" si="26"/>
        <v>#DIV/0!</v>
      </c>
      <c r="U50" s="47" t="e">
        <f t="shared" si="26"/>
        <v>#DIV/0!</v>
      </c>
      <c r="V50" s="47" t="e">
        <f t="shared" si="26"/>
        <v>#DIV/0!</v>
      </c>
      <c r="W50" s="47" t="e">
        <f t="shared" si="26"/>
        <v>#DIV/0!</v>
      </c>
      <c r="X50" s="47" t="e">
        <f t="shared" si="26"/>
        <v>#DIV/0!</v>
      </c>
      <c r="Y50" s="47" t="e">
        <f t="shared" si="26"/>
        <v>#DIV/0!</v>
      </c>
      <c r="Z50" s="47" t="e">
        <f t="shared" si="26"/>
        <v>#DIV/0!</v>
      </c>
      <c r="AA50" s="47" t="e">
        <f t="shared" si="26"/>
        <v>#DIV/0!</v>
      </c>
      <c r="AB50" s="47" t="e">
        <f t="shared" si="26"/>
        <v>#DIV/0!</v>
      </c>
      <c r="AC50" s="47" t="e">
        <f t="shared" si="26"/>
        <v>#DIV/0!</v>
      </c>
      <c r="AD50" s="47" t="e">
        <f t="shared" si="26"/>
        <v>#DIV/0!</v>
      </c>
      <c r="AE50" s="47" t="e">
        <f t="shared" si="26"/>
        <v>#DIV/0!</v>
      </c>
      <c r="AF50" s="47" t="e">
        <f t="shared" si="26"/>
        <v>#DIV/0!</v>
      </c>
      <c r="AG50" s="47" t="e">
        <f t="shared" si="26"/>
        <v>#DIV/0!</v>
      </c>
      <c r="AH50" s="47" t="e">
        <f t="shared" si="26"/>
        <v>#DIV/0!</v>
      </c>
      <c r="AI50" s="47" t="e">
        <f t="shared" si="26"/>
        <v>#DIV/0!</v>
      </c>
      <c r="AJ50" s="47" t="e">
        <f t="shared" si="26"/>
        <v>#DIV/0!</v>
      </c>
      <c r="AK50" s="47" t="e">
        <f t="shared" si="26"/>
        <v>#DIV/0!</v>
      </c>
      <c r="AL50" s="47" t="e">
        <f t="shared" si="26"/>
        <v>#DIV/0!</v>
      </c>
      <c r="AM50" s="47" t="e">
        <f t="shared" si="26"/>
        <v>#DIV/0!</v>
      </c>
      <c r="AN50" s="47" t="e">
        <f t="shared" si="26"/>
        <v>#DIV/0!</v>
      </c>
      <c r="AO50" s="47" t="e">
        <f t="shared" si="26"/>
        <v>#DIV/0!</v>
      </c>
      <c r="AP50" s="47" t="e">
        <f t="shared" si="26"/>
        <v>#DIV/0!</v>
      </c>
      <c r="AQ50" s="47" t="e">
        <f t="shared" si="26"/>
        <v>#DIV/0!</v>
      </c>
      <c r="AR50" s="47" t="e">
        <f t="shared" si="26"/>
        <v>#DIV/0!</v>
      </c>
      <c r="AS50" s="47" t="e">
        <f t="shared" si="26"/>
        <v>#DIV/0!</v>
      </c>
      <c r="AT50" s="47" t="e">
        <f t="shared" si="26"/>
        <v>#DIV/0!</v>
      </c>
    </row>
    <row r="51" spans="1:46" ht="12.75" customHeight="1" x14ac:dyDescent="0.2">
      <c r="A51" s="46" t="s">
        <v>282</v>
      </c>
      <c r="D51" s="10" t="s">
        <v>141</v>
      </c>
      <c r="E51" s="9">
        <f t="shared" ref="E51:AT51" si="27">$I$2</f>
        <v>30</v>
      </c>
      <c r="F51" s="9">
        <f t="shared" si="27"/>
        <v>30</v>
      </c>
      <c r="G51" s="9">
        <f t="shared" si="27"/>
        <v>30</v>
      </c>
      <c r="H51" s="9">
        <f t="shared" si="27"/>
        <v>30</v>
      </c>
      <c r="I51" s="9">
        <f t="shared" si="27"/>
        <v>30</v>
      </c>
      <c r="J51" s="9">
        <f t="shared" si="27"/>
        <v>30</v>
      </c>
      <c r="K51" s="9">
        <f t="shared" si="27"/>
        <v>30</v>
      </c>
      <c r="L51" s="9">
        <f t="shared" si="27"/>
        <v>30</v>
      </c>
      <c r="M51" s="9">
        <f t="shared" si="27"/>
        <v>30</v>
      </c>
      <c r="N51" s="9">
        <f t="shared" si="27"/>
        <v>30</v>
      </c>
      <c r="O51" s="9">
        <f t="shared" si="27"/>
        <v>30</v>
      </c>
      <c r="P51" s="9">
        <f t="shared" si="27"/>
        <v>30</v>
      </c>
      <c r="Q51" s="9">
        <f t="shared" si="27"/>
        <v>30</v>
      </c>
      <c r="R51" s="9">
        <f t="shared" si="27"/>
        <v>30</v>
      </c>
      <c r="S51" s="9">
        <f t="shared" si="27"/>
        <v>30</v>
      </c>
      <c r="T51" s="9">
        <f t="shared" si="27"/>
        <v>30</v>
      </c>
      <c r="U51" s="9">
        <f t="shared" si="27"/>
        <v>30</v>
      </c>
      <c r="V51" s="9">
        <f t="shared" si="27"/>
        <v>30</v>
      </c>
      <c r="W51" s="9">
        <f t="shared" si="27"/>
        <v>30</v>
      </c>
      <c r="X51" s="9">
        <f t="shared" si="27"/>
        <v>30</v>
      </c>
      <c r="Y51" s="9">
        <f t="shared" si="27"/>
        <v>30</v>
      </c>
      <c r="Z51" s="9">
        <f t="shared" si="27"/>
        <v>30</v>
      </c>
      <c r="AA51" s="9">
        <f t="shared" si="27"/>
        <v>30</v>
      </c>
      <c r="AB51" s="9">
        <f t="shared" si="27"/>
        <v>30</v>
      </c>
      <c r="AC51" s="9">
        <f t="shared" si="27"/>
        <v>30</v>
      </c>
      <c r="AD51" s="9">
        <f t="shared" si="27"/>
        <v>30</v>
      </c>
      <c r="AE51" s="9">
        <f t="shared" si="27"/>
        <v>30</v>
      </c>
      <c r="AF51" s="9">
        <f t="shared" si="27"/>
        <v>30</v>
      </c>
      <c r="AG51" s="9">
        <f t="shared" si="27"/>
        <v>30</v>
      </c>
      <c r="AH51" s="9">
        <f t="shared" si="27"/>
        <v>30</v>
      </c>
      <c r="AI51" s="9">
        <f t="shared" si="27"/>
        <v>30</v>
      </c>
      <c r="AJ51" s="9">
        <f t="shared" si="27"/>
        <v>30</v>
      </c>
      <c r="AK51" s="9">
        <f t="shared" si="27"/>
        <v>30</v>
      </c>
      <c r="AL51" s="9">
        <f t="shared" si="27"/>
        <v>30</v>
      </c>
      <c r="AM51" s="9">
        <f t="shared" si="27"/>
        <v>30</v>
      </c>
      <c r="AN51" s="9">
        <f t="shared" si="27"/>
        <v>30</v>
      </c>
      <c r="AO51" s="9">
        <f t="shared" si="27"/>
        <v>30</v>
      </c>
      <c r="AP51" s="9">
        <f t="shared" si="27"/>
        <v>30</v>
      </c>
      <c r="AQ51" s="9">
        <f t="shared" si="27"/>
        <v>30</v>
      </c>
      <c r="AR51" s="9">
        <f t="shared" si="27"/>
        <v>30</v>
      </c>
      <c r="AS51" s="9">
        <f t="shared" si="27"/>
        <v>30</v>
      </c>
      <c r="AT51" s="9">
        <f t="shared" si="27"/>
        <v>30</v>
      </c>
    </row>
    <row r="52" spans="1:46" ht="12.75" customHeight="1" x14ac:dyDescent="0.2">
      <c r="A52" s="45" t="s">
        <v>283</v>
      </c>
      <c r="D52" s="20" t="s">
        <v>177</v>
      </c>
      <c r="E52" s="47">
        <f t="shared" ref="E52:AT52" si="28">E43*E51/1000</f>
        <v>0</v>
      </c>
      <c r="F52" s="47">
        <f t="shared" si="28"/>
        <v>0</v>
      </c>
      <c r="G52" s="47">
        <f t="shared" si="28"/>
        <v>0</v>
      </c>
      <c r="H52" s="47">
        <f t="shared" si="28"/>
        <v>0</v>
      </c>
      <c r="I52" s="47">
        <f t="shared" si="28"/>
        <v>0</v>
      </c>
      <c r="J52" s="47">
        <f t="shared" si="28"/>
        <v>0</v>
      </c>
      <c r="K52" s="47">
        <f t="shared" si="28"/>
        <v>0</v>
      </c>
      <c r="L52" s="47">
        <f t="shared" si="28"/>
        <v>0</v>
      </c>
      <c r="M52" s="47">
        <f t="shared" si="28"/>
        <v>0</v>
      </c>
      <c r="N52" s="47">
        <f t="shared" si="28"/>
        <v>0</v>
      </c>
      <c r="O52" s="47">
        <f t="shared" si="28"/>
        <v>0</v>
      </c>
      <c r="P52" s="47">
        <f t="shared" si="28"/>
        <v>0</v>
      </c>
      <c r="Q52" s="47">
        <f t="shared" si="28"/>
        <v>0</v>
      </c>
      <c r="R52" s="47">
        <f t="shared" si="28"/>
        <v>0</v>
      </c>
      <c r="S52" s="47">
        <f t="shared" si="28"/>
        <v>0</v>
      </c>
      <c r="T52" s="47">
        <f t="shared" si="28"/>
        <v>0</v>
      </c>
      <c r="U52" s="47">
        <f t="shared" si="28"/>
        <v>0</v>
      </c>
      <c r="V52" s="47">
        <f t="shared" si="28"/>
        <v>0</v>
      </c>
      <c r="W52" s="47">
        <f t="shared" si="28"/>
        <v>0</v>
      </c>
      <c r="X52" s="47">
        <f t="shared" si="28"/>
        <v>0</v>
      </c>
      <c r="Y52" s="47">
        <f t="shared" si="28"/>
        <v>0</v>
      </c>
      <c r="Z52" s="47">
        <f t="shared" si="28"/>
        <v>0</v>
      </c>
      <c r="AA52" s="47">
        <f t="shared" si="28"/>
        <v>0</v>
      </c>
      <c r="AB52" s="47">
        <f t="shared" si="28"/>
        <v>0</v>
      </c>
      <c r="AC52" s="47">
        <f t="shared" si="28"/>
        <v>0</v>
      </c>
      <c r="AD52" s="47">
        <f t="shared" si="28"/>
        <v>0</v>
      </c>
      <c r="AE52" s="47">
        <f t="shared" si="28"/>
        <v>0</v>
      </c>
      <c r="AF52" s="47">
        <f t="shared" si="28"/>
        <v>0</v>
      </c>
      <c r="AG52" s="47">
        <f t="shared" si="28"/>
        <v>0</v>
      </c>
      <c r="AH52" s="47">
        <f t="shared" si="28"/>
        <v>0</v>
      </c>
      <c r="AI52" s="47">
        <f t="shared" si="28"/>
        <v>0</v>
      </c>
      <c r="AJ52" s="47">
        <f t="shared" si="28"/>
        <v>0</v>
      </c>
      <c r="AK52" s="47">
        <f t="shared" si="28"/>
        <v>0</v>
      </c>
      <c r="AL52" s="47">
        <f t="shared" si="28"/>
        <v>0</v>
      </c>
      <c r="AM52" s="47">
        <f t="shared" si="28"/>
        <v>0</v>
      </c>
      <c r="AN52" s="47">
        <f t="shared" si="28"/>
        <v>0</v>
      </c>
      <c r="AO52" s="47">
        <f t="shared" si="28"/>
        <v>0</v>
      </c>
      <c r="AP52" s="47">
        <f t="shared" si="28"/>
        <v>0</v>
      </c>
      <c r="AQ52" s="47">
        <f t="shared" si="28"/>
        <v>0</v>
      </c>
      <c r="AR52" s="47">
        <f t="shared" si="28"/>
        <v>0</v>
      </c>
      <c r="AS52" s="47">
        <f t="shared" si="28"/>
        <v>0</v>
      </c>
      <c r="AT52" s="47">
        <f t="shared" si="28"/>
        <v>0</v>
      </c>
    </row>
    <row r="53" spans="1:46" ht="12.75" customHeight="1" x14ac:dyDescent="0.2">
      <c r="D53" s="2"/>
    </row>
    <row r="54" spans="1:46" ht="12.75" customHeight="1" x14ac:dyDescent="0.2">
      <c r="A54" s="37" t="s">
        <v>284</v>
      </c>
      <c r="D54" s="20" t="s">
        <v>78</v>
      </c>
      <c r="E54" s="47">
        <f t="shared" ref="E54:AT54" si="29">E28*E27*0.5</f>
        <v>0</v>
      </c>
      <c r="F54" s="47">
        <f t="shared" si="29"/>
        <v>0</v>
      </c>
      <c r="G54" s="47">
        <f t="shared" si="29"/>
        <v>0</v>
      </c>
      <c r="H54" s="47">
        <f t="shared" si="29"/>
        <v>0</v>
      </c>
      <c r="I54" s="47">
        <f t="shared" si="29"/>
        <v>0</v>
      </c>
      <c r="J54" s="47">
        <f t="shared" si="29"/>
        <v>0</v>
      </c>
      <c r="K54" s="47">
        <f t="shared" si="29"/>
        <v>0</v>
      </c>
      <c r="L54" s="47">
        <f t="shared" si="29"/>
        <v>0</v>
      </c>
      <c r="M54" s="47">
        <f t="shared" si="29"/>
        <v>0</v>
      </c>
      <c r="N54" s="47">
        <f t="shared" si="29"/>
        <v>0</v>
      </c>
      <c r="O54" s="47">
        <f t="shared" si="29"/>
        <v>0</v>
      </c>
      <c r="P54" s="47">
        <f t="shared" si="29"/>
        <v>0</v>
      </c>
      <c r="Q54" s="47">
        <f t="shared" si="29"/>
        <v>0</v>
      </c>
      <c r="R54" s="47">
        <f t="shared" si="29"/>
        <v>0</v>
      </c>
      <c r="S54" s="47">
        <f t="shared" si="29"/>
        <v>0</v>
      </c>
      <c r="T54" s="47">
        <f t="shared" si="29"/>
        <v>0</v>
      </c>
      <c r="U54" s="47">
        <f t="shared" si="29"/>
        <v>0</v>
      </c>
      <c r="V54" s="47">
        <f t="shared" si="29"/>
        <v>0</v>
      </c>
      <c r="W54" s="47">
        <f t="shared" si="29"/>
        <v>0</v>
      </c>
      <c r="X54" s="47">
        <f t="shared" si="29"/>
        <v>0</v>
      </c>
      <c r="Y54" s="47">
        <f t="shared" si="29"/>
        <v>0</v>
      </c>
      <c r="Z54" s="47">
        <f t="shared" si="29"/>
        <v>0</v>
      </c>
      <c r="AA54" s="47">
        <f t="shared" si="29"/>
        <v>0</v>
      </c>
      <c r="AB54" s="47">
        <f t="shared" si="29"/>
        <v>0</v>
      </c>
      <c r="AC54" s="47">
        <f t="shared" si="29"/>
        <v>0</v>
      </c>
      <c r="AD54" s="47">
        <f t="shared" si="29"/>
        <v>0</v>
      </c>
      <c r="AE54" s="47">
        <f t="shared" si="29"/>
        <v>0</v>
      </c>
      <c r="AF54" s="47">
        <f t="shared" si="29"/>
        <v>0</v>
      </c>
      <c r="AG54" s="47">
        <f t="shared" si="29"/>
        <v>0</v>
      </c>
      <c r="AH54" s="47">
        <f t="shared" si="29"/>
        <v>0</v>
      </c>
      <c r="AI54" s="47">
        <f t="shared" si="29"/>
        <v>0</v>
      </c>
      <c r="AJ54" s="47">
        <f t="shared" si="29"/>
        <v>0</v>
      </c>
      <c r="AK54" s="47">
        <f t="shared" si="29"/>
        <v>0</v>
      </c>
      <c r="AL54" s="47">
        <f t="shared" si="29"/>
        <v>0</v>
      </c>
      <c r="AM54" s="47">
        <f t="shared" si="29"/>
        <v>0</v>
      </c>
      <c r="AN54" s="47">
        <f t="shared" si="29"/>
        <v>0</v>
      </c>
      <c r="AO54" s="47">
        <f t="shared" si="29"/>
        <v>0</v>
      </c>
      <c r="AP54" s="47">
        <f t="shared" si="29"/>
        <v>0</v>
      </c>
      <c r="AQ54" s="47">
        <f t="shared" si="29"/>
        <v>0</v>
      </c>
      <c r="AR54" s="47">
        <f t="shared" si="29"/>
        <v>0</v>
      </c>
      <c r="AS54" s="47">
        <f t="shared" si="29"/>
        <v>0</v>
      </c>
      <c r="AT54" s="47">
        <f t="shared" si="29"/>
        <v>0</v>
      </c>
    </row>
    <row r="55" spans="1:46" ht="12.75" customHeight="1" x14ac:dyDescent="0.2">
      <c r="A55" s="37" t="s">
        <v>285</v>
      </c>
      <c r="D55" s="20" t="s">
        <v>78</v>
      </c>
      <c r="E55" s="47">
        <f t="shared" ref="E55:AT55" si="30">E28*1*0.5</f>
        <v>0</v>
      </c>
      <c r="F55" s="47">
        <f t="shared" si="30"/>
        <v>0</v>
      </c>
      <c r="G55" s="47">
        <f t="shared" si="30"/>
        <v>0</v>
      </c>
      <c r="H55" s="47">
        <f t="shared" si="30"/>
        <v>0</v>
      </c>
      <c r="I55" s="47">
        <f t="shared" si="30"/>
        <v>0</v>
      </c>
      <c r="J55" s="47">
        <f t="shared" si="30"/>
        <v>0</v>
      </c>
      <c r="K55" s="47">
        <f t="shared" si="30"/>
        <v>0</v>
      </c>
      <c r="L55" s="47">
        <f t="shared" si="30"/>
        <v>0</v>
      </c>
      <c r="M55" s="47">
        <f t="shared" si="30"/>
        <v>0</v>
      </c>
      <c r="N55" s="47">
        <f t="shared" si="30"/>
        <v>0</v>
      </c>
      <c r="O55" s="47">
        <f t="shared" si="30"/>
        <v>0</v>
      </c>
      <c r="P55" s="47">
        <f t="shared" si="30"/>
        <v>0</v>
      </c>
      <c r="Q55" s="47">
        <f t="shared" si="30"/>
        <v>0</v>
      </c>
      <c r="R55" s="47">
        <f t="shared" si="30"/>
        <v>0</v>
      </c>
      <c r="S55" s="47">
        <f t="shared" si="30"/>
        <v>0</v>
      </c>
      <c r="T55" s="47">
        <f t="shared" si="30"/>
        <v>0</v>
      </c>
      <c r="U55" s="47">
        <f t="shared" si="30"/>
        <v>0</v>
      </c>
      <c r="V55" s="47">
        <f t="shared" si="30"/>
        <v>0</v>
      </c>
      <c r="W55" s="47">
        <f t="shared" si="30"/>
        <v>0</v>
      </c>
      <c r="X55" s="47">
        <f t="shared" si="30"/>
        <v>0</v>
      </c>
      <c r="Y55" s="47">
        <f t="shared" si="30"/>
        <v>0</v>
      </c>
      <c r="Z55" s="47">
        <f t="shared" si="30"/>
        <v>0</v>
      </c>
      <c r="AA55" s="47">
        <f t="shared" si="30"/>
        <v>0</v>
      </c>
      <c r="AB55" s="47">
        <f t="shared" si="30"/>
        <v>0</v>
      </c>
      <c r="AC55" s="47">
        <f t="shared" si="30"/>
        <v>0</v>
      </c>
      <c r="AD55" s="47">
        <f t="shared" si="30"/>
        <v>0</v>
      </c>
      <c r="AE55" s="47">
        <f t="shared" si="30"/>
        <v>0</v>
      </c>
      <c r="AF55" s="47">
        <f t="shared" si="30"/>
        <v>0</v>
      </c>
      <c r="AG55" s="47">
        <f t="shared" si="30"/>
        <v>0</v>
      </c>
      <c r="AH55" s="47">
        <f t="shared" si="30"/>
        <v>0</v>
      </c>
      <c r="AI55" s="47">
        <f t="shared" si="30"/>
        <v>0</v>
      </c>
      <c r="AJ55" s="47">
        <f t="shared" si="30"/>
        <v>0</v>
      </c>
      <c r="AK55" s="47">
        <f t="shared" si="30"/>
        <v>0</v>
      </c>
      <c r="AL55" s="47">
        <f t="shared" si="30"/>
        <v>0</v>
      </c>
      <c r="AM55" s="47">
        <f t="shared" si="30"/>
        <v>0</v>
      </c>
      <c r="AN55" s="47">
        <f t="shared" si="30"/>
        <v>0</v>
      </c>
      <c r="AO55" s="47">
        <f t="shared" si="30"/>
        <v>0</v>
      </c>
      <c r="AP55" s="47">
        <f t="shared" si="30"/>
        <v>0</v>
      </c>
      <c r="AQ55" s="47">
        <f t="shared" si="30"/>
        <v>0</v>
      </c>
      <c r="AR55" s="47">
        <f t="shared" si="30"/>
        <v>0</v>
      </c>
      <c r="AS55" s="47">
        <f t="shared" si="30"/>
        <v>0</v>
      </c>
      <c r="AT55" s="47">
        <f t="shared" si="30"/>
        <v>0</v>
      </c>
    </row>
    <row r="56" spans="1:46" ht="12.75" customHeight="1" x14ac:dyDescent="0.2">
      <c r="A56" s="46" t="s">
        <v>286</v>
      </c>
      <c r="D56" s="20" t="s">
        <v>78</v>
      </c>
      <c r="E56" s="9">
        <f t="shared" ref="E56:AT56" si="31">$I$6*0.5</f>
        <v>5</v>
      </c>
      <c r="F56" s="9">
        <f t="shared" si="31"/>
        <v>5</v>
      </c>
      <c r="G56" s="9">
        <f t="shared" si="31"/>
        <v>5</v>
      </c>
      <c r="H56" s="9">
        <f t="shared" si="31"/>
        <v>5</v>
      </c>
      <c r="I56" s="9">
        <f t="shared" si="31"/>
        <v>5</v>
      </c>
      <c r="J56" s="9">
        <f t="shared" si="31"/>
        <v>5</v>
      </c>
      <c r="K56" s="9">
        <f t="shared" si="31"/>
        <v>5</v>
      </c>
      <c r="L56" s="9">
        <f t="shared" si="31"/>
        <v>5</v>
      </c>
      <c r="M56" s="9">
        <f t="shared" si="31"/>
        <v>5</v>
      </c>
      <c r="N56" s="9">
        <f t="shared" si="31"/>
        <v>5</v>
      </c>
      <c r="O56" s="9">
        <f t="shared" si="31"/>
        <v>5</v>
      </c>
      <c r="P56" s="9">
        <f t="shared" si="31"/>
        <v>5</v>
      </c>
      <c r="Q56" s="9">
        <f t="shared" si="31"/>
        <v>5</v>
      </c>
      <c r="R56" s="9">
        <f t="shared" si="31"/>
        <v>5</v>
      </c>
      <c r="S56" s="9">
        <f t="shared" si="31"/>
        <v>5</v>
      </c>
      <c r="T56" s="9">
        <f t="shared" si="31"/>
        <v>5</v>
      </c>
      <c r="U56" s="9">
        <f t="shared" si="31"/>
        <v>5</v>
      </c>
      <c r="V56" s="9">
        <f t="shared" si="31"/>
        <v>5</v>
      </c>
      <c r="W56" s="9">
        <f t="shared" si="31"/>
        <v>5</v>
      </c>
      <c r="X56" s="9">
        <f t="shared" si="31"/>
        <v>5</v>
      </c>
      <c r="Y56" s="9">
        <f t="shared" si="31"/>
        <v>5</v>
      </c>
      <c r="Z56" s="9">
        <f t="shared" si="31"/>
        <v>5</v>
      </c>
      <c r="AA56" s="9">
        <f t="shared" si="31"/>
        <v>5</v>
      </c>
      <c r="AB56" s="9">
        <f t="shared" si="31"/>
        <v>5</v>
      </c>
      <c r="AC56" s="9">
        <f t="shared" si="31"/>
        <v>5</v>
      </c>
      <c r="AD56" s="9">
        <f t="shared" si="31"/>
        <v>5</v>
      </c>
      <c r="AE56" s="9">
        <f t="shared" si="31"/>
        <v>5</v>
      </c>
      <c r="AF56" s="9">
        <f t="shared" si="31"/>
        <v>5</v>
      </c>
      <c r="AG56" s="9">
        <f t="shared" si="31"/>
        <v>5</v>
      </c>
      <c r="AH56" s="9">
        <f t="shared" si="31"/>
        <v>5</v>
      </c>
      <c r="AI56" s="9">
        <f t="shared" si="31"/>
        <v>5</v>
      </c>
      <c r="AJ56" s="9">
        <f t="shared" si="31"/>
        <v>5</v>
      </c>
      <c r="AK56" s="9">
        <f t="shared" si="31"/>
        <v>5</v>
      </c>
      <c r="AL56" s="9">
        <f t="shared" si="31"/>
        <v>5</v>
      </c>
      <c r="AM56" s="9">
        <f t="shared" si="31"/>
        <v>5</v>
      </c>
      <c r="AN56" s="9">
        <f t="shared" si="31"/>
        <v>5</v>
      </c>
      <c r="AO56" s="9">
        <f t="shared" si="31"/>
        <v>5</v>
      </c>
      <c r="AP56" s="9">
        <f t="shared" si="31"/>
        <v>5</v>
      </c>
      <c r="AQ56" s="9">
        <f t="shared" si="31"/>
        <v>5</v>
      </c>
      <c r="AR56" s="9">
        <f t="shared" si="31"/>
        <v>5</v>
      </c>
      <c r="AS56" s="9">
        <f t="shared" si="31"/>
        <v>5</v>
      </c>
      <c r="AT56" s="9">
        <f t="shared" si="31"/>
        <v>5</v>
      </c>
    </row>
    <row r="57" spans="1:46" ht="12.75" customHeight="1" x14ac:dyDescent="0.2">
      <c r="D57" s="2"/>
    </row>
    <row r="58" spans="1:46" ht="12.75" customHeight="1" x14ac:dyDescent="0.2">
      <c r="A58" s="37" t="s">
        <v>287</v>
      </c>
      <c r="D58" s="20" t="s">
        <v>78</v>
      </c>
      <c r="E58" s="9">
        <f t="shared" ref="E58:AT58" si="32">E43</f>
        <v>0</v>
      </c>
      <c r="F58" s="9">
        <f t="shared" si="32"/>
        <v>0</v>
      </c>
      <c r="G58" s="9">
        <f t="shared" si="32"/>
        <v>0</v>
      </c>
      <c r="H58" s="9">
        <f t="shared" si="32"/>
        <v>0</v>
      </c>
      <c r="I58" s="9">
        <f t="shared" si="32"/>
        <v>0</v>
      </c>
      <c r="J58" s="9">
        <f t="shared" si="32"/>
        <v>0</v>
      </c>
      <c r="K58" s="9">
        <f t="shared" si="32"/>
        <v>0</v>
      </c>
      <c r="L58" s="9">
        <f t="shared" si="32"/>
        <v>0</v>
      </c>
      <c r="M58" s="9">
        <f t="shared" si="32"/>
        <v>0</v>
      </c>
      <c r="N58" s="9">
        <f t="shared" si="32"/>
        <v>0</v>
      </c>
      <c r="O58" s="9">
        <f t="shared" si="32"/>
        <v>0</v>
      </c>
      <c r="P58" s="9">
        <f t="shared" si="32"/>
        <v>0</v>
      </c>
      <c r="Q58" s="9">
        <f t="shared" si="32"/>
        <v>0</v>
      </c>
      <c r="R58" s="9">
        <f t="shared" si="32"/>
        <v>0</v>
      </c>
      <c r="S58" s="9">
        <f t="shared" si="32"/>
        <v>0</v>
      </c>
      <c r="T58" s="9">
        <f t="shared" si="32"/>
        <v>0</v>
      </c>
      <c r="U58" s="9">
        <f t="shared" si="32"/>
        <v>0</v>
      </c>
      <c r="V58" s="9">
        <f t="shared" si="32"/>
        <v>0</v>
      </c>
      <c r="W58" s="9">
        <f t="shared" si="32"/>
        <v>0</v>
      </c>
      <c r="X58" s="9">
        <f t="shared" si="32"/>
        <v>0</v>
      </c>
      <c r="Y58" s="9">
        <f t="shared" si="32"/>
        <v>0</v>
      </c>
      <c r="Z58" s="9">
        <f t="shared" si="32"/>
        <v>0</v>
      </c>
      <c r="AA58" s="9">
        <f t="shared" si="32"/>
        <v>0</v>
      </c>
      <c r="AB58" s="9">
        <f t="shared" si="32"/>
        <v>0</v>
      </c>
      <c r="AC58" s="9">
        <f t="shared" si="32"/>
        <v>0</v>
      </c>
      <c r="AD58" s="9">
        <f t="shared" si="32"/>
        <v>0</v>
      </c>
      <c r="AE58" s="9">
        <f t="shared" si="32"/>
        <v>0</v>
      </c>
      <c r="AF58" s="9">
        <f t="shared" si="32"/>
        <v>0</v>
      </c>
      <c r="AG58" s="9">
        <f t="shared" si="32"/>
        <v>0</v>
      </c>
      <c r="AH58" s="9">
        <f t="shared" si="32"/>
        <v>0</v>
      </c>
      <c r="AI58" s="9">
        <f t="shared" si="32"/>
        <v>0</v>
      </c>
      <c r="AJ58" s="9">
        <f t="shared" si="32"/>
        <v>0</v>
      </c>
      <c r="AK58" s="9">
        <f t="shared" si="32"/>
        <v>0</v>
      </c>
      <c r="AL58" s="9">
        <f t="shared" si="32"/>
        <v>0</v>
      </c>
      <c r="AM58" s="9">
        <f t="shared" si="32"/>
        <v>0</v>
      </c>
      <c r="AN58" s="9">
        <f t="shared" si="32"/>
        <v>0</v>
      </c>
      <c r="AO58" s="9">
        <f t="shared" si="32"/>
        <v>0</v>
      </c>
      <c r="AP58" s="9">
        <f t="shared" si="32"/>
        <v>0</v>
      </c>
      <c r="AQ58" s="9">
        <f t="shared" si="32"/>
        <v>0</v>
      </c>
      <c r="AR58" s="9">
        <f t="shared" si="32"/>
        <v>0</v>
      </c>
      <c r="AS58" s="9">
        <f t="shared" si="32"/>
        <v>0</v>
      </c>
      <c r="AT58" s="9">
        <f t="shared" si="32"/>
        <v>0</v>
      </c>
    </row>
    <row r="59" spans="1:46" ht="12.75" customHeight="1" x14ac:dyDescent="0.2">
      <c r="A59" s="45" t="s">
        <v>288</v>
      </c>
      <c r="D59" s="20" t="s">
        <v>78</v>
      </c>
      <c r="E59" s="47" t="e">
        <f t="shared" ref="E59:AT59" si="33">E14*E22*$I$4*$I$5*($I$3/($I$3+((E14*E22)/(0.5*E28*1000))))/1000</f>
        <v>#DIV/0!</v>
      </c>
      <c r="F59" s="47" t="e">
        <f t="shared" si="33"/>
        <v>#DIV/0!</v>
      </c>
      <c r="G59" s="47" t="e">
        <f t="shared" si="33"/>
        <v>#DIV/0!</v>
      </c>
      <c r="H59" s="47" t="e">
        <f t="shared" si="33"/>
        <v>#DIV/0!</v>
      </c>
      <c r="I59" s="47" t="e">
        <f t="shared" si="33"/>
        <v>#DIV/0!</v>
      </c>
      <c r="J59" s="47" t="e">
        <f t="shared" si="33"/>
        <v>#DIV/0!</v>
      </c>
      <c r="K59" s="47" t="e">
        <f t="shared" si="33"/>
        <v>#DIV/0!</v>
      </c>
      <c r="L59" s="47" t="e">
        <f t="shared" si="33"/>
        <v>#DIV/0!</v>
      </c>
      <c r="M59" s="47" t="e">
        <f t="shared" si="33"/>
        <v>#DIV/0!</v>
      </c>
      <c r="N59" s="47" t="e">
        <f t="shared" si="33"/>
        <v>#DIV/0!</v>
      </c>
      <c r="O59" s="47" t="e">
        <f t="shared" si="33"/>
        <v>#DIV/0!</v>
      </c>
      <c r="P59" s="47" t="e">
        <f t="shared" si="33"/>
        <v>#DIV/0!</v>
      </c>
      <c r="Q59" s="47" t="e">
        <f t="shared" si="33"/>
        <v>#DIV/0!</v>
      </c>
      <c r="R59" s="47" t="e">
        <f t="shared" si="33"/>
        <v>#DIV/0!</v>
      </c>
      <c r="S59" s="47" t="e">
        <f t="shared" si="33"/>
        <v>#DIV/0!</v>
      </c>
      <c r="T59" s="47" t="e">
        <f t="shared" si="33"/>
        <v>#DIV/0!</v>
      </c>
      <c r="U59" s="47" t="e">
        <f t="shared" si="33"/>
        <v>#DIV/0!</v>
      </c>
      <c r="V59" s="47" t="e">
        <f t="shared" si="33"/>
        <v>#DIV/0!</v>
      </c>
      <c r="W59" s="47" t="e">
        <f t="shared" si="33"/>
        <v>#DIV/0!</v>
      </c>
      <c r="X59" s="47" t="e">
        <f t="shared" si="33"/>
        <v>#DIV/0!</v>
      </c>
      <c r="Y59" s="47" t="e">
        <f t="shared" si="33"/>
        <v>#DIV/0!</v>
      </c>
      <c r="Z59" s="47" t="e">
        <f t="shared" si="33"/>
        <v>#DIV/0!</v>
      </c>
      <c r="AA59" s="47" t="e">
        <f t="shared" si="33"/>
        <v>#DIV/0!</v>
      </c>
      <c r="AB59" s="47" t="e">
        <f t="shared" si="33"/>
        <v>#DIV/0!</v>
      </c>
      <c r="AC59" s="47" t="e">
        <f t="shared" si="33"/>
        <v>#DIV/0!</v>
      </c>
      <c r="AD59" s="47" t="e">
        <f t="shared" si="33"/>
        <v>#DIV/0!</v>
      </c>
      <c r="AE59" s="47" t="e">
        <f t="shared" si="33"/>
        <v>#DIV/0!</v>
      </c>
      <c r="AF59" s="47" t="e">
        <f t="shared" si="33"/>
        <v>#DIV/0!</v>
      </c>
      <c r="AG59" s="47" t="e">
        <f t="shared" si="33"/>
        <v>#DIV/0!</v>
      </c>
      <c r="AH59" s="47" t="e">
        <f t="shared" si="33"/>
        <v>#DIV/0!</v>
      </c>
      <c r="AI59" s="47" t="e">
        <f t="shared" si="33"/>
        <v>#DIV/0!</v>
      </c>
      <c r="AJ59" s="47" t="e">
        <f t="shared" si="33"/>
        <v>#DIV/0!</v>
      </c>
      <c r="AK59" s="47" t="e">
        <f t="shared" si="33"/>
        <v>#DIV/0!</v>
      </c>
      <c r="AL59" s="47" t="e">
        <f t="shared" si="33"/>
        <v>#DIV/0!</v>
      </c>
      <c r="AM59" s="47" t="e">
        <f t="shared" si="33"/>
        <v>#DIV/0!</v>
      </c>
      <c r="AN59" s="47" t="e">
        <f t="shared" si="33"/>
        <v>#DIV/0!</v>
      </c>
      <c r="AO59" s="47" t="e">
        <f t="shared" si="33"/>
        <v>#DIV/0!</v>
      </c>
      <c r="AP59" s="47" t="e">
        <f t="shared" si="33"/>
        <v>#DIV/0!</v>
      </c>
      <c r="AQ59" s="47" t="e">
        <f t="shared" si="33"/>
        <v>#DIV/0!</v>
      </c>
      <c r="AR59" s="47" t="e">
        <f t="shared" si="33"/>
        <v>#DIV/0!</v>
      </c>
      <c r="AS59" s="47" t="e">
        <f t="shared" si="33"/>
        <v>#DIV/0!</v>
      </c>
      <c r="AT59" s="47" t="e">
        <f t="shared" si="33"/>
        <v>#DIV/0!</v>
      </c>
    </row>
    <row r="60" spans="1:46" ht="12.75" customHeight="1" x14ac:dyDescent="0.2"/>
    <row r="61" spans="1:46" ht="12.75" customHeight="1" x14ac:dyDescent="0.2">
      <c r="A61" s="43" t="s">
        <v>289</v>
      </c>
    </row>
    <row r="62" spans="1:46" ht="12.75" customHeight="1" x14ac:dyDescent="0.2">
      <c r="A62" s="37" t="s">
        <v>290</v>
      </c>
      <c r="D62" s="20" t="s">
        <v>177</v>
      </c>
      <c r="E62" s="47" t="e">
        <f t="shared" ref="E62:AT62" si="34">(E46*$M$3)+(E50*$M$2)+((MAX(E47:E48)+E52)*$M$4)</f>
        <v>#DIV/0!</v>
      </c>
      <c r="F62" s="47" t="e">
        <f t="shared" si="34"/>
        <v>#DIV/0!</v>
      </c>
      <c r="G62" s="47" t="e">
        <f t="shared" si="34"/>
        <v>#DIV/0!</v>
      </c>
      <c r="H62" s="47" t="e">
        <f t="shared" si="34"/>
        <v>#DIV/0!</v>
      </c>
      <c r="I62" s="47" t="e">
        <f t="shared" si="34"/>
        <v>#DIV/0!</v>
      </c>
      <c r="J62" s="47" t="e">
        <f t="shared" si="34"/>
        <v>#DIV/0!</v>
      </c>
      <c r="K62" s="47" t="e">
        <f t="shared" si="34"/>
        <v>#DIV/0!</v>
      </c>
      <c r="L62" s="47" t="e">
        <f t="shared" si="34"/>
        <v>#DIV/0!</v>
      </c>
      <c r="M62" s="47" t="e">
        <f t="shared" si="34"/>
        <v>#DIV/0!</v>
      </c>
      <c r="N62" s="47" t="e">
        <f t="shared" si="34"/>
        <v>#DIV/0!</v>
      </c>
      <c r="O62" s="47" t="e">
        <f t="shared" si="34"/>
        <v>#DIV/0!</v>
      </c>
      <c r="P62" s="47" t="e">
        <f t="shared" si="34"/>
        <v>#DIV/0!</v>
      </c>
      <c r="Q62" s="47" t="e">
        <f t="shared" si="34"/>
        <v>#DIV/0!</v>
      </c>
      <c r="R62" s="47" t="e">
        <f t="shared" si="34"/>
        <v>#DIV/0!</v>
      </c>
      <c r="S62" s="47" t="e">
        <f t="shared" si="34"/>
        <v>#DIV/0!</v>
      </c>
      <c r="T62" s="47" t="e">
        <f t="shared" si="34"/>
        <v>#DIV/0!</v>
      </c>
      <c r="U62" s="47" t="e">
        <f t="shared" si="34"/>
        <v>#DIV/0!</v>
      </c>
      <c r="V62" s="47" t="e">
        <f t="shared" si="34"/>
        <v>#DIV/0!</v>
      </c>
      <c r="W62" s="47" t="e">
        <f t="shared" si="34"/>
        <v>#DIV/0!</v>
      </c>
      <c r="X62" s="47" t="e">
        <f t="shared" si="34"/>
        <v>#DIV/0!</v>
      </c>
      <c r="Y62" s="47" t="e">
        <f t="shared" si="34"/>
        <v>#DIV/0!</v>
      </c>
      <c r="Z62" s="47" t="e">
        <f t="shared" si="34"/>
        <v>#DIV/0!</v>
      </c>
      <c r="AA62" s="47" t="e">
        <f t="shared" si="34"/>
        <v>#DIV/0!</v>
      </c>
      <c r="AB62" s="47" t="e">
        <f t="shared" si="34"/>
        <v>#DIV/0!</v>
      </c>
      <c r="AC62" s="47" t="e">
        <f t="shared" si="34"/>
        <v>#DIV/0!</v>
      </c>
      <c r="AD62" s="47" t="e">
        <f t="shared" si="34"/>
        <v>#DIV/0!</v>
      </c>
      <c r="AE62" s="47" t="e">
        <f t="shared" si="34"/>
        <v>#DIV/0!</v>
      </c>
      <c r="AF62" s="47" t="e">
        <f t="shared" si="34"/>
        <v>#DIV/0!</v>
      </c>
      <c r="AG62" s="47" t="e">
        <f t="shared" si="34"/>
        <v>#DIV/0!</v>
      </c>
      <c r="AH62" s="47" t="e">
        <f t="shared" si="34"/>
        <v>#DIV/0!</v>
      </c>
      <c r="AI62" s="47" t="e">
        <f t="shared" si="34"/>
        <v>#DIV/0!</v>
      </c>
      <c r="AJ62" s="47" t="e">
        <f t="shared" si="34"/>
        <v>#DIV/0!</v>
      </c>
      <c r="AK62" s="47" t="e">
        <f t="shared" si="34"/>
        <v>#DIV/0!</v>
      </c>
      <c r="AL62" s="47" t="e">
        <f t="shared" si="34"/>
        <v>#DIV/0!</v>
      </c>
      <c r="AM62" s="47" t="e">
        <f t="shared" si="34"/>
        <v>#DIV/0!</v>
      </c>
      <c r="AN62" s="47" t="e">
        <f t="shared" si="34"/>
        <v>#DIV/0!</v>
      </c>
      <c r="AO62" s="47" t="e">
        <f t="shared" si="34"/>
        <v>#DIV/0!</v>
      </c>
      <c r="AP62" s="47" t="e">
        <f t="shared" si="34"/>
        <v>#DIV/0!</v>
      </c>
      <c r="AQ62" s="47" t="e">
        <f t="shared" si="34"/>
        <v>#DIV/0!</v>
      </c>
      <c r="AR62" s="47" t="e">
        <f t="shared" si="34"/>
        <v>#DIV/0!</v>
      </c>
      <c r="AS62" s="47" t="e">
        <f t="shared" si="34"/>
        <v>#DIV/0!</v>
      </c>
      <c r="AT62" s="47" t="e">
        <f t="shared" si="34"/>
        <v>#DIV/0!</v>
      </c>
    </row>
    <row r="63" spans="1:46" ht="12.75" customHeight="1" x14ac:dyDescent="0.2">
      <c r="A63" s="37" t="s">
        <v>291</v>
      </c>
      <c r="D63" s="20" t="s">
        <v>78</v>
      </c>
      <c r="E63" s="47">
        <f t="shared" ref="E63:AT63" si="35">(E54*$M$3)+((MAX(E55,E56*2)*$M$4))</f>
        <v>15</v>
      </c>
      <c r="F63" s="47">
        <f t="shared" si="35"/>
        <v>15</v>
      </c>
      <c r="G63" s="47">
        <f t="shared" si="35"/>
        <v>15</v>
      </c>
      <c r="H63" s="47">
        <f t="shared" si="35"/>
        <v>15</v>
      </c>
      <c r="I63" s="47">
        <f t="shared" si="35"/>
        <v>15</v>
      </c>
      <c r="J63" s="47">
        <f t="shared" si="35"/>
        <v>15</v>
      </c>
      <c r="K63" s="47">
        <f t="shared" si="35"/>
        <v>15</v>
      </c>
      <c r="L63" s="47">
        <f t="shared" si="35"/>
        <v>15</v>
      </c>
      <c r="M63" s="47">
        <f t="shared" si="35"/>
        <v>15</v>
      </c>
      <c r="N63" s="47">
        <f t="shared" si="35"/>
        <v>15</v>
      </c>
      <c r="O63" s="47">
        <f t="shared" si="35"/>
        <v>15</v>
      </c>
      <c r="P63" s="47">
        <f t="shared" si="35"/>
        <v>15</v>
      </c>
      <c r="Q63" s="47">
        <f t="shared" si="35"/>
        <v>15</v>
      </c>
      <c r="R63" s="47">
        <f t="shared" si="35"/>
        <v>15</v>
      </c>
      <c r="S63" s="47">
        <f t="shared" si="35"/>
        <v>15</v>
      </c>
      <c r="T63" s="47">
        <f t="shared" si="35"/>
        <v>15</v>
      </c>
      <c r="U63" s="47">
        <f t="shared" si="35"/>
        <v>15</v>
      </c>
      <c r="V63" s="47">
        <f t="shared" si="35"/>
        <v>15</v>
      </c>
      <c r="W63" s="47">
        <f t="shared" si="35"/>
        <v>15</v>
      </c>
      <c r="X63" s="47">
        <f t="shared" si="35"/>
        <v>15</v>
      </c>
      <c r="Y63" s="47">
        <f t="shared" si="35"/>
        <v>15</v>
      </c>
      <c r="Z63" s="47">
        <f t="shared" si="35"/>
        <v>15</v>
      </c>
      <c r="AA63" s="47">
        <f t="shared" si="35"/>
        <v>15</v>
      </c>
      <c r="AB63" s="47">
        <f t="shared" si="35"/>
        <v>15</v>
      </c>
      <c r="AC63" s="47">
        <f t="shared" si="35"/>
        <v>15</v>
      </c>
      <c r="AD63" s="47">
        <f t="shared" si="35"/>
        <v>15</v>
      </c>
      <c r="AE63" s="47">
        <f t="shared" si="35"/>
        <v>15</v>
      </c>
      <c r="AF63" s="47">
        <f t="shared" si="35"/>
        <v>15</v>
      </c>
      <c r="AG63" s="47">
        <f t="shared" si="35"/>
        <v>15</v>
      </c>
      <c r="AH63" s="47">
        <f t="shared" si="35"/>
        <v>15</v>
      </c>
      <c r="AI63" s="47">
        <f t="shared" si="35"/>
        <v>15</v>
      </c>
      <c r="AJ63" s="47">
        <f t="shared" si="35"/>
        <v>15</v>
      </c>
      <c r="AK63" s="47">
        <f t="shared" si="35"/>
        <v>15</v>
      </c>
      <c r="AL63" s="47">
        <f t="shared" si="35"/>
        <v>15</v>
      </c>
      <c r="AM63" s="47">
        <f t="shared" si="35"/>
        <v>15</v>
      </c>
      <c r="AN63" s="47">
        <f t="shared" si="35"/>
        <v>15</v>
      </c>
      <c r="AO63" s="47">
        <f t="shared" si="35"/>
        <v>15</v>
      </c>
      <c r="AP63" s="47">
        <f t="shared" si="35"/>
        <v>15</v>
      </c>
      <c r="AQ63" s="47">
        <f t="shared" si="35"/>
        <v>15</v>
      </c>
      <c r="AR63" s="47">
        <f t="shared" si="35"/>
        <v>15</v>
      </c>
      <c r="AS63" s="47">
        <f t="shared" si="35"/>
        <v>15</v>
      </c>
      <c r="AT63" s="47">
        <f t="shared" si="35"/>
        <v>15</v>
      </c>
    </row>
    <row r="64" spans="1:46" ht="12.75" customHeight="1" x14ac:dyDescent="0.2">
      <c r="A64" s="37" t="s">
        <v>292</v>
      </c>
      <c r="D64" s="20" t="s">
        <v>78</v>
      </c>
      <c r="E64" s="9">
        <f t="shared" ref="E64:AT64" si="36">E56*$M$4</f>
        <v>7.5</v>
      </c>
      <c r="F64" s="9">
        <f t="shared" si="36"/>
        <v>7.5</v>
      </c>
      <c r="G64" s="9">
        <f t="shared" si="36"/>
        <v>7.5</v>
      </c>
      <c r="H64" s="9">
        <f t="shared" si="36"/>
        <v>7.5</v>
      </c>
      <c r="I64" s="9">
        <f t="shared" si="36"/>
        <v>7.5</v>
      </c>
      <c r="J64" s="9">
        <f t="shared" si="36"/>
        <v>7.5</v>
      </c>
      <c r="K64" s="9">
        <f t="shared" si="36"/>
        <v>7.5</v>
      </c>
      <c r="L64" s="9">
        <f t="shared" si="36"/>
        <v>7.5</v>
      </c>
      <c r="M64" s="9">
        <f t="shared" si="36"/>
        <v>7.5</v>
      </c>
      <c r="N64" s="9">
        <f t="shared" si="36"/>
        <v>7.5</v>
      </c>
      <c r="O64" s="9">
        <f t="shared" si="36"/>
        <v>7.5</v>
      </c>
      <c r="P64" s="9">
        <f t="shared" si="36"/>
        <v>7.5</v>
      </c>
      <c r="Q64" s="9">
        <f t="shared" si="36"/>
        <v>7.5</v>
      </c>
      <c r="R64" s="9">
        <f t="shared" si="36"/>
        <v>7.5</v>
      </c>
      <c r="S64" s="9">
        <f t="shared" si="36"/>
        <v>7.5</v>
      </c>
      <c r="T64" s="9">
        <f t="shared" si="36"/>
        <v>7.5</v>
      </c>
      <c r="U64" s="9">
        <f t="shared" si="36"/>
        <v>7.5</v>
      </c>
      <c r="V64" s="9">
        <f t="shared" si="36"/>
        <v>7.5</v>
      </c>
      <c r="W64" s="9">
        <f t="shared" si="36"/>
        <v>7.5</v>
      </c>
      <c r="X64" s="9">
        <f t="shared" si="36"/>
        <v>7.5</v>
      </c>
      <c r="Y64" s="9">
        <f t="shared" si="36"/>
        <v>7.5</v>
      </c>
      <c r="Z64" s="9">
        <f t="shared" si="36"/>
        <v>7.5</v>
      </c>
      <c r="AA64" s="9">
        <f t="shared" si="36"/>
        <v>7.5</v>
      </c>
      <c r="AB64" s="9">
        <f t="shared" si="36"/>
        <v>7.5</v>
      </c>
      <c r="AC64" s="9">
        <f t="shared" si="36"/>
        <v>7.5</v>
      </c>
      <c r="AD64" s="9">
        <f t="shared" si="36"/>
        <v>7.5</v>
      </c>
      <c r="AE64" s="9">
        <f t="shared" si="36"/>
        <v>7.5</v>
      </c>
      <c r="AF64" s="9">
        <f t="shared" si="36"/>
        <v>7.5</v>
      </c>
      <c r="AG64" s="9">
        <f t="shared" si="36"/>
        <v>7.5</v>
      </c>
      <c r="AH64" s="9">
        <f t="shared" si="36"/>
        <v>7.5</v>
      </c>
      <c r="AI64" s="9">
        <f t="shared" si="36"/>
        <v>7.5</v>
      </c>
      <c r="AJ64" s="9">
        <f t="shared" si="36"/>
        <v>7.5</v>
      </c>
      <c r="AK64" s="9">
        <f t="shared" si="36"/>
        <v>7.5</v>
      </c>
      <c r="AL64" s="9">
        <f t="shared" si="36"/>
        <v>7.5</v>
      </c>
      <c r="AM64" s="9">
        <f t="shared" si="36"/>
        <v>7.5</v>
      </c>
      <c r="AN64" s="9">
        <f t="shared" si="36"/>
        <v>7.5</v>
      </c>
      <c r="AO64" s="9">
        <f t="shared" si="36"/>
        <v>7.5</v>
      </c>
      <c r="AP64" s="9">
        <f t="shared" si="36"/>
        <v>7.5</v>
      </c>
      <c r="AQ64" s="9">
        <f t="shared" si="36"/>
        <v>7.5</v>
      </c>
      <c r="AR64" s="9">
        <f t="shared" si="36"/>
        <v>7.5</v>
      </c>
      <c r="AS64" s="9">
        <f t="shared" si="36"/>
        <v>7.5</v>
      </c>
      <c r="AT64" s="9">
        <f t="shared" si="36"/>
        <v>7.5</v>
      </c>
    </row>
    <row r="65" spans="1:46" ht="12.75" customHeight="1" x14ac:dyDescent="0.2">
      <c r="A65" s="37" t="s">
        <v>293</v>
      </c>
      <c r="D65" s="20" t="s">
        <v>78</v>
      </c>
      <c r="E65" s="47" t="e">
        <f t="shared" ref="E65:AT65" si="37">(E58*$M$2)+(E59*$M$5)</f>
        <v>#DIV/0!</v>
      </c>
      <c r="F65" s="47" t="e">
        <f t="shared" si="37"/>
        <v>#DIV/0!</v>
      </c>
      <c r="G65" s="47" t="e">
        <f t="shared" si="37"/>
        <v>#DIV/0!</v>
      </c>
      <c r="H65" s="47" t="e">
        <f t="shared" si="37"/>
        <v>#DIV/0!</v>
      </c>
      <c r="I65" s="47" t="e">
        <f t="shared" si="37"/>
        <v>#DIV/0!</v>
      </c>
      <c r="J65" s="47" t="e">
        <f t="shared" si="37"/>
        <v>#DIV/0!</v>
      </c>
      <c r="K65" s="47" t="e">
        <f t="shared" si="37"/>
        <v>#DIV/0!</v>
      </c>
      <c r="L65" s="47" t="e">
        <f t="shared" si="37"/>
        <v>#DIV/0!</v>
      </c>
      <c r="M65" s="47" t="e">
        <f t="shared" si="37"/>
        <v>#DIV/0!</v>
      </c>
      <c r="N65" s="47" t="e">
        <f t="shared" si="37"/>
        <v>#DIV/0!</v>
      </c>
      <c r="O65" s="47" t="e">
        <f t="shared" si="37"/>
        <v>#DIV/0!</v>
      </c>
      <c r="P65" s="47" t="e">
        <f t="shared" si="37"/>
        <v>#DIV/0!</v>
      </c>
      <c r="Q65" s="47" t="e">
        <f t="shared" si="37"/>
        <v>#DIV/0!</v>
      </c>
      <c r="R65" s="47" t="e">
        <f t="shared" si="37"/>
        <v>#DIV/0!</v>
      </c>
      <c r="S65" s="47" t="e">
        <f t="shared" si="37"/>
        <v>#DIV/0!</v>
      </c>
      <c r="T65" s="47" t="e">
        <f t="shared" si="37"/>
        <v>#DIV/0!</v>
      </c>
      <c r="U65" s="47" t="e">
        <f t="shared" si="37"/>
        <v>#DIV/0!</v>
      </c>
      <c r="V65" s="47" t="e">
        <f t="shared" si="37"/>
        <v>#DIV/0!</v>
      </c>
      <c r="W65" s="47" t="e">
        <f t="shared" si="37"/>
        <v>#DIV/0!</v>
      </c>
      <c r="X65" s="47" t="e">
        <f t="shared" si="37"/>
        <v>#DIV/0!</v>
      </c>
      <c r="Y65" s="47" t="e">
        <f t="shared" si="37"/>
        <v>#DIV/0!</v>
      </c>
      <c r="Z65" s="47" t="e">
        <f t="shared" si="37"/>
        <v>#DIV/0!</v>
      </c>
      <c r="AA65" s="47" t="e">
        <f t="shared" si="37"/>
        <v>#DIV/0!</v>
      </c>
      <c r="AB65" s="47" t="e">
        <f t="shared" si="37"/>
        <v>#DIV/0!</v>
      </c>
      <c r="AC65" s="47" t="e">
        <f t="shared" si="37"/>
        <v>#DIV/0!</v>
      </c>
      <c r="AD65" s="47" t="e">
        <f t="shared" si="37"/>
        <v>#DIV/0!</v>
      </c>
      <c r="AE65" s="47" t="e">
        <f t="shared" si="37"/>
        <v>#DIV/0!</v>
      </c>
      <c r="AF65" s="47" t="e">
        <f t="shared" si="37"/>
        <v>#DIV/0!</v>
      </c>
      <c r="AG65" s="47" t="e">
        <f t="shared" si="37"/>
        <v>#DIV/0!</v>
      </c>
      <c r="AH65" s="47" t="e">
        <f t="shared" si="37"/>
        <v>#DIV/0!</v>
      </c>
      <c r="AI65" s="47" t="e">
        <f t="shared" si="37"/>
        <v>#DIV/0!</v>
      </c>
      <c r="AJ65" s="47" t="e">
        <f t="shared" si="37"/>
        <v>#DIV/0!</v>
      </c>
      <c r="AK65" s="47" t="e">
        <f t="shared" si="37"/>
        <v>#DIV/0!</v>
      </c>
      <c r="AL65" s="47" t="e">
        <f t="shared" si="37"/>
        <v>#DIV/0!</v>
      </c>
      <c r="AM65" s="47" t="e">
        <f t="shared" si="37"/>
        <v>#DIV/0!</v>
      </c>
      <c r="AN65" s="47" t="e">
        <f t="shared" si="37"/>
        <v>#DIV/0!</v>
      </c>
      <c r="AO65" s="47" t="e">
        <f t="shared" si="37"/>
        <v>#DIV/0!</v>
      </c>
      <c r="AP65" s="47" t="e">
        <f t="shared" si="37"/>
        <v>#DIV/0!</v>
      </c>
      <c r="AQ65" s="47" t="e">
        <f t="shared" si="37"/>
        <v>#DIV/0!</v>
      </c>
      <c r="AR65" s="47" t="e">
        <f t="shared" si="37"/>
        <v>#DIV/0!</v>
      </c>
      <c r="AS65" s="47" t="e">
        <f t="shared" si="37"/>
        <v>#DIV/0!</v>
      </c>
      <c r="AT65" s="47" t="e">
        <f t="shared" si="37"/>
        <v>#DIV/0!</v>
      </c>
    </row>
    <row r="66" spans="1:46" ht="12.75" customHeight="1" x14ac:dyDescent="0.2"/>
    <row r="67" spans="1:46" ht="12.75" customHeight="1" x14ac:dyDescent="0.2">
      <c r="A67" s="42" t="s">
        <v>294</v>
      </c>
    </row>
    <row r="68" spans="1:46" ht="12.75" customHeight="1" x14ac:dyDescent="0.2">
      <c r="A68" s="6" t="s">
        <v>295</v>
      </c>
      <c r="C68" s="64" t="s">
        <v>296</v>
      </c>
      <c r="D68" s="10" t="s">
        <v>113</v>
      </c>
      <c r="E68" s="53">
        <v>1</v>
      </c>
      <c r="F68" s="53">
        <v>1</v>
      </c>
      <c r="G68" s="53">
        <v>1</v>
      </c>
      <c r="H68" s="53">
        <v>1</v>
      </c>
      <c r="I68" s="53">
        <v>1</v>
      </c>
      <c r="J68" s="53">
        <v>1</v>
      </c>
      <c r="K68" s="53">
        <v>1</v>
      </c>
      <c r="L68" s="53">
        <v>1</v>
      </c>
      <c r="M68" s="53">
        <v>1</v>
      </c>
      <c r="N68" s="53">
        <v>1</v>
      </c>
      <c r="O68" s="53">
        <v>1</v>
      </c>
      <c r="P68" s="53">
        <v>1</v>
      </c>
      <c r="Q68" s="53">
        <v>1</v>
      </c>
      <c r="R68" s="53">
        <v>1</v>
      </c>
      <c r="S68" s="53">
        <v>1</v>
      </c>
      <c r="T68" s="53">
        <v>1</v>
      </c>
      <c r="U68" s="53">
        <v>1</v>
      </c>
      <c r="V68" s="53">
        <v>1</v>
      </c>
      <c r="W68" s="53">
        <v>1</v>
      </c>
      <c r="X68" s="53">
        <v>1</v>
      </c>
      <c r="Y68" s="53">
        <v>1</v>
      </c>
      <c r="Z68" s="53">
        <v>1</v>
      </c>
      <c r="AA68" s="53">
        <v>1</v>
      </c>
      <c r="AB68" s="53">
        <v>1</v>
      </c>
      <c r="AC68" s="53">
        <v>1</v>
      </c>
      <c r="AD68" s="53">
        <v>1</v>
      </c>
      <c r="AE68" s="53">
        <v>1</v>
      </c>
      <c r="AF68" s="53">
        <v>1</v>
      </c>
      <c r="AG68" s="53">
        <v>1</v>
      </c>
      <c r="AH68" s="53">
        <v>1</v>
      </c>
      <c r="AI68" s="53">
        <v>1</v>
      </c>
      <c r="AJ68" s="53">
        <v>1</v>
      </c>
      <c r="AK68" s="53">
        <v>1</v>
      </c>
      <c r="AL68" s="53">
        <v>1</v>
      </c>
      <c r="AM68" s="53">
        <v>1</v>
      </c>
      <c r="AN68" s="53">
        <v>1</v>
      </c>
      <c r="AO68" s="53">
        <v>1</v>
      </c>
      <c r="AP68" s="53">
        <v>1</v>
      </c>
      <c r="AQ68" s="53">
        <v>1</v>
      </c>
      <c r="AR68" s="53">
        <v>1</v>
      </c>
      <c r="AS68" s="53">
        <v>1</v>
      </c>
      <c r="AT68" s="53">
        <v>1</v>
      </c>
    </row>
    <row r="69" spans="1:46" ht="12.75" customHeight="1" x14ac:dyDescent="0.2">
      <c r="A69" s="6" t="s">
        <v>295</v>
      </c>
      <c r="C69" s="64" t="s">
        <v>297</v>
      </c>
      <c r="D69" s="10" t="s">
        <v>113</v>
      </c>
      <c r="E69" s="53">
        <v>1</v>
      </c>
      <c r="F69" s="53">
        <v>1</v>
      </c>
      <c r="G69" s="53">
        <v>1</v>
      </c>
      <c r="H69" s="53">
        <v>1</v>
      </c>
      <c r="I69" s="53">
        <v>1</v>
      </c>
      <c r="J69" s="53">
        <v>1</v>
      </c>
      <c r="K69" s="53">
        <v>1</v>
      </c>
      <c r="L69" s="53">
        <v>1</v>
      </c>
      <c r="M69" s="53">
        <v>1</v>
      </c>
      <c r="N69" s="53">
        <v>1</v>
      </c>
      <c r="O69" s="53">
        <v>1</v>
      </c>
      <c r="P69" s="53">
        <v>1</v>
      </c>
      <c r="Q69" s="53">
        <v>1</v>
      </c>
      <c r="R69" s="53">
        <v>1</v>
      </c>
      <c r="S69" s="53">
        <v>1</v>
      </c>
      <c r="T69" s="53">
        <v>1</v>
      </c>
      <c r="U69" s="53">
        <v>1</v>
      </c>
      <c r="V69" s="53">
        <v>1</v>
      </c>
      <c r="W69" s="53">
        <v>1</v>
      </c>
      <c r="X69" s="53">
        <v>1</v>
      </c>
      <c r="Y69" s="53">
        <v>1</v>
      </c>
      <c r="Z69" s="53">
        <v>1</v>
      </c>
      <c r="AA69" s="53">
        <v>1</v>
      </c>
      <c r="AB69" s="53">
        <v>1</v>
      </c>
      <c r="AC69" s="53">
        <v>1</v>
      </c>
      <c r="AD69" s="53">
        <v>1</v>
      </c>
      <c r="AE69" s="53">
        <v>1</v>
      </c>
      <c r="AF69" s="53">
        <v>1</v>
      </c>
      <c r="AG69" s="53">
        <v>1</v>
      </c>
      <c r="AH69" s="53">
        <v>1</v>
      </c>
      <c r="AI69" s="53">
        <v>1</v>
      </c>
      <c r="AJ69" s="53">
        <v>1</v>
      </c>
      <c r="AK69" s="53">
        <v>1</v>
      </c>
      <c r="AL69" s="53">
        <v>1</v>
      </c>
      <c r="AM69" s="53">
        <v>1</v>
      </c>
      <c r="AN69" s="53">
        <v>1</v>
      </c>
      <c r="AO69" s="53">
        <v>1</v>
      </c>
      <c r="AP69" s="53">
        <v>1</v>
      </c>
      <c r="AQ69" s="53">
        <v>1</v>
      </c>
      <c r="AR69" s="53">
        <v>1</v>
      </c>
      <c r="AS69" s="53">
        <v>1</v>
      </c>
      <c r="AT69" s="53">
        <v>1</v>
      </c>
    </row>
    <row r="70" spans="1:46" ht="12.75" customHeight="1" x14ac:dyDescent="0.2">
      <c r="A70" s="6"/>
    </row>
    <row r="71" spans="1:46" ht="12.75" customHeight="1" x14ac:dyDescent="0.2">
      <c r="A71" s="50" t="s">
        <v>298</v>
      </c>
      <c r="C71" s="57" t="s">
        <v>185</v>
      </c>
    </row>
    <row r="72" spans="1:46" ht="12.75" customHeight="1" x14ac:dyDescent="0.2">
      <c r="A72" s="6" t="s">
        <v>186</v>
      </c>
      <c r="C72" s="61" t="s">
        <v>187</v>
      </c>
      <c r="D72" s="56" t="s">
        <v>78</v>
      </c>
      <c r="E72" s="47" t="e">
        <f t="shared" ref="E72:AT72" si="38">E65</f>
        <v>#DIV/0!</v>
      </c>
      <c r="F72" s="47" t="e">
        <f t="shared" si="38"/>
        <v>#DIV/0!</v>
      </c>
      <c r="G72" s="47" t="e">
        <f t="shared" si="38"/>
        <v>#DIV/0!</v>
      </c>
      <c r="H72" s="47" t="e">
        <f t="shared" si="38"/>
        <v>#DIV/0!</v>
      </c>
      <c r="I72" s="47" t="e">
        <f t="shared" si="38"/>
        <v>#DIV/0!</v>
      </c>
      <c r="J72" s="47" t="e">
        <f t="shared" si="38"/>
        <v>#DIV/0!</v>
      </c>
      <c r="K72" s="47" t="e">
        <f t="shared" si="38"/>
        <v>#DIV/0!</v>
      </c>
      <c r="L72" s="47" t="e">
        <f t="shared" si="38"/>
        <v>#DIV/0!</v>
      </c>
      <c r="M72" s="47" t="e">
        <f t="shared" si="38"/>
        <v>#DIV/0!</v>
      </c>
      <c r="N72" s="47" t="e">
        <f t="shared" si="38"/>
        <v>#DIV/0!</v>
      </c>
      <c r="O72" s="47" t="e">
        <f t="shared" si="38"/>
        <v>#DIV/0!</v>
      </c>
      <c r="P72" s="47" t="e">
        <f t="shared" si="38"/>
        <v>#DIV/0!</v>
      </c>
      <c r="Q72" s="47" t="e">
        <f t="shared" si="38"/>
        <v>#DIV/0!</v>
      </c>
      <c r="R72" s="47" t="e">
        <f t="shared" si="38"/>
        <v>#DIV/0!</v>
      </c>
      <c r="S72" s="47" t="e">
        <f t="shared" si="38"/>
        <v>#DIV/0!</v>
      </c>
      <c r="T72" s="47" t="e">
        <f t="shared" si="38"/>
        <v>#DIV/0!</v>
      </c>
      <c r="U72" s="47" t="e">
        <f t="shared" si="38"/>
        <v>#DIV/0!</v>
      </c>
      <c r="V72" s="47" t="e">
        <f t="shared" si="38"/>
        <v>#DIV/0!</v>
      </c>
      <c r="W72" s="47" t="e">
        <f t="shared" si="38"/>
        <v>#DIV/0!</v>
      </c>
      <c r="X72" s="47" t="e">
        <f t="shared" si="38"/>
        <v>#DIV/0!</v>
      </c>
      <c r="Y72" s="47" t="e">
        <f t="shared" si="38"/>
        <v>#DIV/0!</v>
      </c>
      <c r="Z72" s="47" t="e">
        <f t="shared" si="38"/>
        <v>#DIV/0!</v>
      </c>
      <c r="AA72" s="47" t="e">
        <f t="shared" si="38"/>
        <v>#DIV/0!</v>
      </c>
      <c r="AB72" s="47" t="e">
        <f t="shared" si="38"/>
        <v>#DIV/0!</v>
      </c>
      <c r="AC72" s="47" t="e">
        <f t="shared" si="38"/>
        <v>#DIV/0!</v>
      </c>
      <c r="AD72" s="47" t="e">
        <f t="shared" si="38"/>
        <v>#DIV/0!</v>
      </c>
      <c r="AE72" s="47" t="e">
        <f t="shared" si="38"/>
        <v>#DIV/0!</v>
      </c>
      <c r="AF72" s="47" t="e">
        <f t="shared" si="38"/>
        <v>#DIV/0!</v>
      </c>
      <c r="AG72" s="47" t="e">
        <f t="shared" si="38"/>
        <v>#DIV/0!</v>
      </c>
      <c r="AH72" s="47" t="e">
        <f t="shared" si="38"/>
        <v>#DIV/0!</v>
      </c>
      <c r="AI72" s="47" t="e">
        <f t="shared" si="38"/>
        <v>#DIV/0!</v>
      </c>
      <c r="AJ72" s="47" t="e">
        <f t="shared" si="38"/>
        <v>#DIV/0!</v>
      </c>
      <c r="AK72" s="47" t="e">
        <f t="shared" si="38"/>
        <v>#DIV/0!</v>
      </c>
      <c r="AL72" s="47" t="e">
        <f t="shared" si="38"/>
        <v>#DIV/0!</v>
      </c>
      <c r="AM72" s="47" t="e">
        <f t="shared" si="38"/>
        <v>#DIV/0!</v>
      </c>
      <c r="AN72" s="47" t="e">
        <f t="shared" si="38"/>
        <v>#DIV/0!</v>
      </c>
      <c r="AO72" s="47" t="e">
        <f t="shared" si="38"/>
        <v>#DIV/0!</v>
      </c>
      <c r="AP72" s="47" t="e">
        <f t="shared" si="38"/>
        <v>#DIV/0!</v>
      </c>
      <c r="AQ72" s="47" t="e">
        <f t="shared" si="38"/>
        <v>#DIV/0!</v>
      </c>
      <c r="AR72" s="47" t="e">
        <f t="shared" si="38"/>
        <v>#DIV/0!</v>
      </c>
      <c r="AS72" s="47" t="e">
        <f t="shared" si="38"/>
        <v>#DIV/0!</v>
      </c>
      <c r="AT72" s="47" t="e">
        <f t="shared" si="38"/>
        <v>#DIV/0!</v>
      </c>
    </row>
    <row r="73" spans="1:46" ht="12.75" customHeight="1" x14ac:dyDescent="0.2">
      <c r="A73" s="6" t="s">
        <v>299</v>
      </c>
      <c r="C73" s="61" t="s">
        <v>300</v>
      </c>
      <c r="D73" s="56" t="s">
        <v>78</v>
      </c>
      <c r="E73" s="47">
        <f t="shared" ref="E73:AT73" si="39">E22*E12/E68/1000</f>
        <v>0</v>
      </c>
      <c r="F73" s="47">
        <f t="shared" si="39"/>
        <v>0</v>
      </c>
      <c r="G73" s="47">
        <f t="shared" si="39"/>
        <v>0</v>
      </c>
      <c r="H73" s="47">
        <f t="shared" si="39"/>
        <v>0</v>
      </c>
      <c r="I73" s="47">
        <f t="shared" si="39"/>
        <v>0</v>
      </c>
      <c r="J73" s="47">
        <f t="shared" si="39"/>
        <v>0</v>
      </c>
      <c r="K73" s="47">
        <f t="shared" si="39"/>
        <v>0</v>
      </c>
      <c r="L73" s="47">
        <f t="shared" si="39"/>
        <v>0</v>
      </c>
      <c r="M73" s="47">
        <f t="shared" si="39"/>
        <v>0</v>
      </c>
      <c r="N73" s="47">
        <f t="shared" si="39"/>
        <v>0</v>
      </c>
      <c r="O73" s="47">
        <f t="shared" si="39"/>
        <v>0</v>
      </c>
      <c r="P73" s="47">
        <f t="shared" si="39"/>
        <v>0</v>
      </c>
      <c r="Q73" s="47">
        <f t="shared" si="39"/>
        <v>0</v>
      </c>
      <c r="R73" s="47">
        <f t="shared" si="39"/>
        <v>0</v>
      </c>
      <c r="S73" s="47">
        <f t="shared" si="39"/>
        <v>0</v>
      </c>
      <c r="T73" s="47">
        <f t="shared" si="39"/>
        <v>0</v>
      </c>
      <c r="U73" s="47">
        <f t="shared" si="39"/>
        <v>0</v>
      </c>
      <c r="V73" s="47">
        <f t="shared" si="39"/>
        <v>0</v>
      </c>
      <c r="W73" s="47">
        <f t="shared" si="39"/>
        <v>0</v>
      </c>
      <c r="X73" s="47">
        <f t="shared" si="39"/>
        <v>0</v>
      </c>
      <c r="Y73" s="47">
        <f t="shared" si="39"/>
        <v>0</v>
      </c>
      <c r="Z73" s="47">
        <f t="shared" si="39"/>
        <v>0</v>
      </c>
      <c r="AA73" s="47">
        <f t="shared" si="39"/>
        <v>0</v>
      </c>
      <c r="AB73" s="47">
        <f t="shared" si="39"/>
        <v>0</v>
      </c>
      <c r="AC73" s="47">
        <f t="shared" si="39"/>
        <v>0</v>
      </c>
      <c r="AD73" s="47">
        <f t="shared" si="39"/>
        <v>0</v>
      </c>
      <c r="AE73" s="47">
        <f t="shared" si="39"/>
        <v>0</v>
      </c>
      <c r="AF73" s="47">
        <f t="shared" si="39"/>
        <v>0</v>
      </c>
      <c r="AG73" s="47">
        <f t="shared" si="39"/>
        <v>0</v>
      </c>
      <c r="AH73" s="47">
        <f t="shared" si="39"/>
        <v>0</v>
      </c>
      <c r="AI73" s="47">
        <f t="shared" si="39"/>
        <v>0</v>
      </c>
      <c r="AJ73" s="47">
        <f t="shared" si="39"/>
        <v>0</v>
      </c>
      <c r="AK73" s="47">
        <f t="shared" si="39"/>
        <v>0</v>
      </c>
      <c r="AL73" s="47">
        <f t="shared" si="39"/>
        <v>0</v>
      </c>
      <c r="AM73" s="47">
        <f t="shared" si="39"/>
        <v>0</v>
      </c>
      <c r="AN73" s="47">
        <f t="shared" si="39"/>
        <v>0</v>
      </c>
      <c r="AO73" s="47">
        <f t="shared" si="39"/>
        <v>0</v>
      </c>
      <c r="AP73" s="47">
        <f t="shared" si="39"/>
        <v>0</v>
      </c>
      <c r="AQ73" s="47">
        <f t="shared" si="39"/>
        <v>0</v>
      </c>
      <c r="AR73" s="47">
        <f t="shared" si="39"/>
        <v>0</v>
      </c>
      <c r="AS73" s="47">
        <f t="shared" si="39"/>
        <v>0</v>
      </c>
      <c r="AT73" s="47">
        <f t="shared" si="39"/>
        <v>0</v>
      </c>
    </row>
    <row r="74" spans="1:46" ht="12.75" customHeight="1" x14ac:dyDescent="0.2">
      <c r="A74" s="6" t="s">
        <v>181</v>
      </c>
      <c r="C74" s="61" t="s">
        <v>190</v>
      </c>
      <c r="D74" s="10" t="s">
        <v>113</v>
      </c>
      <c r="E74" s="59" t="e">
        <f t="shared" ref="E74:AT74" si="40">E72/E73</f>
        <v>#DIV/0!</v>
      </c>
      <c r="F74" s="59" t="e">
        <f t="shared" si="40"/>
        <v>#DIV/0!</v>
      </c>
      <c r="G74" s="59" t="e">
        <f t="shared" si="40"/>
        <v>#DIV/0!</v>
      </c>
      <c r="H74" s="59" t="e">
        <f t="shared" si="40"/>
        <v>#DIV/0!</v>
      </c>
      <c r="I74" s="59" t="e">
        <f t="shared" si="40"/>
        <v>#DIV/0!</v>
      </c>
      <c r="J74" s="59" t="e">
        <f t="shared" si="40"/>
        <v>#DIV/0!</v>
      </c>
      <c r="K74" s="59" t="e">
        <f t="shared" si="40"/>
        <v>#DIV/0!</v>
      </c>
      <c r="L74" s="59" t="e">
        <f t="shared" si="40"/>
        <v>#DIV/0!</v>
      </c>
      <c r="M74" s="59" t="e">
        <f t="shared" si="40"/>
        <v>#DIV/0!</v>
      </c>
      <c r="N74" s="59" t="e">
        <f t="shared" si="40"/>
        <v>#DIV/0!</v>
      </c>
      <c r="O74" s="59" t="e">
        <f t="shared" si="40"/>
        <v>#DIV/0!</v>
      </c>
      <c r="P74" s="59" t="e">
        <f t="shared" si="40"/>
        <v>#DIV/0!</v>
      </c>
      <c r="Q74" s="59" t="e">
        <f t="shared" si="40"/>
        <v>#DIV/0!</v>
      </c>
      <c r="R74" s="59" t="e">
        <f t="shared" si="40"/>
        <v>#DIV/0!</v>
      </c>
      <c r="S74" s="59" t="e">
        <f t="shared" si="40"/>
        <v>#DIV/0!</v>
      </c>
      <c r="T74" s="59" t="e">
        <f t="shared" si="40"/>
        <v>#DIV/0!</v>
      </c>
      <c r="U74" s="59" t="e">
        <f t="shared" si="40"/>
        <v>#DIV/0!</v>
      </c>
      <c r="V74" s="59" t="e">
        <f t="shared" si="40"/>
        <v>#DIV/0!</v>
      </c>
      <c r="W74" s="59" t="e">
        <f t="shared" si="40"/>
        <v>#DIV/0!</v>
      </c>
      <c r="X74" s="59" t="e">
        <f t="shared" si="40"/>
        <v>#DIV/0!</v>
      </c>
      <c r="Y74" s="59" t="e">
        <f t="shared" si="40"/>
        <v>#DIV/0!</v>
      </c>
      <c r="Z74" s="59" t="e">
        <f t="shared" si="40"/>
        <v>#DIV/0!</v>
      </c>
      <c r="AA74" s="59" t="e">
        <f t="shared" si="40"/>
        <v>#DIV/0!</v>
      </c>
      <c r="AB74" s="59" t="e">
        <f t="shared" si="40"/>
        <v>#DIV/0!</v>
      </c>
      <c r="AC74" s="59" t="e">
        <f t="shared" si="40"/>
        <v>#DIV/0!</v>
      </c>
      <c r="AD74" s="59" t="e">
        <f t="shared" si="40"/>
        <v>#DIV/0!</v>
      </c>
      <c r="AE74" s="59" t="e">
        <f t="shared" si="40"/>
        <v>#DIV/0!</v>
      </c>
      <c r="AF74" s="59" t="e">
        <f t="shared" si="40"/>
        <v>#DIV/0!</v>
      </c>
      <c r="AG74" s="59" t="e">
        <f t="shared" si="40"/>
        <v>#DIV/0!</v>
      </c>
      <c r="AH74" s="59" t="e">
        <f t="shared" si="40"/>
        <v>#DIV/0!</v>
      </c>
      <c r="AI74" s="59" t="e">
        <f t="shared" si="40"/>
        <v>#DIV/0!</v>
      </c>
      <c r="AJ74" s="59" t="e">
        <f t="shared" si="40"/>
        <v>#DIV/0!</v>
      </c>
      <c r="AK74" s="59" t="e">
        <f t="shared" si="40"/>
        <v>#DIV/0!</v>
      </c>
      <c r="AL74" s="59" t="e">
        <f t="shared" si="40"/>
        <v>#DIV/0!</v>
      </c>
      <c r="AM74" s="59" t="e">
        <f t="shared" si="40"/>
        <v>#DIV/0!</v>
      </c>
      <c r="AN74" s="59" t="e">
        <f t="shared" si="40"/>
        <v>#DIV/0!</v>
      </c>
      <c r="AO74" s="59" t="e">
        <f t="shared" si="40"/>
        <v>#DIV/0!</v>
      </c>
      <c r="AP74" s="59" t="e">
        <f t="shared" si="40"/>
        <v>#DIV/0!</v>
      </c>
      <c r="AQ74" s="59" t="e">
        <f t="shared" si="40"/>
        <v>#DIV/0!</v>
      </c>
      <c r="AR74" s="59" t="e">
        <f t="shared" si="40"/>
        <v>#DIV/0!</v>
      </c>
      <c r="AS74" s="59" t="e">
        <f t="shared" si="40"/>
        <v>#DIV/0!</v>
      </c>
      <c r="AT74" s="59" t="e">
        <f t="shared" si="40"/>
        <v>#DIV/0!</v>
      </c>
    </row>
    <row r="75" spans="1:46" ht="12.75" customHeight="1" x14ac:dyDescent="0.2">
      <c r="A75" s="6"/>
      <c r="C75" s="63"/>
    </row>
    <row r="76" spans="1:46" ht="12.75" customHeight="1" x14ac:dyDescent="0.2">
      <c r="A76" s="50" t="s">
        <v>191</v>
      </c>
      <c r="C76" s="57" t="s">
        <v>192</v>
      </c>
    </row>
    <row r="77" spans="1:46" ht="12.75" customHeight="1" x14ac:dyDescent="0.2">
      <c r="A77" s="6" t="s">
        <v>193</v>
      </c>
      <c r="C77" s="61" t="s">
        <v>194</v>
      </c>
      <c r="D77" s="20" t="s">
        <v>177</v>
      </c>
      <c r="E77" s="47" t="e">
        <f t="shared" ref="E77:AT77" si="41">E62</f>
        <v>#DIV/0!</v>
      </c>
      <c r="F77" s="47" t="e">
        <f t="shared" si="41"/>
        <v>#DIV/0!</v>
      </c>
      <c r="G77" s="47" t="e">
        <f t="shared" si="41"/>
        <v>#DIV/0!</v>
      </c>
      <c r="H77" s="47" t="e">
        <f t="shared" si="41"/>
        <v>#DIV/0!</v>
      </c>
      <c r="I77" s="47" t="e">
        <f t="shared" si="41"/>
        <v>#DIV/0!</v>
      </c>
      <c r="J77" s="47" t="e">
        <f t="shared" si="41"/>
        <v>#DIV/0!</v>
      </c>
      <c r="K77" s="47" t="e">
        <f t="shared" si="41"/>
        <v>#DIV/0!</v>
      </c>
      <c r="L77" s="47" t="e">
        <f t="shared" si="41"/>
        <v>#DIV/0!</v>
      </c>
      <c r="M77" s="47" t="e">
        <f t="shared" si="41"/>
        <v>#DIV/0!</v>
      </c>
      <c r="N77" s="47" t="e">
        <f t="shared" si="41"/>
        <v>#DIV/0!</v>
      </c>
      <c r="O77" s="47" t="e">
        <f t="shared" si="41"/>
        <v>#DIV/0!</v>
      </c>
      <c r="P77" s="47" t="e">
        <f t="shared" si="41"/>
        <v>#DIV/0!</v>
      </c>
      <c r="Q77" s="47" t="e">
        <f t="shared" si="41"/>
        <v>#DIV/0!</v>
      </c>
      <c r="R77" s="47" t="e">
        <f t="shared" si="41"/>
        <v>#DIV/0!</v>
      </c>
      <c r="S77" s="47" t="e">
        <f t="shared" si="41"/>
        <v>#DIV/0!</v>
      </c>
      <c r="T77" s="47" t="e">
        <f t="shared" si="41"/>
        <v>#DIV/0!</v>
      </c>
      <c r="U77" s="47" t="e">
        <f t="shared" si="41"/>
        <v>#DIV/0!</v>
      </c>
      <c r="V77" s="47" t="e">
        <f t="shared" si="41"/>
        <v>#DIV/0!</v>
      </c>
      <c r="W77" s="47" t="e">
        <f t="shared" si="41"/>
        <v>#DIV/0!</v>
      </c>
      <c r="X77" s="47" t="e">
        <f t="shared" si="41"/>
        <v>#DIV/0!</v>
      </c>
      <c r="Y77" s="47" t="e">
        <f t="shared" si="41"/>
        <v>#DIV/0!</v>
      </c>
      <c r="Z77" s="47" t="e">
        <f t="shared" si="41"/>
        <v>#DIV/0!</v>
      </c>
      <c r="AA77" s="47" t="e">
        <f t="shared" si="41"/>
        <v>#DIV/0!</v>
      </c>
      <c r="AB77" s="47" t="e">
        <f t="shared" si="41"/>
        <v>#DIV/0!</v>
      </c>
      <c r="AC77" s="47" t="e">
        <f t="shared" si="41"/>
        <v>#DIV/0!</v>
      </c>
      <c r="AD77" s="47" t="e">
        <f t="shared" si="41"/>
        <v>#DIV/0!</v>
      </c>
      <c r="AE77" s="47" t="e">
        <f t="shared" si="41"/>
        <v>#DIV/0!</v>
      </c>
      <c r="AF77" s="47" t="e">
        <f t="shared" si="41"/>
        <v>#DIV/0!</v>
      </c>
      <c r="AG77" s="47" t="e">
        <f t="shared" si="41"/>
        <v>#DIV/0!</v>
      </c>
      <c r="AH77" s="47" t="e">
        <f t="shared" si="41"/>
        <v>#DIV/0!</v>
      </c>
      <c r="AI77" s="47" t="e">
        <f t="shared" si="41"/>
        <v>#DIV/0!</v>
      </c>
      <c r="AJ77" s="47" t="e">
        <f t="shared" si="41"/>
        <v>#DIV/0!</v>
      </c>
      <c r="AK77" s="47" t="e">
        <f t="shared" si="41"/>
        <v>#DIV/0!</v>
      </c>
      <c r="AL77" s="47" t="e">
        <f t="shared" si="41"/>
        <v>#DIV/0!</v>
      </c>
      <c r="AM77" s="47" t="e">
        <f t="shared" si="41"/>
        <v>#DIV/0!</v>
      </c>
      <c r="AN77" s="47" t="e">
        <f t="shared" si="41"/>
        <v>#DIV/0!</v>
      </c>
      <c r="AO77" s="47" t="e">
        <f t="shared" si="41"/>
        <v>#DIV/0!</v>
      </c>
      <c r="AP77" s="47" t="e">
        <f t="shared" si="41"/>
        <v>#DIV/0!</v>
      </c>
      <c r="AQ77" s="47" t="e">
        <f t="shared" si="41"/>
        <v>#DIV/0!</v>
      </c>
      <c r="AR77" s="47" t="e">
        <f t="shared" si="41"/>
        <v>#DIV/0!</v>
      </c>
      <c r="AS77" s="47" t="e">
        <f t="shared" si="41"/>
        <v>#DIV/0!</v>
      </c>
      <c r="AT77" s="47" t="e">
        <f t="shared" si="41"/>
        <v>#DIV/0!</v>
      </c>
    </row>
    <row r="78" spans="1:46" ht="12.75" customHeight="1" x14ac:dyDescent="0.2">
      <c r="A78" s="6" t="s">
        <v>301</v>
      </c>
      <c r="C78" s="63"/>
      <c r="D78" s="10" t="s">
        <v>113</v>
      </c>
      <c r="E78" s="9" t="e">
        <f t="shared" ref="E78:AT78" si="42">E40</f>
        <v>#DIV/0!</v>
      </c>
      <c r="F78" s="9" t="e">
        <f t="shared" si="42"/>
        <v>#DIV/0!</v>
      </c>
      <c r="G78" s="9" t="e">
        <f t="shared" si="42"/>
        <v>#DIV/0!</v>
      </c>
      <c r="H78" s="9" t="e">
        <f t="shared" si="42"/>
        <v>#DIV/0!</v>
      </c>
      <c r="I78" s="9" t="e">
        <f t="shared" si="42"/>
        <v>#DIV/0!</v>
      </c>
      <c r="J78" s="9" t="e">
        <f t="shared" si="42"/>
        <v>#DIV/0!</v>
      </c>
      <c r="K78" s="9" t="e">
        <f t="shared" si="42"/>
        <v>#DIV/0!</v>
      </c>
      <c r="L78" s="9" t="e">
        <f t="shared" si="42"/>
        <v>#DIV/0!</v>
      </c>
      <c r="M78" s="9" t="e">
        <f t="shared" si="42"/>
        <v>#DIV/0!</v>
      </c>
      <c r="N78" s="9" t="e">
        <f t="shared" si="42"/>
        <v>#DIV/0!</v>
      </c>
      <c r="O78" s="9" t="e">
        <f t="shared" si="42"/>
        <v>#DIV/0!</v>
      </c>
      <c r="P78" s="9" t="e">
        <f t="shared" si="42"/>
        <v>#DIV/0!</v>
      </c>
      <c r="Q78" s="9" t="e">
        <f t="shared" si="42"/>
        <v>#DIV/0!</v>
      </c>
      <c r="R78" s="9" t="e">
        <f t="shared" si="42"/>
        <v>#DIV/0!</v>
      </c>
      <c r="S78" s="9" t="e">
        <f t="shared" si="42"/>
        <v>#DIV/0!</v>
      </c>
      <c r="T78" s="9" t="e">
        <f t="shared" si="42"/>
        <v>#DIV/0!</v>
      </c>
      <c r="U78" s="9" t="e">
        <f t="shared" si="42"/>
        <v>#DIV/0!</v>
      </c>
      <c r="V78" s="9" t="e">
        <f t="shared" si="42"/>
        <v>#DIV/0!</v>
      </c>
      <c r="W78" s="9" t="e">
        <f t="shared" si="42"/>
        <v>#DIV/0!</v>
      </c>
      <c r="X78" s="9" t="e">
        <f t="shared" si="42"/>
        <v>#DIV/0!</v>
      </c>
      <c r="Y78" s="9" t="e">
        <f t="shared" si="42"/>
        <v>#DIV/0!</v>
      </c>
      <c r="Z78" s="9" t="e">
        <f t="shared" si="42"/>
        <v>#DIV/0!</v>
      </c>
      <c r="AA78" s="9" t="e">
        <f t="shared" si="42"/>
        <v>#DIV/0!</v>
      </c>
      <c r="AB78" s="9" t="e">
        <f t="shared" si="42"/>
        <v>#DIV/0!</v>
      </c>
      <c r="AC78" s="9" t="e">
        <f t="shared" si="42"/>
        <v>#DIV/0!</v>
      </c>
      <c r="AD78" s="9" t="e">
        <f t="shared" si="42"/>
        <v>#DIV/0!</v>
      </c>
      <c r="AE78" s="9" t="e">
        <f t="shared" si="42"/>
        <v>#DIV/0!</v>
      </c>
      <c r="AF78" s="9" t="e">
        <f t="shared" si="42"/>
        <v>#DIV/0!</v>
      </c>
      <c r="AG78" s="9" t="e">
        <f t="shared" si="42"/>
        <v>#DIV/0!</v>
      </c>
      <c r="AH78" s="9" t="e">
        <f t="shared" si="42"/>
        <v>#DIV/0!</v>
      </c>
      <c r="AI78" s="9" t="e">
        <f t="shared" si="42"/>
        <v>#DIV/0!</v>
      </c>
      <c r="AJ78" s="9" t="e">
        <f t="shared" si="42"/>
        <v>#DIV/0!</v>
      </c>
      <c r="AK78" s="9" t="e">
        <f t="shared" si="42"/>
        <v>#DIV/0!</v>
      </c>
      <c r="AL78" s="9" t="e">
        <f t="shared" si="42"/>
        <v>#DIV/0!</v>
      </c>
      <c r="AM78" s="9" t="e">
        <f t="shared" si="42"/>
        <v>#DIV/0!</v>
      </c>
      <c r="AN78" s="9" t="e">
        <f t="shared" si="42"/>
        <v>#DIV/0!</v>
      </c>
      <c r="AO78" s="9" t="e">
        <f t="shared" si="42"/>
        <v>#DIV/0!</v>
      </c>
      <c r="AP78" s="9" t="e">
        <f t="shared" si="42"/>
        <v>#DIV/0!</v>
      </c>
      <c r="AQ78" s="9" t="e">
        <f t="shared" si="42"/>
        <v>#DIV/0!</v>
      </c>
      <c r="AR78" s="9" t="e">
        <f t="shared" si="42"/>
        <v>#DIV/0!</v>
      </c>
      <c r="AS78" s="9" t="e">
        <f t="shared" si="42"/>
        <v>#DIV/0!</v>
      </c>
      <c r="AT78" s="9" t="e">
        <f t="shared" si="42"/>
        <v>#DIV/0!</v>
      </c>
    </row>
    <row r="79" spans="1:46" ht="12.75" customHeight="1" x14ac:dyDescent="0.2">
      <c r="A79" s="6" t="s">
        <v>302</v>
      </c>
      <c r="C79" s="63"/>
      <c r="D79" s="10" t="s">
        <v>303</v>
      </c>
      <c r="E79" s="48" t="e">
        <f t="shared" ref="E79:AT79" si="43">IF(E78&lt;=2,E26,E25)</f>
        <v>#DIV/0!</v>
      </c>
      <c r="F79" s="48" t="e">
        <f t="shared" si="43"/>
        <v>#DIV/0!</v>
      </c>
      <c r="G79" s="48" t="e">
        <f t="shared" si="43"/>
        <v>#DIV/0!</v>
      </c>
      <c r="H79" s="48" t="e">
        <f t="shared" si="43"/>
        <v>#DIV/0!</v>
      </c>
      <c r="I79" s="48" t="e">
        <f t="shared" si="43"/>
        <v>#DIV/0!</v>
      </c>
      <c r="J79" s="48" t="e">
        <f t="shared" si="43"/>
        <v>#DIV/0!</v>
      </c>
      <c r="K79" s="48" t="e">
        <f t="shared" si="43"/>
        <v>#DIV/0!</v>
      </c>
      <c r="L79" s="48" t="e">
        <f t="shared" si="43"/>
        <v>#DIV/0!</v>
      </c>
      <c r="M79" s="48" t="e">
        <f t="shared" si="43"/>
        <v>#DIV/0!</v>
      </c>
      <c r="N79" s="48" t="e">
        <f t="shared" si="43"/>
        <v>#DIV/0!</v>
      </c>
      <c r="O79" s="48" t="e">
        <f t="shared" si="43"/>
        <v>#DIV/0!</v>
      </c>
      <c r="P79" s="48" t="e">
        <f t="shared" si="43"/>
        <v>#DIV/0!</v>
      </c>
      <c r="Q79" s="48" t="e">
        <f t="shared" si="43"/>
        <v>#DIV/0!</v>
      </c>
      <c r="R79" s="48" t="e">
        <f t="shared" si="43"/>
        <v>#DIV/0!</v>
      </c>
      <c r="S79" s="48" t="e">
        <f t="shared" si="43"/>
        <v>#DIV/0!</v>
      </c>
      <c r="T79" s="48" t="e">
        <f t="shared" si="43"/>
        <v>#DIV/0!</v>
      </c>
      <c r="U79" s="48" t="e">
        <f t="shared" si="43"/>
        <v>#DIV/0!</v>
      </c>
      <c r="V79" s="48" t="e">
        <f t="shared" si="43"/>
        <v>#DIV/0!</v>
      </c>
      <c r="W79" s="48" t="e">
        <f t="shared" si="43"/>
        <v>#DIV/0!</v>
      </c>
      <c r="X79" s="48" t="e">
        <f t="shared" si="43"/>
        <v>#DIV/0!</v>
      </c>
      <c r="Y79" s="48" t="e">
        <f t="shared" si="43"/>
        <v>#DIV/0!</v>
      </c>
      <c r="Z79" s="48" t="e">
        <f t="shared" si="43"/>
        <v>#DIV/0!</v>
      </c>
      <c r="AA79" s="48" t="e">
        <f t="shared" si="43"/>
        <v>#DIV/0!</v>
      </c>
      <c r="AB79" s="48" t="e">
        <f t="shared" si="43"/>
        <v>#DIV/0!</v>
      </c>
      <c r="AC79" s="48" t="e">
        <f t="shared" si="43"/>
        <v>#DIV/0!</v>
      </c>
      <c r="AD79" s="48" t="e">
        <f t="shared" si="43"/>
        <v>#DIV/0!</v>
      </c>
      <c r="AE79" s="48" t="e">
        <f t="shared" si="43"/>
        <v>#DIV/0!</v>
      </c>
      <c r="AF79" s="48" t="e">
        <f t="shared" si="43"/>
        <v>#DIV/0!</v>
      </c>
      <c r="AG79" s="48" t="e">
        <f t="shared" si="43"/>
        <v>#DIV/0!</v>
      </c>
      <c r="AH79" s="48" t="e">
        <f t="shared" si="43"/>
        <v>#DIV/0!</v>
      </c>
      <c r="AI79" s="48" t="e">
        <f t="shared" si="43"/>
        <v>#DIV/0!</v>
      </c>
      <c r="AJ79" s="48" t="e">
        <f t="shared" si="43"/>
        <v>#DIV/0!</v>
      </c>
      <c r="AK79" s="48" t="e">
        <f t="shared" si="43"/>
        <v>#DIV/0!</v>
      </c>
      <c r="AL79" s="48" t="e">
        <f t="shared" si="43"/>
        <v>#DIV/0!</v>
      </c>
      <c r="AM79" s="48" t="e">
        <f t="shared" si="43"/>
        <v>#DIV/0!</v>
      </c>
      <c r="AN79" s="48" t="e">
        <f t="shared" si="43"/>
        <v>#DIV/0!</v>
      </c>
      <c r="AO79" s="48" t="e">
        <f t="shared" si="43"/>
        <v>#DIV/0!</v>
      </c>
      <c r="AP79" s="48" t="e">
        <f t="shared" si="43"/>
        <v>#DIV/0!</v>
      </c>
      <c r="AQ79" s="48" t="e">
        <f t="shared" si="43"/>
        <v>#DIV/0!</v>
      </c>
      <c r="AR79" s="48" t="e">
        <f t="shared" si="43"/>
        <v>#DIV/0!</v>
      </c>
      <c r="AS79" s="48" t="e">
        <f t="shared" si="43"/>
        <v>#DIV/0!</v>
      </c>
      <c r="AT79" s="48" t="e">
        <f t="shared" si="43"/>
        <v>#DIV/0!</v>
      </c>
    </row>
    <row r="80" spans="1:46" ht="12.75" customHeight="1" x14ac:dyDescent="0.2">
      <c r="A80" s="6" t="s">
        <v>304</v>
      </c>
      <c r="C80" s="61" t="s">
        <v>197</v>
      </c>
      <c r="D80" s="20" t="s">
        <v>177</v>
      </c>
      <c r="E80" s="47" t="e">
        <f t="shared" ref="E80:AT80" si="44">E79*E12/1000000</f>
        <v>#DIV/0!</v>
      </c>
      <c r="F80" s="47" t="e">
        <f t="shared" si="44"/>
        <v>#DIV/0!</v>
      </c>
      <c r="G80" s="47" t="e">
        <f t="shared" si="44"/>
        <v>#DIV/0!</v>
      </c>
      <c r="H80" s="47" t="e">
        <f t="shared" si="44"/>
        <v>#DIV/0!</v>
      </c>
      <c r="I80" s="47" t="e">
        <f t="shared" si="44"/>
        <v>#DIV/0!</v>
      </c>
      <c r="J80" s="47" t="e">
        <f t="shared" si="44"/>
        <v>#DIV/0!</v>
      </c>
      <c r="K80" s="47" t="e">
        <f t="shared" si="44"/>
        <v>#DIV/0!</v>
      </c>
      <c r="L80" s="47" t="e">
        <f t="shared" si="44"/>
        <v>#DIV/0!</v>
      </c>
      <c r="M80" s="47" t="e">
        <f t="shared" si="44"/>
        <v>#DIV/0!</v>
      </c>
      <c r="N80" s="47" t="e">
        <f t="shared" si="44"/>
        <v>#DIV/0!</v>
      </c>
      <c r="O80" s="47" t="e">
        <f t="shared" si="44"/>
        <v>#DIV/0!</v>
      </c>
      <c r="P80" s="47" t="e">
        <f t="shared" si="44"/>
        <v>#DIV/0!</v>
      </c>
      <c r="Q80" s="47" t="e">
        <f t="shared" si="44"/>
        <v>#DIV/0!</v>
      </c>
      <c r="R80" s="47" t="e">
        <f t="shared" si="44"/>
        <v>#DIV/0!</v>
      </c>
      <c r="S80" s="47" t="e">
        <f t="shared" si="44"/>
        <v>#DIV/0!</v>
      </c>
      <c r="T80" s="47" t="e">
        <f t="shared" si="44"/>
        <v>#DIV/0!</v>
      </c>
      <c r="U80" s="47" t="e">
        <f t="shared" si="44"/>
        <v>#DIV/0!</v>
      </c>
      <c r="V80" s="47" t="e">
        <f t="shared" si="44"/>
        <v>#DIV/0!</v>
      </c>
      <c r="W80" s="47" t="e">
        <f t="shared" si="44"/>
        <v>#DIV/0!</v>
      </c>
      <c r="X80" s="47" t="e">
        <f t="shared" si="44"/>
        <v>#DIV/0!</v>
      </c>
      <c r="Y80" s="47" t="e">
        <f t="shared" si="44"/>
        <v>#DIV/0!</v>
      </c>
      <c r="Z80" s="47" t="e">
        <f t="shared" si="44"/>
        <v>#DIV/0!</v>
      </c>
      <c r="AA80" s="47" t="e">
        <f t="shared" si="44"/>
        <v>#DIV/0!</v>
      </c>
      <c r="AB80" s="47" t="e">
        <f t="shared" si="44"/>
        <v>#DIV/0!</v>
      </c>
      <c r="AC80" s="47" t="e">
        <f t="shared" si="44"/>
        <v>#DIV/0!</v>
      </c>
      <c r="AD80" s="47" t="e">
        <f t="shared" si="44"/>
        <v>#DIV/0!</v>
      </c>
      <c r="AE80" s="47" t="e">
        <f t="shared" si="44"/>
        <v>#DIV/0!</v>
      </c>
      <c r="AF80" s="47" t="e">
        <f t="shared" si="44"/>
        <v>#DIV/0!</v>
      </c>
      <c r="AG80" s="47" t="e">
        <f t="shared" si="44"/>
        <v>#DIV/0!</v>
      </c>
      <c r="AH80" s="47" t="e">
        <f t="shared" si="44"/>
        <v>#DIV/0!</v>
      </c>
      <c r="AI80" s="47" t="e">
        <f t="shared" si="44"/>
        <v>#DIV/0!</v>
      </c>
      <c r="AJ80" s="47" t="e">
        <f t="shared" si="44"/>
        <v>#DIV/0!</v>
      </c>
      <c r="AK80" s="47" t="e">
        <f t="shared" si="44"/>
        <v>#DIV/0!</v>
      </c>
      <c r="AL80" s="47" t="e">
        <f t="shared" si="44"/>
        <v>#DIV/0!</v>
      </c>
      <c r="AM80" s="47" t="e">
        <f t="shared" si="44"/>
        <v>#DIV/0!</v>
      </c>
      <c r="AN80" s="47" t="e">
        <f t="shared" si="44"/>
        <v>#DIV/0!</v>
      </c>
      <c r="AO80" s="47" t="e">
        <f t="shared" si="44"/>
        <v>#DIV/0!</v>
      </c>
      <c r="AP80" s="47" t="e">
        <f t="shared" si="44"/>
        <v>#DIV/0!</v>
      </c>
      <c r="AQ80" s="47" t="e">
        <f t="shared" si="44"/>
        <v>#DIV/0!</v>
      </c>
      <c r="AR80" s="47" t="e">
        <f t="shared" si="44"/>
        <v>#DIV/0!</v>
      </c>
      <c r="AS80" s="47" t="e">
        <f t="shared" si="44"/>
        <v>#DIV/0!</v>
      </c>
      <c r="AT80" s="47" t="e">
        <f t="shared" si="44"/>
        <v>#DIV/0!</v>
      </c>
    </row>
    <row r="81" spans="1:46" ht="12.75" customHeight="1" x14ac:dyDescent="0.2">
      <c r="A81" s="6" t="s">
        <v>181</v>
      </c>
      <c r="C81" s="61" t="s">
        <v>198</v>
      </c>
      <c r="D81" s="10" t="s">
        <v>113</v>
      </c>
      <c r="E81" s="59" t="e">
        <f t="shared" ref="E81:AT81" si="45">E77/E80</f>
        <v>#DIV/0!</v>
      </c>
      <c r="F81" s="59" t="e">
        <f t="shared" si="45"/>
        <v>#DIV/0!</v>
      </c>
      <c r="G81" s="59" t="e">
        <f t="shared" si="45"/>
        <v>#DIV/0!</v>
      </c>
      <c r="H81" s="59" t="e">
        <f t="shared" si="45"/>
        <v>#DIV/0!</v>
      </c>
      <c r="I81" s="59" t="e">
        <f t="shared" si="45"/>
        <v>#DIV/0!</v>
      </c>
      <c r="J81" s="59" t="e">
        <f t="shared" si="45"/>
        <v>#DIV/0!</v>
      </c>
      <c r="K81" s="59" t="e">
        <f t="shared" si="45"/>
        <v>#DIV/0!</v>
      </c>
      <c r="L81" s="59" t="e">
        <f t="shared" si="45"/>
        <v>#DIV/0!</v>
      </c>
      <c r="M81" s="59" t="e">
        <f t="shared" si="45"/>
        <v>#DIV/0!</v>
      </c>
      <c r="N81" s="59" t="e">
        <f t="shared" si="45"/>
        <v>#DIV/0!</v>
      </c>
      <c r="O81" s="59" t="e">
        <f t="shared" si="45"/>
        <v>#DIV/0!</v>
      </c>
      <c r="P81" s="59" t="e">
        <f t="shared" si="45"/>
        <v>#DIV/0!</v>
      </c>
      <c r="Q81" s="59" t="e">
        <f t="shared" si="45"/>
        <v>#DIV/0!</v>
      </c>
      <c r="R81" s="59" t="e">
        <f t="shared" si="45"/>
        <v>#DIV/0!</v>
      </c>
      <c r="S81" s="59" t="e">
        <f t="shared" si="45"/>
        <v>#DIV/0!</v>
      </c>
      <c r="T81" s="59" t="e">
        <f t="shared" si="45"/>
        <v>#DIV/0!</v>
      </c>
      <c r="U81" s="59" t="e">
        <f t="shared" si="45"/>
        <v>#DIV/0!</v>
      </c>
      <c r="V81" s="59" t="e">
        <f t="shared" si="45"/>
        <v>#DIV/0!</v>
      </c>
      <c r="W81" s="59" t="e">
        <f t="shared" si="45"/>
        <v>#DIV/0!</v>
      </c>
      <c r="X81" s="59" t="e">
        <f t="shared" si="45"/>
        <v>#DIV/0!</v>
      </c>
      <c r="Y81" s="59" t="e">
        <f t="shared" si="45"/>
        <v>#DIV/0!</v>
      </c>
      <c r="Z81" s="59" t="e">
        <f t="shared" si="45"/>
        <v>#DIV/0!</v>
      </c>
      <c r="AA81" s="59" t="e">
        <f t="shared" si="45"/>
        <v>#DIV/0!</v>
      </c>
      <c r="AB81" s="59" t="e">
        <f t="shared" si="45"/>
        <v>#DIV/0!</v>
      </c>
      <c r="AC81" s="59" t="e">
        <f t="shared" si="45"/>
        <v>#DIV/0!</v>
      </c>
      <c r="AD81" s="59" t="e">
        <f t="shared" si="45"/>
        <v>#DIV/0!</v>
      </c>
      <c r="AE81" s="59" t="e">
        <f t="shared" si="45"/>
        <v>#DIV/0!</v>
      </c>
      <c r="AF81" s="59" t="e">
        <f t="shared" si="45"/>
        <v>#DIV/0!</v>
      </c>
      <c r="AG81" s="59" t="e">
        <f t="shared" si="45"/>
        <v>#DIV/0!</v>
      </c>
      <c r="AH81" s="59" t="e">
        <f t="shared" si="45"/>
        <v>#DIV/0!</v>
      </c>
      <c r="AI81" s="59" t="e">
        <f t="shared" si="45"/>
        <v>#DIV/0!</v>
      </c>
      <c r="AJ81" s="59" t="e">
        <f t="shared" si="45"/>
        <v>#DIV/0!</v>
      </c>
      <c r="AK81" s="59" t="e">
        <f t="shared" si="45"/>
        <v>#DIV/0!</v>
      </c>
      <c r="AL81" s="59" t="e">
        <f t="shared" si="45"/>
        <v>#DIV/0!</v>
      </c>
      <c r="AM81" s="59" t="e">
        <f t="shared" si="45"/>
        <v>#DIV/0!</v>
      </c>
      <c r="AN81" s="59" t="e">
        <f t="shared" si="45"/>
        <v>#DIV/0!</v>
      </c>
      <c r="AO81" s="59" t="e">
        <f t="shared" si="45"/>
        <v>#DIV/0!</v>
      </c>
      <c r="AP81" s="59" t="e">
        <f t="shared" si="45"/>
        <v>#DIV/0!</v>
      </c>
      <c r="AQ81" s="59" t="e">
        <f t="shared" si="45"/>
        <v>#DIV/0!</v>
      </c>
      <c r="AR81" s="59" t="e">
        <f t="shared" si="45"/>
        <v>#DIV/0!</v>
      </c>
      <c r="AS81" s="59" t="e">
        <f t="shared" si="45"/>
        <v>#DIV/0!</v>
      </c>
      <c r="AT81" s="59" t="e">
        <f t="shared" si="45"/>
        <v>#DIV/0!</v>
      </c>
    </row>
    <row r="82" spans="1:46" ht="12.75" customHeight="1" x14ac:dyDescent="0.2">
      <c r="A82" s="6"/>
      <c r="C82" s="63"/>
    </row>
    <row r="83" spans="1:46" ht="12.75" customHeight="1" x14ac:dyDescent="0.2">
      <c r="A83" s="50" t="s">
        <v>199</v>
      </c>
      <c r="C83" s="5" t="s">
        <v>200</v>
      </c>
    </row>
    <row r="84" spans="1:46" ht="12.75" customHeight="1" x14ac:dyDescent="0.2">
      <c r="A84" s="6" t="s">
        <v>201</v>
      </c>
      <c r="C84" s="61" t="s">
        <v>202</v>
      </c>
      <c r="D84" s="56" t="s">
        <v>78</v>
      </c>
      <c r="E84" s="47">
        <f t="shared" ref="E84:AT84" si="46">E63</f>
        <v>15</v>
      </c>
      <c r="F84" s="47">
        <f t="shared" si="46"/>
        <v>15</v>
      </c>
      <c r="G84" s="47">
        <f t="shared" si="46"/>
        <v>15</v>
      </c>
      <c r="H84" s="47">
        <f t="shared" si="46"/>
        <v>15</v>
      </c>
      <c r="I84" s="47">
        <f t="shared" si="46"/>
        <v>15</v>
      </c>
      <c r="J84" s="47">
        <f t="shared" si="46"/>
        <v>15</v>
      </c>
      <c r="K84" s="47">
        <f t="shared" si="46"/>
        <v>15</v>
      </c>
      <c r="L84" s="47">
        <f t="shared" si="46"/>
        <v>15</v>
      </c>
      <c r="M84" s="47">
        <f t="shared" si="46"/>
        <v>15</v>
      </c>
      <c r="N84" s="47">
        <f t="shared" si="46"/>
        <v>15</v>
      </c>
      <c r="O84" s="47">
        <f t="shared" si="46"/>
        <v>15</v>
      </c>
      <c r="P84" s="47">
        <f t="shared" si="46"/>
        <v>15</v>
      </c>
      <c r="Q84" s="47">
        <f t="shared" si="46"/>
        <v>15</v>
      </c>
      <c r="R84" s="47">
        <f t="shared" si="46"/>
        <v>15</v>
      </c>
      <c r="S84" s="47">
        <f t="shared" si="46"/>
        <v>15</v>
      </c>
      <c r="T84" s="47">
        <f t="shared" si="46"/>
        <v>15</v>
      </c>
      <c r="U84" s="47">
        <f t="shared" si="46"/>
        <v>15</v>
      </c>
      <c r="V84" s="47">
        <f t="shared" si="46"/>
        <v>15</v>
      </c>
      <c r="W84" s="47">
        <f t="shared" si="46"/>
        <v>15</v>
      </c>
      <c r="X84" s="47">
        <f t="shared" si="46"/>
        <v>15</v>
      </c>
      <c r="Y84" s="47">
        <f t="shared" si="46"/>
        <v>15</v>
      </c>
      <c r="Z84" s="47">
        <f t="shared" si="46"/>
        <v>15</v>
      </c>
      <c r="AA84" s="47">
        <f t="shared" si="46"/>
        <v>15</v>
      </c>
      <c r="AB84" s="47">
        <f t="shared" si="46"/>
        <v>15</v>
      </c>
      <c r="AC84" s="47">
        <f t="shared" si="46"/>
        <v>15</v>
      </c>
      <c r="AD84" s="47">
        <f t="shared" si="46"/>
        <v>15</v>
      </c>
      <c r="AE84" s="47">
        <f t="shared" si="46"/>
        <v>15</v>
      </c>
      <c r="AF84" s="47">
        <f t="shared" si="46"/>
        <v>15</v>
      </c>
      <c r="AG84" s="47">
        <f t="shared" si="46"/>
        <v>15</v>
      </c>
      <c r="AH84" s="47">
        <f t="shared" si="46"/>
        <v>15</v>
      </c>
      <c r="AI84" s="47">
        <f t="shared" si="46"/>
        <v>15</v>
      </c>
      <c r="AJ84" s="47">
        <f t="shared" si="46"/>
        <v>15</v>
      </c>
      <c r="AK84" s="47">
        <f t="shared" si="46"/>
        <v>15</v>
      </c>
      <c r="AL84" s="47">
        <f t="shared" si="46"/>
        <v>15</v>
      </c>
      <c r="AM84" s="47">
        <f t="shared" si="46"/>
        <v>15</v>
      </c>
      <c r="AN84" s="47">
        <f t="shared" si="46"/>
        <v>15</v>
      </c>
      <c r="AO84" s="47">
        <f t="shared" si="46"/>
        <v>15</v>
      </c>
      <c r="AP84" s="47">
        <f t="shared" si="46"/>
        <v>15</v>
      </c>
      <c r="AQ84" s="47">
        <f t="shared" si="46"/>
        <v>15</v>
      </c>
      <c r="AR84" s="47">
        <f t="shared" si="46"/>
        <v>15</v>
      </c>
      <c r="AS84" s="47">
        <f t="shared" si="46"/>
        <v>15</v>
      </c>
      <c r="AT84" s="47">
        <f t="shared" si="46"/>
        <v>15</v>
      </c>
    </row>
    <row r="85" spans="1:46" ht="12.75" customHeight="1" x14ac:dyDescent="0.2">
      <c r="A85" s="6" t="s">
        <v>203</v>
      </c>
      <c r="C85" s="61" t="s">
        <v>204</v>
      </c>
      <c r="D85" s="56" t="s">
        <v>78</v>
      </c>
      <c r="E85" s="47">
        <f t="shared" ref="E85:AT85" si="47">(E23*(E12/SQRT(3)))/E69/1000</f>
        <v>0</v>
      </c>
      <c r="F85" s="47">
        <f t="shared" si="47"/>
        <v>0</v>
      </c>
      <c r="G85" s="47">
        <f t="shared" si="47"/>
        <v>0</v>
      </c>
      <c r="H85" s="47">
        <f t="shared" si="47"/>
        <v>0</v>
      </c>
      <c r="I85" s="47">
        <f t="shared" si="47"/>
        <v>0</v>
      </c>
      <c r="J85" s="47">
        <f t="shared" si="47"/>
        <v>0</v>
      </c>
      <c r="K85" s="47">
        <f t="shared" si="47"/>
        <v>0</v>
      </c>
      <c r="L85" s="47">
        <f t="shared" si="47"/>
        <v>0</v>
      </c>
      <c r="M85" s="47">
        <f t="shared" si="47"/>
        <v>0</v>
      </c>
      <c r="N85" s="47">
        <f t="shared" si="47"/>
        <v>0</v>
      </c>
      <c r="O85" s="47">
        <f t="shared" si="47"/>
        <v>0</v>
      </c>
      <c r="P85" s="47">
        <f t="shared" si="47"/>
        <v>0</v>
      </c>
      <c r="Q85" s="47">
        <f t="shared" si="47"/>
        <v>0</v>
      </c>
      <c r="R85" s="47">
        <f t="shared" si="47"/>
        <v>0</v>
      </c>
      <c r="S85" s="47">
        <f t="shared" si="47"/>
        <v>0</v>
      </c>
      <c r="T85" s="47">
        <f t="shared" si="47"/>
        <v>0</v>
      </c>
      <c r="U85" s="47">
        <f t="shared" si="47"/>
        <v>0</v>
      </c>
      <c r="V85" s="47">
        <f t="shared" si="47"/>
        <v>0</v>
      </c>
      <c r="W85" s="47">
        <f t="shared" si="47"/>
        <v>0</v>
      </c>
      <c r="X85" s="47">
        <f t="shared" si="47"/>
        <v>0</v>
      </c>
      <c r="Y85" s="47">
        <f t="shared" si="47"/>
        <v>0</v>
      </c>
      <c r="Z85" s="47">
        <f t="shared" si="47"/>
        <v>0</v>
      </c>
      <c r="AA85" s="47">
        <f t="shared" si="47"/>
        <v>0</v>
      </c>
      <c r="AB85" s="47">
        <f t="shared" si="47"/>
        <v>0</v>
      </c>
      <c r="AC85" s="47">
        <f t="shared" si="47"/>
        <v>0</v>
      </c>
      <c r="AD85" s="47">
        <f t="shared" si="47"/>
        <v>0</v>
      </c>
      <c r="AE85" s="47">
        <f t="shared" si="47"/>
        <v>0</v>
      </c>
      <c r="AF85" s="47">
        <f t="shared" si="47"/>
        <v>0</v>
      </c>
      <c r="AG85" s="47">
        <f t="shared" si="47"/>
        <v>0</v>
      </c>
      <c r="AH85" s="47">
        <f t="shared" si="47"/>
        <v>0</v>
      </c>
      <c r="AI85" s="47">
        <f t="shared" si="47"/>
        <v>0</v>
      </c>
      <c r="AJ85" s="47">
        <f t="shared" si="47"/>
        <v>0</v>
      </c>
      <c r="AK85" s="47">
        <f t="shared" si="47"/>
        <v>0</v>
      </c>
      <c r="AL85" s="47">
        <f t="shared" si="47"/>
        <v>0</v>
      </c>
      <c r="AM85" s="47">
        <f t="shared" si="47"/>
        <v>0</v>
      </c>
      <c r="AN85" s="47">
        <f t="shared" si="47"/>
        <v>0</v>
      </c>
      <c r="AO85" s="47">
        <f t="shared" si="47"/>
        <v>0</v>
      </c>
      <c r="AP85" s="47">
        <f t="shared" si="47"/>
        <v>0</v>
      </c>
      <c r="AQ85" s="47">
        <f t="shared" si="47"/>
        <v>0</v>
      </c>
      <c r="AR85" s="47">
        <f t="shared" si="47"/>
        <v>0</v>
      </c>
      <c r="AS85" s="47">
        <f t="shared" si="47"/>
        <v>0</v>
      </c>
      <c r="AT85" s="47">
        <f t="shared" si="47"/>
        <v>0</v>
      </c>
    </row>
    <row r="86" spans="1:46" ht="12.75" customHeight="1" x14ac:dyDescent="0.2">
      <c r="A86" s="6" t="s">
        <v>181</v>
      </c>
      <c r="C86" s="61" t="s">
        <v>205</v>
      </c>
      <c r="D86" s="10" t="s">
        <v>113</v>
      </c>
      <c r="E86" s="59" t="e">
        <f t="shared" ref="E86:AT86" si="48">E84/E85</f>
        <v>#DIV/0!</v>
      </c>
      <c r="F86" s="59" t="e">
        <f t="shared" si="48"/>
        <v>#DIV/0!</v>
      </c>
      <c r="G86" s="59" t="e">
        <f t="shared" si="48"/>
        <v>#DIV/0!</v>
      </c>
      <c r="H86" s="59" t="e">
        <f t="shared" si="48"/>
        <v>#DIV/0!</v>
      </c>
      <c r="I86" s="59" t="e">
        <f t="shared" si="48"/>
        <v>#DIV/0!</v>
      </c>
      <c r="J86" s="59" t="e">
        <f t="shared" si="48"/>
        <v>#DIV/0!</v>
      </c>
      <c r="K86" s="59" t="e">
        <f t="shared" si="48"/>
        <v>#DIV/0!</v>
      </c>
      <c r="L86" s="59" t="e">
        <f t="shared" si="48"/>
        <v>#DIV/0!</v>
      </c>
      <c r="M86" s="59" t="e">
        <f t="shared" si="48"/>
        <v>#DIV/0!</v>
      </c>
      <c r="N86" s="59" t="e">
        <f t="shared" si="48"/>
        <v>#DIV/0!</v>
      </c>
      <c r="O86" s="59" t="e">
        <f t="shared" si="48"/>
        <v>#DIV/0!</v>
      </c>
      <c r="P86" s="59" t="e">
        <f t="shared" si="48"/>
        <v>#DIV/0!</v>
      </c>
      <c r="Q86" s="59" t="e">
        <f t="shared" si="48"/>
        <v>#DIV/0!</v>
      </c>
      <c r="R86" s="59" t="e">
        <f t="shared" si="48"/>
        <v>#DIV/0!</v>
      </c>
      <c r="S86" s="59" t="e">
        <f t="shared" si="48"/>
        <v>#DIV/0!</v>
      </c>
      <c r="T86" s="59" t="e">
        <f t="shared" si="48"/>
        <v>#DIV/0!</v>
      </c>
      <c r="U86" s="59" t="e">
        <f t="shared" si="48"/>
        <v>#DIV/0!</v>
      </c>
      <c r="V86" s="59" t="e">
        <f t="shared" si="48"/>
        <v>#DIV/0!</v>
      </c>
      <c r="W86" s="59" t="e">
        <f t="shared" si="48"/>
        <v>#DIV/0!</v>
      </c>
      <c r="X86" s="59" t="e">
        <f t="shared" si="48"/>
        <v>#DIV/0!</v>
      </c>
      <c r="Y86" s="59" t="e">
        <f t="shared" si="48"/>
        <v>#DIV/0!</v>
      </c>
      <c r="Z86" s="59" t="e">
        <f t="shared" si="48"/>
        <v>#DIV/0!</v>
      </c>
      <c r="AA86" s="59" t="e">
        <f t="shared" si="48"/>
        <v>#DIV/0!</v>
      </c>
      <c r="AB86" s="59" t="e">
        <f t="shared" si="48"/>
        <v>#DIV/0!</v>
      </c>
      <c r="AC86" s="59" t="e">
        <f t="shared" si="48"/>
        <v>#DIV/0!</v>
      </c>
      <c r="AD86" s="59" t="e">
        <f t="shared" si="48"/>
        <v>#DIV/0!</v>
      </c>
      <c r="AE86" s="59" t="e">
        <f t="shared" si="48"/>
        <v>#DIV/0!</v>
      </c>
      <c r="AF86" s="59" t="e">
        <f t="shared" si="48"/>
        <v>#DIV/0!</v>
      </c>
      <c r="AG86" s="59" t="e">
        <f t="shared" si="48"/>
        <v>#DIV/0!</v>
      </c>
      <c r="AH86" s="59" t="e">
        <f t="shared" si="48"/>
        <v>#DIV/0!</v>
      </c>
      <c r="AI86" s="59" t="e">
        <f t="shared" si="48"/>
        <v>#DIV/0!</v>
      </c>
      <c r="AJ86" s="59" t="e">
        <f t="shared" si="48"/>
        <v>#DIV/0!</v>
      </c>
      <c r="AK86" s="59" t="e">
        <f t="shared" si="48"/>
        <v>#DIV/0!</v>
      </c>
      <c r="AL86" s="59" t="e">
        <f t="shared" si="48"/>
        <v>#DIV/0!</v>
      </c>
      <c r="AM86" s="59" t="e">
        <f t="shared" si="48"/>
        <v>#DIV/0!</v>
      </c>
      <c r="AN86" s="59" t="e">
        <f t="shared" si="48"/>
        <v>#DIV/0!</v>
      </c>
      <c r="AO86" s="59" t="e">
        <f t="shared" si="48"/>
        <v>#DIV/0!</v>
      </c>
      <c r="AP86" s="59" t="e">
        <f t="shared" si="48"/>
        <v>#DIV/0!</v>
      </c>
      <c r="AQ86" s="59" t="e">
        <f t="shared" si="48"/>
        <v>#DIV/0!</v>
      </c>
      <c r="AR86" s="59" t="e">
        <f t="shared" si="48"/>
        <v>#DIV/0!</v>
      </c>
      <c r="AS86" s="59" t="e">
        <f t="shared" si="48"/>
        <v>#DIV/0!</v>
      </c>
      <c r="AT86" s="59" t="e">
        <f t="shared" si="48"/>
        <v>#DIV/0!</v>
      </c>
    </row>
    <row r="87" spans="1:46" ht="12.75" customHeight="1" x14ac:dyDescent="0.2">
      <c r="A87" s="6"/>
      <c r="C87" s="63"/>
    </row>
    <row r="88" spans="1:46" ht="12.75" customHeight="1" x14ac:dyDescent="0.2">
      <c r="A88" s="50" t="s">
        <v>215</v>
      </c>
      <c r="C88" s="62" t="s">
        <v>216</v>
      </c>
    </row>
    <row r="89" spans="1:46" ht="12.75" customHeight="1" x14ac:dyDescent="0.2">
      <c r="A89" s="6" t="s">
        <v>181</v>
      </c>
      <c r="B89" s="58"/>
      <c r="C89" s="61" t="s">
        <v>305</v>
      </c>
      <c r="D89" s="10" t="s">
        <v>113</v>
      </c>
      <c r="E89" s="59" t="e">
        <f t="shared" ref="E89:AT89" si="49">(E77/(1.04*E80))+((E72/E73)^1.7)</f>
        <v>#DIV/0!</v>
      </c>
      <c r="F89" s="59" t="e">
        <f t="shared" si="49"/>
        <v>#DIV/0!</v>
      </c>
      <c r="G89" s="59" t="e">
        <f t="shared" si="49"/>
        <v>#DIV/0!</v>
      </c>
      <c r="H89" s="59" t="e">
        <f t="shared" si="49"/>
        <v>#DIV/0!</v>
      </c>
      <c r="I89" s="59" t="e">
        <f t="shared" si="49"/>
        <v>#DIV/0!</v>
      </c>
      <c r="J89" s="59" t="e">
        <f t="shared" si="49"/>
        <v>#DIV/0!</v>
      </c>
      <c r="K89" s="59" t="e">
        <f t="shared" si="49"/>
        <v>#DIV/0!</v>
      </c>
      <c r="L89" s="59" t="e">
        <f t="shared" si="49"/>
        <v>#DIV/0!</v>
      </c>
      <c r="M89" s="59" t="e">
        <f t="shared" si="49"/>
        <v>#DIV/0!</v>
      </c>
      <c r="N89" s="59" t="e">
        <f t="shared" si="49"/>
        <v>#DIV/0!</v>
      </c>
      <c r="O89" s="59" t="e">
        <f t="shared" si="49"/>
        <v>#DIV/0!</v>
      </c>
      <c r="P89" s="59" t="e">
        <f t="shared" si="49"/>
        <v>#DIV/0!</v>
      </c>
      <c r="Q89" s="59" t="e">
        <f t="shared" si="49"/>
        <v>#DIV/0!</v>
      </c>
      <c r="R89" s="59" t="e">
        <f t="shared" si="49"/>
        <v>#DIV/0!</v>
      </c>
      <c r="S89" s="59" t="e">
        <f t="shared" si="49"/>
        <v>#DIV/0!</v>
      </c>
      <c r="T89" s="59" t="e">
        <f t="shared" si="49"/>
        <v>#DIV/0!</v>
      </c>
      <c r="U89" s="59" t="e">
        <f t="shared" si="49"/>
        <v>#DIV/0!</v>
      </c>
      <c r="V89" s="59" t="e">
        <f t="shared" si="49"/>
        <v>#DIV/0!</v>
      </c>
      <c r="W89" s="59" t="e">
        <f t="shared" si="49"/>
        <v>#DIV/0!</v>
      </c>
      <c r="X89" s="59" t="e">
        <f t="shared" si="49"/>
        <v>#DIV/0!</v>
      </c>
      <c r="Y89" s="59" t="e">
        <f t="shared" si="49"/>
        <v>#DIV/0!</v>
      </c>
      <c r="Z89" s="59" t="e">
        <f t="shared" si="49"/>
        <v>#DIV/0!</v>
      </c>
      <c r="AA89" s="59" t="e">
        <f t="shared" si="49"/>
        <v>#DIV/0!</v>
      </c>
      <c r="AB89" s="59" t="e">
        <f t="shared" si="49"/>
        <v>#DIV/0!</v>
      </c>
      <c r="AC89" s="59" t="e">
        <f t="shared" si="49"/>
        <v>#DIV/0!</v>
      </c>
      <c r="AD89" s="59" t="e">
        <f t="shared" si="49"/>
        <v>#DIV/0!</v>
      </c>
      <c r="AE89" s="59" t="e">
        <f t="shared" si="49"/>
        <v>#DIV/0!</v>
      </c>
      <c r="AF89" s="59" t="e">
        <f t="shared" si="49"/>
        <v>#DIV/0!</v>
      </c>
      <c r="AG89" s="59" t="e">
        <f t="shared" si="49"/>
        <v>#DIV/0!</v>
      </c>
      <c r="AH89" s="59" t="e">
        <f t="shared" si="49"/>
        <v>#DIV/0!</v>
      </c>
      <c r="AI89" s="59" t="e">
        <f t="shared" si="49"/>
        <v>#DIV/0!</v>
      </c>
      <c r="AJ89" s="59" t="e">
        <f t="shared" si="49"/>
        <v>#DIV/0!</v>
      </c>
      <c r="AK89" s="59" t="e">
        <f t="shared" si="49"/>
        <v>#DIV/0!</v>
      </c>
      <c r="AL89" s="59" t="e">
        <f t="shared" si="49"/>
        <v>#DIV/0!</v>
      </c>
      <c r="AM89" s="59" t="e">
        <f t="shared" si="49"/>
        <v>#DIV/0!</v>
      </c>
      <c r="AN89" s="59" t="e">
        <f t="shared" si="49"/>
        <v>#DIV/0!</v>
      </c>
      <c r="AO89" s="59" t="e">
        <f t="shared" si="49"/>
        <v>#DIV/0!</v>
      </c>
      <c r="AP89" s="59" t="e">
        <f t="shared" si="49"/>
        <v>#DIV/0!</v>
      </c>
      <c r="AQ89" s="59" t="e">
        <f t="shared" si="49"/>
        <v>#DIV/0!</v>
      </c>
      <c r="AR89" s="59" t="e">
        <f t="shared" si="49"/>
        <v>#DIV/0!</v>
      </c>
      <c r="AS89" s="59" t="e">
        <f t="shared" si="49"/>
        <v>#DIV/0!</v>
      </c>
      <c r="AT89" s="59" t="e">
        <f t="shared" si="49"/>
        <v>#DIV/0!</v>
      </c>
    </row>
    <row r="90" spans="1:46" ht="12.75" customHeight="1" x14ac:dyDescent="0.2">
      <c r="A90" s="6" t="s">
        <v>181</v>
      </c>
      <c r="C90" s="61" t="s">
        <v>306</v>
      </c>
      <c r="D90" s="10" t="s">
        <v>113</v>
      </c>
      <c r="E90" s="59" t="e">
        <f t="shared" ref="E90:AT90" si="50">E81</f>
        <v>#DIV/0!</v>
      </c>
      <c r="F90" s="59" t="e">
        <f t="shared" si="50"/>
        <v>#DIV/0!</v>
      </c>
      <c r="G90" s="59" t="e">
        <f t="shared" si="50"/>
        <v>#DIV/0!</v>
      </c>
      <c r="H90" s="59" t="e">
        <f t="shared" si="50"/>
        <v>#DIV/0!</v>
      </c>
      <c r="I90" s="59" t="e">
        <f t="shared" si="50"/>
        <v>#DIV/0!</v>
      </c>
      <c r="J90" s="59" t="e">
        <f t="shared" si="50"/>
        <v>#DIV/0!</v>
      </c>
      <c r="K90" s="59" t="e">
        <f t="shared" si="50"/>
        <v>#DIV/0!</v>
      </c>
      <c r="L90" s="59" t="e">
        <f t="shared" si="50"/>
        <v>#DIV/0!</v>
      </c>
      <c r="M90" s="59" t="e">
        <f t="shared" si="50"/>
        <v>#DIV/0!</v>
      </c>
      <c r="N90" s="59" t="e">
        <f t="shared" si="50"/>
        <v>#DIV/0!</v>
      </c>
      <c r="O90" s="59" t="e">
        <f t="shared" si="50"/>
        <v>#DIV/0!</v>
      </c>
      <c r="P90" s="59" t="e">
        <f t="shared" si="50"/>
        <v>#DIV/0!</v>
      </c>
      <c r="Q90" s="59" t="e">
        <f t="shared" si="50"/>
        <v>#DIV/0!</v>
      </c>
      <c r="R90" s="59" t="e">
        <f t="shared" si="50"/>
        <v>#DIV/0!</v>
      </c>
      <c r="S90" s="59" t="e">
        <f t="shared" si="50"/>
        <v>#DIV/0!</v>
      </c>
      <c r="T90" s="59" t="e">
        <f t="shared" si="50"/>
        <v>#DIV/0!</v>
      </c>
      <c r="U90" s="59" t="e">
        <f t="shared" si="50"/>
        <v>#DIV/0!</v>
      </c>
      <c r="V90" s="59" t="e">
        <f t="shared" si="50"/>
        <v>#DIV/0!</v>
      </c>
      <c r="W90" s="59" t="e">
        <f t="shared" si="50"/>
        <v>#DIV/0!</v>
      </c>
      <c r="X90" s="59" t="e">
        <f t="shared" si="50"/>
        <v>#DIV/0!</v>
      </c>
      <c r="Y90" s="59" t="e">
        <f t="shared" si="50"/>
        <v>#DIV/0!</v>
      </c>
      <c r="Z90" s="59" t="e">
        <f t="shared" si="50"/>
        <v>#DIV/0!</v>
      </c>
      <c r="AA90" s="59" t="e">
        <f t="shared" si="50"/>
        <v>#DIV/0!</v>
      </c>
      <c r="AB90" s="59" t="e">
        <f t="shared" si="50"/>
        <v>#DIV/0!</v>
      </c>
      <c r="AC90" s="59" t="e">
        <f t="shared" si="50"/>
        <v>#DIV/0!</v>
      </c>
      <c r="AD90" s="59" t="e">
        <f t="shared" si="50"/>
        <v>#DIV/0!</v>
      </c>
      <c r="AE90" s="59" t="e">
        <f t="shared" si="50"/>
        <v>#DIV/0!</v>
      </c>
      <c r="AF90" s="59" t="e">
        <f t="shared" si="50"/>
        <v>#DIV/0!</v>
      </c>
      <c r="AG90" s="59" t="e">
        <f t="shared" si="50"/>
        <v>#DIV/0!</v>
      </c>
      <c r="AH90" s="59" t="e">
        <f t="shared" si="50"/>
        <v>#DIV/0!</v>
      </c>
      <c r="AI90" s="59" t="e">
        <f t="shared" si="50"/>
        <v>#DIV/0!</v>
      </c>
      <c r="AJ90" s="59" t="e">
        <f t="shared" si="50"/>
        <v>#DIV/0!</v>
      </c>
      <c r="AK90" s="59" t="e">
        <f t="shared" si="50"/>
        <v>#DIV/0!</v>
      </c>
      <c r="AL90" s="59" t="e">
        <f t="shared" si="50"/>
        <v>#DIV/0!</v>
      </c>
      <c r="AM90" s="59" t="e">
        <f t="shared" si="50"/>
        <v>#DIV/0!</v>
      </c>
      <c r="AN90" s="59" t="e">
        <f t="shared" si="50"/>
        <v>#DIV/0!</v>
      </c>
      <c r="AO90" s="59" t="e">
        <f t="shared" si="50"/>
        <v>#DIV/0!</v>
      </c>
      <c r="AP90" s="59" t="e">
        <f t="shared" si="50"/>
        <v>#DIV/0!</v>
      </c>
      <c r="AQ90" s="59" t="e">
        <f t="shared" si="50"/>
        <v>#DIV/0!</v>
      </c>
      <c r="AR90" s="59" t="e">
        <f t="shared" si="50"/>
        <v>#DIV/0!</v>
      </c>
      <c r="AS90" s="59" t="e">
        <f t="shared" si="50"/>
        <v>#DIV/0!</v>
      </c>
      <c r="AT90" s="59" t="e">
        <f t="shared" si="50"/>
        <v>#DIV/0!</v>
      </c>
    </row>
    <row r="91" spans="1:46" ht="12.75" customHeight="1" x14ac:dyDescent="0.2"/>
    <row r="92" spans="1:46" ht="12.75" customHeight="1" x14ac:dyDescent="0.2">
      <c r="A92" s="50" t="s">
        <v>242</v>
      </c>
      <c r="C92" s="62" t="s">
        <v>307</v>
      </c>
    </row>
    <row r="93" spans="1:46" ht="12.75" customHeight="1" x14ac:dyDescent="0.2">
      <c r="A93" s="50"/>
      <c r="C93" s="61" t="s">
        <v>205</v>
      </c>
      <c r="D93" s="10" t="s">
        <v>113</v>
      </c>
      <c r="E93" s="53" t="e">
        <f t="shared" ref="E93:AT93" si="51">E86</f>
        <v>#DIV/0!</v>
      </c>
      <c r="F93" s="53" t="e">
        <f t="shared" si="51"/>
        <v>#DIV/0!</v>
      </c>
      <c r="G93" s="53" t="e">
        <f t="shared" si="51"/>
        <v>#DIV/0!</v>
      </c>
      <c r="H93" s="53" t="e">
        <f t="shared" si="51"/>
        <v>#DIV/0!</v>
      </c>
      <c r="I93" s="53" t="e">
        <f t="shared" si="51"/>
        <v>#DIV/0!</v>
      </c>
      <c r="J93" s="53" t="e">
        <f t="shared" si="51"/>
        <v>#DIV/0!</v>
      </c>
      <c r="K93" s="53" t="e">
        <f t="shared" si="51"/>
        <v>#DIV/0!</v>
      </c>
      <c r="L93" s="53" t="e">
        <f t="shared" si="51"/>
        <v>#DIV/0!</v>
      </c>
      <c r="M93" s="53" t="e">
        <f t="shared" si="51"/>
        <v>#DIV/0!</v>
      </c>
      <c r="N93" s="53" t="e">
        <f t="shared" si="51"/>
        <v>#DIV/0!</v>
      </c>
      <c r="O93" s="53" t="e">
        <f t="shared" si="51"/>
        <v>#DIV/0!</v>
      </c>
      <c r="P93" s="53" t="e">
        <f t="shared" si="51"/>
        <v>#DIV/0!</v>
      </c>
      <c r="Q93" s="53" t="e">
        <f t="shared" si="51"/>
        <v>#DIV/0!</v>
      </c>
      <c r="R93" s="53" t="e">
        <f t="shared" si="51"/>
        <v>#DIV/0!</v>
      </c>
      <c r="S93" s="53" t="e">
        <f t="shared" si="51"/>
        <v>#DIV/0!</v>
      </c>
      <c r="T93" s="53" t="e">
        <f t="shared" si="51"/>
        <v>#DIV/0!</v>
      </c>
      <c r="U93" s="53" t="e">
        <f t="shared" si="51"/>
        <v>#DIV/0!</v>
      </c>
      <c r="V93" s="53" t="e">
        <f t="shared" si="51"/>
        <v>#DIV/0!</v>
      </c>
      <c r="W93" s="53" t="e">
        <f t="shared" si="51"/>
        <v>#DIV/0!</v>
      </c>
      <c r="X93" s="53" t="e">
        <f t="shared" si="51"/>
        <v>#DIV/0!</v>
      </c>
      <c r="Y93" s="53" t="e">
        <f t="shared" si="51"/>
        <v>#DIV/0!</v>
      </c>
      <c r="Z93" s="53" t="e">
        <f t="shared" si="51"/>
        <v>#DIV/0!</v>
      </c>
      <c r="AA93" s="53" t="e">
        <f t="shared" si="51"/>
        <v>#DIV/0!</v>
      </c>
      <c r="AB93" s="53" t="e">
        <f t="shared" si="51"/>
        <v>#DIV/0!</v>
      </c>
      <c r="AC93" s="53" t="e">
        <f t="shared" si="51"/>
        <v>#DIV/0!</v>
      </c>
      <c r="AD93" s="53" t="e">
        <f t="shared" si="51"/>
        <v>#DIV/0!</v>
      </c>
      <c r="AE93" s="53" t="e">
        <f t="shared" si="51"/>
        <v>#DIV/0!</v>
      </c>
      <c r="AF93" s="53" t="e">
        <f t="shared" si="51"/>
        <v>#DIV/0!</v>
      </c>
      <c r="AG93" s="53" t="e">
        <f t="shared" si="51"/>
        <v>#DIV/0!</v>
      </c>
      <c r="AH93" s="53" t="e">
        <f t="shared" si="51"/>
        <v>#DIV/0!</v>
      </c>
      <c r="AI93" s="53" t="e">
        <f t="shared" si="51"/>
        <v>#DIV/0!</v>
      </c>
      <c r="AJ93" s="53" t="e">
        <f t="shared" si="51"/>
        <v>#DIV/0!</v>
      </c>
      <c r="AK93" s="53" t="e">
        <f t="shared" si="51"/>
        <v>#DIV/0!</v>
      </c>
      <c r="AL93" s="53" t="e">
        <f t="shared" si="51"/>
        <v>#DIV/0!</v>
      </c>
      <c r="AM93" s="53" t="e">
        <f t="shared" si="51"/>
        <v>#DIV/0!</v>
      </c>
      <c r="AN93" s="53" t="e">
        <f t="shared" si="51"/>
        <v>#DIV/0!</v>
      </c>
      <c r="AO93" s="53" t="e">
        <f t="shared" si="51"/>
        <v>#DIV/0!</v>
      </c>
      <c r="AP93" s="53" t="e">
        <f t="shared" si="51"/>
        <v>#DIV/0!</v>
      </c>
      <c r="AQ93" s="53" t="e">
        <f t="shared" si="51"/>
        <v>#DIV/0!</v>
      </c>
      <c r="AR93" s="53" t="e">
        <f t="shared" si="51"/>
        <v>#DIV/0!</v>
      </c>
      <c r="AS93" s="53" t="e">
        <f t="shared" si="51"/>
        <v>#DIV/0!</v>
      </c>
      <c r="AT93" s="53" t="e">
        <f t="shared" si="51"/>
        <v>#DIV/0!</v>
      </c>
    </row>
    <row r="94" spans="1:46" ht="12.75" customHeight="1" x14ac:dyDescent="0.2">
      <c r="A94" s="6"/>
      <c r="C94" s="5" t="s">
        <v>308</v>
      </c>
      <c r="D94" s="10" t="s">
        <v>113</v>
      </c>
      <c r="E94" s="53" t="e">
        <f t="shared" ref="E94:AT94" si="52">IF(E93&lt;=0.5,1,(1.03*SQRT((1-(E84/E85)^2))))</f>
        <v>#DIV/0!</v>
      </c>
      <c r="F94" s="53" t="e">
        <f t="shared" si="52"/>
        <v>#DIV/0!</v>
      </c>
      <c r="G94" s="53" t="e">
        <f t="shared" si="52"/>
        <v>#DIV/0!</v>
      </c>
      <c r="H94" s="53" t="e">
        <f t="shared" si="52"/>
        <v>#DIV/0!</v>
      </c>
      <c r="I94" s="53" t="e">
        <f t="shared" si="52"/>
        <v>#DIV/0!</v>
      </c>
      <c r="J94" s="53" t="e">
        <f t="shared" si="52"/>
        <v>#DIV/0!</v>
      </c>
      <c r="K94" s="53" t="e">
        <f t="shared" si="52"/>
        <v>#DIV/0!</v>
      </c>
      <c r="L94" s="53" t="e">
        <f t="shared" si="52"/>
        <v>#DIV/0!</v>
      </c>
      <c r="M94" s="53" t="e">
        <f t="shared" si="52"/>
        <v>#DIV/0!</v>
      </c>
      <c r="N94" s="53" t="e">
        <f t="shared" si="52"/>
        <v>#DIV/0!</v>
      </c>
      <c r="O94" s="53" t="e">
        <f t="shared" si="52"/>
        <v>#DIV/0!</v>
      </c>
      <c r="P94" s="53" t="e">
        <f t="shared" si="52"/>
        <v>#DIV/0!</v>
      </c>
      <c r="Q94" s="53" t="e">
        <f t="shared" si="52"/>
        <v>#DIV/0!</v>
      </c>
      <c r="R94" s="53" t="e">
        <f t="shared" si="52"/>
        <v>#DIV/0!</v>
      </c>
      <c r="S94" s="53" t="e">
        <f t="shared" si="52"/>
        <v>#DIV/0!</v>
      </c>
      <c r="T94" s="53" t="e">
        <f t="shared" si="52"/>
        <v>#DIV/0!</v>
      </c>
      <c r="U94" s="53" t="e">
        <f t="shared" si="52"/>
        <v>#DIV/0!</v>
      </c>
      <c r="V94" s="53" t="e">
        <f t="shared" si="52"/>
        <v>#DIV/0!</v>
      </c>
      <c r="W94" s="53" t="e">
        <f t="shared" si="52"/>
        <v>#DIV/0!</v>
      </c>
      <c r="X94" s="53" t="e">
        <f t="shared" si="52"/>
        <v>#DIV/0!</v>
      </c>
      <c r="Y94" s="53" t="e">
        <f t="shared" si="52"/>
        <v>#DIV/0!</v>
      </c>
      <c r="Z94" s="53" t="e">
        <f t="shared" si="52"/>
        <v>#DIV/0!</v>
      </c>
      <c r="AA94" s="53" t="e">
        <f t="shared" si="52"/>
        <v>#DIV/0!</v>
      </c>
      <c r="AB94" s="53" t="e">
        <f t="shared" si="52"/>
        <v>#DIV/0!</v>
      </c>
      <c r="AC94" s="53" t="e">
        <f t="shared" si="52"/>
        <v>#DIV/0!</v>
      </c>
      <c r="AD94" s="53" t="e">
        <f t="shared" si="52"/>
        <v>#DIV/0!</v>
      </c>
      <c r="AE94" s="53" t="e">
        <f t="shared" si="52"/>
        <v>#DIV/0!</v>
      </c>
      <c r="AF94" s="53" t="e">
        <f t="shared" si="52"/>
        <v>#DIV/0!</v>
      </c>
      <c r="AG94" s="53" t="e">
        <f t="shared" si="52"/>
        <v>#DIV/0!</v>
      </c>
      <c r="AH94" s="53" t="e">
        <f t="shared" si="52"/>
        <v>#DIV/0!</v>
      </c>
      <c r="AI94" s="53" t="e">
        <f t="shared" si="52"/>
        <v>#DIV/0!</v>
      </c>
      <c r="AJ94" s="53" t="e">
        <f t="shared" si="52"/>
        <v>#DIV/0!</v>
      </c>
      <c r="AK94" s="53" t="e">
        <f t="shared" si="52"/>
        <v>#DIV/0!</v>
      </c>
      <c r="AL94" s="53" t="e">
        <f t="shared" si="52"/>
        <v>#DIV/0!</v>
      </c>
      <c r="AM94" s="53" t="e">
        <f t="shared" si="52"/>
        <v>#DIV/0!</v>
      </c>
      <c r="AN94" s="53" t="e">
        <f t="shared" si="52"/>
        <v>#DIV/0!</v>
      </c>
      <c r="AO94" s="53" t="e">
        <f t="shared" si="52"/>
        <v>#DIV/0!</v>
      </c>
      <c r="AP94" s="53" t="e">
        <f t="shared" si="52"/>
        <v>#DIV/0!</v>
      </c>
      <c r="AQ94" s="53" t="e">
        <f t="shared" si="52"/>
        <v>#DIV/0!</v>
      </c>
      <c r="AR94" s="53" t="e">
        <f t="shared" si="52"/>
        <v>#DIV/0!</v>
      </c>
      <c r="AS94" s="53" t="e">
        <f t="shared" si="52"/>
        <v>#DIV/0!</v>
      </c>
      <c r="AT94" s="53" t="e">
        <f t="shared" si="52"/>
        <v>#DIV/0!</v>
      </c>
    </row>
    <row r="95" spans="1:46" ht="12.75" customHeight="1" x14ac:dyDescent="0.2">
      <c r="A95" s="50"/>
      <c r="C95" s="61" t="s">
        <v>309</v>
      </c>
      <c r="D95" s="10" t="s">
        <v>78</v>
      </c>
      <c r="E95" s="47" t="e">
        <f t="shared" ref="E95:AT95" si="53">(E73*E94)/E68</f>
        <v>#DIV/0!</v>
      </c>
      <c r="F95" s="47" t="e">
        <f t="shared" si="53"/>
        <v>#DIV/0!</v>
      </c>
      <c r="G95" s="47" t="e">
        <f t="shared" si="53"/>
        <v>#DIV/0!</v>
      </c>
      <c r="H95" s="47" t="e">
        <f t="shared" si="53"/>
        <v>#DIV/0!</v>
      </c>
      <c r="I95" s="47" t="e">
        <f t="shared" si="53"/>
        <v>#DIV/0!</v>
      </c>
      <c r="J95" s="47" t="e">
        <f t="shared" si="53"/>
        <v>#DIV/0!</v>
      </c>
      <c r="K95" s="47" t="e">
        <f t="shared" si="53"/>
        <v>#DIV/0!</v>
      </c>
      <c r="L95" s="47" t="e">
        <f t="shared" si="53"/>
        <v>#DIV/0!</v>
      </c>
      <c r="M95" s="47" t="e">
        <f t="shared" si="53"/>
        <v>#DIV/0!</v>
      </c>
      <c r="N95" s="47" t="e">
        <f t="shared" si="53"/>
        <v>#DIV/0!</v>
      </c>
      <c r="O95" s="47" t="e">
        <f t="shared" si="53"/>
        <v>#DIV/0!</v>
      </c>
      <c r="P95" s="47" t="e">
        <f t="shared" si="53"/>
        <v>#DIV/0!</v>
      </c>
      <c r="Q95" s="47" t="e">
        <f t="shared" si="53"/>
        <v>#DIV/0!</v>
      </c>
      <c r="R95" s="47" t="e">
        <f t="shared" si="53"/>
        <v>#DIV/0!</v>
      </c>
      <c r="S95" s="47" t="e">
        <f t="shared" si="53"/>
        <v>#DIV/0!</v>
      </c>
      <c r="T95" s="47" t="e">
        <f t="shared" si="53"/>
        <v>#DIV/0!</v>
      </c>
      <c r="U95" s="47" t="e">
        <f t="shared" si="53"/>
        <v>#DIV/0!</v>
      </c>
      <c r="V95" s="47" t="e">
        <f t="shared" si="53"/>
        <v>#DIV/0!</v>
      </c>
      <c r="W95" s="47" t="e">
        <f t="shared" si="53"/>
        <v>#DIV/0!</v>
      </c>
      <c r="X95" s="47" t="e">
        <f t="shared" si="53"/>
        <v>#DIV/0!</v>
      </c>
      <c r="Y95" s="47" t="e">
        <f t="shared" si="53"/>
        <v>#DIV/0!</v>
      </c>
      <c r="Z95" s="47" t="e">
        <f t="shared" si="53"/>
        <v>#DIV/0!</v>
      </c>
      <c r="AA95" s="47" t="e">
        <f t="shared" si="53"/>
        <v>#DIV/0!</v>
      </c>
      <c r="AB95" s="47" t="e">
        <f t="shared" si="53"/>
        <v>#DIV/0!</v>
      </c>
      <c r="AC95" s="47" t="e">
        <f t="shared" si="53"/>
        <v>#DIV/0!</v>
      </c>
      <c r="AD95" s="47" t="e">
        <f t="shared" si="53"/>
        <v>#DIV/0!</v>
      </c>
      <c r="AE95" s="47" t="e">
        <f t="shared" si="53"/>
        <v>#DIV/0!</v>
      </c>
      <c r="AF95" s="47" t="e">
        <f t="shared" si="53"/>
        <v>#DIV/0!</v>
      </c>
      <c r="AG95" s="47" t="e">
        <f t="shared" si="53"/>
        <v>#DIV/0!</v>
      </c>
      <c r="AH95" s="47" t="e">
        <f t="shared" si="53"/>
        <v>#DIV/0!</v>
      </c>
      <c r="AI95" s="47" t="e">
        <f t="shared" si="53"/>
        <v>#DIV/0!</v>
      </c>
      <c r="AJ95" s="47" t="e">
        <f t="shared" si="53"/>
        <v>#DIV/0!</v>
      </c>
      <c r="AK95" s="47" t="e">
        <f t="shared" si="53"/>
        <v>#DIV/0!</v>
      </c>
      <c r="AL95" s="47" t="e">
        <f t="shared" si="53"/>
        <v>#DIV/0!</v>
      </c>
      <c r="AM95" s="47" t="e">
        <f t="shared" si="53"/>
        <v>#DIV/0!</v>
      </c>
      <c r="AN95" s="47" t="e">
        <f t="shared" si="53"/>
        <v>#DIV/0!</v>
      </c>
      <c r="AO95" s="47" t="e">
        <f t="shared" si="53"/>
        <v>#DIV/0!</v>
      </c>
      <c r="AP95" s="47" t="e">
        <f t="shared" si="53"/>
        <v>#DIV/0!</v>
      </c>
      <c r="AQ95" s="47" t="e">
        <f t="shared" si="53"/>
        <v>#DIV/0!</v>
      </c>
      <c r="AR95" s="47" t="e">
        <f t="shared" si="53"/>
        <v>#DIV/0!</v>
      </c>
      <c r="AS95" s="47" t="e">
        <f t="shared" si="53"/>
        <v>#DIV/0!</v>
      </c>
      <c r="AT95" s="47" t="e">
        <f t="shared" si="53"/>
        <v>#DIV/0!</v>
      </c>
    </row>
    <row r="96" spans="1:46" ht="12.75" customHeight="1" x14ac:dyDescent="0.2">
      <c r="A96" s="50"/>
      <c r="C96" s="61" t="s">
        <v>310</v>
      </c>
      <c r="D96" s="10" t="s">
        <v>177</v>
      </c>
      <c r="E96" s="47" t="e">
        <f t="shared" ref="E96:AT96" si="54">(E80*E94)/E69</f>
        <v>#DIV/0!</v>
      </c>
      <c r="F96" s="47" t="e">
        <f t="shared" si="54"/>
        <v>#DIV/0!</v>
      </c>
      <c r="G96" s="47" t="e">
        <f t="shared" si="54"/>
        <v>#DIV/0!</v>
      </c>
      <c r="H96" s="47" t="e">
        <f t="shared" si="54"/>
        <v>#DIV/0!</v>
      </c>
      <c r="I96" s="47" t="e">
        <f t="shared" si="54"/>
        <v>#DIV/0!</v>
      </c>
      <c r="J96" s="47" t="e">
        <f t="shared" si="54"/>
        <v>#DIV/0!</v>
      </c>
      <c r="K96" s="47" t="e">
        <f t="shared" si="54"/>
        <v>#DIV/0!</v>
      </c>
      <c r="L96" s="47" t="e">
        <f t="shared" si="54"/>
        <v>#DIV/0!</v>
      </c>
      <c r="M96" s="47" t="e">
        <f t="shared" si="54"/>
        <v>#DIV/0!</v>
      </c>
      <c r="N96" s="47" t="e">
        <f t="shared" si="54"/>
        <v>#DIV/0!</v>
      </c>
      <c r="O96" s="47" t="e">
        <f t="shared" si="54"/>
        <v>#DIV/0!</v>
      </c>
      <c r="P96" s="47" t="e">
        <f t="shared" si="54"/>
        <v>#DIV/0!</v>
      </c>
      <c r="Q96" s="47" t="e">
        <f t="shared" si="54"/>
        <v>#DIV/0!</v>
      </c>
      <c r="R96" s="47" t="e">
        <f t="shared" si="54"/>
        <v>#DIV/0!</v>
      </c>
      <c r="S96" s="47" t="e">
        <f t="shared" si="54"/>
        <v>#DIV/0!</v>
      </c>
      <c r="T96" s="47" t="e">
        <f t="shared" si="54"/>
        <v>#DIV/0!</v>
      </c>
      <c r="U96" s="47" t="e">
        <f t="shared" si="54"/>
        <v>#DIV/0!</v>
      </c>
      <c r="V96" s="47" t="e">
        <f t="shared" si="54"/>
        <v>#DIV/0!</v>
      </c>
      <c r="W96" s="47" t="e">
        <f t="shared" si="54"/>
        <v>#DIV/0!</v>
      </c>
      <c r="X96" s="47" t="e">
        <f t="shared" si="54"/>
        <v>#DIV/0!</v>
      </c>
      <c r="Y96" s="47" t="e">
        <f t="shared" si="54"/>
        <v>#DIV/0!</v>
      </c>
      <c r="Z96" s="47" t="e">
        <f t="shared" si="54"/>
        <v>#DIV/0!</v>
      </c>
      <c r="AA96" s="47" t="e">
        <f t="shared" si="54"/>
        <v>#DIV/0!</v>
      </c>
      <c r="AB96" s="47" t="e">
        <f t="shared" si="54"/>
        <v>#DIV/0!</v>
      </c>
      <c r="AC96" s="47" t="e">
        <f t="shared" si="54"/>
        <v>#DIV/0!</v>
      </c>
      <c r="AD96" s="47" t="e">
        <f t="shared" si="54"/>
        <v>#DIV/0!</v>
      </c>
      <c r="AE96" s="47" t="e">
        <f t="shared" si="54"/>
        <v>#DIV/0!</v>
      </c>
      <c r="AF96" s="47" t="e">
        <f t="shared" si="54"/>
        <v>#DIV/0!</v>
      </c>
      <c r="AG96" s="47" t="e">
        <f t="shared" si="54"/>
        <v>#DIV/0!</v>
      </c>
      <c r="AH96" s="47" t="e">
        <f t="shared" si="54"/>
        <v>#DIV/0!</v>
      </c>
      <c r="AI96" s="47" t="e">
        <f t="shared" si="54"/>
        <v>#DIV/0!</v>
      </c>
      <c r="AJ96" s="47" t="e">
        <f t="shared" si="54"/>
        <v>#DIV/0!</v>
      </c>
      <c r="AK96" s="47" t="e">
        <f t="shared" si="54"/>
        <v>#DIV/0!</v>
      </c>
      <c r="AL96" s="47" t="e">
        <f t="shared" si="54"/>
        <v>#DIV/0!</v>
      </c>
      <c r="AM96" s="47" t="e">
        <f t="shared" si="54"/>
        <v>#DIV/0!</v>
      </c>
      <c r="AN96" s="47" t="e">
        <f t="shared" si="54"/>
        <v>#DIV/0!</v>
      </c>
      <c r="AO96" s="47" t="e">
        <f t="shared" si="54"/>
        <v>#DIV/0!</v>
      </c>
      <c r="AP96" s="47" t="e">
        <f t="shared" si="54"/>
        <v>#DIV/0!</v>
      </c>
      <c r="AQ96" s="47" t="e">
        <f t="shared" si="54"/>
        <v>#DIV/0!</v>
      </c>
      <c r="AR96" s="47" t="e">
        <f t="shared" si="54"/>
        <v>#DIV/0!</v>
      </c>
      <c r="AS96" s="47" t="e">
        <f t="shared" si="54"/>
        <v>#DIV/0!</v>
      </c>
      <c r="AT96" s="47" t="e">
        <f t="shared" si="54"/>
        <v>#DIV/0!</v>
      </c>
    </row>
    <row r="97" spans="1:46" ht="12.75" customHeight="1" x14ac:dyDescent="0.2">
      <c r="A97" s="6" t="s">
        <v>181</v>
      </c>
      <c r="C97" s="61" t="s">
        <v>311</v>
      </c>
      <c r="D97" s="10" t="s">
        <v>113</v>
      </c>
      <c r="E97" s="59" t="e">
        <f t="shared" ref="E97:AT97" si="55">E77/E96</f>
        <v>#DIV/0!</v>
      </c>
      <c r="F97" s="59" t="e">
        <f t="shared" si="55"/>
        <v>#DIV/0!</v>
      </c>
      <c r="G97" s="59" t="e">
        <f t="shared" si="55"/>
        <v>#DIV/0!</v>
      </c>
      <c r="H97" s="59" t="e">
        <f t="shared" si="55"/>
        <v>#DIV/0!</v>
      </c>
      <c r="I97" s="59" t="e">
        <f t="shared" si="55"/>
        <v>#DIV/0!</v>
      </c>
      <c r="J97" s="59" t="e">
        <f t="shared" si="55"/>
        <v>#DIV/0!</v>
      </c>
      <c r="K97" s="59" t="e">
        <f t="shared" si="55"/>
        <v>#DIV/0!</v>
      </c>
      <c r="L97" s="59" t="e">
        <f t="shared" si="55"/>
        <v>#DIV/0!</v>
      </c>
      <c r="M97" s="59" t="e">
        <f t="shared" si="55"/>
        <v>#DIV/0!</v>
      </c>
      <c r="N97" s="59" t="e">
        <f t="shared" si="55"/>
        <v>#DIV/0!</v>
      </c>
      <c r="O97" s="59" t="e">
        <f t="shared" si="55"/>
        <v>#DIV/0!</v>
      </c>
      <c r="P97" s="59" t="e">
        <f t="shared" si="55"/>
        <v>#DIV/0!</v>
      </c>
      <c r="Q97" s="59" t="e">
        <f t="shared" si="55"/>
        <v>#DIV/0!</v>
      </c>
      <c r="R97" s="59" t="e">
        <f t="shared" si="55"/>
        <v>#DIV/0!</v>
      </c>
      <c r="S97" s="59" t="e">
        <f t="shared" si="55"/>
        <v>#DIV/0!</v>
      </c>
      <c r="T97" s="59" t="e">
        <f t="shared" si="55"/>
        <v>#DIV/0!</v>
      </c>
      <c r="U97" s="59" t="e">
        <f t="shared" si="55"/>
        <v>#DIV/0!</v>
      </c>
      <c r="V97" s="59" t="e">
        <f t="shared" si="55"/>
        <v>#DIV/0!</v>
      </c>
      <c r="W97" s="59" t="e">
        <f t="shared" si="55"/>
        <v>#DIV/0!</v>
      </c>
      <c r="X97" s="59" t="e">
        <f t="shared" si="55"/>
        <v>#DIV/0!</v>
      </c>
      <c r="Y97" s="59" t="e">
        <f t="shared" si="55"/>
        <v>#DIV/0!</v>
      </c>
      <c r="Z97" s="59" t="e">
        <f t="shared" si="55"/>
        <v>#DIV/0!</v>
      </c>
      <c r="AA97" s="59" t="e">
        <f t="shared" si="55"/>
        <v>#DIV/0!</v>
      </c>
      <c r="AB97" s="59" t="e">
        <f t="shared" si="55"/>
        <v>#DIV/0!</v>
      </c>
      <c r="AC97" s="59" t="e">
        <f t="shared" si="55"/>
        <v>#DIV/0!</v>
      </c>
      <c r="AD97" s="59" t="e">
        <f t="shared" si="55"/>
        <v>#DIV/0!</v>
      </c>
      <c r="AE97" s="59" t="e">
        <f t="shared" si="55"/>
        <v>#DIV/0!</v>
      </c>
      <c r="AF97" s="59" t="e">
        <f t="shared" si="55"/>
        <v>#DIV/0!</v>
      </c>
      <c r="AG97" s="59" t="e">
        <f t="shared" si="55"/>
        <v>#DIV/0!</v>
      </c>
      <c r="AH97" s="59" t="e">
        <f t="shared" si="55"/>
        <v>#DIV/0!</v>
      </c>
      <c r="AI97" s="59" t="e">
        <f t="shared" si="55"/>
        <v>#DIV/0!</v>
      </c>
      <c r="AJ97" s="59" t="e">
        <f t="shared" si="55"/>
        <v>#DIV/0!</v>
      </c>
      <c r="AK97" s="59" t="e">
        <f t="shared" si="55"/>
        <v>#DIV/0!</v>
      </c>
      <c r="AL97" s="59" t="e">
        <f t="shared" si="55"/>
        <v>#DIV/0!</v>
      </c>
      <c r="AM97" s="59" t="e">
        <f t="shared" si="55"/>
        <v>#DIV/0!</v>
      </c>
      <c r="AN97" s="59" t="e">
        <f t="shared" si="55"/>
        <v>#DIV/0!</v>
      </c>
      <c r="AO97" s="59" t="e">
        <f t="shared" si="55"/>
        <v>#DIV/0!</v>
      </c>
      <c r="AP97" s="59" t="e">
        <f t="shared" si="55"/>
        <v>#DIV/0!</v>
      </c>
      <c r="AQ97" s="59" t="e">
        <f t="shared" si="55"/>
        <v>#DIV/0!</v>
      </c>
      <c r="AR97" s="59" t="e">
        <f t="shared" si="55"/>
        <v>#DIV/0!</v>
      </c>
      <c r="AS97" s="59" t="e">
        <f t="shared" si="55"/>
        <v>#DIV/0!</v>
      </c>
      <c r="AT97" s="59" t="e">
        <f t="shared" si="55"/>
        <v>#DIV/0!</v>
      </c>
    </row>
    <row r="98" spans="1:46" ht="12.75" customHeight="1" x14ac:dyDescent="0.2">
      <c r="A98" s="6" t="s">
        <v>181</v>
      </c>
      <c r="C98" s="61" t="s">
        <v>312</v>
      </c>
      <c r="D98" s="10" t="s">
        <v>113</v>
      </c>
      <c r="E98" s="59" t="e">
        <f t="shared" ref="E98:AT98" si="56">(E77/(1.04*E96))+((E72/E95)^1.7)</f>
        <v>#DIV/0!</v>
      </c>
      <c r="F98" s="59" t="e">
        <f t="shared" si="56"/>
        <v>#DIV/0!</v>
      </c>
      <c r="G98" s="59" t="e">
        <f t="shared" si="56"/>
        <v>#DIV/0!</v>
      </c>
      <c r="H98" s="59" t="e">
        <f t="shared" si="56"/>
        <v>#DIV/0!</v>
      </c>
      <c r="I98" s="59" t="e">
        <f t="shared" si="56"/>
        <v>#DIV/0!</v>
      </c>
      <c r="J98" s="59" t="e">
        <f t="shared" si="56"/>
        <v>#DIV/0!</v>
      </c>
      <c r="K98" s="59" t="e">
        <f t="shared" si="56"/>
        <v>#DIV/0!</v>
      </c>
      <c r="L98" s="59" t="e">
        <f t="shared" si="56"/>
        <v>#DIV/0!</v>
      </c>
      <c r="M98" s="59" t="e">
        <f t="shared" si="56"/>
        <v>#DIV/0!</v>
      </c>
      <c r="N98" s="59" t="e">
        <f t="shared" si="56"/>
        <v>#DIV/0!</v>
      </c>
      <c r="O98" s="59" t="e">
        <f t="shared" si="56"/>
        <v>#DIV/0!</v>
      </c>
      <c r="P98" s="59" t="e">
        <f t="shared" si="56"/>
        <v>#DIV/0!</v>
      </c>
      <c r="Q98" s="59" t="e">
        <f t="shared" si="56"/>
        <v>#DIV/0!</v>
      </c>
      <c r="R98" s="59" t="e">
        <f t="shared" si="56"/>
        <v>#DIV/0!</v>
      </c>
      <c r="S98" s="59" t="e">
        <f t="shared" si="56"/>
        <v>#DIV/0!</v>
      </c>
      <c r="T98" s="59" t="e">
        <f t="shared" si="56"/>
        <v>#DIV/0!</v>
      </c>
      <c r="U98" s="59" t="e">
        <f t="shared" si="56"/>
        <v>#DIV/0!</v>
      </c>
      <c r="V98" s="59" t="e">
        <f t="shared" si="56"/>
        <v>#DIV/0!</v>
      </c>
      <c r="W98" s="59" t="e">
        <f t="shared" si="56"/>
        <v>#DIV/0!</v>
      </c>
      <c r="X98" s="59" t="e">
        <f t="shared" si="56"/>
        <v>#DIV/0!</v>
      </c>
      <c r="Y98" s="59" t="e">
        <f t="shared" si="56"/>
        <v>#DIV/0!</v>
      </c>
      <c r="Z98" s="59" t="e">
        <f t="shared" si="56"/>
        <v>#DIV/0!</v>
      </c>
      <c r="AA98" s="59" t="e">
        <f t="shared" si="56"/>
        <v>#DIV/0!</v>
      </c>
      <c r="AB98" s="59" t="e">
        <f t="shared" si="56"/>
        <v>#DIV/0!</v>
      </c>
      <c r="AC98" s="59" t="e">
        <f t="shared" si="56"/>
        <v>#DIV/0!</v>
      </c>
      <c r="AD98" s="59" t="e">
        <f t="shared" si="56"/>
        <v>#DIV/0!</v>
      </c>
      <c r="AE98" s="59" t="e">
        <f t="shared" si="56"/>
        <v>#DIV/0!</v>
      </c>
      <c r="AF98" s="59" t="e">
        <f t="shared" si="56"/>
        <v>#DIV/0!</v>
      </c>
      <c r="AG98" s="59" t="e">
        <f t="shared" si="56"/>
        <v>#DIV/0!</v>
      </c>
      <c r="AH98" s="59" t="e">
        <f t="shared" si="56"/>
        <v>#DIV/0!</v>
      </c>
      <c r="AI98" s="59" t="e">
        <f t="shared" si="56"/>
        <v>#DIV/0!</v>
      </c>
      <c r="AJ98" s="59" t="e">
        <f t="shared" si="56"/>
        <v>#DIV/0!</v>
      </c>
      <c r="AK98" s="59" t="e">
        <f t="shared" si="56"/>
        <v>#DIV/0!</v>
      </c>
      <c r="AL98" s="59" t="e">
        <f t="shared" si="56"/>
        <v>#DIV/0!</v>
      </c>
      <c r="AM98" s="59" t="e">
        <f t="shared" si="56"/>
        <v>#DIV/0!</v>
      </c>
      <c r="AN98" s="59" t="e">
        <f t="shared" si="56"/>
        <v>#DIV/0!</v>
      </c>
      <c r="AO98" s="59" t="e">
        <f t="shared" si="56"/>
        <v>#DIV/0!</v>
      </c>
      <c r="AP98" s="59" t="e">
        <f t="shared" si="56"/>
        <v>#DIV/0!</v>
      </c>
      <c r="AQ98" s="59" t="e">
        <f t="shared" si="56"/>
        <v>#DIV/0!</v>
      </c>
      <c r="AR98" s="59" t="e">
        <f t="shared" si="56"/>
        <v>#DIV/0!</v>
      </c>
      <c r="AS98" s="59" t="e">
        <f t="shared" si="56"/>
        <v>#DIV/0!</v>
      </c>
      <c r="AT98" s="59" t="e">
        <f t="shared" si="56"/>
        <v>#DIV/0!</v>
      </c>
    </row>
    <row r="99" spans="1:46" ht="12.75" customHeight="1" x14ac:dyDescent="0.2">
      <c r="A99" s="50"/>
      <c r="C99" s="63"/>
    </row>
    <row r="100" spans="1:46" ht="12.75" customHeight="1" x14ac:dyDescent="0.2">
      <c r="A100" s="42" t="s">
        <v>313</v>
      </c>
      <c r="C100" s="63"/>
    </row>
    <row r="101" spans="1:46" ht="12.75" customHeight="1" x14ac:dyDescent="0.2">
      <c r="A101" s="50" t="s">
        <v>314</v>
      </c>
      <c r="C101" s="62" t="s">
        <v>315</v>
      </c>
    </row>
    <row r="102" spans="1:46" ht="12.75" customHeight="1" x14ac:dyDescent="0.2">
      <c r="A102" s="6"/>
      <c r="C102" s="5" t="s">
        <v>316</v>
      </c>
      <c r="D102" s="10" t="s">
        <v>78</v>
      </c>
      <c r="E102" s="47" t="e">
        <f t="shared" ref="E102:AT102" si="57">PI()^2*E14*E24/(E28*1000)^2/1000</f>
        <v>#DIV/0!</v>
      </c>
      <c r="F102" s="47" t="e">
        <f t="shared" si="57"/>
        <v>#DIV/0!</v>
      </c>
      <c r="G102" s="47" t="e">
        <f t="shared" si="57"/>
        <v>#DIV/0!</v>
      </c>
      <c r="H102" s="47" t="e">
        <f t="shared" si="57"/>
        <v>#DIV/0!</v>
      </c>
      <c r="I102" s="47" t="e">
        <f t="shared" si="57"/>
        <v>#DIV/0!</v>
      </c>
      <c r="J102" s="47" t="e">
        <f t="shared" si="57"/>
        <v>#DIV/0!</v>
      </c>
      <c r="K102" s="47" t="e">
        <f t="shared" si="57"/>
        <v>#DIV/0!</v>
      </c>
      <c r="L102" s="47" t="e">
        <f t="shared" si="57"/>
        <v>#DIV/0!</v>
      </c>
      <c r="M102" s="47" t="e">
        <f t="shared" si="57"/>
        <v>#DIV/0!</v>
      </c>
      <c r="N102" s="47" t="e">
        <f t="shared" si="57"/>
        <v>#DIV/0!</v>
      </c>
      <c r="O102" s="47" t="e">
        <f t="shared" si="57"/>
        <v>#DIV/0!</v>
      </c>
      <c r="P102" s="47" t="e">
        <f t="shared" si="57"/>
        <v>#DIV/0!</v>
      </c>
      <c r="Q102" s="47" t="e">
        <f t="shared" si="57"/>
        <v>#DIV/0!</v>
      </c>
      <c r="R102" s="47" t="e">
        <f t="shared" si="57"/>
        <v>#DIV/0!</v>
      </c>
      <c r="S102" s="47" t="e">
        <f t="shared" si="57"/>
        <v>#DIV/0!</v>
      </c>
      <c r="T102" s="47" t="e">
        <f t="shared" si="57"/>
        <v>#DIV/0!</v>
      </c>
      <c r="U102" s="47" t="e">
        <f t="shared" si="57"/>
        <v>#DIV/0!</v>
      </c>
      <c r="V102" s="47" t="e">
        <f t="shared" si="57"/>
        <v>#DIV/0!</v>
      </c>
      <c r="W102" s="47" t="e">
        <f t="shared" si="57"/>
        <v>#DIV/0!</v>
      </c>
      <c r="X102" s="47" t="e">
        <f t="shared" si="57"/>
        <v>#DIV/0!</v>
      </c>
      <c r="Y102" s="47" t="e">
        <f t="shared" si="57"/>
        <v>#DIV/0!</v>
      </c>
      <c r="Z102" s="47" t="e">
        <f t="shared" si="57"/>
        <v>#DIV/0!</v>
      </c>
      <c r="AA102" s="47" t="e">
        <f t="shared" si="57"/>
        <v>#DIV/0!</v>
      </c>
      <c r="AB102" s="47" t="e">
        <f t="shared" si="57"/>
        <v>#DIV/0!</v>
      </c>
      <c r="AC102" s="47" t="e">
        <f t="shared" si="57"/>
        <v>#DIV/0!</v>
      </c>
      <c r="AD102" s="47" t="e">
        <f t="shared" si="57"/>
        <v>#DIV/0!</v>
      </c>
      <c r="AE102" s="47" t="e">
        <f t="shared" si="57"/>
        <v>#DIV/0!</v>
      </c>
      <c r="AF102" s="47" t="e">
        <f t="shared" si="57"/>
        <v>#DIV/0!</v>
      </c>
      <c r="AG102" s="47" t="e">
        <f t="shared" si="57"/>
        <v>#DIV/0!</v>
      </c>
      <c r="AH102" s="47" t="e">
        <f t="shared" si="57"/>
        <v>#DIV/0!</v>
      </c>
      <c r="AI102" s="47" t="e">
        <f t="shared" si="57"/>
        <v>#DIV/0!</v>
      </c>
      <c r="AJ102" s="47" t="e">
        <f t="shared" si="57"/>
        <v>#DIV/0!</v>
      </c>
      <c r="AK102" s="47" t="e">
        <f t="shared" si="57"/>
        <v>#DIV/0!</v>
      </c>
      <c r="AL102" s="47" t="e">
        <f t="shared" si="57"/>
        <v>#DIV/0!</v>
      </c>
      <c r="AM102" s="47" t="e">
        <f t="shared" si="57"/>
        <v>#DIV/0!</v>
      </c>
      <c r="AN102" s="47" t="e">
        <f t="shared" si="57"/>
        <v>#DIV/0!</v>
      </c>
      <c r="AO102" s="47" t="e">
        <f t="shared" si="57"/>
        <v>#DIV/0!</v>
      </c>
      <c r="AP102" s="47" t="e">
        <f t="shared" si="57"/>
        <v>#DIV/0!</v>
      </c>
      <c r="AQ102" s="47" t="e">
        <f t="shared" si="57"/>
        <v>#DIV/0!</v>
      </c>
      <c r="AR102" s="47" t="e">
        <f t="shared" si="57"/>
        <v>#DIV/0!</v>
      </c>
      <c r="AS102" s="47" t="e">
        <f t="shared" si="57"/>
        <v>#DIV/0!</v>
      </c>
      <c r="AT102" s="47" t="e">
        <f t="shared" si="57"/>
        <v>#DIV/0!</v>
      </c>
    </row>
    <row r="103" spans="1:46" ht="12.75" customHeight="1" x14ac:dyDescent="0.2">
      <c r="A103" s="6"/>
      <c r="C103" s="7" t="s">
        <v>317</v>
      </c>
      <c r="D103" s="10" t="s">
        <v>113</v>
      </c>
      <c r="E103" s="53" t="e">
        <f t="shared" ref="E103:AT103" si="58">SQRT((E22*E12)/(E102*1000))</f>
        <v>#DIV/0!</v>
      </c>
      <c r="F103" s="53" t="e">
        <f t="shared" si="58"/>
        <v>#DIV/0!</v>
      </c>
      <c r="G103" s="53" t="e">
        <f t="shared" si="58"/>
        <v>#DIV/0!</v>
      </c>
      <c r="H103" s="53" t="e">
        <f t="shared" si="58"/>
        <v>#DIV/0!</v>
      </c>
      <c r="I103" s="53" t="e">
        <f t="shared" si="58"/>
        <v>#DIV/0!</v>
      </c>
      <c r="J103" s="53" t="e">
        <f t="shared" si="58"/>
        <v>#DIV/0!</v>
      </c>
      <c r="K103" s="53" t="e">
        <f t="shared" si="58"/>
        <v>#DIV/0!</v>
      </c>
      <c r="L103" s="53" t="e">
        <f t="shared" si="58"/>
        <v>#DIV/0!</v>
      </c>
      <c r="M103" s="53" t="e">
        <f t="shared" si="58"/>
        <v>#DIV/0!</v>
      </c>
      <c r="N103" s="53" t="e">
        <f t="shared" si="58"/>
        <v>#DIV/0!</v>
      </c>
      <c r="O103" s="53" t="e">
        <f t="shared" si="58"/>
        <v>#DIV/0!</v>
      </c>
      <c r="P103" s="53" t="e">
        <f t="shared" si="58"/>
        <v>#DIV/0!</v>
      </c>
      <c r="Q103" s="53" t="e">
        <f t="shared" si="58"/>
        <v>#DIV/0!</v>
      </c>
      <c r="R103" s="53" t="e">
        <f t="shared" si="58"/>
        <v>#DIV/0!</v>
      </c>
      <c r="S103" s="53" t="e">
        <f t="shared" si="58"/>
        <v>#DIV/0!</v>
      </c>
      <c r="T103" s="53" t="e">
        <f t="shared" si="58"/>
        <v>#DIV/0!</v>
      </c>
      <c r="U103" s="53" t="e">
        <f t="shared" si="58"/>
        <v>#DIV/0!</v>
      </c>
      <c r="V103" s="53" t="e">
        <f t="shared" si="58"/>
        <v>#DIV/0!</v>
      </c>
      <c r="W103" s="53" t="e">
        <f t="shared" si="58"/>
        <v>#DIV/0!</v>
      </c>
      <c r="X103" s="53" t="e">
        <f t="shared" si="58"/>
        <v>#DIV/0!</v>
      </c>
      <c r="Y103" s="53" t="e">
        <f t="shared" si="58"/>
        <v>#DIV/0!</v>
      </c>
      <c r="Z103" s="53" t="e">
        <f t="shared" si="58"/>
        <v>#DIV/0!</v>
      </c>
      <c r="AA103" s="53" t="e">
        <f t="shared" si="58"/>
        <v>#DIV/0!</v>
      </c>
      <c r="AB103" s="53" t="e">
        <f t="shared" si="58"/>
        <v>#DIV/0!</v>
      </c>
      <c r="AC103" s="53" t="e">
        <f t="shared" si="58"/>
        <v>#DIV/0!</v>
      </c>
      <c r="AD103" s="53" t="e">
        <f t="shared" si="58"/>
        <v>#DIV/0!</v>
      </c>
      <c r="AE103" s="53" t="e">
        <f t="shared" si="58"/>
        <v>#DIV/0!</v>
      </c>
      <c r="AF103" s="53" t="e">
        <f t="shared" si="58"/>
        <v>#DIV/0!</v>
      </c>
      <c r="AG103" s="53" t="e">
        <f t="shared" si="58"/>
        <v>#DIV/0!</v>
      </c>
      <c r="AH103" s="53" t="e">
        <f t="shared" si="58"/>
        <v>#DIV/0!</v>
      </c>
      <c r="AI103" s="53" t="e">
        <f t="shared" si="58"/>
        <v>#DIV/0!</v>
      </c>
      <c r="AJ103" s="53" t="e">
        <f t="shared" si="58"/>
        <v>#DIV/0!</v>
      </c>
      <c r="AK103" s="53" t="e">
        <f t="shared" si="58"/>
        <v>#DIV/0!</v>
      </c>
      <c r="AL103" s="53" t="e">
        <f t="shared" si="58"/>
        <v>#DIV/0!</v>
      </c>
      <c r="AM103" s="53" t="e">
        <f t="shared" si="58"/>
        <v>#DIV/0!</v>
      </c>
      <c r="AN103" s="53" t="e">
        <f t="shared" si="58"/>
        <v>#DIV/0!</v>
      </c>
      <c r="AO103" s="53" t="e">
        <f t="shared" si="58"/>
        <v>#DIV/0!</v>
      </c>
      <c r="AP103" s="53" t="e">
        <f t="shared" si="58"/>
        <v>#DIV/0!</v>
      </c>
      <c r="AQ103" s="53" t="e">
        <f t="shared" si="58"/>
        <v>#DIV/0!</v>
      </c>
      <c r="AR103" s="53" t="e">
        <f t="shared" si="58"/>
        <v>#DIV/0!</v>
      </c>
      <c r="AS103" s="53" t="e">
        <f t="shared" si="58"/>
        <v>#DIV/0!</v>
      </c>
      <c r="AT103" s="53" t="e">
        <f t="shared" si="58"/>
        <v>#DIV/0!</v>
      </c>
    </row>
    <row r="104" spans="1:46" ht="12.75" customHeight="1" x14ac:dyDescent="0.2">
      <c r="A104" s="6"/>
      <c r="C104" s="5" t="s">
        <v>318</v>
      </c>
      <c r="D104" s="10" t="s">
        <v>113</v>
      </c>
      <c r="E104" s="59" t="e">
        <f t="shared" ref="E104:AT104" si="59">E72/E102</f>
        <v>#DIV/0!</v>
      </c>
      <c r="F104" s="59" t="e">
        <f t="shared" si="59"/>
        <v>#DIV/0!</v>
      </c>
      <c r="G104" s="59" t="e">
        <f t="shared" si="59"/>
        <v>#DIV/0!</v>
      </c>
      <c r="H104" s="59" t="e">
        <f t="shared" si="59"/>
        <v>#DIV/0!</v>
      </c>
      <c r="I104" s="59" t="e">
        <f t="shared" si="59"/>
        <v>#DIV/0!</v>
      </c>
      <c r="J104" s="59" t="e">
        <f t="shared" si="59"/>
        <v>#DIV/0!</v>
      </c>
      <c r="K104" s="59" t="e">
        <f t="shared" si="59"/>
        <v>#DIV/0!</v>
      </c>
      <c r="L104" s="59" t="e">
        <f t="shared" si="59"/>
        <v>#DIV/0!</v>
      </c>
      <c r="M104" s="59" t="e">
        <f t="shared" si="59"/>
        <v>#DIV/0!</v>
      </c>
      <c r="N104" s="59" t="e">
        <f t="shared" si="59"/>
        <v>#DIV/0!</v>
      </c>
      <c r="O104" s="59" t="e">
        <f t="shared" si="59"/>
        <v>#DIV/0!</v>
      </c>
      <c r="P104" s="59" t="e">
        <f t="shared" si="59"/>
        <v>#DIV/0!</v>
      </c>
      <c r="Q104" s="59" t="e">
        <f t="shared" si="59"/>
        <v>#DIV/0!</v>
      </c>
      <c r="R104" s="59" t="e">
        <f t="shared" si="59"/>
        <v>#DIV/0!</v>
      </c>
      <c r="S104" s="59" t="e">
        <f t="shared" si="59"/>
        <v>#DIV/0!</v>
      </c>
      <c r="T104" s="59" t="e">
        <f t="shared" si="59"/>
        <v>#DIV/0!</v>
      </c>
      <c r="U104" s="59" t="e">
        <f t="shared" si="59"/>
        <v>#DIV/0!</v>
      </c>
      <c r="V104" s="59" t="e">
        <f t="shared" si="59"/>
        <v>#DIV/0!</v>
      </c>
      <c r="W104" s="59" t="e">
        <f t="shared" si="59"/>
        <v>#DIV/0!</v>
      </c>
      <c r="X104" s="59" t="e">
        <f t="shared" si="59"/>
        <v>#DIV/0!</v>
      </c>
      <c r="Y104" s="59" t="e">
        <f t="shared" si="59"/>
        <v>#DIV/0!</v>
      </c>
      <c r="Z104" s="59" t="e">
        <f t="shared" si="59"/>
        <v>#DIV/0!</v>
      </c>
      <c r="AA104" s="59" t="e">
        <f t="shared" si="59"/>
        <v>#DIV/0!</v>
      </c>
      <c r="AB104" s="59" t="e">
        <f t="shared" si="59"/>
        <v>#DIV/0!</v>
      </c>
      <c r="AC104" s="59" t="e">
        <f t="shared" si="59"/>
        <v>#DIV/0!</v>
      </c>
      <c r="AD104" s="59" t="e">
        <f t="shared" si="59"/>
        <v>#DIV/0!</v>
      </c>
      <c r="AE104" s="59" t="e">
        <f t="shared" si="59"/>
        <v>#DIV/0!</v>
      </c>
      <c r="AF104" s="59" t="e">
        <f t="shared" si="59"/>
        <v>#DIV/0!</v>
      </c>
      <c r="AG104" s="59" t="e">
        <f t="shared" si="59"/>
        <v>#DIV/0!</v>
      </c>
      <c r="AH104" s="59" t="e">
        <f t="shared" si="59"/>
        <v>#DIV/0!</v>
      </c>
      <c r="AI104" s="59" t="e">
        <f t="shared" si="59"/>
        <v>#DIV/0!</v>
      </c>
      <c r="AJ104" s="59" t="e">
        <f t="shared" si="59"/>
        <v>#DIV/0!</v>
      </c>
      <c r="AK104" s="59" t="e">
        <f t="shared" si="59"/>
        <v>#DIV/0!</v>
      </c>
      <c r="AL104" s="59" t="e">
        <f t="shared" si="59"/>
        <v>#DIV/0!</v>
      </c>
      <c r="AM104" s="59" t="e">
        <f t="shared" si="59"/>
        <v>#DIV/0!</v>
      </c>
      <c r="AN104" s="59" t="e">
        <f t="shared" si="59"/>
        <v>#DIV/0!</v>
      </c>
      <c r="AO104" s="59" t="e">
        <f t="shared" si="59"/>
        <v>#DIV/0!</v>
      </c>
      <c r="AP104" s="59" t="e">
        <f t="shared" si="59"/>
        <v>#DIV/0!</v>
      </c>
      <c r="AQ104" s="59" t="e">
        <f t="shared" si="59"/>
        <v>#DIV/0!</v>
      </c>
      <c r="AR104" s="59" t="e">
        <f t="shared" si="59"/>
        <v>#DIV/0!</v>
      </c>
      <c r="AS104" s="59" t="e">
        <f t="shared" si="59"/>
        <v>#DIV/0!</v>
      </c>
      <c r="AT104" s="59" t="e">
        <f t="shared" si="59"/>
        <v>#DIV/0!</v>
      </c>
    </row>
    <row r="105" spans="1:46" ht="12.75" customHeight="1" x14ac:dyDescent="0.2">
      <c r="A105" s="6"/>
      <c r="C105" s="63"/>
    </row>
    <row r="106" spans="1:46" ht="12.75" customHeight="1" x14ac:dyDescent="0.2">
      <c r="A106" s="6"/>
      <c r="C106" s="5" t="s">
        <v>319</v>
      </c>
      <c r="D106" s="56" t="s">
        <v>113</v>
      </c>
      <c r="E106" s="9" t="str">
        <f t="shared" ref="E106:AT106" si="60">E33</f>
        <v>a</v>
      </c>
      <c r="F106" s="9" t="str">
        <f t="shared" si="60"/>
        <v>a</v>
      </c>
      <c r="G106" s="9" t="str">
        <f t="shared" si="60"/>
        <v>a</v>
      </c>
      <c r="H106" s="9" t="str">
        <f t="shared" si="60"/>
        <v>a</v>
      </c>
      <c r="I106" s="9" t="str">
        <f t="shared" si="60"/>
        <v>a</v>
      </c>
      <c r="J106" s="9" t="str">
        <f t="shared" si="60"/>
        <v>a</v>
      </c>
      <c r="K106" s="9" t="str">
        <f t="shared" si="60"/>
        <v>a</v>
      </c>
      <c r="L106" s="9" t="str">
        <f t="shared" si="60"/>
        <v>a</v>
      </c>
      <c r="M106" s="9" t="str">
        <f t="shared" si="60"/>
        <v>a</v>
      </c>
      <c r="N106" s="9" t="str">
        <f t="shared" si="60"/>
        <v>a</v>
      </c>
      <c r="O106" s="9" t="str">
        <f t="shared" si="60"/>
        <v>a</v>
      </c>
      <c r="P106" s="9" t="str">
        <f t="shared" si="60"/>
        <v>a</v>
      </c>
      <c r="Q106" s="9" t="str">
        <f t="shared" si="60"/>
        <v>a</v>
      </c>
      <c r="R106" s="9" t="str">
        <f t="shared" si="60"/>
        <v>a</v>
      </c>
      <c r="S106" s="9" t="str">
        <f t="shared" si="60"/>
        <v>a</v>
      </c>
      <c r="T106" s="9" t="str">
        <f t="shared" si="60"/>
        <v>a</v>
      </c>
      <c r="U106" s="9" t="str">
        <f t="shared" si="60"/>
        <v>a</v>
      </c>
      <c r="V106" s="9" t="str">
        <f t="shared" si="60"/>
        <v>a</v>
      </c>
      <c r="W106" s="9" t="str">
        <f t="shared" si="60"/>
        <v>a</v>
      </c>
      <c r="X106" s="9" t="str">
        <f t="shared" si="60"/>
        <v>a</v>
      </c>
      <c r="Y106" s="9" t="str">
        <f t="shared" si="60"/>
        <v>a</v>
      </c>
      <c r="Z106" s="9" t="str">
        <f t="shared" si="60"/>
        <v>a</v>
      </c>
      <c r="AA106" s="9" t="str">
        <f t="shared" si="60"/>
        <v>a</v>
      </c>
      <c r="AB106" s="9" t="str">
        <f t="shared" si="60"/>
        <v>a</v>
      </c>
      <c r="AC106" s="9" t="str">
        <f t="shared" si="60"/>
        <v>a</v>
      </c>
      <c r="AD106" s="9" t="str">
        <f t="shared" si="60"/>
        <v>a</v>
      </c>
      <c r="AE106" s="9" t="str">
        <f t="shared" si="60"/>
        <v>a</v>
      </c>
      <c r="AF106" s="9" t="str">
        <f t="shared" si="60"/>
        <v>a</v>
      </c>
      <c r="AG106" s="9" t="str">
        <f t="shared" si="60"/>
        <v>a</v>
      </c>
      <c r="AH106" s="9" t="str">
        <f t="shared" si="60"/>
        <v>a</v>
      </c>
      <c r="AI106" s="9" t="str">
        <f t="shared" si="60"/>
        <v>a</v>
      </c>
      <c r="AJ106" s="9" t="str">
        <f t="shared" si="60"/>
        <v>a</v>
      </c>
      <c r="AK106" s="9" t="str">
        <f t="shared" si="60"/>
        <v>a</v>
      </c>
      <c r="AL106" s="9" t="str">
        <f t="shared" si="60"/>
        <v>a</v>
      </c>
      <c r="AM106" s="9" t="str">
        <f t="shared" si="60"/>
        <v>a</v>
      </c>
      <c r="AN106" s="9" t="str">
        <f t="shared" si="60"/>
        <v>a</v>
      </c>
      <c r="AO106" s="9" t="str">
        <f t="shared" si="60"/>
        <v>a</v>
      </c>
      <c r="AP106" s="9" t="str">
        <f t="shared" si="60"/>
        <v>a</v>
      </c>
      <c r="AQ106" s="9" t="str">
        <f t="shared" si="60"/>
        <v>a</v>
      </c>
      <c r="AR106" s="9" t="str">
        <f t="shared" si="60"/>
        <v>a</v>
      </c>
      <c r="AS106" s="9" t="str">
        <f t="shared" si="60"/>
        <v>a</v>
      </c>
      <c r="AT106" s="9" t="str">
        <f t="shared" si="60"/>
        <v>a</v>
      </c>
    </row>
    <row r="107" spans="1:46" ht="12.75" customHeight="1" x14ac:dyDescent="0.2">
      <c r="A107" s="6"/>
      <c r="C107" s="5" t="s">
        <v>272</v>
      </c>
      <c r="D107" s="56" t="s">
        <v>113</v>
      </c>
      <c r="E107" s="53">
        <f t="shared" ref="E107:AT107" si="61">E34</f>
        <v>0.21</v>
      </c>
      <c r="F107" s="53">
        <f t="shared" si="61"/>
        <v>0.21</v>
      </c>
      <c r="G107" s="53">
        <f t="shared" si="61"/>
        <v>0.21</v>
      </c>
      <c r="H107" s="53">
        <f t="shared" si="61"/>
        <v>0.21</v>
      </c>
      <c r="I107" s="53">
        <f t="shared" si="61"/>
        <v>0.21</v>
      </c>
      <c r="J107" s="53">
        <f t="shared" si="61"/>
        <v>0.21</v>
      </c>
      <c r="K107" s="53">
        <f t="shared" si="61"/>
        <v>0.21</v>
      </c>
      <c r="L107" s="53">
        <f t="shared" si="61"/>
        <v>0.21</v>
      </c>
      <c r="M107" s="53">
        <f t="shared" si="61"/>
        <v>0.21</v>
      </c>
      <c r="N107" s="53">
        <f t="shared" si="61"/>
        <v>0.21</v>
      </c>
      <c r="O107" s="53">
        <f t="shared" si="61"/>
        <v>0.21</v>
      </c>
      <c r="P107" s="53">
        <f t="shared" si="61"/>
        <v>0.21</v>
      </c>
      <c r="Q107" s="53">
        <f t="shared" si="61"/>
        <v>0.21</v>
      </c>
      <c r="R107" s="53">
        <f t="shared" si="61"/>
        <v>0.21</v>
      </c>
      <c r="S107" s="53">
        <f t="shared" si="61"/>
        <v>0.21</v>
      </c>
      <c r="T107" s="53">
        <f t="shared" si="61"/>
        <v>0.21</v>
      </c>
      <c r="U107" s="53">
        <f t="shared" si="61"/>
        <v>0.21</v>
      </c>
      <c r="V107" s="53">
        <f t="shared" si="61"/>
        <v>0.21</v>
      </c>
      <c r="W107" s="53">
        <f t="shared" si="61"/>
        <v>0.21</v>
      </c>
      <c r="X107" s="53">
        <f t="shared" si="61"/>
        <v>0.21</v>
      </c>
      <c r="Y107" s="53">
        <f t="shared" si="61"/>
        <v>0.21</v>
      </c>
      <c r="Z107" s="53">
        <f t="shared" si="61"/>
        <v>0.21</v>
      </c>
      <c r="AA107" s="53">
        <f t="shared" si="61"/>
        <v>0.21</v>
      </c>
      <c r="AB107" s="53">
        <f t="shared" si="61"/>
        <v>0.21</v>
      </c>
      <c r="AC107" s="53">
        <f t="shared" si="61"/>
        <v>0.21</v>
      </c>
      <c r="AD107" s="53">
        <f t="shared" si="61"/>
        <v>0.21</v>
      </c>
      <c r="AE107" s="53">
        <f t="shared" si="61"/>
        <v>0.21</v>
      </c>
      <c r="AF107" s="53">
        <f t="shared" si="61"/>
        <v>0.21</v>
      </c>
      <c r="AG107" s="53">
        <f t="shared" si="61"/>
        <v>0.21</v>
      </c>
      <c r="AH107" s="53">
        <f t="shared" si="61"/>
        <v>0.21</v>
      </c>
      <c r="AI107" s="53">
        <f t="shared" si="61"/>
        <v>0.21</v>
      </c>
      <c r="AJ107" s="53">
        <f t="shared" si="61"/>
        <v>0.21</v>
      </c>
      <c r="AK107" s="53">
        <f t="shared" si="61"/>
        <v>0.21</v>
      </c>
      <c r="AL107" s="53">
        <f t="shared" si="61"/>
        <v>0.21</v>
      </c>
      <c r="AM107" s="53">
        <f t="shared" si="61"/>
        <v>0.21</v>
      </c>
      <c r="AN107" s="53">
        <f t="shared" si="61"/>
        <v>0.21</v>
      </c>
      <c r="AO107" s="53">
        <f t="shared" si="61"/>
        <v>0.21</v>
      </c>
      <c r="AP107" s="53">
        <f t="shared" si="61"/>
        <v>0.21</v>
      </c>
      <c r="AQ107" s="53">
        <f t="shared" si="61"/>
        <v>0.21</v>
      </c>
      <c r="AR107" s="53">
        <f t="shared" si="61"/>
        <v>0.21</v>
      </c>
      <c r="AS107" s="53">
        <f t="shared" si="61"/>
        <v>0.21</v>
      </c>
      <c r="AT107" s="53">
        <f t="shared" si="61"/>
        <v>0.21</v>
      </c>
    </row>
    <row r="108" spans="1:46" ht="12.75" customHeight="1" x14ac:dyDescent="0.2">
      <c r="A108" s="6"/>
      <c r="C108" s="7" t="s">
        <v>16</v>
      </c>
      <c r="D108" s="56" t="s">
        <v>113</v>
      </c>
      <c r="E108" s="53" t="e">
        <f t="shared" ref="E108:AT108" si="62">0.5*(1+(E107*(E103-0.2))+E103^2)</f>
        <v>#DIV/0!</v>
      </c>
      <c r="F108" s="53" t="e">
        <f t="shared" si="62"/>
        <v>#DIV/0!</v>
      </c>
      <c r="G108" s="53" t="e">
        <f t="shared" si="62"/>
        <v>#DIV/0!</v>
      </c>
      <c r="H108" s="53" t="e">
        <f t="shared" si="62"/>
        <v>#DIV/0!</v>
      </c>
      <c r="I108" s="53" t="e">
        <f t="shared" si="62"/>
        <v>#DIV/0!</v>
      </c>
      <c r="J108" s="53" t="e">
        <f t="shared" si="62"/>
        <v>#DIV/0!</v>
      </c>
      <c r="K108" s="53" t="e">
        <f t="shared" si="62"/>
        <v>#DIV/0!</v>
      </c>
      <c r="L108" s="53" t="e">
        <f t="shared" si="62"/>
        <v>#DIV/0!</v>
      </c>
      <c r="M108" s="53" t="e">
        <f t="shared" si="62"/>
        <v>#DIV/0!</v>
      </c>
      <c r="N108" s="53" t="e">
        <f t="shared" si="62"/>
        <v>#DIV/0!</v>
      </c>
      <c r="O108" s="53" t="e">
        <f t="shared" si="62"/>
        <v>#DIV/0!</v>
      </c>
      <c r="P108" s="53" t="e">
        <f t="shared" si="62"/>
        <v>#DIV/0!</v>
      </c>
      <c r="Q108" s="53" t="e">
        <f t="shared" si="62"/>
        <v>#DIV/0!</v>
      </c>
      <c r="R108" s="53" t="e">
        <f t="shared" si="62"/>
        <v>#DIV/0!</v>
      </c>
      <c r="S108" s="53" t="e">
        <f t="shared" si="62"/>
        <v>#DIV/0!</v>
      </c>
      <c r="T108" s="53" t="e">
        <f t="shared" si="62"/>
        <v>#DIV/0!</v>
      </c>
      <c r="U108" s="53" t="e">
        <f t="shared" si="62"/>
        <v>#DIV/0!</v>
      </c>
      <c r="V108" s="53" t="e">
        <f t="shared" si="62"/>
        <v>#DIV/0!</v>
      </c>
      <c r="W108" s="53" t="e">
        <f t="shared" si="62"/>
        <v>#DIV/0!</v>
      </c>
      <c r="X108" s="53" t="e">
        <f t="shared" si="62"/>
        <v>#DIV/0!</v>
      </c>
      <c r="Y108" s="53" t="e">
        <f t="shared" si="62"/>
        <v>#DIV/0!</v>
      </c>
      <c r="Z108" s="53" t="e">
        <f t="shared" si="62"/>
        <v>#DIV/0!</v>
      </c>
      <c r="AA108" s="53" t="e">
        <f t="shared" si="62"/>
        <v>#DIV/0!</v>
      </c>
      <c r="AB108" s="53" t="e">
        <f t="shared" si="62"/>
        <v>#DIV/0!</v>
      </c>
      <c r="AC108" s="53" t="e">
        <f t="shared" si="62"/>
        <v>#DIV/0!</v>
      </c>
      <c r="AD108" s="53" t="e">
        <f t="shared" si="62"/>
        <v>#DIV/0!</v>
      </c>
      <c r="AE108" s="53" t="e">
        <f t="shared" si="62"/>
        <v>#DIV/0!</v>
      </c>
      <c r="AF108" s="53" t="e">
        <f t="shared" si="62"/>
        <v>#DIV/0!</v>
      </c>
      <c r="AG108" s="53" t="e">
        <f t="shared" si="62"/>
        <v>#DIV/0!</v>
      </c>
      <c r="AH108" s="53" t="e">
        <f t="shared" si="62"/>
        <v>#DIV/0!</v>
      </c>
      <c r="AI108" s="53" t="e">
        <f t="shared" si="62"/>
        <v>#DIV/0!</v>
      </c>
      <c r="AJ108" s="53" t="e">
        <f t="shared" si="62"/>
        <v>#DIV/0!</v>
      </c>
      <c r="AK108" s="53" t="e">
        <f t="shared" si="62"/>
        <v>#DIV/0!</v>
      </c>
      <c r="AL108" s="53" t="e">
        <f t="shared" si="62"/>
        <v>#DIV/0!</v>
      </c>
      <c r="AM108" s="53" t="e">
        <f t="shared" si="62"/>
        <v>#DIV/0!</v>
      </c>
      <c r="AN108" s="53" t="e">
        <f t="shared" si="62"/>
        <v>#DIV/0!</v>
      </c>
      <c r="AO108" s="53" t="e">
        <f t="shared" si="62"/>
        <v>#DIV/0!</v>
      </c>
      <c r="AP108" s="53" t="e">
        <f t="shared" si="62"/>
        <v>#DIV/0!</v>
      </c>
      <c r="AQ108" s="53" t="e">
        <f t="shared" si="62"/>
        <v>#DIV/0!</v>
      </c>
      <c r="AR108" s="53" t="e">
        <f t="shared" si="62"/>
        <v>#DIV/0!</v>
      </c>
      <c r="AS108" s="53" t="e">
        <f t="shared" si="62"/>
        <v>#DIV/0!</v>
      </c>
      <c r="AT108" s="53" t="e">
        <f t="shared" si="62"/>
        <v>#DIV/0!</v>
      </c>
    </row>
    <row r="109" spans="1:46" ht="12.75" customHeight="1" x14ac:dyDescent="0.2">
      <c r="A109" s="50"/>
      <c r="C109" s="7" t="s">
        <v>320</v>
      </c>
      <c r="D109" s="56" t="s">
        <v>113</v>
      </c>
      <c r="E109" s="53" t="e">
        <f t="shared" ref="E109:AT109" si="63">1/(E108+SQRT(E108^2-E103^2))</f>
        <v>#DIV/0!</v>
      </c>
      <c r="F109" s="53" t="e">
        <f t="shared" si="63"/>
        <v>#DIV/0!</v>
      </c>
      <c r="G109" s="53" t="e">
        <f t="shared" si="63"/>
        <v>#DIV/0!</v>
      </c>
      <c r="H109" s="53" t="e">
        <f t="shared" si="63"/>
        <v>#DIV/0!</v>
      </c>
      <c r="I109" s="53" t="e">
        <f t="shared" si="63"/>
        <v>#DIV/0!</v>
      </c>
      <c r="J109" s="53" t="e">
        <f t="shared" si="63"/>
        <v>#DIV/0!</v>
      </c>
      <c r="K109" s="53" t="e">
        <f t="shared" si="63"/>
        <v>#DIV/0!</v>
      </c>
      <c r="L109" s="53" t="e">
        <f t="shared" si="63"/>
        <v>#DIV/0!</v>
      </c>
      <c r="M109" s="53" t="e">
        <f t="shared" si="63"/>
        <v>#DIV/0!</v>
      </c>
      <c r="N109" s="53" t="e">
        <f t="shared" si="63"/>
        <v>#DIV/0!</v>
      </c>
      <c r="O109" s="53" t="e">
        <f t="shared" si="63"/>
        <v>#DIV/0!</v>
      </c>
      <c r="P109" s="53" t="e">
        <f t="shared" si="63"/>
        <v>#DIV/0!</v>
      </c>
      <c r="Q109" s="53" t="e">
        <f t="shared" si="63"/>
        <v>#DIV/0!</v>
      </c>
      <c r="R109" s="53" t="e">
        <f t="shared" si="63"/>
        <v>#DIV/0!</v>
      </c>
      <c r="S109" s="53" t="e">
        <f t="shared" si="63"/>
        <v>#DIV/0!</v>
      </c>
      <c r="T109" s="53" t="e">
        <f t="shared" si="63"/>
        <v>#DIV/0!</v>
      </c>
      <c r="U109" s="53" t="e">
        <f t="shared" si="63"/>
        <v>#DIV/0!</v>
      </c>
      <c r="V109" s="53" t="e">
        <f t="shared" si="63"/>
        <v>#DIV/0!</v>
      </c>
      <c r="W109" s="53" t="e">
        <f t="shared" si="63"/>
        <v>#DIV/0!</v>
      </c>
      <c r="X109" s="53" t="e">
        <f t="shared" si="63"/>
        <v>#DIV/0!</v>
      </c>
      <c r="Y109" s="53" t="e">
        <f t="shared" si="63"/>
        <v>#DIV/0!</v>
      </c>
      <c r="Z109" s="53" t="e">
        <f t="shared" si="63"/>
        <v>#DIV/0!</v>
      </c>
      <c r="AA109" s="53" t="e">
        <f t="shared" si="63"/>
        <v>#DIV/0!</v>
      </c>
      <c r="AB109" s="53" t="e">
        <f t="shared" si="63"/>
        <v>#DIV/0!</v>
      </c>
      <c r="AC109" s="53" t="e">
        <f t="shared" si="63"/>
        <v>#DIV/0!</v>
      </c>
      <c r="AD109" s="53" t="e">
        <f t="shared" si="63"/>
        <v>#DIV/0!</v>
      </c>
      <c r="AE109" s="53" t="e">
        <f t="shared" si="63"/>
        <v>#DIV/0!</v>
      </c>
      <c r="AF109" s="53" t="e">
        <f t="shared" si="63"/>
        <v>#DIV/0!</v>
      </c>
      <c r="AG109" s="53" t="e">
        <f t="shared" si="63"/>
        <v>#DIV/0!</v>
      </c>
      <c r="AH109" s="53" t="e">
        <f t="shared" si="63"/>
        <v>#DIV/0!</v>
      </c>
      <c r="AI109" s="53" t="e">
        <f t="shared" si="63"/>
        <v>#DIV/0!</v>
      </c>
      <c r="AJ109" s="53" t="e">
        <f t="shared" si="63"/>
        <v>#DIV/0!</v>
      </c>
      <c r="AK109" s="53" t="e">
        <f t="shared" si="63"/>
        <v>#DIV/0!</v>
      </c>
      <c r="AL109" s="53" t="e">
        <f t="shared" si="63"/>
        <v>#DIV/0!</v>
      </c>
      <c r="AM109" s="53" t="e">
        <f t="shared" si="63"/>
        <v>#DIV/0!</v>
      </c>
      <c r="AN109" s="53" t="e">
        <f t="shared" si="63"/>
        <v>#DIV/0!</v>
      </c>
      <c r="AO109" s="53" t="e">
        <f t="shared" si="63"/>
        <v>#DIV/0!</v>
      </c>
      <c r="AP109" s="53" t="e">
        <f t="shared" si="63"/>
        <v>#DIV/0!</v>
      </c>
      <c r="AQ109" s="53" t="e">
        <f t="shared" si="63"/>
        <v>#DIV/0!</v>
      </c>
      <c r="AR109" s="53" t="e">
        <f t="shared" si="63"/>
        <v>#DIV/0!</v>
      </c>
      <c r="AS109" s="53" t="e">
        <f t="shared" si="63"/>
        <v>#DIV/0!</v>
      </c>
      <c r="AT109" s="53" t="e">
        <f t="shared" si="63"/>
        <v>#DIV/0!</v>
      </c>
    </row>
    <row r="110" spans="1:46" ht="12.75" customHeight="1" x14ac:dyDescent="0.2">
      <c r="A110" s="50"/>
      <c r="C110" s="5" t="s">
        <v>321</v>
      </c>
      <c r="D110" s="56" t="s">
        <v>78</v>
      </c>
      <c r="E110" s="47" t="e">
        <f t="shared" ref="E110:AT110" si="64">(E109*E22*E12)/E69/1000</f>
        <v>#DIV/0!</v>
      </c>
      <c r="F110" s="47" t="e">
        <f t="shared" si="64"/>
        <v>#DIV/0!</v>
      </c>
      <c r="G110" s="47" t="e">
        <f t="shared" si="64"/>
        <v>#DIV/0!</v>
      </c>
      <c r="H110" s="47" t="e">
        <f t="shared" si="64"/>
        <v>#DIV/0!</v>
      </c>
      <c r="I110" s="47" t="e">
        <f t="shared" si="64"/>
        <v>#DIV/0!</v>
      </c>
      <c r="J110" s="47" t="e">
        <f t="shared" si="64"/>
        <v>#DIV/0!</v>
      </c>
      <c r="K110" s="47" t="e">
        <f t="shared" si="64"/>
        <v>#DIV/0!</v>
      </c>
      <c r="L110" s="47" t="e">
        <f t="shared" si="64"/>
        <v>#DIV/0!</v>
      </c>
      <c r="M110" s="47" t="e">
        <f t="shared" si="64"/>
        <v>#DIV/0!</v>
      </c>
      <c r="N110" s="47" t="e">
        <f t="shared" si="64"/>
        <v>#DIV/0!</v>
      </c>
      <c r="O110" s="47" t="e">
        <f t="shared" si="64"/>
        <v>#DIV/0!</v>
      </c>
      <c r="P110" s="47" t="e">
        <f t="shared" si="64"/>
        <v>#DIV/0!</v>
      </c>
      <c r="Q110" s="47" t="e">
        <f t="shared" si="64"/>
        <v>#DIV/0!</v>
      </c>
      <c r="R110" s="47" t="e">
        <f t="shared" si="64"/>
        <v>#DIV/0!</v>
      </c>
      <c r="S110" s="47" t="e">
        <f t="shared" si="64"/>
        <v>#DIV/0!</v>
      </c>
      <c r="T110" s="47" t="e">
        <f t="shared" si="64"/>
        <v>#DIV/0!</v>
      </c>
      <c r="U110" s="47" t="e">
        <f t="shared" si="64"/>
        <v>#DIV/0!</v>
      </c>
      <c r="V110" s="47" t="e">
        <f t="shared" si="64"/>
        <v>#DIV/0!</v>
      </c>
      <c r="W110" s="47" t="e">
        <f t="shared" si="64"/>
        <v>#DIV/0!</v>
      </c>
      <c r="X110" s="47" t="e">
        <f t="shared" si="64"/>
        <v>#DIV/0!</v>
      </c>
      <c r="Y110" s="47" t="e">
        <f t="shared" si="64"/>
        <v>#DIV/0!</v>
      </c>
      <c r="Z110" s="47" t="e">
        <f t="shared" si="64"/>
        <v>#DIV/0!</v>
      </c>
      <c r="AA110" s="47" t="e">
        <f t="shared" si="64"/>
        <v>#DIV/0!</v>
      </c>
      <c r="AB110" s="47" t="e">
        <f t="shared" si="64"/>
        <v>#DIV/0!</v>
      </c>
      <c r="AC110" s="47" t="e">
        <f t="shared" si="64"/>
        <v>#DIV/0!</v>
      </c>
      <c r="AD110" s="47" t="e">
        <f t="shared" si="64"/>
        <v>#DIV/0!</v>
      </c>
      <c r="AE110" s="47" t="e">
        <f t="shared" si="64"/>
        <v>#DIV/0!</v>
      </c>
      <c r="AF110" s="47" t="e">
        <f t="shared" si="64"/>
        <v>#DIV/0!</v>
      </c>
      <c r="AG110" s="47" t="e">
        <f t="shared" si="64"/>
        <v>#DIV/0!</v>
      </c>
      <c r="AH110" s="47" t="e">
        <f t="shared" si="64"/>
        <v>#DIV/0!</v>
      </c>
      <c r="AI110" s="47" t="e">
        <f t="shared" si="64"/>
        <v>#DIV/0!</v>
      </c>
      <c r="AJ110" s="47" t="e">
        <f t="shared" si="64"/>
        <v>#DIV/0!</v>
      </c>
      <c r="AK110" s="47" t="e">
        <f t="shared" si="64"/>
        <v>#DIV/0!</v>
      </c>
      <c r="AL110" s="47" t="e">
        <f t="shared" si="64"/>
        <v>#DIV/0!</v>
      </c>
      <c r="AM110" s="47" t="e">
        <f t="shared" si="64"/>
        <v>#DIV/0!</v>
      </c>
      <c r="AN110" s="47" t="e">
        <f t="shared" si="64"/>
        <v>#DIV/0!</v>
      </c>
      <c r="AO110" s="47" t="e">
        <f t="shared" si="64"/>
        <v>#DIV/0!</v>
      </c>
      <c r="AP110" s="47" t="e">
        <f t="shared" si="64"/>
        <v>#DIV/0!</v>
      </c>
      <c r="AQ110" s="47" t="e">
        <f t="shared" si="64"/>
        <v>#DIV/0!</v>
      </c>
      <c r="AR110" s="47" t="e">
        <f t="shared" si="64"/>
        <v>#DIV/0!</v>
      </c>
      <c r="AS110" s="47" t="e">
        <f t="shared" si="64"/>
        <v>#DIV/0!</v>
      </c>
      <c r="AT110" s="47" t="e">
        <f t="shared" si="64"/>
        <v>#DIV/0!</v>
      </c>
    </row>
    <row r="111" spans="1:46" ht="12.75" customHeight="1" x14ac:dyDescent="0.2">
      <c r="A111" s="6" t="s">
        <v>181</v>
      </c>
      <c r="C111" s="5" t="s">
        <v>322</v>
      </c>
      <c r="D111" s="56" t="s">
        <v>113</v>
      </c>
      <c r="E111" s="59" t="e">
        <f t="shared" ref="E111:AT111" si="65">E72/E110</f>
        <v>#DIV/0!</v>
      </c>
      <c r="F111" s="59" t="e">
        <f t="shared" si="65"/>
        <v>#DIV/0!</v>
      </c>
      <c r="G111" s="59" t="e">
        <f t="shared" si="65"/>
        <v>#DIV/0!</v>
      </c>
      <c r="H111" s="59" t="e">
        <f t="shared" si="65"/>
        <v>#DIV/0!</v>
      </c>
      <c r="I111" s="59" t="e">
        <f t="shared" si="65"/>
        <v>#DIV/0!</v>
      </c>
      <c r="J111" s="59" t="e">
        <f t="shared" si="65"/>
        <v>#DIV/0!</v>
      </c>
      <c r="K111" s="59" t="e">
        <f t="shared" si="65"/>
        <v>#DIV/0!</v>
      </c>
      <c r="L111" s="59" t="e">
        <f t="shared" si="65"/>
        <v>#DIV/0!</v>
      </c>
      <c r="M111" s="59" t="e">
        <f t="shared" si="65"/>
        <v>#DIV/0!</v>
      </c>
      <c r="N111" s="59" t="e">
        <f t="shared" si="65"/>
        <v>#DIV/0!</v>
      </c>
      <c r="O111" s="59" t="e">
        <f t="shared" si="65"/>
        <v>#DIV/0!</v>
      </c>
      <c r="P111" s="59" t="e">
        <f t="shared" si="65"/>
        <v>#DIV/0!</v>
      </c>
      <c r="Q111" s="59" t="e">
        <f t="shared" si="65"/>
        <v>#DIV/0!</v>
      </c>
      <c r="R111" s="59" t="e">
        <f t="shared" si="65"/>
        <v>#DIV/0!</v>
      </c>
      <c r="S111" s="59" t="e">
        <f t="shared" si="65"/>
        <v>#DIV/0!</v>
      </c>
      <c r="T111" s="59" t="e">
        <f t="shared" si="65"/>
        <v>#DIV/0!</v>
      </c>
      <c r="U111" s="59" t="e">
        <f t="shared" si="65"/>
        <v>#DIV/0!</v>
      </c>
      <c r="V111" s="59" t="e">
        <f t="shared" si="65"/>
        <v>#DIV/0!</v>
      </c>
      <c r="W111" s="59" t="e">
        <f t="shared" si="65"/>
        <v>#DIV/0!</v>
      </c>
      <c r="X111" s="59" t="e">
        <f t="shared" si="65"/>
        <v>#DIV/0!</v>
      </c>
      <c r="Y111" s="59" t="e">
        <f t="shared" si="65"/>
        <v>#DIV/0!</v>
      </c>
      <c r="Z111" s="59" t="e">
        <f t="shared" si="65"/>
        <v>#DIV/0!</v>
      </c>
      <c r="AA111" s="59" t="e">
        <f t="shared" si="65"/>
        <v>#DIV/0!</v>
      </c>
      <c r="AB111" s="59" t="e">
        <f t="shared" si="65"/>
        <v>#DIV/0!</v>
      </c>
      <c r="AC111" s="59" t="e">
        <f t="shared" si="65"/>
        <v>#DIV/0!</v>
      </c>
      <c r="AD111" s="59" t="e">
        <f t="shared" si="65"/>
        <v>#DIV/0!</v>
      </c>
      <c r="AE111" s="59" t="e">
        <f t="shared" si="65"/>
        <v>#DIV/0!</v>
      </c>
      <c r="AF111" s="59" t="e">
        <f t="shared" si="65"/>
        <v>#DIV/0!</v>
      </c>
      <c r="AG111" s="59" t="e">
        <f t="shared" si="65"/>
        <v>#DIV/0!</v>
      </c>
      <c r="AH111" s="59" t="e">
        <f t="shared" si="65"/>
        <v>#DIV/0!</v>
      </c>
      <c r="AI111" s="59" t="e">
        <f t="shared" si="65"/>
        <v>#DIV/0!</v>
      </c>
      <c r="AJ111" s="59" t="e">
        <f t="shared" si="65"/>
        <v>#DIV/0!</v>
      </c>
      <c r="AK111" s="59" t="e">
        <f t="shared" si="65"/>
        <v>#DIV/0!</v>
      </c>
      <c r="AL111" s="59" t="e">
        <f t="shared" si="65"/>
        <v>#DIV/0!</v>
      </c>
      <c r="AM111" s="59" t="e">
        <f t="shared" si="65"/>
        <v>#DIV/0!</v>
      </c>
      <c r="AN111" s="59" t="e">
        <f t="shared" si="65"/>
        <v>#DIV/0!</v>
      </c>
      <c r="AO111" s="59" t="e">
        <f t="shared" si="65"/>
        <v>#DIV/0!</v>
      </c>
      <c r="AP111" s="59" t="e">
        <f t="shared" si="65"/>
        <v>#DIV/0!</v>
      </c>
      <c r="AQ111" s="59" t="e">
        <f t="shared" si="65"/>
        <v>#DIV/0!</v>
      </c>
      <c r="AR111" s="59" t="e">
        <f t="shared" si="65"/>
        <v>#DIV/0!</v>
      </c>
      <c r="AS111" s="59" t="e">
        <f t="shared" si="65"/>
        <v>#DIV/0!</v>
      </c>
      <c r="AT111" s="59" t="e">
        <f t="shared" si="65"/>
        <v>#DIV/0!</v>
      </c>
    </row>
    <row r="112" spans="1:46" ht="12.75" customHeight="1" x14ac:dyDescent="0.2">
      <c r="A112" s="50"/>
      <c r="C112" s="63"/>
    </row>
    <row r="113" spans="1:46" ht="12.75" customHeight="1" x14ac:dyDescent="0.2">
      <c r="A113" s="50" t="s">
        <v>323</v>
      </c>
      <c r="C113" s="62" t="s">
        <v>324</v>
      </c>
    </row>
    <row r="114" spans="1:46" ht="12.75" customHeight="1" x14ac:dyDescent="0.2">
      <c r="A114" s="50"/>
      <c r="C114" s="7" t="s">
        <v>320</v>
      </c>
      <c r="D114" s="56" t="s">
        <v>113</v>
      </c>
      <c r="E114" s="53" t="e">
        <f t="shared" ref="E114:AT114" si="66">E109</f>
        <v>#DIV/0!</v>
      </c>
      <c r="F114" s="53" t="e">
        <f t="shared" si="66"/>
        <v>#DIV/0!</v>
      </c>
      <c r="G114" s="53" t="e">
        <f t="shared" si="66"/>
        <v>#DIV/0!</v>
      </c>
      <c r="H114" s="53" t="e">
        <f t="shared" si="66"/>
        <v>#DIV/0!</v>
      </c>
      <c r="I114" s="53" t="e">
        <f t="shared" si="66"/>
        <v>#DIV/0!</v>
      </c>
      <c r="J114" s="53" t="e">
        <f t="shared" si="66"/>
        <v>#DIV/0!</v>
      </c>
      <c r="K114" s="53" t="e">
        <f t="shared" si="66"/>
        <v>#DIV/0!</v>
      </c>
      <c r="L114" s="53" t="e">
        <f t="shared" si="66"/>
        <v>#DIV/0!</v>
      </c>
      <c r="M114" s="53" t="e">
        <f t="shared" si="66"/>
        <v>#DIV/0!</v>
      </c>
      <c r="N114" s="53" t="e">
        <f t="shared" si="66"/>
        <v>#DIV/0!</v>
      </c>
      <c r="O114" s="53" t="e">
        <f t="shared" si="66"/>
        <v>#DIV/0!</v>
      </c>
      <c r="P114" s="53" t="e">
        <f t="shared" si="66"/>
        <v>#DIV/0!</v>
      </c>
      <c r="Q114" s="53" t="e">
        <f t="shared" si="66"/>
        <v>#DIV/0!</v>
      </c>
      <c r="R114" s="53" t="e">
        <f t="shared" si="66"/>
        <v>#DIV/0!</v>
      </c>
      <c r="S114" s="53" t="e">
        <f t="shared" si="66"/>
        <v>#DIV/0!</v>
      </c>
      <c r="T114" s="53" t="e">
        <f t="shared" si="66"/>
        <v>#DIV/0!</v>
      </c>
      <c r="U114" s="53" t="e">
        <f t="shared" si="66"/>
        <v>#DIV/0!</v>
      </c>
      <c r="V114" s="53" t="e">
        <f t="shared" si="66"/>
        <v>#DIV/0!</v>
      </c>
      <c r="W114" s="53" t="e">
        <f t="shared" si="66"/>
        <v>#DIV/0!</v>
      </c>
      <c r="X114" s="53" t="e">
        <f t="shared" si="66"/>
        <v>#DIV/0!</v>
      </c>
      <c r="Y114" s="53" t="e">
        <f t="shared" si="66"/>
        <v>#DIV/0!</v>
      </c>
      <c r="Z114" s="53" t="e">
        <f t="shared" si="66"/>
        <v>#DIV/0!</v>
      </c>
      <c r="AA114" s="53" t="e">
        <f t="shared" si="66"/>
        <v>#DIV/0!</v>
      </c>
      <c r="AB114" s="53" t="e">
        <f t="shared" si="66"/>
        <v>#DIV/0!</v>
      </c>
      <c r="AC114" s="53" t="e">
        <f t="shared" si="66"/>
        <v>#DIV/0!</v>
      </c>
      <c r="AD114" s="53" t="e">
        <f t="shared" si="66"/>
        <v>#DIV/0!</v>
      </c>
      <c r="AE114" s="53" t="e">
        <f t="shared" si="66"/>
        <v>#DIV/0!</v>
      </c>
      <c r="AF114" s="53" t="e">
        <f t="shared" si="66"/>
        <v>#DIV/0!</v>
      </c>
      <c r="AG114" s="53" t="e">
        <f t="shared" si="66"/>
        <v>#DIV/0!</v>
      </c>
      <c r="AH114" s="53" t="e">
        <f t="shared" si="66"/>
        <v>#DIV/0!</v>
      </c>
      <c r="AI114" s="53" t="e">
        <f t="shared" si="66"/>
        <v>#DIV/0!</v>
      </c>
      <c r="AJ114" s="53" t="e">
        <f t="shared" si="66"/>
        <v>#DIV/0!</v>
      </c>
      <c r="AK114" s="53" t="e">
        <f t="shared" si="66"/>
        <v>#DIV/0!</v>
      </c>
      <c r="AL114" s="53" t="e">
        <f t="shared" si="66"/>
        <v>#DIV/0!</v>
      </c>
      <c r="AM114" s="53" t="e">
        <f t="shared" si="66"/>
        <v>#DIV/0!</v>
      </c>
      <c r="AN114" s="53" t="e">
        <f t="shared" si="66"/>
        <v>#DIV/0!</v>
      </c>
      <c r="AO114" s="53" t="e">
        <f t="shared" si="66"/>
        <v>#DIV/0!</v>
      </c>
      <c r="AP114" s="53" t="e">
        <f t="shared" si="66"/>
        <v>#DIV/0!</v>
      </c>
      <c r="AQ114" s="53" t="e">
        <f t="shared" si="66"/>
        <v>#DIV/0!</v>
      </c>
      <c r="AR114" s="53" t="e">
        <f t="shared" si="66"/>
        <v>#DIV/0!</v>
      </c>
      <c r="AS114" s="53" t="e">
        <f t="shared" si="66"/>
        <v>#DIV/0!</v>
      </c>
      <c r="AT114" s="53" t="e">
        <f t="shared" si="66"/>
        <v>#DIV/0!</v>
      </c>
    </row>
    <row r="115" spans="1:46" ht="12.75" customHeight="1" x14ac:dyDescent="0.2">
      <c r="A115" s="50"/>
      <c r="C115" s="7" t="s">
        <v>325</v>
      </c>
      <c r="D115" s="56" t="s">
        <v>113</v>
      </c>
      <c r="E115" s="53">
        <v>1</v>
      </c>
      <c r="F115" s="53">
        <v>1</v>
      </c>
      <c r="G115" s="53">
        <v>1</v>
      </c>
      <c r="H115" s="53">
        <v>1</v>
      </c>
      <c r="I115" s="53">
        <v>1</v>
      </c>
      <c r="J115" s="53">
        <v>1</v>
      </c>
      <c r="K115" s="53">
        <v>1</v>
      </c>
      <c r="L115" s="53">
        <v>1</v>
      </c>
      <c r="M115" s="53">
        <v>1</v>
      </c>
      <c r="N115" s="53">
        <v>1</v>
      </c>
      <c r="O115" s="53">
        <v>1</v>
      </c>
      <c r="P115" s="53">
        <v>1</v>
      </c>
      <c r="Q115" s="53">
        <v>1</v>
      </c>
      <c r="R115" s="53">
        <v>1</v>
      </c>
      <c r="S115" s="53">
        <v>1</v>
      </c>
      <c r="T115" s="53">
        <v>1</v>
      </c>
      <c r="U115" s="53">
        <v>1</v>
      </c>
      <c r="V115" s="53">
        <v>1</v>
      </c>
      <c r="W115" s="53">
        <v>1</v>
      </c>
      <c r="X115" s="53">
        <v>1</v>
      </c>
      <c r="Y115" s="53">
        <v>1</v>
      </c>
      <c r="Z115" s="53">
        <v>1</v>
      </c>
      <c r="AA115" s="53">
        <v>1</v>
      </c>
      <c r="AB115" s="53">
        <v>1</v>
      </c>
      <c r="AC115" s="53">
        <v>1</v>
      </c>
      <c r="AD115" s="53">
        <v>1</v>
      </c>
      <c r="AE115" s="53">
        <v>1</v>
      </c>
      <c r="AF115" s="53">
        <v>1</v>
      </c>
      <c r="AG115" s="53">
        <v>1</v>
      </c>
      <c r="AH115" s="53">
        <v>1</v>
      </c>
      <c r="AI115" s="53">
        <v>1</v>
      </c>
      <c r="AJ115" s="53">
        <v>1</v>
      </c>
      <c r="AK115" s="53">
        <v>1</v>
      </c>
      <c r="AL115" s="53">
        <v>1</v>
      </c>
      <c r="AM115" s="53">
        <v>1</v>
      </c>
      <c r="AN115" s="53">
        <v>1</v>
      </c>
      <c r="AO115" s="53">
        <v>1</v>
      </c>
      <c r="AP115" s="53">
        <v>1</v>
      </c>
      <c r="AQ115" s="53">
        <v>1</v>
      </c>
      <c r="AR115" s="53">
        <v>1</v>
      </c>
      <c r="AS115" s="53">
        <v>1</v>
      </c>
      <c r="AT115" s="53">
        <v>1</v>
      </c>
    </row>
    <row r="116" spans="1:46" ht="12.75" customHeight="1" x14ac:dyDescent="0.2">
      <c r="A116" s="50"/>
      <c r="C116" s="5" t="s">
        <v>326</v>
      </c>
      <c r="D116" s="56" t="s">
        <v>78</v>
      </c>
      <c r="E116" s="47">
        <f t="shared" ref="E116:AT116" si="67">E73</f>
        <v>0</v>
      </c>
      <c r="F116" s="47">
        <f t="shared" si="67"/>
        <v>0</v>
      </c>
      <c r="G116" s="47">
        <f t="shared" si="67"/>
        <v>0</v>
      </c>
      <c r="H116" s="47">
        <f t="shared" si="67"/>
        <v>0</v>
      </c>
      <c r="I116" s="47">
        <f t="shared" si="67"/>
        <v>0</v>
      </c>
      <c r="J116" s="47">
        <f t="shared" si="67"/>
        <v>0</v>
      </c>
      <c r="K116" s="47">
        <f t="shared" si="67"/>
        <v>0</v>
      </c>
      <c r="L116" s="47">
        <f t="shared" si="67"/>
        <v>0</v>
      </c>
      <c r="M116" s="47">
        <f t="shared" si="67"/>
        <v>0</v>
      </c>
      <c r="N116" s="47">
        <f t="shared" si="67"/>
        <v>0</v>
      </c>
      <c r="O116" s="47">
        <f t="shared" si="67"/>
        <v>0</v>
      </c>
      <c r="P116" s="47">
        <f t="shared" si="67"/>
        <v>0</v>
      </c>
      <c r="Q116" s="47">
        <f t="shared" si="67"/>
        <v>0</v>
      </c>
      <c r="R116" s="47">
        <f t="shared" si="67"/>
        <v>0</v>
      </c>
      <c r="S116" s="47">
        <f t="shared" si="67"/>
        <v>0</v>
      </c>
      <c r="T116" s="47">
        <f t="shared" si="67"/>
        <v>0</v>
      </c>
      <c r="U116" s="47">
        <f t="shared" si="67"/>
        <v>0</v>
      </c>
      <c r="V116" s="47">
        <f t="shared" si="67"/>
        <v>0</v>
      </c>
      <c r="W116" s="47">
        <f t="shared" si="67"/>
        <v>0</v>
      </c>
      <c r="X116" s="47">
        <f t="shared" si="67"/>
        <v>0</v>
      </c>
      <c r="Y116" s="47">
        <f t="shared" si="67"/>
        <v>0</v>
      </c>
      <c r="Z116" s="47">
        <f t="shared" si="67"/>
        <v>0</v>
      </c>
      <c r="AA116" s="47">
        <f t="shared" si="67"/>
        <v>0</v>
      </c>
      <c r="AB116" s="47">
        <f t="shared" si="67"/>
        <v>0</v>
      </c>
      <c r="AC116" s="47">
        <f t="shared" si="67"/>
        <v>0</v>
      </c>
      <c r="AD116" s="47">
        <f t="shared" si="67"/>
        <v>0</v>
      </c>
      <c r="AE116" s="47">
        <f t="shared" si="67"/>
        <v>0</v>
      </c>
      <c r="AF116" s="47">
        <f t="shared" si="67"/>
        <v>0</v>
      </c>
      <c r="AG116" s="47">
        <f t="shared" si="67"/>
        <v>0</v>
      </c>
      <c r="AH116" s="47">
        <f t="shared" si="67"/>
        <v>0</v>
      </c>
      <c r="AI116" s="47">
        <f t="shared" si="67"/>
        <v>0</v>
      </c>
      <c r="AJ116" s="47">
        <f t="shared" si="67"/>
        <v>0</v>
      </c>
      <c r="AK116" s="47">
        <f t="shared" si="67"/>
        <v>0</v>
      </c>
      <c r="AL116" s="47">
        <f t="shared" si="67"/>
        <v>0</v>
      </c>
      <c r="AM116" s="47">
        <f t="shared" si="67"/>
        <v>0</v>
      </c>
      <c r="AN116" s="47">
        <f t="shared" si="67"/>
        <v>0</v>
      </c>
      <c r="AO116" s="47">
        <f t="shared" si="67"/>
        <v>0</v>
      </c>
      <c r="AP116" s="47">
        <f t="shared" si="67"/>
        <v>0</v>
      </c>
      <c r="AQ116" s="47">
        <f t="shared" si="67"/>
        <v>0</v>
      </c>
      <c r="AR116" s="47">
        <f t="shared" si="67"/>
        <v>0</v>
      </c>
      <c r="AS116" s="47">
        <f t="shared" si="67"/>
        <v>0</v>
      </c>
      <c r="AT116" s="47">
        <f t="shared" si="67"/>
        <v>0</v>
      </c>
    </row>
    <row r="117" spans="1:46" ht="12.75" customHeight="1" x14ac:dyDescent="0.2">
      <c r="A117" s="50"/>
      <c r="C117" s="5" t="s">
        <v>327</v>
      </c>
      <c r="D117" s="56" t="s">
        <v>78</v>
      </c>
      <c r="E117" s="47" t="e">
        <f t="shared" ref="E117:AT117" si="68">E80</f>
        <v>#DIV/0!</v>
      </c>
      <c r="F117" s="47" t="e">
        <f t="shared" si="68"/>
        <v>#DIV/0!</v>
      </c>
      <c r="G117" s="47" t="e">
        <f t="shared" si="68"/>
        <v>#DIV/0!</v>
      </c>
      <c r="H117" s="47" t="e">
        <f t="shared" si="68"/>
        <v>#DIV/0!</v>
      </c>
      <c r="I117" s="47" t="e">
        <f t="shared" si="68"/>
        <v>#DIV/0!</v>
      </c>
      <c r="J117" s="47" t="e">
        <f t="shared" si="68"/>
        <v>#DIV/0!</v>
      </c>
      <c r="K117" s="47" t="e">
        <f t="shared" si="68"/>
        <v>#DIV/0!</v>
      </c>
      <c r="L117" s="47" t="e">
        <f t="shared" si="68"/>
        <v>#DIV/0!</v>
      </c>
      <c r="M117" s="47" t="e">
        <f t="shared" si="68"/>
        <v>#DIV/0!</v>
      </c>
      <c r="N117" s="47" t="e">
        <f t="shared" si="68"/>
        <v>#DIV/0!</v>
      </c>
      <c r="O117" s="47" t="e">
        <f t="shared" si="68"/>
        <v>#DIV/0!</v>
      </c>
      <c r="P117" s="47" t="e">
        <f t="shared" si="68"/>
        <v>#DIV/0!</v>
      </c>
      <c r="Q117" s="47" t="e">
        <f t="shared" si="68"/>
        <v>#DIV/0!</v>
      </c>
      <c r="R117" s="47" t="e">
        <f t="shared" si="68"/>
        <v>#DIV/0!</v>
      </c>
      <c r="S117" s="47" t="e">
        <f t="shared" si="68"/>
        <v>#DIV/0!</v>
      </c>
      <c r="T117" s="47" t="e">
        <f t="shared" si="68"/>
        <v>#DIV/0!</v>
      </c>
      <c r="U117" s="47" t="e">
        <f t="shared" si="68"/>
        <v>#DIV/0!</v>
      </c>
      <c r="V117" s="47" t="e">
        <f t="shared" si="68"/>
        <v>#DIV/0!</v>
      </c>
      <c r="W117" s="47" t="e">
        <f t="shared" si="68"/>
        <v>#DIV/0!</v>
      </c>
      <c r="X117" s="47" t="e">
        <f t="shared" si="68"/>
        <v>#DIV/0!</v>
      </c>
      <c r="Y117" s="47" t="e">
        <f t="shared" si="68"/>
        <v>#DIV/0!</v>
      </c>
      <c r="Z117" s="47" t="e">
        <f t="shared" si="68"/>
        <v>#DIV/0!</v>
      </c>
      <c r="AA117" s="47" t="e">
        <f t="shared" si="68"/>
        <v>#DIV/0!</v>
      </c>
      <c r="AB117" s="47" t="e">
        <f t="shared" si="68"/>
        <v>#DIV/0!</v>
      </c>
      <c r="AC117" s="47" t="e">
        <f t="shared" si="68"/>
        <v>#DIV/0!</v>
      </c>
      <c r="AD117" s="47" t="e">
        <f t="shared" si="68"/>
        <v>#DIV/0!</v>
      </c>
      <c r="AE117" s="47" t="e">
        <f t="shared" si="68"/>
        <v>#DIV/0!</v>
      </c>
      <c r="AF117" s="47" t="e">
        <f t="shared" si="68"/>
        <v>#DIV/0!</v>
      </c>
      <c r="AG117" s="47" t="e">
        <f t="shared" si="68"/>
        <v>#DIV/0!</v>
      </c>
      <c r="AH117" s="47" t="e">
        <f t="shared" si="68"/>
        <v>#DIV/0!</v>
      </c>
      <c r="AI117" s="47" t="e">
        <f t="shared" si="68"/>
        <v>#DIV/0!</v>
      </c>
      <c r="AJ117" s="47" t="e">
        <f t="shared" si="68"/>
        <v>#DIV/0!</v>
      </c>
      <c r="AK117" s="47" t="e">
        <f t="shared" si="68"/>
        <v>#DIV/0!</v>
      </c>
      <c r="AL117" s="47" t="e">
        <f t="shared" si="68"/>
        <v>#DIV/0!</v>
      </c>
      <c r="AM117" s="47" t="e">
        <f t="shared" si="68"/>
        <v>#DIV/0!</v>
      </c>
      <c r="AN117" s="47" t="e">
        <f t="shared" si="68"/>
        <v>#DIV/0!</v>
      </c>
      <c r="AO117" s="47" t="e">
        <f t="shared" si="68"/>
        <v>#DIV/0!</v>
      </c>
      <c r="AP117" s="47" t="e">
        <f t="shared" si="68"/>
        <v>#DIV/0!</v>
      </c>
      <c r="AQ117" s="47" t="e">
        <f t="shared" si="68"/>
        <v>#DIV/0!</v>
      </c>
      <c r="AR117" s="47" t="e">
        <f t="shared" si="68"/>
        <v>#DIV/0!</v>
      </c>
      <c r="AS117" s="47" t="e">
        <f t="shared" si="68"/>
        <v>#DIV/0!</v>
      </c>
      <c r="AT117" s="47" t="e">
        <f t="shared" si="68"/>
        <v>#DIV/0!</v>
      </c>
    </row>
    <row r="118" spans="1:46" ht="12.75" customHeight="1" x14ac:dyDescent="0.2">
      <c r="A118" s="50"/>
    </row>
    <row r="119" spans="1:46" ht="12.75" customHeight="1" x14ac:dyDescent="0.2">
      <c r="A119" s="6" t="s">
        <v>328</v>
      </c>
      <c r="C119" s="5" t="s">
        <v>329</v>
      </c>
      <c r="D119" s="56" t="s">
        <v>177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</row>
    <row r="120" spans="1:46" ht="12.75" customHeight="1" x14ac:dyDescent="0.2">
      <c r="A120" s="50"/>
      <c r="C120" s="5" t="s">
        <v>330</v>
      </c>
      <c r="D120" s="56" t="s">
        <v>177</v>
      </c>
      <c r="E120" s="47" t="e">
        <f t="shared" ref="E120:AT120" si="69">E62</f>
        <v>#DIV/0!</v>
      </c>
      <c r="F120" s="47" t="e">
        <f t="shared" si="69"/>
        <v>#DIV/0!</v>
      </c>
      <c r="G120" s="47" t="e">
        <f t="shared" si="69"/>
        <v>#DIV/0!</v>
      </c>
      <c r="H120" s="47" t="e">
        <f t="shared" si="69"/>
        <v>#DIV/0!</v>
      </c>
      <c r="I120" s="47" t="e">
        <f t="shared" si="69"/>
        <v>#DIV/0!</v>
      </c>
      <c r="J120" s="47" t="e">
        <f t="shared" si="69"/>
        <v>#DIV/0!</v>
      </c>
      <c r="K120" s="47" t="e">
        <f t="shared" si="69"/>
        <v>#DIV/0!</v>
      </c>
      <c r="L120" s="47" t="e">
        <f t="shared" si="69"/>
        <v>#DIV/0!</v>
      </c>
      <c r="M120" s="47" t="e">
        <f t="shared" si="69"/>
        <v>#DIV/0!</v>
      </c>
      <c r="N120" s="47" t="e">
        <f t="shared" si="69"/>
        <v>#DIV/0!</v>
      </c>
      <c r="O120" s="47" t="e">
        <f t="shared" si="69"/>
        <v>#DIV/0!</v>
      </c>
      <c r="P120" s="47" t="e">
        <f t="shared" si="69"/>
        <v>#DIV/0!</v>
      </c>
      <c r="Q120" s="47" t="e">
        <f t="shared" si="69"/>
        <v>#DIV/0!</v>
      </c>
      <c r="R120" s="47" t="e">
        <f t="shared" si="69"/>
        <v>#DIV/0!</v>
      </c>
      <c r="S120" s="47" t="e">
        <f t="shared" si="69"/>
        <v>#DIV/0!</v>
      </c>
      <c r="T120" s="47" t="e">
        <f t="shared" si="69"/>
        <v>#DIV/0!</v>
      </c>
      <c r="U120" s="47" t="e">
        <f t="shared" si="69"/>
        <v>#DIV/0!</v>
      </c>
      <c r="V120" s="47" t="e">
        <f t="shared" si="69"/>
        <v>#DIV/0!</v>
      </c>
      <c r="W120" s="47" t="e">
        <f t="shared" si="69"/>
        <v>#DIV/0!</v>
      </c>
      <c r="X120" s="47" t="e">
        <f t="shared" si="69"/>
        <v>#DIV/0!</v>
      </c>
      <c r="Y120" s="47" t="e">
        <f t="shared" si="69"/>
        <v>#DIV/0!</v>
      </c>
      <c r="Z120" s="47" t="e">
        <f t="shared" si="69"/>
        <v>#DIV/0!</v>
      </c>
      <c r="AA120" s="47" t="e">
        <f t="shared" si="69"/>
        <v>#DIV/0!</v>
      </c>
      <c r="AB120" s="47" t="e">
        <f t="shared" si="69"/>
        <v>#DIV/0!</v>
      </c>
      <c r="AC120" s="47" t="e">
        <f t="shared" si="69"/>
        <v>#DIV/0!</v>
      </c>
      <c r="AD120" s="47" t="e">
        <f t="shared" si="69"/>
        <v>#DIV/0!</v>
      </c>
      <c r="AE120" s="47" t="e">
        <f t="shared" si="69"/>
        <v>#DIV/0!</v>
      </c>
      <c r="AF120" s="47" t="e">
        <f t="shared" si="69"/>
        <v>#DIV/0!</v>
      </c>
      <c r="AG120" s="47" t="e">
        <f t="shared" si="69"/>
        <v>#DIV/0!</v>
      </c>
      <c r="AH120" s="47" t="e">
        <f t="shared" si="69"/>
        <v>#DIV/0!</v>
      </c>
      <c r="AI120" s="47" t="e">
        <f t="shared" si="69"/>
        <v>#DIV/0!</v>
      </c>
      <c r="AJ120" s="47" t="e">
        <f t="shared" si="69"/>
        <v>#DIV/0!</v>
      </c>
      <c r="AK120" s="47" t="e">
        <f t="shared" si="69"/>
        <v>#DIV/0!</v>
      </c>
      <c r="AL120" s="47" t="e">
        <f t="shared" si="69"/>
        <v>#DIV/0!</v>
      </c>
      <c r="AM120" s="47" t="e">
        <f t="shared" si="69"/>
        <v>#DIV/0!</v>
      </c>
      <c r="AN120" s="47" t="e">
        <f t="shared" si="69"/>
        <v>#DIV/0!</v>
      </c>
      <c r="AO120" s="47" t="e">
        <f t="shared" si="69"/>
        <v>#DIV/0!</v>
      </c>
      <c r="AP120" s="47" t="e">
        <f t="shared" si="69"/>
        <v>#DIV/0!</v>
      </c>
      <c r="AQ120" s="47" t="e">
        <f t="shared" si="69"/>
        <v>#DIV/0!</v>
      </c>
      <c r="AR120" s="47" t="e">
        <f t="shared" si="69"/>
        <v>#DIV/0!</v>
      </c>
      <c r="AS120" s="47" t="e">
        <f t="shared" si="69"/>
        <v>#DIV/0!</v>
      </c>
      <c r="AT120" s="47" t="e">
        <f t="shared" si="69"/>
        <v>#DIV/0!</v>
      </c>
    </row>
    <row r="121" spans="1:46" ht="12.75" customHeight="1" x14ac:dyDescent="0.2">
      <c r="A121" s="50"/>
      <c r="C121" s="7" t="s">
        <v>331</v>
      </c>
      <c r="D121" s="56" t="s">
        <v>113</v>
      </c>
      <c r="E121" s="9" t="e">
        <f t="shared" ref="E121:AT121" si="70">E119/E120</f>
        <v>#DIV/0!</v>
      </c>
      <c r="F121" s="9" t="e">
        <f t="shared" si="70"/>
        <v>#DIV/0!</v>
      </c>
      <c r="G121" s="9" t="e">
        <f t="shared" si="70"/>
        <v>#DIV/0!</v>
      </c>
      <c r="H121" s="9" t="e">
        <f t="shared" si="70"/>
        <v>#DIV/0!</v>
      </c>
      <c r="I121" s="9" t="e">
        <f t="shared" si="70"/>
        <v>#DIV/0!</v>
      </c>
      <c r="J121" s="9" t="e">
        <f t="shared" si="70"/>
        <v>#DIV/0!</v>
      </c>
      <c r="K121" s="9" t="e">
        <f t="shared" si="70"/>
        <v>#DIV/0!</v>
      </c>
      <c r="L121" s="9" t="e">
        <f t="shared" si="70"/>
        <v>#DIV/0!</v>
      </c>
      <c r="M121" s="9" t="e">
        <f t="shared" si="70"/>
        <v>#DIV/0!</v>
      </c>
      <c r="N121" s="9" t="e">
        <f t="shared" si="70"/>
        <v>#DIV/0!</v>
      </c>
      <c r="O121" s="9" t="e">
        <f t="shared" si="70"/>
        <v>#DIV/0!</v>
      </c>
      <c r="P121" s="9" t="e">
        <f t="shared" si="70"/>
        <v>#DIV/0!</v>
      </c>
      <c r="Q121" s="9" t="e">
        <f t="shared" si="70"/>
        <v>#DIV/0!</v>
      </c>
      <c r="R121" s="9" t="e">
        <f t="shared" si="70"/>
        <v>#DIV/0!</v>
      </c>
      <c r="S121" s="9" t="e">
        <f t="shared" si="70"/>
        <v>#DIV/0!</v>
      </c>
      <c r="T121" s="9" t="e">
        <f t="shared" si="70"/>
        <v>#DIV/0!</v>
      </c>
      <c r="U121" s="9" t="e">
        <f t="shared" si="70"/>
        <v>#DIV/0!</v>
      </c>
      <c r="V121" s="9" t="e">
        <f t="shared" si="70"/>
        <v>#DIV/0!</v>
      </c>
      <c r="W121" s="9" t="e">
        <f t="shared" si="70"/>
        <v>#DIV/0!</v>
      </c>
      <c r="X121" s="9" t="e">
        <f t="shared" si="70"/>
        <v>#DIV/0!</v>
      </c>
      <c r="Y121" s="9" t="e">
        <f t="shared" si="70"/>
        <v>#DIV/0!</v>
      </c>
      <c r="Z121" s="9" t="e">
        <f t="shared" si="70"/>
        <v>#DIV/0!</v>
      </c>
      <c r="AA121" s="9" t="e">
        <f t="shared" si="70"/>
        <v>#DIV/0!</v>
      </c>
      <c r="AB121" s="9" t="e">
        <f t="shared" si="70"/>
        <v>#DIV/0!</v>
      </c>
      <c r="AC121" s="9" t="e">
        <f t="shared" si="70"/>
        <v>#DIV/0!</v>
      </c>
      <c r="AD121" s="9" t="e">
        <f t="shared" si="70"/>
        <v>#DIV/0!</v>
      </c>
      <c r="AE121" s="9" t="e">
        <f t="shared" si="70"/>
        <v>#DIV/0!</v>
      </c>
      <c r="AF121" s="9" t="e">
        <f t="shared" si="70"/>
        <v>#DIV/0!</v>
      </c>
      <c r="AG121" s="9" t="e">
        <f t="shared" si="70"/>
        <v>#DIV/0!</v>
      </c>
      <c r="AH121" s="9" t="e">
        <f t="shared" si="70"/>
        <v>#DIV/0!</v>
      </c>
      <c r="AI121" s="9" t="e">
        <f t="shared" si="70"/>
        <v>#DIV/0!</v>
      </c>
      <c r="AJ121" s="9" t="e">
        <f t="shared" si="70"/>
        <v>#DIV/0!</v>
      </c>
      <c r="AK121" s="9" t="e">
        <f t="shared" si="70"/>
        <v>#DIV/0!</v>
      </c>
      <c r="AL121" s="9" t="e">
        <f t="shared" si="70"/>
        <v>#DIV/0!</v>
      </c>
      <c r="AM121" s="9" t="e">
        <f t="shared" si="70"/>
        <v>#DIV/0!</v>
      </c>
      <c r="AN121" s="9" t="e">
        <f t="shared" si="70"/>
        <v>#DIV/0!</v>
      </c>
      <c r="AO121" s="9" t="e">
        <f t="shared" si="70"/>
        <v>#DIV/0!</v>
      </c>
      <c r="AP121" s="9" t="e">
        <f t="shared" si="70"/>
        <v>#DIV/0!</v>
      </c>
      <c r="AQ121" s="9" t="e">
        <f t="shared" si="70"/>
        <v>#DIV/0!</v>
      </c>
      <c r="AR121" s="9" t="e">
        <f t="shared" si="70"/>
        <v>#DIV/0!</v>
      </c>
      <c r="AS121" s="9" t="e">
        <f t="shared" si="70"/>
        <v>#DIV/0!</v>
      </c>
      <c r="AT121" s="9" t="e">
        <f t="shared" si="70"/>
        <v>#DIV/0!</v>
      </c>
    </row>
    <row r="122" spans="1:46" ht="12.75" customHeight="1" x14ac:dyDescent="0.2">
      <c r="A122" s="50"/>
      <c r="C122" s="7" t="s">
        <v>332</v>
      </c>
      <c r="D122" s="56" t="s">
        <v>113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>
        <v>1</v>
      </c>
      <c r="Z122" s="9">
        <v>1</v>
      </c>
      <c r="AA122" s="9">
        <v>1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1</v>
      </c>
      <c r="AK122" s="9">
        <v>1</v>
      </c>
      <c r="AL122" s="9">
        <v>1</v>
      </c>
      <c r="AM122" s="9">
        <v>1</v>
      </c>
      <c r="AN122" s="9">
        <v>1</v>
      </c>
      <c r="AO122" s="9">
        <v>1</v>
      </c>
      <c r="AP122" s="9">
        <v>1</v>
      </c>
      <c r="AQ122" s="9">
        <v>1</v>
      </c>
      <c r="AR122" s="9">
        <v>1</v>
      </c>
      <c r="AS122" s="9">
        <v>1</v>
      </c>
      <c r="AT122" s="9">
        <v>1</v>
      </c>
    </row>
    <row r="123" spans="1:46" ht="12.75" customHeight="1" x14ac:dyDescent="0.2">
      <c r="A123" s="50"/>
      <c r="C123" s="5" t="s">
        <v>333</v>
      </c>
      <c r="D123" s="56" t="s">
        <v>113</v>
      </c>
      <c r="E123" s="9">
        <v>0.95</v>
      </c>
      <c r="F123" s="9">
        <v>0.95</v>
      </c>
      <c r="G123" s="9">
        <v>0.95</v>
      </c>
      <c r="H123" s="9">
        <v>0.95</v>
      </c>
      <c r="I123" s="9">
        <v>0.95</v>
      </c>
      <c r="J123" s="9">
        <v>0.95</v>
      </c>
      <c r="K123" s="9">
        <v>0.95</v>
      </c>
      <c r="L123" s="9">
        <v>0.95</v>
      </c>
      <c r="M123" s="9">
        <v>0.95</v>
      </c>
      <c r="N123" s="9">
        <v>0.95</v>
      </c>
      <c r="O123" s="9">
        <v>0.95</v>
      </c>
      <c r="P123" s="9">
        <v>0.95</v>
      </c>
      <c r="Q123" s="9">
        <v>0.95</v>
      </c>
      <c r="R123" s="9">
        <v>0.95</v>
      </c>
      <c r="S123" s="9">
        <v>0.95</v>
      </c>
      <c r="T123" s="9">
        <v>0.95</v>
      </c>
      <c r="U123" s="9">
        <v>0.95</v>
      </c>
      <c r="V123" s="9">
        <v>0.95</v>
      </c>
      <c r="W123" s="9">
        <v>0.95</v>
      </c>
      <c r="X123" s="9">
        <v>0.95</v>
      </c>
      <c r="Y123" s="9">
        <v>0.95</v>
      </c>
      <c r="Z123" s="9">
        <v>0.95</v>
      </c>
      <c r="AA123" s="9">
        <v>0.95</v>
      </c>
      <c r="AB123" s="9">
        <v>0.95</v>
      </c>
      <c r="AC123" s="9">
        <v>0.95</v>
      </c>
      <c r="AD123" s="9">
        <v>0.95</v>
      </c>
      <c r="AE123" s="9">
        <v>0.95</v>
      </c>
      <c r="AF123" s="9">
        <v>0.95</v>
      </c>
      <c r="AG123" s="9">
        <v>0.95</v>
      </c>
      <c r="AH123" s="9">
        <v>0.95</v>
      </c>
      <c r="AI123" s="9">
        <v>0.95</v>
      </c>
      <c r="AJ123" s="9">
        <v>0.95</v>
      </c>
      <c r="AK123" s="9">
        <v>0.95</v>
      </c>
      <c r="AL123" s="9">
        <v>0.95</v>
      </c>
      <c r="AM123" s="9">
        <v>0.95</v>
      </c>
      <c r="AN123" s="9">
        <v>0.95</v>
      </c>
      <c r="AO123" s="9">
        <v>0.95</v>
      </c>
      <c r="AP123" s="9">
        <v>0.95</v>
      </c>
      <c r="AQ123" s="9">
        <v>0.95</v>
      </c>
      <c r="AR123" s="9">
        <v>0.95</v>
      </c>
      <c r="AS123" s="9">
        <v>0.95</v>
      </c>
      <c r="AT123" s="9">
        <v>0.95</v>
      </c>
    </row>
    <row r="124" spans="1:46" s="106" customFormat="1" ht="12.75" hidden="1" customHeight="1" x14ac:dyDescent="0.2">
      <c r="A124" s="105" t="s">
        <v>334</v>
      </c>
      <c r="C124" s="107" t="s">
        <v>335</v>
      </c>
      <c r="D124" s="108"/>
      <c r="E124" s="109" t="e">
        <f t="shared" ref="E124:AT124" si="71">E123*(1+(0.6*E103*(E65/(E114*E116/E69))))</f>
        <v>#DIV/0!</v>
      </c>
      <c r="F124" s="109" t="e">
        <f t="shared" si="71"/>
        <v>#DIV/0!</v>
      </c>
      <c r="G124" s="109" t="e">
        <f t="shared" si="71"/>
        <v>#DIV/0!</v>
      </c>
      <c r="H124" s="109" t="e">
        <f t="shared" si="71"/>
        <v>#DIV/0!</v>
      </c>
      <c r="I124" s="109" t="e">
        <f t="shared" si="71"/>
        <v>#DIV/0!</v>
      </c>
      <c r="J124" s="109" t="e">
        <f t="shared" si="71"/>
        <v>#DIV/0!</v>
      </c>
      <c r="K124" s="109" t="e">
        <f t="shared" si="71"/>
        <v>#DIV/0!</v>
      </c>
      <c r="L124" s="109" t="e">
        <f t="shared" si="71"/>
        <v>#DIV/0!</v>
      </c>
      <c r="M124" s="109" t="e">
        <f t="shared" si="71"/>
        <v>#DIV/0!</v>
      </c>
      <c r="N124" s="109" t="e">
        <f t="shared" si="71"/>
        <v>#DIV/0!</v>
      </c>
      <c r="O124" s="109" t="e">
        <f t="shared" si="71"/>
        <v>#DIV/0!</v>
      </c>
      <c r="P124" s="109" t="e">
        <f t="shared" si="71"/>
        <v>#DIV/0!</v>
      </c>
      <c r="Q124" s="109" t="e">
        <f t="shared" si="71"/>
        <v>#DIV/0!</v>
      </c>
      <c r="R124" s="109" t="e">
        <f t="shared" si="71"/>
        <v>#DIV/0!</v>
      </c>
      <c r="S124" s="109" t="e">
        <f t="shared" si="71"/>
        <v>#DIV/0!</v>
      </c>
      <c r="T124" s="109" t="e">
        <f t="shared" si="71"/>
        <v>#DIV/0!</v>
      </c>
      <c r="U124" s="109" t="e">
        <f t="shared" si="71"/>
        <v>#DIV/0!</v>
      </c>
      <c r="V124" s="109" t="e">
        <f t="shared" si="71"/>
        <v>#DIV/0!</v>
      </c>
      <c r="W124" s="109" t="e">
        <f t="shared" si="71"/>
        <v>#DIV/0!</v>
      </c>
      <c r="X124" s="109" t="e">
        <f t="shared" si="71"/>
        <v>#DIV/0!</v>
      </c>
      <c r="Y124" s="109" t="e">
        <f t="shared" si="71"/>
        <v>#DIV/0!</v>
      </c>
      <c r="Z124" s="109" t="e">
        <f t="shared" si="71"/>
        <v>#DIV/0!</v>
      </c>
      <c r="AA124" s="109" t="e">
        <f t="shared" si="71"/>
        <v>#DIV/0!</v>
      </c>
      <c r="AB124" s="109" t="e">
        <f t="shared" si="71"/>
        <v>#DIV/0!</v>
      </c>
      <c r="AC124" s="109" t="e">
        <f t="shared" si="71"/>
        <v>#DIV/0!</v>
      </c>
      <c r="AD124" s="109" t="e">
        <f t="shared" si="71"/>
        <v>#DIV/0!</v>
      </c>
      <c r="AE124" s="109" t="e">
        <f t="shared" si="71"/>
        <v>#DIV/0!</v>
      </c>
      <c r="AF124" s="109" t="e">
        <f t="shared" si="71"/>
        <v>#DIV/0!</v>
      </c>
      <c r="AG124" s="109" t="e">
        <f t="shared" si="71"/>
        <v>#DIV/0!</v>
      </c>
      <c r="AH124" s="109" t="e">
        <f t="shared" si="71"/>
        <v>#DIV/0!</v>
      </c>
      <c r="AI124" s="109" t="e">
        <f t="shared" si="71"/>
        <v>#DIV/0!</v>
      </c>
      <c r="AJ124" s="109" t="e">
        <f t="shared" si="71"/>
        <v>#DIV/0!</v>
      </c>
      <c r="AK124" s="109" t="e">
        <f t="shared" si="71"/>
        <v>#DIV/0!</v>
      </c>
      <c r="AL124" s="109" t="e">
        <f t="shared" si="71"/>
        <v>#DIV/0!</v>
      </c>
      <c r="AM124" s="109" t="e">
        <f t="shared" si="71"/>
        <v>#DIV/0!</v>
      </c>
      <c r="AN124" s="109" t="e">
        <f t="shared" si="71"/>
        <v>#DIV/0!</v>
      </c>
      <c r="AO124" s="109" t="e">
        <f t="shared" si="71"/>
        <v>#DIV/0!</v>
      </c>
      <c r="AP124" s="109" t="e">
        <f t="shared" si="71"/>
        <v>#DIV/0!</v>
      </c>
      <c r="AQ124" s="109" t="e">
        <f t="shared" si="71"/>
        <v>#DIV/0!</v>
      </c>
      <c r="AR124" s="109" t="e">
        <f t="shared" si="71"/>
        <v>#DIV/0!</v>
      </c>
      <c r="AS124" s="109" t="e">
        <f t="shared" si="71"/>
        <v>#DIV/0!</v>
      </c>
      <c r="AT124" s="109" t="e">
        <f t="shared" si="71"/>
        <v>#DIV/0!</v>
      </c>
    </row>
    <row r="125" spans="1:46" s="106" customFormat="1" ht="12.75" hidden="1" customHeight="1" x14ac:dyDescent="0.2">
      <c r="A125" s="105" t="s">
        <v>334</v>
      </c>
      <c r="C125" s="107" t="s">
        <v>336</v>
      </c>
      <c r="D125" s="108"/>
      <c r="E125" s="109" t="e">
        <f t="shared" ref="E125:AT125" si="72">E123*(1+(0.6*(E72/(E114*E116/E69))))</f>
        <v>#DIV/0!</v>
      </c>
      <c r="F125" s="109" t="e">
        <f t="shared" si="72"/>
        <v>#DIV/0!</v>
      </c>
      <c r="G125" s="109" t="e">
        <f t="shared" si="72"/>
        <v>#DIV/0!</v>
      </c>
      <c r="H125" s="109" t="e">
        <f t="shared" si="72"/>
        <v>#DIV/0!</v>
      </c>
      <c r="I125" s="109" t="e">
        <f t="shared" si="72"/>
        <v>#DIV/0!</v>
      </c>
      <c r="J125" s="109" t="e">
        <f t="shared" si="72"/>
        <v>#DIV/0!</v>
      </c>
      <c r="K125" s="109" t="e">
        <f t="shared" si="72"/>
        <v>#DIV/0!</v>
      </c>
      <c r="L125" s="109" t="e">
        <f t="shared" si="72"/>
        <v>#DIV/0!</v>
      </c>
      <c r="M125" s="109" t="e">
        <f t="shared" si="72"/>
        <v>#DIV/0!</v>
      </c>
      <c r="N125" s="109" t="e">
        <f t="shared" si="72"/>
        <v>#DIV/0!</v>
      </c>
      <c r="O125" s="109" t="e">
        <f t="shared" si="72"/>
        <v>#DIV/0!</v>
      </c>
      <c r="P125" s="109" t="e">
        <f t="shared" si="72"/>
        <v>#DIV/0!</v>
      </c>
      <c r="Q125" s="109" t="e">
        <f t="shared" si="72"/>
        <v>#DIV/0!</v>
      </c>
      <c r="R125" s="109" t="e">
        <f t="shared" si="72"/>
        <v>#DIV/0!</v>
      </c>
      <c r="S125" s="109" t="e">
        <f t="shared" si="72"/>
        <v>#DIV/0!</v>
      </c>
      <c r="T125" s="109" t="e">
        <f t="shared" si="72"/>
        <v>#DIV/0!</v>
      </c>
      <c r="U125" s="109" t="e">
        <f t="shared" si="72"/>
        <v>#DIV/0!</v>
      </c>
      <c r="V125" s="109" t="e">
        <f t="shared" si="72"/>
        <v>#DIV/0!</v>
      </c>
      <c r="W125" s="109" t="e">
        <f t="shared" si="72"/>
        <v>#DIV/0!</v>
      </c>
      <c r="X125" s="109" t="e">
        <f t="shared" si="72"/>
        <v>#DIV/0!</v>
      </c>
      <c r="Y125" s="109" t="e">
        <f t="shared" si="72"/>
        <v>#DIV/0!</v>
      </c>
      <c r="Z125" s="109" t="e">
        <f t="shared" si="72"/>
        <v>#DIV/0!</v>
      </c>
      <c r="AA125" s="109" t="e">
        <f t="shared" si="72"/>
        <v>#DIV/0!</v>
      </c>
      <c r="AB125" s="109" t="e">
        <f t="shared" si="72"/>
        <v>#DIV/0!</v>
      </c>
      <c r="AC125" s="109" t="e">
        <f t="shared" si="72"/>
        <v>#DIV/0!</v>
      </c>
      <c r="AD125" s="109" t="e">
        <f t="shared" si="72"/>
        <v>#DIV/0!</v>
      </c>
      <c r="AE125" s="109" t="e">
        <f t="shared" si="72"/>
        <v>#DIV/0!</v>
      </c>
      <c r="AF125" s="109" t="e">
        <f t="shared" si="72"/>
        <v>#DIV/0!</v>
      </c>
      <c r="AG125" s="109" t="e">
        <f t="shared" si="72"/>
        <v>#DIV/0!</v>
      </c>
      <c r="AH125" s="109" t="e">
        <f t="shared" si="72"/>
        <v>#DIV/0!</v>
      </c>
      <c r="AI125" s="109" t="e">
        <f t="shared" si="72"/>
        <v>#DIV/0!</v>
      </c>
      <c r="AJ125" s="109" t="e">
        <f t="shared" si="72"/>
        <v>#DIV/0!</v>
      </c>
      <c r="AK125" s="109" t="e">
        <f t="shared" si="72"/>
        <v>#DIV/0!</v>
      </c>
      <c r="AL125" s="109" t="e">
        <f t="shared" si="72"/>
        <v>#DIV/0!</v>
      </c>
      <c r="AM125" s="109" t="e">
        <f t="shared" si="72"/>
        <v>#DIV/0!</v>
      </c>
      <c r="AN125" s="109" t="e">
        <f t="shared" si="72"/>
        <v>#DIV/0!</v>
      </c>
      <c r="AO125" s="109" t="e">
        <f t="shared" si="72"/>
        <v>#DIV/0!</v>
      </c>
      <c r="AP125" s="109" t="e">
        <f t="shared" si="72"/>
        <v>#DIV/0!</v>
      </c>
      <c r="AQ125" s="109" t="e">
        <f t="shared" si="72"/>
        <v>#DIV/0!</v>
      </c>
      <c r="AR125" s="109" t="e">
        <f t="shared" si="72"/>
        <v>#DIV/0!</v>
      </c>
      <c r="AS125" s="109" t="e">
        <f t="shared" si="72"/>
        <v>#DIV/0!</v>
      </c>
      <c r="AT125" s="109" t="e">
        <f t="shared" si="72"/>
        <v>#DIV/0!</v>
      </c>
    </row>
    <row r="126" spans="1:46" s="106" customFormat="1" ht="12.75" hidden="1" customHeight="1" x14ac:dyDescent="0.2">
      <c r="A126" s="105" t="s">
        <v>334</v>
      </c>
      <c r="C126" s="107" t="s">
        <v>337</v>
      </c>
      <c r="D126" s="108"/>
      <c r="E126" s="109" t="e">
        <f t="shared" ref="E126:AT126" si="73">0.8*E124</f>
        <v>#DIV/0!</v>
      </c>
      <c r="F126" s="109" t="e">
        <f t="shared" si="73"/>
        <v>#DIV/0!</v>
      </c>
      <c r="G126" s="109" t="e">
        <f t="shared" si="73"/>
        <v>#DIV/0!</v>
      </c>
      <c r="H126" s="109" t="e">
        <f t="shared" si="73"/>
        <v>#DIV/0!</v>
      </c>
      <c r="I126" s="109" t="e">
        <f t="shared" si="73"/>
        <v>#DIV/0!</v>
      </c>
      <c r="J126" s="109" t="e">
        <f t="shared" si="73"/>
        <v>#DIV/0!</v>
      </c>
      <c r="K126" s="109" t="e">
        <f t="shared" si="73"/>
        <v>#DIV/0!</v>
      </c>
      <c r="L126" s="109" t="e">
        <f t="shared" si="73"/>
        <v>#DIV/0!</v>
      </c>
      <c r="M126" s="109" t="e">
        <f t="shared" si="73"/>
        <v>#DIV/0!</v>
      </c>
      <c r="N126" s="109" t="e">
        <f t="shared" si="73"/>
        <v>#DIV/0!</v>
      </c>
      <c r="O126" s="109" t="e">
        <f t="shared" si="73"/>
        <v>#DIV/0!</v>
      </c>
      <c r="P126" s="109" t="e">
        <f t="shared" si="73"/>
        <v>#DIV/0!</v>
      </c>
      <c r="Q126" s="109" t="e">
        <f t="shared" si="73"/>
        <v>#DIV/0!</v>
      </c>
      <c r="R126" s="109" t="e">
        <f t="shared" si="73"/>
        <v>#DIV/0!</v>
      </c>
      <c r="S126" s="109" t="e">
        <f t="shared" si="73"/>
        <v>#DIV/0!</v>
      </c>
      <c r="T126" s="109" t="e">
        <f t="shared" si="73"/>
        <v>#DIV/0!</v>
      </c>
      <c r="U126" s="109" t="e">
        <f t="shared" si="73"/>
        <v>#DIV/0!</v>
      </c>
      <c r="V126" s="109" t="e">
        <f t="shared" si="73"/>
        <v>#DIV/0!</v>
      </c>
      <c r="W126" s="109" t="e">
        <f t="shared" si="73"/>
        <v>#DIV/0!</v>
      </c>
      <c r="X126" s="109" t="e">
        <f t="shared" si="73"/>
        <v>#DIV/0!</v>
      </c>
      <c r="Y126" s="109" t="e">
        <f t="shared" si="73"/>
        <v>#DIV/0!</v>
      </c>
      <c r="Z126" s="109" t="e">
        <f t="shared" si="73"/>
        <v>#DIV/0!</v>
      </c>
      <c r="AA126" s="109" t="e">
        <f t="shared" si="73"/>
        <v>#DIV/0!</v>
      </c>
      <c r="AB126" s="109" t="e">
        <f t="shared" si="73"/>
        <v>#DIV/0!</v>
      </c>
      <c r="AC126" s="109" t="e">
        <f t="shared" si="73"/>
        <v>#DIV/0!</v>
      </c>
      <c r="AD126" s="109" t="e">
        <f t="shared" si="73"/>
        <v>#DIV/0!</v>
      </c>
      <c r="AE126" s="109" t="e">
        <f t="shared" si="73"/>
        <v>#DIV/0!</v>
      </c>
      <c r="AF126" s="109" t="e">
        <f t="shared" si="73"/>
        <v>#DIV/0!</v>
      </c>
      <c r="AG126" s="109" t="e">
        <f t="shared" si="73"/>
        <v>#DIV/0!</v>
      </c>
      <c r="AH126" s="109" t="e">
        <f t="shared" si="73"/>
        <v>#DIV/0!</v>
      </c>
      <c r="AI126" s="109" t="e">
        <f t="shared" si="73"/>
        <v>#DIV/0!</v>
      </c>
      <c r="AJ126" s="109" t="e">
        <f t="shared" si="73"/>
        <v>#DIV/0!</v>
      </c>
      <c r="AK126" s="109" t="e">
        <f t="shared" si="73"/>
        <v>#DIV/0!</v>
      </c>
      <c r="AL126" s="109" t="e">
        <f t="shared" si="73"/>
        <v>#DIV/0!</v>
      </c>
      <c r="AM126" s="109" t="e">
        <f t="shared" si="73"/>
        <v>#DIV/0!</v>
      </c>
      <c r="AN126" s="109" t="e">
        <f t="shared" si="73"/>
        <v>#DIV/0!</v>
      </c>
      <c r="AO126" s="109" t="e">
        <f t="shared" si="73"/>
        <v>#DIV/0!</v>
      </c>
      <c r="AP126" s="109" t="e">
        <f t="shared" si="73"/>
        <v>#DIV/0!</v>
      </c>
      <c r="AQ126" s="109" t="e">
        <f t="shared" si="73"/>
        <v>#DIV/0!</v>
      </c>
      <c r="AR126" s="109" t="e">
        <f t="shared" si="73"/>
        <v>#DIV/0!</v>
      </c>
      <c r="AS126" s="109" t="e">
        <f t="shared" si="73"/>
        <v>#DIV/0!</v>
      </c>
      <c r="AT126" s="109" t="e">
        <f t="shared" si="73"/>
        <v>#DIV/0!</v>
      </c>
    </row>
    <row r="127" spans="1:46" s="106" customFormat="1" ht="12.75" hidden="1" customHeight="1" x14ac:dyDescent="0.2">
      <c r="A127" s="105" t="s">
        <v>334</v>
      </c>
      <c r="C127" s="107" t="s">
        <v>338</v>
      </c>
      <c r="D127" s="108"/>
      <c r="E127" s="109" t="e">
        <f t="shared" ref="E127:AT127" si="74">0.8*E125</f>
        <v>#DIV/0!</v>
      </c>
      <c r="F127" s="109" t="e">
        <f t="shared" si="74"/>
        <v>#DIV/0!</v>
      </c>
      <c r="G127" s="109" t="e">
        <f t="shared" si="74"/>
        <v>#DIV/0!</v>
      </c>
      <c r="H127" s="109" t="e">
        <f t="shared" si="74"/>
        <v>#DIV/0!</v>
      </c>
      <c r="I127" s="109" t="e">
        <f t="shared" si="74"/>
        <v>#DIV/0!</v>
      </c>
      <c r="J127" s="109" t="e">
        <f t="shared" si="74"/>
        <v>#DIV/0!</v>
      </c>
      <c r="K127" s="109" t="e">
        <f t="shared" si="74"/>
        <v>#DIV/0!</v>
      </c>
      <c r="L127" s="109" t="e">
        <f t="shared" si="74"/>
        <v>#DIV/0!</v>
      </c>
      <c r="M127" s="109" t="e">
        <f t="shared" si="74"/>
        <v>#DIV/0!</v>
      </c>
      <c r="N127" s="109" t="e">
        <f t="shared" si="74"/>
        <v>#DIV/0!</v>
      </c>
      <c r="O127" s="109" t="e">
        <f t="shared" si="74"/>
        <v>#DIV/0!</v>
      </c>
      <c r="P127" s="109" t="e">
        <f t="shared" si="74"/>
        <v>#DIV/0!</v>
      </c>
      <c r="Q127" s="109" t="e">
        <f t="shared" si="74"/>
        <v>#DIV/0!</v>
      </c>
      <c r="R127" s="109" t="e">
        <f t="shared" si="74"/>
        <v>#DIV/0!</v>
      </c>
      <c r="S127" s="109" t="e">
        <f t="shared" si="74"/>
        <v>#DIV/0!</v>
      </c>
      <c r="T127" s="109" t="e">
        <f t="shared" si="74"/>
        <v>#DIV/0!</v>
      </c>
      <c r="U127" s="109" t="e">
        <f t="shared" si="74"/>
        <v>#DIV/0!</v>
      </c>
      <c r="V127" s="109" t="e">
        <f t="shared" si="74"/>
        <v>#DIV/0!</v>
      </c>
      <c r="W127" s="109" t="e">
        <f t="shared" si="74"/>
        <v>#DIV/0!</v>
      </c>
      <c r="X127" s="109" t="e">
        <f t="shared" si="74"/>
        <v>#DIV/0!</v>
      </c>
      <c r="Y127" s="109" t="e">
        <f t="shared" si="74"/>
        <v>#DIV/0!</v>
      </c>
      <c r="Z127" s="109" t="e">
        <f t="shared" si="74"/>
        <v>#DIV/0!</v>
      </c>
      <c r="AA127" s="109" t="e">
        <f t="shared" si="74"/>
        <v>#DIV/0!</v>
      </c>
      <c r="AB127" s="109" t="e">
        <f t="shared" si="74"/>
        <v>#DIV/0!</v>
      </c>
      <c r="AC127" s="109" t="e">
        <f t="shared" si="74"/>
        <v>#DIV/0!</v>
      </c>
      <c r="AD127" s="109" t="e">
        <f t="shared" si="74"/>
        <v>#DIV/0!</v>
      </c>
      <c r="AE127" s="109" t="e">
        <f t="shared" si="74"/>
        <v>#DIV/0!</v>
      </c>
      <c r="AF127" s="109" t="e">
        <f t="shared" si="74"/>
        <v>#DIV/0!</v>
      </c>
      <c r="AG127" s="109" t="e">
        <f t="shared" si="74"/>
        <v>#DIV/0!</v>
      </c>
      <c r="AH127" s="109" t="e">
        <f t="shared" si="74"/>
        <v>#DIV/0!</v>
      </c>
      <c r="AI127" s="109" t="e">
        <f t="shared" si="74"/>
        <v>#DIV/0!</v>
      </c>
      <c r="AJ127" s="109" t="e">
        <f t="shared" si="74"/>
        <v>#DIV/0!</v>
      </c>
      <c r="AK127" s="109" t="e">
        <f t="shared" si="74"/>
        <v>#DIV/0!</v>
      </c>
      <c r="AL127" s="109" t="e">
        <f t="shared" si="74"/>
        <v>#DIV/0!</v>
      </c>
      <c r="AM127" s="109" t="e">
        <f t="shared" si="74"/>
        <v>#DIV/0!</v>
      </c>
      <c r="AN127" s="109" t="e">
        <f t="shared" si="74"/>
        <v>#DIV/0!</v>
      </c>
      <c r="AO127" s="109" t="e">
        <f t="shared" si="74"/>
        <v>#DIV/0!</v>
      </c>
      <c r="AP127" s="109" t="e">
        <f t="shared" si="74"/>
        <v>#DIV/0!</v>
      </c>
      <c r="AQ127" s="109" t="e">
        <f t="shared" si="74"/>
        <v>#DIV/0!</v>
      </c>
      <c r="AR127" s="109" t="e">
        <f t="shared" si="74"/>
        <v>#DIV/0!</v>
      </c>
      <c r="AS127" s="109" t="e">
        <f t="shared" si="74"/>
        <v>#DIV/0!</v>
      </c>
      <c r="AT127" s="109" t="e">
        <f t="shared" si="74"/>
        <v>#DIV/0!</v>
      </c>
    </row>
    <row r="128" spans="1:46" ht="12.75" hidden="1" customHeight="1" x14ac:dyDescent="0.2">
      <c r="A128" s="6" t="s">
        <v>339</v>
      </c>
      <c r="C128" s="5" t="s">
        <v>335</v>
      </c>
      <c r="D128" s="56"/>
      <c r="E128" s="53" t="e">
        <f t="shared" ref="E128:AT128" si="75">E123*(1+((E103-0.2)*(E72/(E114*E116/E69))))</f>
        <v>#DIV/0!</v>
      </c>
      <c r="F128" s="53" t="e">
        <f t="shared" si="75"/>
        <v>#DIV/0!</v>
      </c>
      <c r="G128" s="53" t="e">
        <f t="shared" si="75"/>
        <v>#DIV/0!</v>
      </c>
      <c r="H128" s="53" t="e">
        <f t="shared" si="75"/>
        <v>#DIV/0!</v>
      </c>
      <c r="I128" s="53" t="e">
        <f t="shared" si="75"/>
        <v>#DIV/0!</v>
      </c>
      <c r="J128" s="53" t="e">
        <f t="shared" si="75"/>
        <v>#DIV/0!</v>
      </c>
      <c r="K128" s="53" t="e">
        <f t="shared" si="75"/>
        <v>#DIV/0!</v>
      </c>
      <c r="L128" s="53" t="e">
        <f t="shared" si="75"/>
        <v>#DIV/0!</v>
      </c>
      <c r="M128" s="53" t="e">
        <f t="shared" si="75"/>
        <v>#DIV/0!</v>
      </c>
      <c r="N128" s="53" t="e">
        <f t="shared" si="75"/>
        <v>#DIV/0!</v>
      </c>
      <c r="O128" s="53" t="e">
        <f t="shared" si="75"/>
        <v>#DIV/0!</v>
      </c>
      <c r="P128" s="53" t="e">
        <f t="shared" si="75"/>
        <v>#DIV/0!</v>
      </c>
      <c r="Q128" s="53" t="e">
        <f t="shared" si="75"/>
        <v>#DIV/0!</v>
      </c>
      <c r="R128" s="53" t="e">
        <f t="shared" si="75"/>
        <v>#DIV/0!</v>
      </c>
      <c r="S128" s="53" t="e">
        <f t="shared" si="75"/>
        <v>#DIV/0!</v>
      </c>
      <c r="T128" s="53" t="e">
        <f t="shared" si="75"/>
        <v>#DIV/0!</v>
      </c>
      <c r="U128" s="53" t="e">
        <f t="shared" si="75"/>
        <v>#DIV/0!</v>
      </c>
      <c r="V128" s="53" t="e">
        <f t="shared" si="75"/>
        <v>#DIV/0!</v>
      </c>
      <c r="W128" s="53" t="e">
        <f t="shared" si="75"/>
        <v>#DIV/0!</v>
      </c>
      <c r="X128" s="53" t="e">
        <f t="shared" si="75"/>
        <v>#DIV/0!</v>
      </c>
      <c r="Y128" s="53" t="e">
        <f t="shared" si="75"/>
        <v>#DIV/0!</v>
      </c>
      <c r="Z128" s="53" t="e">
        <f t="shared" si="75"/>
        <v>#DIV/0!</v>
      </c>
      <c r="AA128" s="53" t="e">
        <f t="shared" si="75"/>
        <v>#DIV/0!</v>
      </c>
      <c r="AB128" s="53" t="e">
        <f t="shared" si="75"/>
        <v>#DIV/0!</v>
      </c>
      <c r="AC128" s="53" t="e">
        <f t="shared" si="75"/>
        <v>#DIV/0!</v>
      </c>
      <c r="AD128" s="53" t="e">
        <f t="shared" si="75"/>
        <v>#DIV/0!</v>
      </c>
      <c r="AE128" s="53" t="e">
        <f t="shared" si="75"/>
        <v>#DIV/0!</v>
      </c>
      <c r="AF128" s="53" t="e">
        <f t="shared" si="75"/>
        <v>#DIV/0!</v>
      </c>
      <c r="AG128" s="53" t="e">
        <f t="shared" si="75"/>
        <v>#DIV/0!</v>
      </c>
      <c r="AH128" s="53" t="e">
        <f t="shared" si="75"/>
        <v>#DIV/0!</v>
      </c>
      <c r="AI128" s="53" t="e">
        <f t="shared" si="75"/>
        <v>#DIV/0!</v>
      </c>
      <c r="AJ128" s="53" t="e">
        <f t="shared" si="75"/>
        <v>#DIV/0!</v>
      </c>
      <c r="AK128" s="53" t="e">
        <f t="shared" si="75"/>
        <v>#DIV/0!</v>
      </c>
      <c r="AL128" s="53" t="e">
        <f t="shared" si="75"/>
        <v>#DIV/0!</v>
      </c>
      <c r="AM128" s="53" t="e">
        <f t="shared" si="75"/>
        <v>#DIV/0!</v>
      </c>
      <c r="AN128" s="53" t="e">
        <f t="shared" si="75"/>
        <v>#DIV/0!</v>
      </c>
      <c r="AO128" s="53" t="e">
        <f t="shared" si="75"/>
        <v>#DIV/0!</v>
      </c>
      <c r="AP128" s="53" t="e">
        <f t="shared" si="75"/>
        <v>#DIV/0!</v>
      </c>
      <c r="AQ128" s="53" t="e">
        <f t="shared" si="75"/>
        <v>#DIV/0!</v>
      </c>
      <c r="AR128" s="53" t="e">
        <f t="shared" si="75"/>
        <v>#DIV/0!</v>
      </c>
      <c r="AS128" s="53" t="e">
        <f t="shared" si="75"/>
        <v>#DIV/0!</v>
      </c>
      <c r="AT128" s="53" t="e">
        <f t="shared" si="75"/>
        <v>#DIV/0!</v>
      </c>
    </row>
    <row r="129" spans="1:46" ht="12.75" hidden="1" customHeight="1" x14ac:dyDescent="0.2">
      <c r="A129" s="6" t="s">
        <v>339</v>
      </c>
      <c r="C129" s="5" t="s">
        <v>336</v>
      </c>
      <c r="D129" s="56"/>
      <c r="E129" s="53" t="e">
        <f t="shared" ref="E129:AT129" si="76">E123*(1+(0.8*(E72/(E114*E116/E69))))</f>
        <v>#DIV/0!</v>
      </c>
      <c r="F129" s="53" t="e">
        <f t="shared" si="76"/>
        <v>#DIV/0!</v>
      </c>
      <c r="G129" s="53" t="e">
        <f t="shared" si="76"/>
        <v>#DIV/0!</v>
      </c>
      <c r="H129" s="53" t="e">
        <f t="shared" si="76"/>
        <v>#DIV/0!</v>
      </c>
      <c r="I129" s="53" t="e">
        <f t="shared" si="76"/>
        <v>#DIV/0!</v>
      </c>
      <c r="J129" s="53" t="e">
        <f t="shared" si="76"/>
        <v>#DIV/0!</v>
      </c>
      <c r="K129" s="53" t="e">
        <f t="shared" si="76"/>
        <v>#DIV/0!</v>
      </c>
      <c r="L129" s="53" t="e">
        <f t="shared" si="76"/>
        <v>#DIV/0!</v>
      </c>
      <c r="M129" s="53" t="e">
        <f t="shared" si="76"/>
        <v>#DIV/0!</v>
      </c>
      <c r="N129" s="53" t="e">
        <f t="shared" si="76"/>
        <v>#DIV/0!</v>
      </c>
      <c r="O129" s="53" t="e">
        <f t="shared" si="76"/>
        <v>#DIV/0!</v>
      </c>
      <c r="P129" s="53" t="e">
        <f t="shared" si="76"/>
        <v>#DIV/0!</v>
      </c>
      <c r="Q129" s="53" t="e">
        <f t="shared" si="76"/>
        <v>#DIV/0!</v>
      </c>
      <c r="R129" s="53" t="e">
        <f t="shared" si="76"/>
        <v>#DIV/0!</v>
      </c>
      <c r="S129" s="53" t="e">
        <f t="shared" si="76"/>
        <v>#DIV/0!</v>
      </c>
      <c r="T129" s="53" t="e">
        <f t="shared" si="76"/>
        <v>#DIV/0!</v>
      </c>
      <c r="U129" s="53" t="e">
        <f t="shared" si="76"/>
        <v>#DIV/0!</v>
      </c>
      <c r="V129" s="53" t="e">
        <f t="shared" si="76"/>
        <v>#DIV/0!</v>
      </c>
      <c r="W129" s="53" t="e">
        <f t="shared" si="76"/>
        <v>#DIV/0!</v>
      </c>
      <c r="X129" s="53" t="e">
        <f t="shared" si="76"/>
        <v>#DIV/0!</v>
      </c>
      <c r="Y129" s="53" t="e">
        <f t="shared" si="76"/>
        <v>#DIV/0!</v>
      </c>
      <c r="Z129" s="53" t="e">
        <f t="shared" si="76"/>
        <v>#DIV/0!</v>
      </c>
      <c r="AA129" s="53" t="e">
        <f t="shared" si="76"/>
        <v>#DIV/0!</v>
      </c>
      <c r="AB129" s="53" t="e">
        <f t="shared" si="76"/>
        <v>#DIV/0!</v>
      </c>
      <c r="AC129" s="53" t="e">
        <f t="shared" si="76"/>
        <v>#DIV/0!</v>
      </c>
      <c r="AD129" s="53" t="e">
        <f t="shared" si="76"/>
        <v>#DIV/0!</v>
      </c>
      <c r="AE129" s="53" t="e">
        <f t="shared" si="76"/>
        <v>#DIV/0!</v>
      </c>
      <c r="AF129" s="53" t="e">
        <f t="shared" si="76"/>
        <v>#DIV/0!</v>
      </c>
      <c r="AG129" s="53" t="e">
        <f t="shared" si="76"/>
        <v>#DIV/0!</v>
      </c>
      <c r="AH129" s="53" t="e">
        <f t="shared" si="76"/>
        <v>#DIV/0!</v>
      </c>
      <c r="AI129" s="53" t="e">
        <f t="shared" si="76"/>
        <v>#DIV/0!</v>
      </c>
      <c r="AJ129" s="53" t="e">
        <f t="shared" si="76"/>
        <v>#DIV/0!</v>
      </c>
      <c r="AK129" s="53" t="e">
        <f t="shared" si="76"/>
        <v>#DIV/0!</v>
      </c>
      <c r="AL129" s="53" t="e">
        <f t="shared" si="76"/>
        <v>#DIV/0!</v>
      </c>
      <c r="AM129" s="53" t="e">
        <f t="shared" si="76"/>
        <v>#DIV/0!</v>
      </c>
      <c r="AN129" s="53" t="e">
        <f t="shared" si="76"/>
        <v>#DIV/0!</v>
      </c>
      <c r="AO129" s="53" t="e">
        <f t="shared" si="76"/>
        <v>#DIV/0!</v>
      </c>
      <c r="AP129" s="53" t="e">
        <f t="shared" si="76"/>
        <v>#DIV/0!</v>
      </c>
      <c r="AQ129" s="53" t="e">
        <f t="shared" si="76"/>
        <v>#DIV/0!</v>
      </c>
      <c r="AR129" s="53" t="e">
        <f t="shared" si="76"/>
        <v>#DIV/0!</v>
      </c>
      <c r="AS129" s="53" t="e">
        <f t="shared" si="76"/>
        <v>#DIV/0!</v>
      </c>
      <c r="AT129" s="53" t="e">
        <f t="shared" si="76"/>
        <v>#DIV/0!</v>
      </c>
    </row>
    <row r="130" spans="1:46" ht="12.75" hidden="1" customHeight="1" x14ac:dyDescent="0.2">
      <c r="A130" s="6" t="s">
        <v>339</v>
      </c>
      <c r="C130" s="5" t="s">
        <v>337</v>
      </c>
      <c r="D130" s="56"/>
      <c r="E130" s="53" t="e">
        <f t="shared" ref="E130:AT130" si="77">0.6*E128</f>
        <v>#DIV/0!</v>
      </c>
      <c r="F130" s="53" t="e">
        <f t="shared" si="77"/>
        <v>#DIV/0!</v>
      </c>
      <c r="G130" s="53" t="e">
        <f t="shared" si="77"/>
        <v>#DIV/0!</v>
      </c>
      <c r="H130" s="53" t="e">
        <f t="shared" si="77"/>
        <v>#DIV/0!</v>
      </c>
      <c r="I130" s="53" t="e">
        <f t="shared" si="77"/>
        <v>#DIV/0!</v>
      </c>
      <c r="J130" s="53" t="e">
        <f t="shared" si="77"/>
        <v>#DIV/0!</v>
      </c>
      <c r="K130" s="53" t="e">
        <f t="shared" si="77"/>
        <v>#DIV/0!</v>
      </c>
      <c r="L130" s="53" t="e">
        <f t="shared" si="77"/>
        <v>#DIV/0!</v>
      </c>
      <c r="M130" s="53" t="e">
        <f t="shared" si="77"/>
        <v>#DIV/0!</v>
      </c>
      <c r="N130" s="53" t="e">
        <f t="shared" si="77"/>
        <v>#DIV/0!</v>
      </c>
      <c r="O130" s="53" t="e">
        <f t="shared" si="77"/>
        <v>#DIV/0!</v>
      </c>
      <c r="P130" s="53" t="e">
        <f t="shared" si="77"/>
        <v>#DIV/0!</v>
      </c>
      <c r="Q130" s="53" t="e">
        <f t="shared" si="77"/>
        <v>#DIV/0!</v>
      </c>
      <c r="R130" s="53" t="e">
        <f t="shared" si="77"/>
        <v>#DIV/0!</v>
      </c>
      <c r="S130" s="53" t="e">
        <f t="shared" si="77"/>
        <v>#DIV/0!</v>
      </c>
      <c r="T130" s="53" t="e">
        <f t="shared" si="77"/>
        <v>#DIV/0!</v>
      </c>
      <c r="U130" s="53" t="e">
        <f t="shared" si="77"/>
        <v>#DIV/0!</v>
      </c>
      <c r="V130" s="53" t="e">
        <f t="shared" si="77"/>
        <v>#DIV/0!</v>
      </c>
      <c r="W130" s="53" t="e">
        <f t="shared" si="77"/>
        <v>#DIV/0!</v>
      </c>
      <c r="X130" s="53" t="e">
        <f t="shared" si="77"/>
        <v>#DIV/0!</v>
      </c>
      <c r="Y130" s="53" t="e">
        <f t="shared" si="77"/>
        <v>#DIV/0!</v>
      </c>
      <c r="Z130" s="53" t="e">
        <f t="shared" si="77"/>
        <v>#DIV/0!</v>
      </c>
      <c r="AA130" s="53" t="e">
        <f t="shared" si="77"/>
        <v>#DIV/0!</v>
      </c>
      <c r="AB130" s="53" t="e">
        <f t="shared" si="77"/>
        <v>#DIV/0!</v>
      </c>
      <c r="AC130" s="53" t="e">
        <f t="shared" si="77"/>
        <v>#DIV/0!</v>
      </c>
      <c r="AD130" s="53" t="e">
        <f t="shared" si="77"/>
        <v>#DIV/0!</v>
      </c>
      <c r="AE130" s="53" t="e">
        <f t="shared" si="77"/>
        <v>#DIV/0!</v>
      </c>
      <c r="AF130" s="53" t="e">
        <f t="shared" si="77"/>
        <v>#DIV/0!</v>
      </c>
      <c r="AG130" s="53" t="e">
        <f t="shared" si="77"/>
        <v>#DIV/0!</v>
      </c>
      <c r="AH130" s="53" t="e">
        <f t="shared" si="77"/>
        <v>#DIV/0!</v>
      </c>
      <c r="AI130" s="53" t="e">
        <f t="shared" si="77"/>
        <v>#DIV/0!</v>
      </c>
      <c r="AJ130" s="53" t="e">
        <f t="shared" si="77"/>
        <v>#DIV/0!</v>
      </c>
      <c r="AK130" s="53" t="e">
        <f t="shared" si="77"/>
        <v>#DIV/0!</v>
      </c>
      <c r="AL130" s="53" t="e">
        <f t="shared" si="77"/>
        <v>#DIV/0!</v>
      </c>
      <c r="AM130" s="53" t="e">
        <f t="shared" si="77"/>
        <v>#DIV/0!</v>
      </c>
      <c r="AN130" s="53" t="e">
        <f t="shared" si="77"/>
        <v>#DIV/0!</v>
      </c>
      <c r="AO130" s="53" t="e">
        <f t="shared" si="77"/>
        <v>#DIV/0!</v>
      </c>
      <c r="AP130" s="53" t="e">
        <f t="shared" si="77"/>
        <v>#DIV/0!</v>
      </c>
      <c r="AQ130" s="53" t="e">
        <f t="shared" si="77"/>
        <v>#DIV/0!</v>
      </c>
      <c r="AR130" s="53" t="e">
        <f t="shared" si="77"/>
        <v>#DIV/0!</v>
      </c>
      <c r="AS130" s="53" t="e">
        <f t="shared" si="77"/>
        <v>#DIV/0!</v>
      </c>
      <c r="AT130" s="53" t="e">
        <f t="shared" si="77"/>
        <v>#DIV/0!</v>
      </c>
    </row>
    <row r="131" spans="1:46" ht="12.75" hidden="1" customHeight="1" x14ac:dyDescent="0.2">
      <c r="A131" s="6" t="s">
        <v>339</v>
      </c>
      <c r="C131" s="5" t="s">
        <v>338</v>
      </c>
      <c r="D131" s="56"/>
      <c r="E131" s="53" t="e">
        <f t="shared" ref="E131:AT131" si="78">0.6*E129</f>
        <v>#DIV/0!</v>
      </c>
      <c r="F131" s="53" t="e">
        <f t="shared" si="78"/>
        <v>#DIV/0!</v>
      </c>
      <c r="G131" s="53" t="e">
        <f t="shared" si="78"/>
        <v>#DIV/0!</v>
      </c>
      <c r="H131" s="53" t="e">
        <f t="shared" si="78"/>
        <v>#DIV/0!</v>
      </c>
      <c r="I131" s="53" t="e">
        <f t="shared" si="78"/>
        <v>#DIV/0!</v>
      </c>
      <c r="J131" s="53" t="e">
        <f t="shared" si="78"/>
        <v>#DIV/0!</v>
      </c>
      <c r="K131" s="53" t="e">
        <f t="shared" si="78"/>
        <v>#DIV/0!</v>
      </c>
      <c r="L131" s="53" t="e">
        <f t="shared" si="78"/>
        <v>#DIV/0!</v>
      </c>
      <c r="M131" s="53" t="e">
        <f t="shared" si="78"/>
        <v>#DIV/0!</v>
      </c>
      <c r="N131" s="53" t="e">
        <f t="shared" si="78"/>
        <v>#DIV/0!</v>
      </c>
      <c r="O131" s="53" t="e">
        <f t="shared" si="78"/>
        <v>#DIV/0!</v>
      </c>
      <c r="P131" s="53" t="e">
        <f t="shared" si="78"/>
        <v>#DIV/0!</v>
      </c>
      <c r="Q131" s="53" t="e">
        <f t="shared" si="78"/>
        <v>#DIV/0!</v>
      </c>
      <c r="R131" s="53" t="e">
        <f t="shared" si="78"/>
        <v>#DIV/0!</v>
      </c>
      <c r="S131" s="53" t="e">
        <f t="shared" si="78"/>
        <v>#DIV/0!</v>
      </c>
      <c r="T131" s="53" t="e">
        <f t="shared" si="78"/>
        <v>#DIV/0!</v>
      </c>
      <c r="U131" s="53" t="e">
        <f t="shared" si="78"/>
        <v>#DIV/0!</v>
      </c>
      <c r="V131" s="53" t="e">
        <f t="shared" si="78"/>
        <v>#DIV/0!</v>
      </c>
      <c r="W131" s="53" t="e">
        <f t="shared" si="78"/>
        <v>#DIV/0!</v>
      </c>
      <c r="X131" s="53" t="e">
        <f t="shared" si="78"/>
        <v>#DIV/0!</v>
      </c>
      <c r="Y131" s="53" t="e">
        <f t="shared" si="78"/>
        <v>#DIV/0!</v>
      </c>
      <c r="Z131" s="53" t="e">
        <f t="shared" si="78"/>
        <v>#DIV/0!</v>
      </c>
      <c r="AA131" s="53" t="e">
        <f t="shared" si="78"/>
        <v>#DIV/0!</v>
      </c>
      <c r="AB131" s="53" t="e">
        <f t="shared" si="78"/>
        <v>#DIV/0!</v>
      </c>
      <c r="AC131" s="53" t="e">
        <f t="shared" si="78"/>
        <v>#DIV/0!</v>
      </c>
      <c r="AD131" s="53" t="e">
        <f t="shared" si="78"/>
        <v>#DIV/0!</v>
      </c>
      <c r="AE131" s="53" t="e">
        <f t="shared" si="78"/>
        <v>#DIV/0!</v>
      </c>
      <c r="AF131" s="53" t="e">
        <f t="shared" si="78"/>
        <v>#DIV/0!</v>
      </c>
      <c r="AG131" s="53" t="e">
        <f t="shared" si="78"/>
        <v>#DIV/0!</v>
      </c>
      <c r="AH131" s="53" t="e">
        <f t="shared" si="78"/>
        <v>#DIV/0!</v>
      </c>
      <c r="AI131" s="53" t="e">
        <f t="shared" si="78"/>
        <v>#DIV/0!</v>
      </c>
      <c r="AJ131" s="53" t="e">
        <f t="shared" si="78"/>
        <v>#DIV/0!</v>
      </c>
      <c r="AK131" s="53" t="e">
        <f t="shared" si="78"/>
        <v>#DIV/0!</v>
      </c>
      <c r="AL131" s="53" t="e">
        <f t="shared" si="78"/>
        <v>#DIV/0!</v>
      </c>
      <c r="AM131" s="53" t="e">
        <f t="shared" si="78"/>
        <v>#DIV/0!</v>
      </c>
      <c r="AN131" s="53" t="e">
        <f t="shared" si="78"/>
        <v>#DIV/0!</v>
      </c>
      <c r="AO131" s="53" t="e">
        <f t="shared" si="78"/>
        <v>#DIV/0!</v>
      </c>
      <c r="AP131" s="53" t="e">
        <f t="shared" si="78"/>
        <v>#DIV/0!</v>
      </c>
      <c r="AQ131" s="53" t="e">
        <f t="shared" si="78"/>
        <v>#DIV/0!</v>
      </c>
      <c r="AR131" s="53" t="e">
        <f t="shared" si="78"/>
        <v>#DIV/0!</v>
      </c>
      <c r="AS131" s="53" t="e">
        <f t="shared" si="78"/>
        <v>#DIV/0!</v>
      </c>
      <c r="AT131" s="53" t="e">
        <f t="shared" si="78"/>
        <v>#DIV/0!</v>
      </c>
    </row>
    <row r="132" spans="1:46" ht="12.75" customHeight="1" x14ac:dyDescent="0.2">
      <c r="A132" s="50"/>
      <c r="C132" s="5"/>
      <c r="D132" s="5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</row>
    <row r="133" spans="1:46" ht="12.75" customHeight="1" x14ac:dyDescent="0.2">
      <c r="A133" s="50"/>
      <c r="C133" s="4" t="s">
        <v>340</v>
      </c>
      <c r="D133" s="56" t="s">
        <v>113</v>
      </c>
      <c r="E133" s="53" t="e">
        <f t="shared" ref="E133:AT133" si="79">IF(E78&lt;3,MIN(E128,E129),MIN(E124,E125))</f>
        <v>#DIV/0!</v>
      </c>
      <c r="F133" s="53" t="e">
        <f t="shared" si="79"/>
        <v>#DIV/0!</v>
      </c>
      <c r="G133" s="53" t="e">
        <f t="shared" si="79"/>
        <v>#DIV/0!</v>
      </c>
      <c r="H133" s="53" t="e">
        <f t="shared" si="79"/>
        <v>#DIV/0!</v>
      </c>
      <c r="I133" s="53" t="e">
        <f t="shared" si="79"/>
        <v>#DIV/0!</v>
      </c>
      <c r="J133" s="53" t="e">
        <f t="shared" si="79"/>
        <v>#DIV/0!</v>
      </c>
      <c r="K133" s="53" t="e">
        <f t="shared" si="79"/>
        <v>#DIV/0!</v>
      </c>
      <c r="L133" s="53" t="e">
        <f t="shared" si="79"/>
        <v>#DIV/0!</v>
      </c>
      <c r="M133" s="53" t="e">
        <f t="shared" si="79"/>
        <v>#DIV/0!</v>
      </c>
      <c r="N133" s="53" t="e">
        <f t="shared" si="79"/>
        <v>#DIV/0!</v>
      </c>
      <c r="O133" s="53" t="e">
        <f t="shared" si="79"/>
        <v>#DIV/0!</v>
      </c>
      <c r="P133" s="53" t="e">
        <f t="shared" si="79"/>
        <v>#DIV/0!</v>
      </c>
      <c r="Q133" s="53" t="e">
        <f t="shared" si="79"/>
        <v>#DIV/0!</v>
      </c>
      <c r="R133" s="53" t="e">
        <f t="shared" si="79"/>
        <v>#DIV/0!</v>
      </c>
      <c r="S133" s="53" t="e">
        <f t="shared" si="79"/>
        <v>#DIV/0!</v>
      </c>
      <c r="T133" s="53" t="e">
        <f t="shared" si="79"/>
        <v>#DIV/0!</v>
      </c>
      <c r="U133" s="53" t="e">
        <f t="shared" si="79"/>
        <v>#DIV/0!</v>
      </c>
      <c r="V133" s="53" t="e">
        <f t="shared" si="79"/>
        <v>#DIV/0!</v>
      </c>
      <c r="W133" s="53" t="e">
        <f t="shared" si="79"/>
        <v>#DIV/0!</v>
      </c>
      <c r="X133" s="53" t="e">
        <f t="shared" si="79"/>
        <v>#DIV/0!</v>
      </c>
      <c r="Y133" s="53" t="e">
        <f t="shared" si="79"/>
        <v>#DIV/0!</v>
      </c>
      <c r="Z133" s="53" t="e">
        <f t="shared" si="79"/>
        <v>#DIV/0!</v>
      </c>
      <c r="AA133" s="53" t="e">
        <f t="shared" si="79"/>
        <v>#DIV/0!</v>
      </c>
      <c r="AB133" s="53" t="e">
        <f t="shared" si="79"/>
        <v>#DIV/0!</v>
      </c>
      <c r="AC133" s="53" t="e">
        <f t="shared" si="79"/>
        <v>#DIV/0!</v>
      </c>
      <c r="AD133" s="53" t="e">
        <f t="shared" si="79"/>
        <v>#DIV/0!</v>
      </c>
      <c r="AE133" s="53" t="e">
        <f t="shared" si="79"/>
        <v>#DIV/0!</v>
      </c>
      <c r="AF133" s="53" t="e">
        <f t="shared" si="79"/>
        <v>#DIV/0!</v>
      </c>
      <c r="AG133" s="53" t="e">
        <f t="shared" si="79"/>
        <v>#DIV/0!</v>
      </c>
      <c r="AH133" s="53" t="e">
        <f t="shared" si="79"/>
        <v>#DIV/0!</v>
      </c>
      <c r="AI133" s="53" t="e">
        <f t="shared" si="79"/>
        <v>#DIV/0!</v>
      </c>
      <c r="AJ133" s="53" t="e">
        <f t="shared" si="79"/>
        <v>#DIV/0!</v>
      </c>
      <c r="AK133" s="53" t="e">
        <f t="shared" si="79"/>
        <v>#DIV/0!</v>
      </c>
      <c r="AL133" s="53" t="e">
        <f t="shared" si="79"/>
        <v>#DIV/0!</v>
      </c>
      <c r="AM133" s="53" t="e">
        <f t="shared" si="79"/>
        <v>#DIV/0!</v>
      </c>
      <c r="AN133" s="53" t="e">
        <f t="shared" si="79"/>
        <v>#DIV/0!</v>
      </c>
      <c r="AO133" s="53" t="e">
        <f t="shared" si="79"/>
        <v>#DIV/0!</v>
      </c>
      <c r="AP133" s="53" t="e">
        <f t="shared" si="79"/>
        <v>#DIV/0!</v>
      </c>
      <c r="AQ133" s="53" t="e">
        <f t="shared" si="79"/>
        <v>#DIV/0!</v>
      </c>
      <c r="AR133" s="53" t="e">
        <f t="shared" si="79"/>
        <v>#DIV/0!</v>
      </c>
      <c r="AS133" s="53" t="e">
        <f t="shared" si="79"/>
        <v>#DIV/0!</v>
      </c>
      <c r="AT133" s="53" t="e">
        <f t="shared" si="79"/>
        <v>#DIV/0!</v>
      </c>
    </row>
    <row r="134" spans="1:46" ht="12.75" customHeight="1" x14ac:dyDescent="0.2">
      <c r="A134" s="50"/>
      <c r="C134" s="4" t="s">
        <v>341</v>
      </c>
      <c r="D134" s="56" t="s">
        <v>113</v>
      </c>
      <c r="E134" s="53" t="e">
        <f t="shared" ref="E134:AT134" si="80">IF(E78&lt;3,MIN(E130,E131),MIN(E126,E127))</f>
        <v>#DIV/0!</v>
      </c>
      <c r="F134" s="53" t="e">
        <f t="shared" si="80"/>
        <v>#DIV/0!</v>
      </c>
      <c r="G134" s="53" t="e">
        <f t="shared" si="80"/>
        <v>#DIV/0!</v>
      </c>
      <c r="H134" s="53" t="e">
        <f t="shared" si="80"/>
        <v>#DIV/0!</v>
      </c>
      <c r="I134" s="53" t="e">
        <f t="shared" si="80"/>
        <v>#DIV/0!</v>
      </c>
      <c r="J134" s="53" t="e">
        <f t="shared" si="80"/>
        <v>#DIV/0!</v>
      </c>
      <c r="K134" s="53" t="e">
        <f t="shared" si="80"/>
        <v>#DIV/0!</v>
      </c>
      <c r="L134" s="53" t="e">
        <f t="shared" si="80"/>
        <v>#DIV/0!</v>
      </c>
      <c r="M134" s="53" t="e">
        <f t="shared" si="80"/>
        <v>#DIV/0!</v>
      </c>
      <c r="N134" s="53" t="e">
        <f t="shared" si="80"/>
        <v>#DIV/0!</v>
      </c>
      <c r="O134" s="53" t="e">
        <f t="shared" si="80"/>
        <v>#DIV/0!</v>
      </c>
      <c r="P134" s="53" t="e">
        <f t="shared" si="80"/>
        <v>#DIV/0!</v>
      </c>
      <c r="Q134" s="53" t="e">
        <f t="shared" si="80"/>
        <v>#DIV/0!</v>
      </c>
      <c r="R134" s="53" t="e">
        <f t="shared" si="80"/>
        <v>#DIV/0!</v>
      </c>
      <c r="S134" s="53" t="e">
        <f t="shared" si="80"/>
        <v>#DIV/0!</v>
      </c>
      <c r="T134" s="53" t="e">
        <f t="shared" si="80"/>
        <v>#DIV/0!</v>
      </c>
      <c r="U134" s="53" t="e">
        <f t="shared" si="80"/>
        <v>#DIV/0!</v>
      </c>
      <c r="V134" s="53" t="e">
        <f t="shared" si="80"/>
        <v>#DIV/0!</v>
      </c>
      <c r="W134" s="53" t="e">
        <f t="shared" si="80"/>
        <v>#DIV/0!</v>
      </c>
      <c r="X134" s="53" t="e">
        <f t="shared" si="80"/>
        <v>#DIV/0!</v>
      </c>
      <c r="Y134" s="53" t="e">
        <f t="shared" si="80"/>
        <v>#DIV/0!</v>
      </c>
      <c r="Z134" s="53" t="e">
        <f t="shared" si="80"/>
        <v>#DIV/0!</v>
      </c>
      <c r="AA134" s="53" t="e">
        <f t="shared" si="80"/>
        <v>#DIV/0!</v>
      </c>
      <c r="AB134" s="53" t="e">
        <f t="shared" si="80"/>
        <v>#DIV/0!</v>
      </c>
      <c r="AC134" s="53" t="e">
        <f t="shared" si="80"/>
        <v>#DIV/0!</v>
      </c>
      <c r="AD134" s="53" t="e">
        <f t="shared" si="80"/>
        <v>#DIV/0!</v>
      </c>
      <c r="AE134" s="53" t="e">
        <f t="shared" si="80"/>
        <v>#DIV/0!</v>
      </c>
      <c r="AF134" s="53" t="e">
        <f t="shared" si="80"/>
        <v>#DIV/0!</v>
      </c>
      <c r="AG134" s="53" t="e">
        <f t="shared" si="80"/>
        <v>#DIV/0!</v>
      </c>
      <c r="AH134" s="53" t="e">
        <f t="shared" si="80"/>
        <v>#DIV/0!</v>
      </c>
      <c r="AI134" s="53" t="e">
        <f t="shared" si="80"/>
        <v>#DIV/0!</v>
      </c>
      <c r="AJ134" s="53" t="e">
        <f t="shared" si="80"/>
        <v>#DIV/0!</v>
      </c>
      <c r="AK134" s="53" t="e">
        <f t="shared" si="80"/>
        <v>#DIV/0!</v>
      </c>
      <c r="AL134" s="53" t="e">
        <f t="shared" si="80"/>
        <v>#DIV/0!</v>
      </c>
      <c r="AM134" s="53" t="e">
        <f t="shared" si="80"/>
        <v>#DIV/0!</v>
      </c>
      <c r="AN134" s="53" t="e">
        <f t="shared" si="80"/>
        <v>#DIV/0!</v>
      </c>
      <c r="AO134" s="53" t="e">
        <f t="shared" si="80"/>
        <v>#DIV/0!</v>
      </c>
      <c r="AP134" s="53" t="e">
        <f t="shared" si="80"/>
        <v>#DIV/0!</v>
      </c>
      <c r="AQ134" s="53" t="e">
        <f t="shared" si="80"/>
        <v>#DIV/0!</v>
      </c>
      <c r="AR134" s="53" t="e">
        <f t="shared" si="80"/>
        <v>#DIV/0!</v>
      </c>
      <c r="AS134" s="53" t="e">
        <f t="shared" si="80"/>
        <v>#DIV/0!</v>
      </c>
      <c r="AT134" s="53" t="e">
        <f t="shared" si="80"/>
        <v>#DIV/0!</v>
      </c>
    </row>
    <row r="135" spans="1:46" ht="12.75" customHeight="1" x14ac:dyDescent="0.2">
      <c r="A135" s="6" t="s">
        <v>181</v>
      </c>
      <c r="C135" s="5" t="s">
        <v>342</v>
      </c>
      <c r="D135" s="56" t="s">
        <v>113</v>
      </c>
      <c r="E135" s="53" t="e">
        <f t="shared" ref="E135:AT135" si="81">E72/(E114*E116)+E133*E77/(E115*E117)</f>
        <v>#DIV/0!</v>
      </c>
      <c r="F135" s="53" t="e">
        <f t="shared" si="81"/>
        <v>#DIV/0!</v>
      </c>
      <c r="G135" s="53" t="e">
        <f t="shared" si="81"/>
        <v>#DIV/0!</v>
      </c>
      <c r="H135" s="53" t="e">
        <f t="shared" si="81"/>
        <v>#DIV/0!</v>
      </c>
      <c r="I135" s="53" t="e">
        <f t="shared" si="81"/>
        <v>#DIV/0!</v>
      </c>
      <c r="J135" s="53" t="e">
        <f t="shared" si="81"/>
        <v>#DIV/0!</v>
      </c>
      <c r="K135" s="53" t="e">
        <f t="shared" si="81"/>
        <v>#DIV/0!</v>
      </c>
      <c r="L135" s="53" t="e">
        <f t="shared" si="81"/>
        <v>#DIV/0!</v>
      </c>
      <c r="M135" s="53" t="e">
        <f t="shared" si="81"/>
        <v>#DIV/0!</v>
      </c>
      <c r="N135" s="53" t="e">
        <f t="shared" si="81"/>
        <v>#DIV/0!</v>
      </c>
      <c r="O135" s="53" t="e">
        <f t="shared" si="81"/>
        <v>#DIV/0!</v>
      </c>
      <c r="P135" s="53" t="e">
        <f t="shared" si="81"/>
        <v>#DIV/0!</v>
      </c>
      <c r="Q135" s="53" t="e">
        <f t="shared" si="81"/>
        <v>#DIV/0!</v>
      </c>
      <c r="R135" s="53" t="e">
        <f t="shared" si="81"/>
        <v>#DIV/0!</v>
      </c>
      <c r="S135" s="53" t="e">
        <f t="shared" si="81"/>
        <v>#DIV/0!</v>
      </c>
      <c r="T135" s="53" t="e">
        <f t="shared" si="81"/>
        <v>#DIV/0!</v>
      </c>
      <c r="U135" s="53" t="e">
        <f t="shared" si="81"/>
        <v>#DIV/0!</v>
      </c>
      <c r="V135" s="53" t="e">
        <f t="shared" si="81"/>
        <v>#DIV/0!</v>
      </c>
      <c r="W135" s="53" t="e">
        <f t="shared" si="81"/>
        <v>#DIV/0!</v>
      </c>
      <c r="X135" s="53" t="e">
        <f t="shared" si="81"/>
        <v>#DIV/0!</v>
      </c>
      <c r="Y135" s="53" t="e">
        <f t="shared" si="81"/>
        <v>#DIV/0!</v>
      </c>
      <c r="Z135" s="53" t="e">
        <f t="shared" si="81"/>
        <v>#DIV/0!</v>
      </c>
      <c r="AA135" s="53" t="e">
        <f t="shared" si="81"/>
        <v>#DIV/0!</v>
      </c>
      <c r="AB135" s="53" t="e">
        <f t="shared" si="81"/>
        <v>#DIV/0!</v>
      </c>
      <c r="AC135" s="53" t="e">
        <f t="shared" si="81"/>
        <v>#DIV/0!</v>
      </c>
      <c r="AD135" s="53" t="e">
        <f t="shared" si="81"/>
        <v>#DIV/0!</v>
      </c>
      <c r="AE135" s="53" t="e">
        <f t="shared" si="81"/>
        <v>#DIV/0!</v>
      </c>
      <c r="AF135" s="53" t="e">
        <f t="shared" si="81"/>
        <v>#DIV/0!</v>
      </c>
      <c r="AG135" s="53" t="e">
        <f t="shared" si="81"/>
        <v>#DIV/0!</v>
      </c>
      <c r="AH135" s="53" t="e">
        <f t="shared" si="81"/>
        <v>#DIV/0!</v>
      </c>
      <c r="AI135" s="53" t="e">
        <f t="shared" si="81"/>
        <v>#DIV/0!</v>
      </c>
      <c r="AJ135" s="53" t="e">
        <f t="shared" si="81"/>
        <v>#DIV/0!</v>
      </c>
      <c r="AK135" s="53" t="e">
        <f t="shared" si="81"/>
        <v>#DIV/0!</v>
      </c>
      <c r="AL135" s="53" t="e">
        <f t="shared" si="81"/>
        <v>#DIV/0!</v>
      </c>
      <c r="AM135" s="53" t="e">
        <f t="shared" si="81"/>
        <v>#DIV/0!</v>
      </c>
      <c r="AN135" s="53" t="e">
        <f t="shared" si="81"/>
        <v>#DIV/0!</v>
      </c>
      <c r="AO135" s="53" t="e">
        <f t="shared" si="81"/>
        <v>#DIV/0!</v>
      </c>
      <c r="AP135" s="53" t="e">
        <f t="shared" si="81"/>
        <v>#DIV/0!</v>
      </c>
      <c r="AQ135" s="53" t="e">
        <f t="shared" si="81"/>
        <v>#DIV/0!</v>
      </c>
      <c r="AR135" s="53" t="e">
        <f t="shared" si="81"/>
        <v>#DIV/0!</v>
      </c>
      <c r="AS135" s="53" t="e">
        <f t="shared" si="81"/>
        <v>#DIV/0!</v>
      </c>
      <c r="AT135" s="53" t="e">
        <f t="shared" si="81"/>
        <v>#DIV/0!</v>
      </c>
    </row>
    <row r="136" spans="1:46" ht="12.75" customHeight="1" x14ac:dyDescent="0.2">
      <c r="A136" s="6" t="s">
        <v>181</v>
      </c>
      <c r="C136" s="5" t="s">
        <v>343</v>
      </c>
      <c r="D136" s="56" t="s">
        <v>113</v>
      </c>
      <c r="E136" s="53" t="e">
        <f t="shared" ref="E136:AT136" si="82">E72/(E114*E116)+E134*E77/(E115*E117)</f>
        <v>#DIV/0!</v>
      </c>
      <c r="F136" s="53" t="e">
        <f t="shared" si="82"/>
        <v>#DIV/0!</v>
      </c>
      <c r="G136" s="53" t="e">
        <f t="shared" si="82"/>
        <v>#DIV/0!</v>
      </c>
      <c r="H136" s="53" t="e">
        <f t="shared" si="82"/>
        <v>#DIV/0!</v>
      </c>
      <c r="I136" s="53" t="e">
        <f t="shared" si="82"/>
        <v>#DIV/0!</v>
      </c>
      <c r="J136" s="53" t="e">
        <f t="shared" si="82"/>
        <v>#DIV/0!</v>
      </c>
      <c r="K136" s="53" t="e">
        <f t="shared" si="82"/>
        <v>#DIV/0!</v>
      </c>
      <c r="L136" s="53" t="e">
        <f t="shared" si="82"/>
        <v>#DIV/0!</v>
      </c>
      <c r="M136" s="53" t="e">
        <f t="shared" si="82"/>
        <v>#DIV/0!</v>
      </c>
      <c r="N136" s="53" t="e">
        <f t="shared" si="82"/>
        <v>#DIV/0!</v>
      </c>
      <c r="O136" s="53" t="e">
        <f t="shared" si="82"/>
        <v>#DIV/0!</v>
      </c>
      <c r="P136" s="53" t="e">
        <f t="shared" si="82"/>
        <v>#DIV/0!</v>
      </c>
      <c r="Q136" s="53" t="e">
        <f t="shared" si="82"/>
        <v>#DIV/0!</v>
      </c>
      <c r="R136" s="53" t="e">
        <f t="shared" si="82"/>
        <v>#DIV/0!</v>
      </c>
      <c r="S136" s="53" t="e">
        <f t="shared" si="82"/>
        <v>#DIV/0!</v>
      </c>
      <c r="T136" s="53" t="e">
        <f t="shared" si="82"/>
        <v>#DIV/0!</v>
      </c>
      <c r="U136" s="53" t="e">
        <f t="shared" si="82"/>
        <v>#DIV/0!</v>
      </c>
      <c r="V136" s="53" t="e">
        <f t="shared" si="82"/>
        <v>#DIV/0!</v>
      </c>
      <c r="W136" s="53" t="e">
        <f t="shared" si="82"/>
        <v>#DIV/0!</v>
      </c>
      <c r="X136" s="53" t="e">
        <f t="shared" si="82"/>
        <v>#DIV/0!</v>
      </c>
      <c r="Y136" s="53" t="e">
        <f t="shared" si="82"/>
        <v>#DIV/0!</v>
      </c>
      <c r="Z136" s="53" t="e">
        <f t="shared" si="82"/>
        <v>#DIV/0!</v>
      </c>
      <c r="AA136" s="53" t="e">
        <f t="shared" si="82"/>
        <v>#DIV/0!</v>
      </c>
      <c r="AB136" s="53" t="e">
        <f t="shared" si="82"/>
        <v>#DIV/0!</v>
      </c>
      <c r="AC136" s="53" t="e">
        <f t="shared" si="82"/>
        <v>#DIV/0!</v>
      </c>
      <c r="AD136" s="53" t="e">
        <f t="shared" si="82"/>
        <v>#DIV/0!</v>
      </c>
      <c r="AE136" s="53" t="e">
        <f t="shared" si="82"/>
        <v>#DIV/0!</v>
      </c>
      <c r="AF136" s="53" t="e">
        <f t="shared" si="82"/>
        <v>#DIV/0!</v>
      </c>
      <c r="AG136" s="53" t="e">
        <f t="shared" si="82"/>
        <v>#DIV/0!</v>
      </c>
      <c r="AH136" s="53" t="e">
        <f t="shared" si="82"/>
        <v>#DIV/0!</v>
      </c>
      <c r="AI136" s="53" t="e">
        <f t="shared" si="82"/>
        <v>#DIV/0!</v>
      </c>
      <c r="AJ136" s="53" t="e">
        <f t="shared" si="82"/>
        <v>#DIV/0!</v>
      </c>
      <c r="AK136" s="53" t="e">
        <f t="shared" si="82"/>
        <v>#DIV/0!</v>
      </c>
      <c r="AL136" s="53" t="e">
        <f t="shared" si="82"/>
        <v>#DIV/0!</v>
      </c>
      <c r="AM136" s="53" t="e">
        <f t="shared" si="82"/>
        <v>#DIV/0!</v>
      </c>
      <c r="AN136" s="53" t="e">
        <f t="shared" si="82"/>
        <v>#DIV/0!</v>
      </c>
      <c r="AO136" s="53" t="e">
        <f t="shared" si="82"/>
        <v>#DIV/0!</v>
      </c>
      <c r="AP136" s="53" t="e">
        <f t="shared" si="82"/>
        <v>#DIV/0!</v>
      </c>
      <c r="AQ136" s="53" t="e">
        <f t="shared" si="82"/>
        <v>#DIV/0!</v>
      </c>
      <c r="AR136" s="53" t="e">
        <f t="shared" si="82"/>
        <v>#DIV/0!</v>
      </c>
      <c r="AS136" s="53" t="e">
        <f t="shared" si="82"/>
        <v>#DIV/0!</v>
      </c>
      <c r="AT136" s="53" t="e">
        <f t="shared" si="82"/>
        <v>#DIV/0!</v>
      </c>
    </row>
    <row r="137" spans="1:46" ht="12.75" customHeight="1" x14ac:dyDescent="0.2">
      <c r="A137" s="50"/>
      <c r="E137" s="9"/>
      <c r="G137" s="9"/>
      <c r="I137" s="9"/>
      <c r="K137" s="9"/>
      <c r="M137" s="9"/>
      <c r="O137" s="9"/>
      <c r="Q137" s="9"/>
      <c r="S137" s="9"/>
      <c r="U137" s="9"/>
      <c r="W137" s="9"/>
      <c r="Y137" s="9"/>
      <c r="AA137" s="9"/>
      <c r="AC137" s="9"/>
      <c r="AE137" s="9"/>
      <c r="AG137" s="9"/>
      <c r="AI137" s="9"/>
      <c r="AK137" s="9"/>
      <c r="AM137" s="9"/>
      <c r="AO137" s="9"/>
      <c r="AQ137" s="9"/>
      <c r="AS137" s="9"/>
    </row>
    <row r="138" spans="1:46" ht="12.75" customHeight="1" x14ac:dyDescent="0.2">
      <c r="A138" s="51" t="s">
        <v>240</v>
      </c>
      <c r="E138" s="9"/>
      <c r="G138" s="9"/>
      <c r="I138" s="9"/>
      <c r="K138" s="9"/>
      <c r="M138" s="9"/>
      <c r="O138" s="9"/>
      <c r="Q138" s="9"/>
      <c r="S138" s="9"/>
      <c r="U138" s="9"/>
      <c r="W138" s="9"/>
      <c r="Y138" s="9"/>
      <c r="AA138" s="9"/>
      <c r="AC138" s="9"/>
      <c r="AE138" s="9"/>
      <c r="AG138" s="9"/>
      <c r="AI138" s="9"/>
      <c r="AK138" s="9"/>
      <c r="AM138" s="9"/>
      <c r="AO138" s="9"/>
      <c r="AQ138" s="9"/>
      <c r="AS138" s="9"/>
    </row>
    <row r="139" spans="1:46" ht="12.75" customHeight="1" x14ac:dyDescent="0.2">
      <c r="A139" s="46" t="s">
        <v>344</v>
      </c>
      <c r="C139" s="38" t="s">
        <v>345</v>
      </c>
      <c r="D139" s="39" t="s">
        <v>181</v>
      </c>
      <c r="E139" s="53" t="e">
        <f t="shared" ref="E139:AT139" si="83">E74</f>
        <v>#DIV/0!</v>
      </c>
      <c r="F139" s="53" t="e">
        <f t="shared" si="83"/>
        <v>#DIV/0!</v>
      </c>
      <c r="G139" s="53" t="e">
        <f t="shared" si="83"/>
        <v>#DIV/0!</v>
      </c>
      <c r="H139" s="53" t="e">
        <f t="shared" si="83"/>
        <v>#DIV/0!</v>
      </c>
      <c r="I139" s="53" t="e">
        <f t="shared" si="83"/>
        <v>#DIV/0!</v>
      </c>
      <c r="J139" s="53" t="e">
        <f t="shared" si="83"/>
        <v>#DIV/0!</v>
      </c>
      <c r="K139" s="53" t="e">
        <f t="shared" si="83"/>
        <v>#DIV/0!</v>
      </c>
      <c r="L139" s="53" t="e">
        <f t="shared" si="83"/>
        <v>#DIV/0!</v>
      </c>
      <c r="M139" s="53" t="e">
        <f t="shared" si="83"/>
        <v>#DIV/0!</v>
      </c>
      <c r="N139" s="53" t="e">
        <f t="shared" si="83"/>
        <v>#DIV/0!</v>
      </c>
      <c r="O139" s="53" t="e">
        <f t="shared" si="83"/>
        <v>#DIV/0!</v>
      </c>
      <c r="P139" s="53" t="e">
        <f t="shared" si="83"/>
        <v>#DIV/0!</v>
      </c>
      <c r="Q139" s="53" t="e">
        <f t="shared" si="83"/>
        <v>#DIV/0!</v>
      </c>
      <c r="R139" s="53" t="e">
        <f t="shared" si="83"/>
        <v>#DIV/0!</v>
      </c>
      <c r="S139" s="53" t="e">
        <f t="shared" si="83"/>
        <v>#DIV/0!</v>
      </c>
      <c r="T139" s="53" t="e">
        <f t="shared" si="83"/>
        <v>#DIV/0!</v>
      </c>
      <c r="U139" s="53" t="e">
        <f t="shared" si="83"/>
        <v>#DIV/0!</v>
      </c>
      <c r="V139" s="53" t="e">
        <f t="shared" si="83"/>
        <v>#DIV/0!</v>
      </c>
      <c r="W139" s="53" t="e">
        <f t="shared" si="83"/>
        <v>#DIV/0!</v>
      </c>
      <c r="X139" s="53" t="e">
        <f t="shared" si="83"/>
        <v>#DIV/0!</v>
      </c>
      <c r="Y139" s="53" t="e">
        <f t="shared" si="83"/>
        <v>#DIV/0!</v>
      </c>
      <c r="Z139" s="53" t="e">
        <f t="shared" si="83"/>
        <v>#DIV/0!</v>
      </c>
      <c r="AA139" s="53" t="e">
        <f t="shared" si="83"/>
        <v>#DIV/0!</v>
      </c>
      <c r="AB139" s="53" t="e">
        <f t="shared" si="83"/>
        <v>#DIV/0!</v>
      </c>
      <c r="AC139" s="53" t="e">
        <f t="shared" si="83"/>
        <v>#DIV/0!</v>
      </c>
      <c r="AD139" s="53" t="e">
        <f t="shared" si="83"/>
        <v>#DIV/0!</v>
      </c>
      <c r="AE139" s="53" t="e">
        <f t="shared" si="83"/>
        <v>#DIV/0!</v>
      </c>
      <c r="AF139" s="53" t="e">
        <f t="shared" si="83"/>
        <v>#DIV/0!</v>
      </c>
      <c r="AG139" s="53" t="e">
        <f t="shared" si="83"/>
        <v>#DIV/0!</v>
      </c>
      <c r="AH139" s="53" t="e">
        <f t="shared" si="83"/>
        <v>#DIV/0!</v>
      </c>
      <c r="AI139" s="53" t="e">
        <f t="shared" si="83"/>
        <v>#DIV/0!</v>
      </c>
      <c r="AJ139" s="53" t="e">
        <f t="shared" si="83"/>
        <v>#DIV/0!</v>
      </c>
      <c r="AK139" s="53" t="e">
        <f t="shared" si="83"/>
        <v>#DIV/0!</v>
      </c>
      <c r="AL139" s="53" t="e">
        <f t="shared" si="83"/>
        <v>#DIV/0!</v>
      </c>
      <c r="AM139" s="53" t="e">
        <f t="shared" si="83"/>
        <v>#DIV/0!</v>
      </c>
      <c r="AN139" s="53" t="e">
        <f t="shared" si="83"/>
        <v>#DIV/0!</v>
      </c>
      <c r="AO139" s="53" t="e">
        <f t="shared" si="83"/>
        <v>#DIV/0!</v>
      </c>
      <c r="AP139" s="53" t="e">
        <f t="shared" si="83"/>
        <v>#DIV/0!</v>
      </c>
      <c r="AQ139" s="53" t="e">
        <f t="shared" si="83"/>
        <v>#DIV/0!</v>
      </c>
      <c r="AR139" s="53" t="e">
        <f t="shared" si="83"/>
        <v>#DIV/0!</v>
      </c>
      <c r="AS139" s="53" t="e">
        <f t="shared" si="83"/>
        <v>#DIV/0!</v>
      </c>
      <c r="AT139" s="53" t="e">
        <f t="shared" si="83"/>
        <v>#DIV/0!</v>
      </c>
    </row>
    <row r="140" spans="1:46" ht="12.75" customHeight="1" x14ac:dyDescent="0.2">
      <c r="A140" s="37" t="s">
        <v>191</v>
      </c>
      <c r="C140" s="38" t="s">
        <v>192</v>
      </c>
      <c r="D140" s="39" t="s">
        <v>181</v>
      </c>
      <c r="E140" s="53" t="e">
        <f t="shared" ref="E140:AT140" si="84">E81</f>
        <v>#DIV/0!</v>
      </c>
      <c r="F140" s="53" t="e">
        <f t="shared" si="84"/>
        <v>#DIV/0!</v>
      </c>
      <c r="G140" s="53" t="e">
        <f t="shared" si="84"/>
        <v>#DIV/0!</v>
      </c>
      <c r="H140" s="53" t="e">
        <f t="shared" si="84"/>
        <v>#DIV/0!</v>
      </c>
      <c r="I140" s="53" t="e">
        <f t="shared" si="84"/>
        <v>#DIV/0!</v>
      </c>
      <c r="J140" s="53" t="e">
        <f t="shared" si="84"/>
        <v>#DIV/0!</v>
      </c>
      <c r="K140" s="53" t="e">
        <f t="shared" si="84"/>
        <v>#DIV/0!</v>
      </c>
      <c r="L140" s="53" t="e">
        <f t="shared" si="84"/>
        <v>#DIV/0!</v>
      </c>
      <c r="M140" s="53" t="e">
        <f t="shared" si="84"/>
        <v>#DIV/0!</v>
      </c>
      <c r="N140" s="53" t="e">
        <f t="shared" si="84"/>
        <v>#DIV/0!</v>
      </c>
      <c r="O140" s="53" t="e">
        <f t="shared" si="84"/>
        <v>#DIV/0!</v>
      </c>
      <c r="P140" s="53" t="e">
        <f t="shared" si="84"/>
        <v>#DIV/0!</v>
      </c>
      <c r="Q140" s="53" t="e">
        <f t="shared" si="84"/>
        <v>#DIV/0!</v>
      </c>
      <c r="R140" s="53" t="e">
        <f t="shared" si="84"/>
        <v>#DIV/0!</v>
      </c>
      <c r="S140" s="53" t="e">
        <f t="shared" si="84"/>
        <v>#DIV/0!</v>
      </c>
      <c r="T140" s="53" t="e">
        <f t="shared" si="84"/>
        <v>#DIV/0!</v>
      </c>
      <c r="U140" s="53" t="e">
        <f t="shared" si="84"/>
        <v>#DIV/0!</v>
      </c>
      <c r="V140" s="53" t="e">
        <f t="shared" si="84"/>
        <v>#DIV/0!</v>
      </c>
      <c r="W140" s="53" t="e">
        <f t="shared" si="84"/>
        <v>#DIV/0!</v>
      </c>
      <c r="X140" s="53" t="e">
        <f t="shared" si="84"/>
        <v>#DIV/0!</v>
      </c>
      <c r="Y140" s="53" t="e">
        <f t="shared" si="84"/>
        <v>#DIV/0!</v>
      </c>
      <c r="Z140" s="53" t="e">
        <f t="shared" si="84"/>
        <v>#DIV/0!</v>
      </c>
      <c r="AA140" s="53" t="e">
        <f t="shared" si="84"/>
        <v>#DIV/0!</v>
      </c>
      <c r="AB140" s="53" t="e">
        <f t="shared" si="84"/>
        <v>#DIV/0!</v>
      </c>
      <c r="AC140" s="53" t="e">
        <f t="shared" si="84"/>
        <v>#DIV/0!</v>
      </c>
      <c r="AD140" s="53" t="e">
        <f t="shared" si="84"/>
        <v>#DIV/0!</v>
      </c>
      <c r="AE140" s="53" t="e">
        <f t="shared" si="84"/>
        <v>#DIV/0!</v>
      </c>
      <c r="AF140" s="53" t="e">
        <f t="shared" si="84"/>
        <v>#DIV/0!</v>
      </c>
      <c r="AG140" s="53" t="e">
        <f t="shared" si="84"/>
        <v>#DIV/0!</v>
      </c>
      <c r="AH140" s="53" t="e">
        <f t="shared" si="84"/>
        <v>#DIV/0!</v>
      </c>
      <c r="AI140" s="53" t="e">
        <f t="shared" si="84"/>
        <v>#DIV/0!</v>
      </c>
      <c r="AJ140" s="53" t="e">
        <f t="shared" si="84"/>
        <v>#DIV/0!</v>
      </c>
      <c r="AK140" s="53" t="e">
        <f t="shared" si="84"/>
        <v>#DIV/0!</v>
      </c>
      <c r="AL140" s="53" t="e">
        <f t="shared" si="84"/>
        <v>#DIV/0!</v>
      </c>
      <c r="AM140" s="53" t="e">
        <f t="shared" si="84"/>
        <v>#DIV/0!</v>
      </c>
      <c r="AN140" s="53" t="e">
        <f t="shared" si="84"/>
        <v>#DIV/0!</v>
      </c>
      <c r="AO140" s="53" t="e">
        <f t="shared" si="84"/>
        <v>#DIV/0!</v>
      </c>
      <c r="AP140" s="53" t="e">
        <f t="shared" si="84"/>
        <v>#DIV/0!</v>
      </c>
      <c r="AQ140" s="53" t="e">
        <f t="shared" si="84"/>
        <v>#DIV/0!</v>
      </c>
      <c r="AR140" s="53" t="e">
        <f t="shared" si="84"/>
        <v>#DIV/0!</v>
      </c>
      <c r="AS140" s="53" t="e">
        <f t="shared" si="84"/>
        <v>#DIV/0!</v>
      </c>
      <c r="AT140" s="53" t="e">
        <f t="shared" si="84"/>
        <v>#DIV/0!</v>
      </c>
    </row>
    <row r="141" spans="1:46" ht="12.75" customHeight="1" x14ac:dyDescent="0.2">
      <c r="A141" s="37" t="s">
        <v>199</v>
      </c>
      <c r="C141" s="38" t="s">
        <v>200</v>
      </c>
      <c r="D141" s="39" t="s">
        <v>181</v>
      </c>
      <c r="E141" s="53" t="e">
        <f t="shared" ref="E141:AT141" si="85">E86</f>
        <v>#DIV/0!</v>
      </c>
      <c r="F141" s="53" t="e">
        <f t="shared" si="85"/>
        <v>#DIV/0!</v>
      </c>
      <c r="G141" s="53" t="e">
        <f t="shared" si="85"/>
        <v>#DIV/0!</v>
      </c>
      <c r="H141" s="53" t="e">
        <f t="shared" si="85"/>
        <v>#DIV/0!</v>
      </c>
      <c r="I141" s="53" t="e">
        <f t="shared" si="85"/>
        <v>#DIV/0!</v>
      </c>
      <c r="J141" s="53" t="e">
        <f t="shared" si="85"/>
        <v>#DIV/0!</v>
      </c>
      <c r="K141" s="53" t="e">
        <f t="shared" si="85"/>
        <v>#DIV/0!</v>
      </c>
      <c r="L141" s="53" t="e">
        <f t="shared" si="85"/>
        <v>#DIV/0!</v>
      </c>
      <c r="M141" s="53" t="e">
        <f t="shared" si="85"/>
        <v>#DIV/0!</v>
      </c>
      <c r="N141" s="53" t="e">
        <f t="shared" si="85"/>
        <v>#DIV/0!</v>
      </c>
      <c r="O141" s="53" t="e">
        <f t="shared" si="85"/>
        <v>#DIV/0!</v>
      </c>
      <c r="P141" s="53" t="e">
        <f t="shared" si="85"/>
        <v>#DIV/0!</v>
      </c>
      <c r="Q141" s="53" t="e">
        <f t="shared" si="85"/>
        <v>#DIV/0!</v>
      </c>
      <c r="R141" s="53" t="e">
        <f t="shared" si="85"/>
        <v>#DIV/0!</v>
      </c>
      <c r="S141" s="53" t="e">
        <f t="shared" si="85"/>
        <v>#DIV/0!</v>
      </c>
      <c r="T141" s="53" t="e">
        <f t="shared" si="85"/>
        <v>#DIV/0!</v>
      </c>
      <c r="U141" s="53" t="e">
        <f t="shared" si="85"/>
        <v>#DIV/0!</v>
      </c>
      <c r="V141" s="53" t="e">
        <f t="shared" si="85"/>
        <v>#DIV/0!</v>
      </c>
      <c r="W141" s="53" t="e">
        <f t="shared" si="85"/>
        <v>#DIV/0!</v>
      </c>
      <c r="X141" s="53" t="e">
        <f t="shared" si="85"/>
        <v>#DIV/0!</v>
      </c>
      <c r="Y141" s="53" t="e">
        <f t="shared" si="85"/>
        <v>#DIV/0!</v>
      </c>
      <c r="Z141" s="53" t="e">
        <f t="shared" si="85"/>
        <v>#DIV/0!</v>
      </c>
      <c r="AA141" s="53" t="e">
        <f t="shared" si="85"/>
        <v>#DIV/0!</v>
      </c>
      <c r="AB141" s="53" t="e">
        <f t="shared" si="85"/>
        <v>#DIV/0!</v>
      </c>
      <c r="AC141" s="53" t="e">
        <f t="shared" si="85"/>
        <v>#DIV/0!</v>
      </c>
      <c r="AD141" s="53" t="e">
        <f t="shared" si="85"/>
        <v>#DIV/0!</v>
      </c>
      <c r="AE141" s="53" t="e">
        <f t="shared" si="85"/>
        <v>#DIV/0!</v>
      </c>
      <c r="AF141" s="53" t="e">
        <f t="shared" si="85"/>
        <v>#DIV/0!</v>
      </c>
      <c r="AG141" s="53" t="e">
        <f t="shared" si="85"/>
        <v>#DIV/0!</v>
      </c>
      <c r="AH141" s="53" t="e">
        <f t="shared" si="85"/>
        <v>#DIV/0!</v>
      </c>
      <c r="AI141" s="53" t="e">
        <f t="shared" si="85"/>
        <v>#DIV/0!</v>
      </c>
      <c r="AJ141" s="53" t="e">
        <f t="shared" si="85"/>
        <v>#DIV/0!</v>
      </c>
      <c r="AK141" s="53" t="e">
        <f t="shared" si="85"/>
        <v>#DIV/0!</v>
      </c>
      <c r="AL141" s="53" t="e">
        <f t="shared" si="85"/>
        <v>#DIV/0!</v>
      </c>
      <c r="AM141" s="53" t="e">
        <f t="shared" si="85"/>
        <v>#DIV/0!</v>
      </c>
      <c r="AN141" s="53" t="e">
        <f t="shared" si="85"/>
        <v>#DIV/0!</v>
      </c>
      <c r="AO141" s="53" t="e">
        <f t="shared" si="85"/>
        <v>#DIV/0!</v>
      </c>
      <c r="AP141" s="53" t="e">
        <f t="shared" si="85"/>
        <v>#DIV/0!</v>
      </c>
      <c r="AQ141" s="53" t="e">
        <f t="shared" si="85"/>
        <v>#DIV/0!</v>
      </c>
      <c r="AR141" s="53" t="e">
        <f t="shared" si="85"/>
        <v>#DIV/0!</v>
      </c>
      <c r="AS141" s="53" t="e">
        <f t="shared" si="85"/>
        <v>#DIV/0!</v>
      </c>
      <c r="AT141" s="53" t="e">
        <f t="shared" si="85"/>
        <v>#DIV/0!</v>
      </c>
    </row>
    <row r="142" spans="1:46" ht="12.75" customHeight="1" x14ac:dyDescent="0.2">
      <c r="A142" s="37" t="s">
        <v>215</v>
      </c>
      <c r="C142" s="38" t="s">
        <v>216</v>
      </c>
      <c r="D142" s="39" t="s">
        <v>181</v>
      </c>
      <c r="E142" s="53" t="e">
        <f t="shared" ref="E142:AT142" si="86">E89</f>
        <v>#DIV/0!</v>
      </c>
      <c r="F142" s="53" t="e">
        <f t="shared" si="86"/>
        <v>#DIV/0!</v>
      </c>
      <c r="G142" s="53" t="e">
        <f t="shared" si="86"/>
        <v>#DIV/0!</v>
      </c>
      <c r="H142" s="53" t="e">
        <f t="shared" si="86"/>
        <v>#DIV/0!</v>
      </c>
      <c r="I142" s="53" t="e">
        <f t="shared" si="86"/>
        <v>#DIV/0!</v>
      </c>
      <c r="J142" s="53" t="e">
        <f t="shared" si="86"/>
        <v>#DIV/0!</v>
      </c>
      <c r="K142" s="53" t="e">
        <f t="shared" si="86"/>
        <v>#DIV/0!</v>
      </c>
      <c r="L142" s="53" t="e">
        <f t="shared" si="86"/>
        <v>#DIV/0!</v>
      </c>
      <c r="M142" s="53" t="e">
        <f t="shared" si="86"/>
        <v>#DIV/0!</v>
      </c>
      <c r="N142" s="53" t="e">
        <f t="shared" si="86"/>
        <v>#DIV/0!</v>
      </c>
      <c r="O142" s="53" t="e">
        <f t="shared" si="86"/>
        <v>#DIV/0!</v>
      </c>
      <c r="P142" s="53" t="e">
        <f t="shared" si="86"/>
        <v>#DIV/0!</v>
      </c>
      <c r="Q142" s="53" t="e">
        <f t="shared" si="86"/>
        <v>#DIV/0!</v>
      </c>
      <c r="R142" s="53" t="e">
        <f t="shared" si="86"/>
        <v>#DIV/0!</v>
      </c>
      <c r="S142" s="53" t="e">
        <f t="shared" si="86"/>
        <v>#DIV/0!</v>
      </c>
      <c r="T142" s="53" t="e">
        <f t="shared" si="86"/>
        <v>#DIV/0!</v>
      </c>
      <c r="U142" s="53" t="e">
        <f t="shared" si="86"/>
        <v>#DIV/0!</v>
      </c>
      <c r="V142" s="53" t="e">
        <f t="shared" si="86"/>
        <v>#DIV/0!</v>
      </c>
      <c r="W142" s="53" t="e">
        <f t="shared" si="86"/>
        <v>#DIV/0!</v>
      </c>
      <c r="X142" s="53" t="e">
        <f t="shared" si="86"/>
        <v>#DIV/0!</v>
      </c>
      <c r="Y142" s="53" t="e">
        <f t="shared" si="86"/>
        <v>#DIV/0!</v>
      </c>
      <c r="Z142" s="53" t="e">
        <f t="shared" si="86"/>
        <v>#DIV/0!</v>
      </c>
      <c r="AA142" s="53" t="e">
        <f t="shared" si="86"/>
        <v>#DIV/0!</v>
      </c>
      <c r="AB142" s="53" t="e">
        <f t="shared" si="86"/>
        <v>#DIV/0!</v>
      </c>
      <c r="AC142" s="53" t="e">
        <f t="shared" si="86"/>
        <v>#DIV/0!</v>
      </c>
      <c r="AD142" s="53" t="e">
        <f t="shared" si="86"/>
        <v>#DIV/0!</v>
      </c>
      <c r="AE142" s="53" t="e">
        <f t="shared" si="86"/>
        <v>#DIV/0!</v>
      </c>
      <c r="AF142" s="53" t="e">
        <f t="shared" si="86"/>
        <v>#DIV/0!</v>
      </c>
      <c r="AG142" s="53" t="e">
        <f t="shared" si="86"/>
        <v>#DIV/0!</v>
      </c>
      <c r="AH142" s="53" t="e">
        <f t="shared" si="86"/>
        <v>#DIV/0!</v>
      </c>
      <c r="AI142" s="53" t="e">
        <f t="shared" si="86"/>
        <v>#DIV/0!</v>
      </c>
      <c r="AJ142" s="53" t="e">
        <f t="shared" si="86"/>
        <v>#DIV/0!</v>
      </c>
      <c r="AK142" s="53" t="e">
        <f t="shared" si="86"/>
        <v>#DIV/0!</v>
      </c>
      <c r="AL142" s="53" t="e">
        <f t="shared" si="86"/>
        <v>#DIV/0!</v>
      </c>
      <c r="AM142" s="53" t="e">
        <f t="shared" si="86"/>
        <v>#DIV/0!</v>
      </c>
      <c r="AN142" s="53" t="e">
        <f t="shared" si="86"/>
        <v>#DIV/0!</v>
      </c>
      <c r="AO142" s="53" t="e">
        <f t="shared" si="86"/>
        <v>#DIV/0!</v>
      </c>
      <c r="AP142" s="53" t="e">
        <f t="shared" si="86"/>
        <v>#DIV/0!</v>
      </c>
      <c r="AQ142" s="53" t="e">
        <f t="shared" si="86"/>
        <v>#DIV/0!</v>
      </c>
      <c r="AR142" s="53" t="e">
        <f t="shared" si="86"/>
        <v>#DIV/0!</v>
      </c>
      <c r="AS142" s="53" t="e">
        <f t="shared" si="86"/>
        <v>#DIV/0!</v>
      </c>
      <c r="AT142" s="53" t="e">
        <f t="shared" si="86"/>
        <v>#DIV/0!</v>
      </c>
    </row>
    <row r="143" spans="1:46" ht="12.75" customHeight="1" x14ac:dyDescent="0.2">
      <c r="C143" s="38"/>
      <c r="D143" s="39" t="s">
        <v>181</v>
      </c>
      <c r="E143" s="53" t="e">
        <f t="shared" ref="E143:AT143" si="87">E90</f>
        <v>#DIV/0!</v>
      </c>
      <c r="F143" s="53" t="e">
        <f t="shared" si="87"/>
        <v>#DIV/0!</v>
      </c>
      <c r="G143" s="53" t="e">
        <f t="shared" si="87"/>
        <v>#DIV/0!</v>
      </c>
      <c r="H143" s="53" t="e">
        <f t="shared" si="87"/>
        <v>#DIV/0!</v>
      </c>
      <c r="I143" s="53" t="e">
        <f t="shared" si="87"/>
        <v>#DIV/0!</v>
      </c>
      <c r="J143" s="53" t="e">
        <f t="shared" si="87"/>
        <v>#DIV/0!</v>
      </c>
      <c r="K143" s="53" t="e">
        <f t="shared" si="87"/>
        <v>#DIV/0!</v>
      </c>
      <c r="L143" s="53" t="e">
        <f t="shared" si="87"/>
        <v>#DIV/0!</v>
      </c>
      <c r="M143" s="53" t="e">
        <f t="shared" si="87"/>
        <v>#DIV/0!</v>
      </c>
      <c r="N143" s="53" t="e">
        <f t="shared" si="87"/>
        <v>#DIV/0!</v>
      </c>
      <c r="O143" s="53" t="e">
        <f t="shared" si="87"/>
        <v>#DIV/0!</v>
      </c>
      <c r="P143" s="53" t="e">
        <f t="shared" si="87"/>
        <v>#DIV/0!</v>
      </c>
      <c r="Q143" s="53" t="e">
        <f t="shared" si="87"/>
        <v>#DIV/0!</v>
      </c>
      <c r="R143" s="53" t="e">
        <f t="shared" si="87"/>
        <v>#DIV/0!</v>
      </c>
      <c r="S143" s="53" t="e">
        <f t="shared" si="87"/>
        <v>#DIV/0!</v>
      </c>
      <c r="T143" s="53" t="e">
        <f t="shared" si="87"/>
        <v>#DIV/0!</v>
      </c>
      <c r="U143" s="53" t="e">
        <f t="shared" si="87"/>
        <v>#DIV/0!</v>
      </c>
      <c r="V143" s="53" t="e">
        <f t="shared" si="87"/>
        <v>#DIV/0!</v>
      </c>
      <c r="W143" s="53" t="e">
        <f t="shared" si="87"/>
        <v>#DIV/0!</v>
      </c>
      <c r="X143" s="53" t="e">
        <f t="shared" si="87"/>
        <v>#DIV/0!</v>
      </c>
      <c r="Y143" s="53" t="e">
        <f t="shared" si="87"/>
        <v>#DIV/0!</v>
      </c>
      <c r="Z143" s="53" t="e">
        <f t="shared" si="87"/>
        <v>#DIV/0!</v>
      </c>
      <c r="AA143" s="53" t="e">
        <f t="shared" si="87"/>
        <v>#DIV/0!</v>
      </c>
      <c r="AB143" s="53" t="e">
        <f t="shared" si="87"/>
        <v>#DIV/0!</v>
      </c>
      <c r="AC143" s="53" t="e">
        <f t="shared" si="87"/>
        <v>#DIV/0!</v>
      </c>
      <c r="AD143" s="53" t="e">
        <f t="shared" si="87"/>
        <v>#DIV/0!</v>
      </c>
      <c r="AE143" s="53" t="e">
        <f t="shared" si="87"/>
        <v>#DIV/0!</v>
      </c>
      <c r="AF143" s="53" t="e">
        <f t="shared" si="87"/>
        <v>#DIV/0!</v>
      </c>
      <c r="AG143" s="53" t="e">
        <f t="shared" si="87"/>
        <v>#DIV/0!</v>
      </c>
      <c r="AH143" s="53" t="e">
        <f t="shared" si="87"/>
        <v>#DIV/0!</v>
      </c>
      <c r="AI143" s="53" t="e">
        <f t="shared" si="87"/>
        <v>#DIV/0!</v>
      </c>
      <c r="AJ143" s="53" t="e">
        <f t="shared" si="87"/>
        <v>#DIV/0!</v>
      </c>
      <c r="AK143" s="53" t="e">
        <f t="shared" si="87"/>
        <v>#DIV/0!</v>
      </c>
      <c r="AL143" s="53" t="e">
        <f t="shared" si="87"/>
        <v>#DIV/0!</v>
      </c>
      <c r="AM143" s="53" t="e">
        <f t="shared" si="87"/>
        <v>#DIV/0!</v>
      </c>
      <c r="AN143" s="53" t="e">
        <f t="shared" si="87"/>
        <v>#DIV/0!</v>
      </c>
      <c r="AO143" s="53" t="e">
        <f t="shared" si="87"/>
        <v>#DIV/0!</v>
      </c>
      <c r="AP143" s="53" t="e">
        <f t="shared" si="87"/>
        <v>#DIV/0!</v>
      </c>
      <c r="AQ143" s="53" t="e">
        <f t="shared" si="87"/>
        <v>#DIV/0!</v>
      </c>
      <c r="AR143" s="53" t="e">
        <f t="shared" si="87"/>
        <v>#DIV/0!</v>
      </c>
      <c r="AS143" s="53" t="e">
        <f t="shared" si="87"/>
        <v>#DIV/0!</v>
      </c>
      <c r="AT143" s="53" t="e">
        <f t="shared" si="87"/>
        <v>#DIV/0!</v>
      </c>
    </row>
    <row r="144" spans="1:46" ht="12.75" customHeight="1" x14ac:dyDescent="0.2">
      <c r="A144" s="37" t="s">
        <v>242</v>
      </c>
      <c r="C144" s="38" t="s">
        <v>307</v>
      </c>
      <c r="D144" s="39" t="s">
        <v>181</v>
      </c>
      <c r="E144" s="53" t="e">
        <f t="shared" ref="E144:AT144" si="88">E97</f>
        <v>#DIV/0!</v>
      </c>
      <c r="F144" s="53" t="e">
        <f t="shared" si="88"/>
        <v>#DIV/0!</v>
      </c>
      <c r="G144" s="53" t="e">
        <f t="shared" si="88"/>
        <v>#DIV/0!</v>
      </c>
      <c r="H144" s="53" t="e">
        <f t="shared" si="88"/>
        <v>#DIV/0!</v>
      </c>
      <c r="I144" s="53" t="e">
        <f t="shared" si="88"/>
        <v>#DIV/0!</v>
      </c>
      <c r="J144" s="53" t="e">
        <f t="shared" si="88"/>
        <v>#DIV/0!</v>
      </c>
      <c r="K144" s="53" t="e">
        <f t="shared" si="88"/>
        <v>#DIV/0!</v>
      </c>
      <c r="L144" s="53" t="e">
        <f t="shared" si="88"/>
        <v>#DIV/0!</v>
      </c>
      <c r="M144" s="53" t="e">
        <f t="shared" si="88"/>
        <v>#DIV/0!</v>
      </c>
      <c r="N144" s="53" t="e">
        <f t="shared" si="88"/>
        <v>#DIV/0!</v>
      </c>
      <c r="O144" s="53" t="e">
        <f t="shared" si="88"/>
        <v>#DIV/0!</v>
      </c>
      <c r="P144" s="53" t="e">
        <f t="shared" si="88"/>
        <v>#DIV/0!</v>
      </c>
      <c r="Q144" s="53" t="e">
        <f t="shared" si="88"/>
        <v>#DIV/0!</v>
      </c>
      <c r="R144" s="53" t="e">
        <f t="shared" si="88"/>
        <v>#DIV/0!</v>
      </c>
      <c r="S144" s="53" t="e">
        <f t="shared" si="88"/>
        <v>#DIV/0!</v>
      </c>
      <c r="T144" s="53" t="e">
        <f t="shared" si="88"/>
        <v>#DIV/0!</v>
      </c>
      <c r="U144" s="53" t="e">
        <f t="shared" si="88"/>
        <v>#DIV/0!</v>
      </c>
      <c r="V144" s="53" t="e">
        <f t="shared" si="88"/>
        <v>#DIV/0!</v>
      </c>
      <c r="W144" s="53" t="e">
        <f t="shared" si="88"/>
        <v>#DIV/0!</v>
      </c>
      <c r="X144" s="53" t="e">
        <f t="shared" si="88"/>
        <v>#DIV/0!</v>
      </c>
      <c r="Y144" s="53" t="e">
        <f t="shared" si="88"/>
        <v>#DIV/0!</v>
      </c>
      <c r="Z144" s="53" t="e">
        <f t="shared" si="88"/>
        <v>#DIV/0!</v>
      </c>
      <c r="AA144" s="53" t="e">
        <f t="shared" si="88"/>
        <v>#DIV/0!</v>
      </c>
      <c r="AB144" s="53" t="e">
        <f t="shared" si="88"/>
        <v>#DIV/0!</v>
      </c>
      <c r="AC144" s="53" t="e">
        <f t="shared" si="88"/>
        <v>#DIV/0!</v>
      </c>
      <c r="AD144" s="53" t="e">
        <f t="shared" si="88"/>
        <v>#DIV/0!</v>
      </c>
      <c r="AE144" s="53" t="e">
        <f t="shared" si="88"/>
        <v>#DIV/0!</v>
      </c>
      <c r="AF144" s="53" t="e">
        <f t="shared" si="88"/>
        <v>#DIV/0!</v>
      </c>
      <c r="AG144" s="53" t="e">
        <f t="shared" si="88"/>
        <v>#DIV/0!</v>
      </c>
      <c r="AH144" s="53" t="e">
        <f t="shared" si="88"/>
        <v>#DIV/0!</v>
      </c>
      <c r="AI144" s="53" t="e">
        <f t="shared" si="88"/>
        <v>#DIV/0!</v>
      </c>
      <c r="AJ144" s="53" t="e">
        <f t="shared" si="88"/>
        <v>#DIV/0!</v>
      </c>
      <c r="AK144" s="53" t="e">
        <f t="shared" si="88"/>
        <v>#DIV/0!</v>
      </c>
      <c r="AL144" s="53" t="e">
        <f t="shared" si="88"/>
        <v>#DIV/0!</v>
      </c>
      <c r="AM144" s="53" t="e">
        <f t="shared" si="88"/>
        <v>#DIV/0!</v>
      </c>
      <c r="AN144" s="53" t="e">
        <f t="shared" si="88"/>
        <v>#DIV/0!</v>
      </c>
      <c r="AO144" s="53" t="e">
        <f t="shared" si="88"/>
        <v>#DIV/0!</v>
      </c>
      <c r="AP144" s="53" t="e">
        <f t="shared" si="88"/>
        <v>#DIV/0!</v>
      </c>
      <c r="AQ144" s="53" t="e">
        <f t="shared" si="88"/>
        <v>#DIV/0!</v>
      </c>
      <c r="AR144" s="53" t="e">
        <f t="shared" si="88"/>
        <v>#DIV/0!</v>
      </c>
      <c r="AS144" s="53" t="e">
        <f t="shared" si="88"/>
        <v>#DIV/0!</v>
      </c>
      <c r="AT144" s="53" t="e">
        <f t="shared" si="88"/>
        <v>#DIV/0!</v>
      </c>
    </row>
    <row r="145" spans="1:46" ht="12.75" customHeight="1" x14ac:dyDescent="0.2">
      <c r="A145" s="6"/>
      <c r="C145" s="5"/>
      <c r="D145" s="39" t="s">
        <v>181</v>
      </c>
      <c r="E145" s="53" t="e">
        <f t="shared" ref="E145:AT145" si="89">E98</f>
        <v>#DIV/0!</v>
      </c>
      <c r="F145" s="53" t="e">
        <f t="shared" si="89"/>
        <v>#DIV/0!</v>
      </c>
      <c r="G145" s="53" t="e">
        <f t="shared" si="89"/>
        <v>#DIV/0!</v>
      </c>
      <c r="H145" s="53" t="e">
        <f t="shared" si="89"/>
        <v>#DIV/0!</v>
      </c>
      <c r="I145" s="53" t="e">
        <f t="shared" si="89"/>
        <v>#DIV/0!</v>
      </c>
      <c r="J145" s="53" t="e">
        <f t="shared" si="89"/>
        <v>#DIV/0!</v>
      </c>
      <c r="K145" s="53" t="e">
        <f t="shared" si="89"/>
        <v>#DIV/0!</v>
      </c>
      <c r="L145" s="53" t="e">
        <f t="shared" si="89"/>
        <v>#DIV/0!</v>
      </c>
      <c r="M145" s="53" t="e">
        <f t="shared" si="89"/>
        <v>#DIV/0!</v>
      </c>
      <c r="N145" s="53" t="e">
        <f t="shared" si="89"/>
        <v>#DIV/0!</v>
      </c>
      <c r="O145" s="53" t="e">
        <f t="shared" si="89"/>
        <v>#DIV/0!</v>
      </c>
      <c r="P145" s="53" t="e">
        <f t="shared" si="89"/>
        <v>#DIV/0!</v>
      </c>
      <c r="Q145" s="53" t="e">
        <f t="shared" si="89"/>
        <v>#DIV/0!</v>
      </c>
      <c r="R145" s="53" t="e">
        <f t="shared" si="89"/>
        <v>#DIV/0!</v>
      </c>
      <c r="S145" s="53" t="e">
        <f t="shared" si="89"/>
        <v>#DIV/0!</v>
      </c>
      <c r="T145" s="53" t="e">
        <f t="shared" si="89"/>
        <v>#DIV/0!</v>
      </c>
      <c r="U145" s="53" t="e">
        <f t="shared" si="89"/>
        <v>#DIV/0!</v>
      </c>
      <c r="V145" s="53" t="e">
        <f t="shared" si="89"/>
        <v>#DIV/0!</v>
      </c>
      <c r="W145" s="53" t="e">
        <f t="shared" si="89"/>
        <v>#DIV/0!</v>
      </c>
      <c r="X145" s="53" t="e">
        <f t="shared" si="89"/>
        <v>#DIV/0!</v>
      </c>
      <c r="Y145" s="53" t="e">
        <f t="shared" si="89"/>
        <v>#DIV/0!</v>
      </c>
      <c r="Z145" s="53" t="e">
        <f t="shared" si="89"/>
        <v>#DIV/0!</v>
      </c>
      <c r="AA145" s="53" t="e">
        <f t="shared" si="89"/>
        <v>#DIV/0!</v>
      </c>
      <c r="AB145" s="53" t="e">
        <f t="shared" si="89"/>
        <v>#DIV/0!</v>
      </c>
      <c r="AC145" s="53" t="e">
        <f t="shared" si="89"/>
        <v>#DIV/0!</v>
      </c>
      <c r="AD145" s="53" t="e">
        <f t="shared" si="89"/>
        <v>#DIV/0!</v>
      </c>
      <c r="AE145" s="53" t="e">
        <f t="shared" si="89"/>
        <v>#DIV/0!</v>
      </c>
      <c r="AF145" s="53" t="e">
        <f t="shared" si="89"/>
        <v>#DIV/0!</v>
      </c>
      <c r="AG145" s="53" t="e">
        <f t="shared" si="89"/>
        <v>#DIV/0!</v>
      </c>
      <c r="AH145" s="53" t="e">
        <f t="shared" si="89"/>
        <v>#DIV/0!</v>
      </c>
      <c r="AI145" s="53" t="e">
        <f t="shared" si="89"/>
        <v>#DIV/0!</v>
      </c>
      <c r="AJ145" s="53" t="e">
        <f t="shared" si="89"/>
        <v>#DIV/0!</v>
      </c>
      <c r="AK145" s="53" t="e">
        <f t="shared" si="89"/>
        <v>#DIV/0!</v>
      </c>
      <c r="AL145" s="53" t="e">
        <f t="shared" si="89"/>
        <v>#DIV/0!</v>
      </c>
      <c r="AM145" s="53" t="e">
        <f t="shared" si="89"/>
        <v>#DIV/0!</v>
      </c>
      <c r="AN145" s="53" t="e">
        <f t="shared" si="89"/>
        <v>#DIV/0!</v>
      </c>
      <c r="AO145" s="53" t="e">
        <f t="shared" si="89"/>
        <v>#DIV/0!</v>
      </c>
      <c r="AP145" s="53" t="e">
        <f t="shared" si="89"/>
        <v>#DIV/0!</v>
      </c>
      <c r="AQ145" s="53" t="e">
        <f t="shared" si="89"/>
        <v>#DIV/0!</v>
      </c>
      <c r="AR145" s="53" t="e">
        <f t="shared" si="89"/>
        <v>#DIV/0!</v>
      </c>
      <c r="AS145" s="53" t="e">
        <f t="shared" si="89"/>
        <v>#DIV/0!</v>
      </c>
      <c r="AT145" s="53" t="e">
        <f t="shared" si="89"/>
        <v>#DIV/0!</v>
      </c>
    </row>
    <row r="146" spans="1:46" ht="12.75" customHeight="1" x14ac:dyDescent="0.2">
      <c r="A146" s="6" t="s">
        <v>314</v>
      </c>
      <c r="C146" s="57" t="s">
        <v>315</v>
      </c>
      <c r="D146" s="39" t="s">
        <v>181</v>
      </c>
      <c r="E146" s="53" t="e">
        <f t="shared" ref="E146:AT146" si="90">MAX(E104,E111)</f>
        <v>#DIV/0!</v>
      </c>
      <c r="F146" s="53" t="e">
        <f t="shared" si="90"/>
        <v>#DIV/0!</v>
      </c>
      <c r="G146" s="53" t="e">
        <f t="shared" si="90"/>
        <v>#DIV/0!</v>
      </c>
      <c r="H146" s="53" t="e">
        <f t="shared" si="90"/>
        <v>#DIV/0!</v>
      </c>
      <c r="I146" s="53" t="e">
        <f t="shared" si="90"/>
        <v>#DIV/0!</v>
      </c>
      <c r="J146" s="53" t="e">
        <f t="shared" si="90"/>
        <v>#DIV/0!</v>
      </c>
      <c r="K146" s="53" t="e">
        <f t="shared" si="90"/>
        <v>#DIV/0!</v>
      </c>
      <c r="L146" s="53" t="e">
        <f t="shared" si="90"/>
        <v>#DIV/0!</v>
      </c>
      <c r="M146" s="53" t="e">
        <f t="shared" si="90"/>
        <v>#DIV/0!</v>
      </c>
      <c r="N146" s="53" t="e">
        <f t="shared" si="90"/>
        <v>#DIV/0!</v>
      </c>
      <c r="O146" s="53" t="e">
        <f t="shared" si="90"/>
        <v>#DIV/0!</v>
      </c>
      <c r="P146" s="53" t="e">
        <f t="shared" si="90"/>
        <v>#DIV/0!</v>
      </c>
      <c r="Q146" s="53" t="e">
        <f t="shared" si="90"/>
        <v>#DIV/0!</v>
      </c>
      <c r="R146" s="53" t="e">
        <f t="shared" si="90"/>
        <v>#DIV/0!</v>
      </c>
      <c r="S146" s="53" t="e">
        <f t="shared" si="90"/>
        <v>#DIV/0!</v>
      </c>
      <c r="T146" s="53" t="e">
        <f t="shared" si="90"/>
        <v>#DIV/0!</v>
      </c>
      <c r="U146" s="53" t="e">
        <f t="shared" si="90"/>
        <v>#DIV/0!</v>
      </c>
      <c r="V146" s="53" t="e">
        <f t="shared" si="90"/>
        <v>#DIV/0!</v>
      </c>
      <c r="W146" s="53" t="e">
        <f t="shared" si="90"/>
        <v>#DIV/0!</v>
      </c>
      <c r="X146" s="53" t="e">
        <f t="shared" si="90"/>
        <v>#DIV/0!</v>
      </c>
      <c r="Y146" s="53" t="e">
        <f t="shared" si="90"/>
        <v>#DIV/0!</v>
      </c>
      <c r="Z146" s="53" t="e">
        <f t="shared" si="90"/>
        <v>#DIV/0!</v>
      </c>
      <c r="AA146" s="53" t="e">
        <f t="shared" si="90"/>
        <v>#DIV/0!</v>
      </c>
      <c r="AB146" s="53" t="e">
        <f t="shared" si="90"/>
        <v>#DIV/0!</v>
      </c>
      <c r="AC146" s="53" t="e">
        <f t="shared" si="90"/>
        <v>#DIV/0!</v>
      </c>
      <c r="AD146" s="53" t="e">
        <f t="shared" si="90"/>
        <v>#DIV/0!</v>
      </c>
      <c r="AE146" s="53" t="e">
        <f t="shared" si="90"/>
        <v>#DIV/0!</v>
      </c>
      <c r="AF146" s="53" t="e">
        <f t="shared" si="90"/>
        <v>#DIV/0!</v>
      </c>
      <c r="AG146" s="53" t="e">
        <f t="shared" si="90"/>
        <v>#DIV/0!</v>
      </c>
      <c r="AH146" s="53" t="e">
        <f t="shared" si="90"/>
        <v>#DIV/0!</v>
      </c>
      <c r="AI146" s="53" t="e">
        <f t="shared" si="90"/>
        <v>#DIV/0!</v>
      </c>
      <c r="AJ146" s="53" t="e">
        <f t="shared" si="90"/>
        <v>#DIV/0!</v>
      </c>
      <c r="AK146" s="53" t="e">
        <f t="shared" si="90"/>
        <v>#DIV/0!</v>
      </c>
      <c r="AL146" s="53" t="e">
        <f t="shared" si="90"/>
        <v>#DIV/0!</v>
      </c>
      <c r="AM146" s="53" t="e">
        <f t="shared" si="90"/>
        <v>#DIV/0!</v>
      </c>
      <c r="AN146" s="53" t="e">
        <f t="shared" si="90"/>
        <v>#DIV/0!</v>
      </c>
      <c r="AO146" s="53" t="e">
        <f t="shared" si="90"/>
        <v>#DIV/0!</v>
      </c>
      <c r="AP146" s="53" t="e">
        <f t="shared" si="90"/>
        <v>#DIV/0!</v>
      </c>
      <c r="AQ146" s="53" t="e">
        <f t="shared" si="90"/>
        <v>#DIV/0!</v>
      </c>
      <c r="AR146" s="53" t="e">
        <f t="shared" si="90"/>
        <v>#DIV/0!</v>
      </c>
      <c r="AS146" s="53" t="e">
        <f t="shared" si="90"/>
        <v>#DIV/0!</v>
      </c>
      <c r="AT146" s="53" t="e">
        <f t="shared" si="90"/>
        <v>#DIV/0!</v>
      </c>
    </row>
    <row r="147" spans="1:46" ht="12.75" customHeight="1" x14ac:dyDescent="0.2">
      <c r="A147" s="6" t="s">
        <v>323</v>
      </c>
      <c r="C147" s="57" t="s">
        <v>324</v>
      </c>
      <c r="D147" s="39" t="s">
        <v>181</v>
      </c>
      <c r="E147" s="53" t="e">
        <f t="shared" ref="E147:AT147" si="91">E135</f>
        <v>#DIV/0!</v>
      </c>
      <c r="F147" s="53" t="e">
        <f t="shared" si="91"/>
        <v>#DIV/0!</v>
      </c>
      <c r="G147" s="53" t="e">
        <f t="shared" si="91"/>
        <v>#DIV/0!</v>
      </c>
      <c r="H147" s="53" t="e">
        <f t="shared" si="91"/>
        <v>#DIV/0!</v>
      </c>
      <c r="I147" s="53" t="e">
        <f t="shared" si="91"/>
        <v>#DIV/0!</v>
      </c>
      <c r="J147" s="53" t="e">
        <f t="shared" si="91"/>
        <v>#DIV/0!</v>
      </c>
      <c r="K147" s="53" t="e">
        <f t="shared" si="91"/>
        <v>#DIV/0!</v>
      </c>
      <c r="L147" s="53" t="e">
        <f t="shared" si="91"/>
        <v>#DIV/0!</v>
      </c>
      <c r="M147" s="53" t="e">
        <f t="shared" si="91"/>
        <v>#DIV/0!</v>
      </c>
      <c r="N147" s="53" t="e">
        <f t="shared" si="91"/>
        <v>#DIV/0!</v>
      </c>
      <c r="O147" s="53" t="e">
        <f t="shared" si="91"/>
        <v>#DIV/0!</v>
      </c>
      <c r="P147" s="53" t="e">
        <f t="shared" si="91"/>
        <v>#DIV/0!</v>
      </c>
      <c r="Q147" s="53" t="e">
        <f t="shared" si="91"/>
        <v>#DIV/0!</v>
      </c>
      <c r="R147" s="53" t="e">
        <f t="shared" si="91"/>
        <v>#DIV/0!</v>
      </c>
      <c r="S147" s="53" t="e">
        <f t="shared" si="91"/>
        <v>#DIV/0!</v>
      </c>
      <c r="T147" s="53" t="e">
        <f t="shared" si="91"/>
        <v>#DIV/0!</v>
      </c>
      <c r="U147" s="53" t="e">
        <f t="shared" si="91"/>
        <v>#DIV/0!</v>
      </c>
      <c r="V147" s="53" t="e">
        <f t="shared" si="91"/>
        <v>#DIV/0!</v>
      </c>
      <c r="W147" s="53" t="e">
        <f t="shared" si="91"/>
        <v>#DIV/0!</v>
      </c>
      <c r="X147" s="53" t="e">
        <f t="shared" si="91"/>
        <v>#DIV/0!</v>
      </c>
      <c r="Y147" s="53" t="e">
        <f t="shared" si="91"/>
        <v>#DIV/0!</v>
      </c>
      <c r="Z147" s="53" t="e">
        <f t="shared" si="91"/>
        <v>#DIV/0!</v>
      </c>
      <c r="AA147" s="53" t="e">
        <f t="shared" si="91"/>
        <v>#DIV/0!</v>
      </c>
      <c r="AB147" s="53" t="e">
        <f t="shared" si="91"/>
        <v>#DIV/0!</v>
      </c>
      <c r="AC147" s="53" t="e">
        <f t="shared" si="91"/>
        <v>#DIV/0!</v>
      </c>
      <c r="AD147" s="53" t="e">
        <f t="shared" si="91"/>
        <v>#DIV/0!</v>
      </c>
      <c r="AE147" s="53" t="e">
        <f t="shared" si="91"/>
        <v>#DIV/0!</v>
      </c>
      <c r="AF147" s="53" t="e">
        <f t="shared" si="91"/>
        <v>#DIV/0!</v>
      </c>
      <c r="AG147" s="53" t="e">
        <f t="shared" si="91"/>
        <v>#DIV/0!</v>
      </c>
      <c r="AH147" s="53" t="e">
        <f t="shared" si="91"/>
        <v>#DIV/0!</v>
      </c>
      <c r="AI147" s="53" t="e">
        <f t="shared" si="91"/>
        <v>#DIV/0!</v>
      </c>
      <c r="AJ147" s="53" t="e">
        <f t="shared" si="91"/>
        <v>#DIV/0!</v>
      </c>
      <c r="AK147" s="53" t="e">
        <f t="shared" si="91"/>
        <v>#DIV/0!</v>
      </c>
      <c r="AL147" s="53" t="e">
        <f t="shared" si="91"/>
        <v>#DIV/0!</v>
      </c>
      <c r="AM147" s="53" t="e">
        <f t="shared" si="91"/>
        <v>#DIV/0!</v>
      </c>
      <c r="AN147" s="53" t="e">
        <f t="shared" si="91"/>
        <v>#DIV/0!</v>
      </c>
      <c r="AO147" s="53" t="e">
        <f t="shared" si="91"/>
        <v>#DIV/0!</v>
      </c>
      <c r="AP147" s="53" t="e">
        <f t="shared" si="91"/>
        <v>#DIV/0!</v>
      </c>
      <c r="AQ147" s="53" t="e">
        <f t="shared" si="91"/>
        <v>#DIV/0!</v>
      </c>
      <c r="AR147" s="53" t="e">
        <f t="shared" si="91"/>
        <v>#DIV/0!</v>
      </c>
      <c r="AS147" s="53" t="e">
        <f t="shared" si="91"/>
        <v>#DIV/0!</v>
      </c>
      <c r="AT147" s="53" t="e">
        <f t="shared" si="91"/>
        <v>#DIV/0!</v>
      </c>
    </row>
    <row r="148" spans="1:46" ht="12.75" customHeight="1" x14ac:dyDescent="0.2">
      <c r="A148" s="50"/>
      <c r="D148" s="39" t="s">
        <v>181</v>
      </c>
      <c r="E148" s="53" t="e">
        <f t="shared" ref="E148:AT148" si="92">E136</f>
        <v>#DIV/0!</v>
      </c>
      <c r="F148" s="53" t="e">
        <f t="shared" si="92"/>
        <v>#DIV/0!</v>
      </c>
      <c r="G148" s="53" t="e">
        <f t="shared" si="92"/>
        <v>#DIV/0!</v>
      </c>
      <c r="H148" s="53" t="e">
        <f t="shared" si="92"/>
        <v>#DIV/0!</v>
      </c>
      <c r="I148" s="53" t="e">
        <f t="shared" si="92"/>
        <v>#DIV/0!</v>
      </c>
      <c r="J148" s="53" t="e">
        <f t="shared" si="92"/>
        <v>#DIV/0!</v>
      </c>
      <c r="K148" s="53" t="e">
        <f t="shared" si="92"/>
        <v>#DIV/0!</v>
      </c>
      <c r="L148" s="53" t="e">
        <f t="shared" si="92"/>
        <v>#DIV/0!</v>
      </c>
      <c r="M148" s="53" t="e">
        <f t="shared" si="92"/>
        <v>#DIV/0!</v>
      </c>
      <c r="N148" s="53" t="e">
        <f t="shared" si="92"/>
        <v>#DIV/0!</v>
      </c>
      <c r="O148" s="53" t="e">
        <f t="shared" si="92"/>
        <v>#DIV/0!</v>
      </c>
      <c r="P148" s="53" t="e">
        <f t="shared" si="92"/>
        <v>#DIV/0!</v>
      </c>
      <c r="Q148" s="53" t="e">
        <f t="shared" si="92"/>
        <v>#DIV/0!</v>
      </c>
      <c r="R148" s="53" t="e">
        <f t="shared" si="92"/>
        <v>#DIV/0!</v>
      </c>
      <c r="S148" s="53" t="e">
        <f t="shared" si="92"/>
        <v>#DIV/0!</v>
      </c>
      <c r="T148" s="53" t="e">
        <f t="shared" si="92"/>
        <v>#DIV/0!</v>
      </c>
      <c r="U148" s="53" t="e">
        <f t="shared" si="92"/>
        <v>#DIV/0!</v>
      </c>
      <c r="V148" s="53" t="e">
        <f t="shared" si="92"/>
        <v>#DIV/0!</v>
      </c>
      <c r="W148" s="53" t="e">
        <f t="shared" si="92"/>
        <v>#DIV/0!</v>
      </c>
      <c r="X148" s="53" t="e">
        <f t="shared" si="92"/>
        <v>#DIV/0!</v>
      </c>
      <c r="Y148" s="53" t="e">
        <f t="shared" si="92"/>
        <v>#DIV/0!</v>
      </c>
      <c r="Z148" s="53" t="e">
        <f t="shared" si="92"/>
        <v>#DIV/0!</v>
      </c>
      <c r="AA148" s="53" t="e">
        <f t="shared" si="92"/>
        <v>#DIV/0!</v>
      </c>
      <c r="AB148" s="53" t="e">
        <f t="shared" si="92"/>
        <v>#DIV/0!</v>
      </c>
      <c r="AC148" s="53" t="e">
        <f t="shared" si="92"/>
        <v>#DIV/0!</v>
      </c>
      <c r="AD148" s="53" t="e">
        <f t="shared" si="92"/>
        <v>#DIV/0!</v>
      </c>
      <c r="AE148" s="53" t="e">
        <f t="shared" si="92"/>
        <v>#DIV/0!</v>
      </c>
      <c r="AF148" s="53" t="e">
        <f t="shared" si="92"/>
        <v>#DIV/0!</v>
      </c>
      <c r="AG148" s="53" t="e">
        <f t="shared" si="92"/>
        <v>#DIV/0!</v>
      </c>
      <c r="AH148" s="53" t="e">
        <f t="shared" si="92"/>
        <v>#DIV/0!</v>
      </c>
      <c r="AI148" s="53" t="e">
        <f t="shared" si="92"/>
        <v>#DIV/0!</v>
      </c>
      <c r="AJ148" s="53" t="e">
        <f t="shared" si="92"/>
        <v>#DIV/0!</v>
      </c>
      <c r="AK148" s="53" t="e">
        <f t="shared" si="92"/>
        <v>#DIV/0!</v>
      </c>
      <c r="AL148" s="53" t="e">
        <f t="shared" si="92"/>
        <v>#DIV/0!</v>
      </c>
      <c r="AM148" s="53" t="e">
        <f t="shared" si="92"/>
        <v>#DIV/0!</v>
      </c>
      <c r="AN148" s="53" t="e">
        <f t="shared" si="92"/>
        <v>#DIV/0!</v>
      </c>
      <c r="AO148" s="53" t="e">
        <f t="shared" si="92"/>
        <v>#DIV/0!</v>
      </c>
      <c r="AP148" s="53" t="e">
        <f t="shared" si="92"/>
        <v>#DIV/0!</v>
      </c>
      <c r="AQ148" s="53" t="e">
        <f t="shared" si="92"/>
        <v>#DIV/0!</v>
      </c>
      <c r="AR148" s="53" t="e">
        <f t="shared" si="92"/>
        <v>#DIV/0!</v>
      </c>
      <c r="AS148" s="53" t="e">
        <f t="shared" si="92"/>
        <v>#DIV/0!</v>
      </c>
      <c r="AT148" s="53" t="e">
        <f t="shared" si="92"/>
        <v>#DIV/0!</v>
      </c>
    </row>
    <row r="149" spans="1:46" ht="12.75" customHeight="1" x14ac:dyDescent="0.2">
      <c r="D149" s="62" t="s">
        <v>243</v>
      </c>
      <c r="E149" s="59" t="e">
        <f t="shared" ref="E149:AT149" si="93">MAX(E139:E148)</f>
        <v>#DIV/0!</v>
      </c>
      <c r="F149" s="59" t="e">
        <f t="shared" si="93"/>
        <v>#DIV/0!</v>
      </c>
      <c r="G149" s="59" t="e">
        <f t="shared" si="93"/>
        <v>#DIV/0!</v>
      </c>
      <c r="H149" s="59" t="e">
        <f t="shared" si="93"/>
        <v>#DIV/0!</v>
      </c>
      <c r="I149" s="59" t="e">
        <f t="shared" si="93"/>
        <v>#DIV/0!</v>
      </c>
      <c r="J149" s="59" t="e">
        <f t="shared" si="93"/>
        <v>#DIV/0!</v>
      </c>
      <c r="K149" s="59" t="e">
        <f t="shared" si="93"/>
        <v>#DIV/0!</v>
      </c>
      <c r="L149" s="59" t="e">
        <f t="shared" si="93"/>
        <v>#DIV/0!</v>
      </c>
      <c r="M149" s="59" t="e">
        <f t="shared" si="93"/>
        <v>#DIV/0!</v>
      </c>
      <c r="N149" s="59" t="e">
        <f t="shared" si="93"/>
        <v>#DIV/0!</v>
      </c>
      <c r="O149" s="59" t="e">
        <f t="shared" si="93"/>
        <v>#DIV/0!</v>
      </c>
      <c r="P149" s="59" t="e">
        <f t="shared" si="93"/>
        <v>#DIV/0!</v>
      </c>
      <c r="Q149" s="59" t="e">
        <f t="shared" si="93"/>
        <v>#DIV/0!</v>
      </c>
      <c r="R149" s="59" t="e">
        <f t="shared" si="93"/>
        <v>#DIV/0!</v>
      </c>
      <c r="S149" s="59" t="e">
        <f t="shared" si="93"/>
        <v>#DIV/0!</v>
      </c>
      <c r="T149" s="59" t="e">
        <f t="shared" si="93"/>
        <v>#DIV/0!</v>
      </c>
      <c r="U149" s="59" t="e">
        <f t="shared" si="93"/>
        <v>#DIV/0!</v>
      </c>
      <c r="V149" s="59" t="e">
        <f t="shared" si="93"/>
        <v>#DIV/0!</v>
      </c>
      <c r="W149" s="59" t="e">
        <f t="shared" si="93"/>
        <v>#DIV/0!</v>
      </c>
      <c r="X149" s="59" t="e">
        <f t="shared" si="93"/>
        <v>#DIV/0!</v>
      </c>
      <c r="Y149" s="59" t="e">
        <f t="shared" si="93"/>
        <v>#DIV/0!</v>
      </c>
      <c r="Z149" s="59" t="e">
        <f t="shared" si="93"/>
        <v>#DIV/0!</v>
      </c>
      <c r="AA149" s="59" t="e">
        <f t="shared" si="93"/>
        <v>#DIV/0!</v>
      </c>
      <c r="AB149" s="59" t="e">
        <f t="shared" si="93"/>
        <v>#DIV/0!</v>
      </c>
      <c r="AC149" s="59" t="e">
        <f t="shared" si="93"/>
        <v>#DIV/0!</v>
      </c>
      <c r="AD149" s="59" t="e">
        <f t="shared" si="93"/>
        <v>#DIV/0!</v>
      </c>
      <c r="AE149" s="59" t="e">
        <f t="shared" si="93"/>
        <v>#DIV/0!</v>
      </c>
      <c r="AF149" s="59" t="e">
        <f t="shared" si="93"/>
        <v>#DIV/0!</v>
      </c>
      <c r="AG149" s="59" t="e">
        <f t="shared" si="93"/>
        <v>#DIV/0!</v>
      </c>
      <c r="AH149" s="59" t="e">
        <f t="shared" si="93"/>
        <v>#DIV/0!</v>
      </c>
      <c r="AI149" s="59" t="e">
        <f t="shared" si="93"/>
        <v>#DIV/0!</v>
      </c>
      <c r="AJ149" s="59" t="e">
        <f t="shared" si="93"/>
        <v>#DIV/0!</v>
      </c>
      <c r="AK149" s="59" t="e">
        <f t="shared" si="93"/>
        <v>#DIV/0!</v>
      </c>
      <c r="AL149" s="59" t="e">
        <f t="shared" si="93"/>
        <v>#DIV/0!</v>
      </c>
      <c r="AM149" s="59" t="e">
        <f t="shared" si="93"/>
        <v>#DIV/0!</v>
      </c>
      <c r="AN149" s="59" t="e">
        <f t="shared" si="93"/>
        <v>#DIV/0!</v>
      </c>
      <c r="AO149" s="59" t="e">
        <f t="shared" si="93"/>
        <v>#DIV/0!</v>
      </c>
      <c r="AP149" s="59" t="e">
        <f t="shared" si="93"/>
        <v>#DIV/0!</v>
      </c>
      <c r="AQ149" s="59" t="e">
        <f t="shared" si="93"/>
        <v>#DIV/0!</v>
      </c>
      <c r="AR149" s="59" t="e">
        <f t="shared" si="93"/>
        <v>#DIV/0!</v>
      </c>
      <c r="AS149" s="59" t="e">
        <f t="shared" si="93"/>
        <v>#DIV/0!</v>
      </c>
      <c r="AT149" s="59" t="e">
        <f t="shared" si="93"/>
        <v>#DIV/0!</v>
      </c>
    </row>
    <row r="150" spans="1:46" x14ac:dyDescent="0.2">
      <c r="E150" s="60" t="e">
        <f t="shared" ref="E150:AT150" si="94">IF(E149&lt;=1,"voldoet","voldoet niet")</f>
        <v>#DIV/0!</v>
      </c>
      <c r="F150" s="60" t="e">
        <f t="shared" si="94"/>
        <v>#DIV/0!</v>
      </c>
      <c r="G150" s="60" t="e">
        <f t="shared" si="94"/>
        <v>#DIV/0!</v>
      </c>
      <c r="H150" s="60" t="e">
        <f t="shared" si="94"/>
        <v>#DIV/0!</v>
      </c>
      <c r="I150" s="60" t="e">
        <f t="shared" si="94"/>
        <v>#DIV/0!</v>
      </c>
      <c r="J150" s="60" t="e">
        <f t="shared" si="94"/>
        <v>#DIV/0!</v>
      </c>
      <c r="K150" s="60" t="e">
        <f t="shared" si="94"/>
        <v>#DIV/0!</v>
      </c>
      <c r="L150" s="60" t="e">
        <f t="shared" si="94"/>
        <v>#DIV/0!</v>
      </c>
      <c r="M150" s="60" t="e">
        <f t="shared" si="94"/>
        <v>#DIV/0!</v>
      </c>
      <c r="N150" s="60" t="e">
        <f t="shared" si="94"/>
        <v>#DIV/0!</v>
      </c>
      <c r="O150" s="60" t="e">
        <f t="shared" si="94"/>
        <v>#DIV/0!</v>
      </c>
      <c r="P150" s="60" t="e">
        <f t="shared" si="94"/>
        <v>#DIV/0!</v>
      </c>
      <c r="Q150" s="60" t="e">
        <f t="shared" si="94"/>
        <v>#DIV/0!</v>
      </c>
      <c r="R150" s="60" t="e">
        <f t="shared" si="94"/>
        <v>#DIV/0!</v>
      </c>
      <c r="S150" s="60" t="e">
        <f t="shared" si="94"/>
        <v>#DIV/0!</v>
      </c>
      <c r="T150" s="60" t="e">
        <f t="shared" si="94"/>
        <v>#DIV/0!</v>
      </c>
      <c r="U150" s="60" t="e">
        <f t="shared" si="94"/>
        <v>#DIV/0!</v>
      </c>
      <c r="V150" s="60" t="e">
        <f t="shared" si="94"/>
        <v>#DIV/0!</v>
      </c>
      <c r="W150" s="60" t="e">
        <f t="shared" si="94"/>
        <v>#DIV/0!</v>
      </c>
      <c r="X150" s="60" t="e">
        <f t="shared" si="94"/>
        <v>#DIV/0!</v>
      </c>
      <c r="Y150" s="68" t="e">
        <f t="shared" si="94"/>
        <v>#DIV/0!</v>
      </c>
      <c r="Z150" s="60" t="e">
        <f t="shared" si="94"/>
        <v>#DIV/0!</v>
      </c>
      <c r="AA150" s="60" t="e">
        <f t="shared" si="94"/>
        <v>#DIV/0!</v>
      </c>
      <c r="AB150" s="60" t="e">
        <f t="shared" si="94"/>
        <v>#DIV/0!</v>
      </c>
      <c r="AC150" s="60" t="e">
        <f t="shared" si="94"/>
        <v>#DIV/0!</v>
      </c>
      <c r="AD150" s="60" t="e">
        <f t="shared" si="94"/>
        <v>#DIV/0!</v>
      </c>
      <c r="AE150" s="60" t="e">
        <f t="shared" si="94"/>
        <v>#DIV/0!</v>
      </c>
      <c r="AF150" s="60" t="e">
        <f t="shared" si="94"/>
        <v>#DIV/0!</v>
      </c>
      <c r="AG150" s="60" t="e">
        <f t="shared" si="94"/>
        <v>#DIV/0!</v>
      </c>
      <c r="AH150" s="60" t="e">
        <f t="shared" si="94"/>
        <v>#DIV/0!</v>
      </c>
      <c r="AI150" s="60" t="e">
        <f t="shared" si="94"/>
        <v>#DIV/0!</v>
      </c>
      <c r="AJ150" s="60" t="e">
        <f t="shared" si="94"/>
        <v>#DIV/0!</v>
      </c>
      <c r="AK150" s="60" t="e">
        <f t="shared" si="94"/>
        <v>#DIV/0!</v>
      </c>
      <c r="AL150" s="60" t="e">
        <f t="shared" si="94"/>
        <v>#DIV/0!</v>
      </c>
      <c r="AM150" s="60" t="e">
        <f t="shared" si="94"/>
        <v>#DIV/0!</v>
      </c>
      <c r="AN150" s="60" t="e">
        <f t="shared" si="94"/>
        <v>#DIV/0!</v>
      </c>
      <c r="AO150" s="60" t="e">
        <f t="shared" si="94"/>
        <v>#DIV/0!</v>
      </c>
      <c r="AP150" s="60" t="e">
        <f t="shared" si="94"/>
        <v>#DIV/0!</v>
      </c>
      <c r="AQ150" s="60" t="e">
        <f t="shared" si="94"/>
        <v>#DIV/0!</v>
      </c>
      <c r="AR150" s="60" t="e">
        <f t="shared" si="94"/>
        <v>#DIV/0!</v>
      </c>
      <c r="AS150" s="60" t="e">
        <f t="shared" si="94"/>
        <v>#DIV/0!</v>
      </c>
      <c r="AT150" s="60" t="e">
        <f t="shared" si="94"/>
        <v>#DIV/0!</v>
      </c>
    </row>
  </sheetData>
  <conditionalFormatting sqref="E149:AT149">
    <cfRule type="cellIs" dxfId="23" priority="1" operator="greaterThan">
      <formula>1</formula>
    </cfRule>
    <cfRule type="cellIs" dxfId="22" priority="2" operator="lessThan">
      <formula>1</formula>
    </cfRule>
  </conditionalFormatting>
  <pageMargins left="0.70866141732283472" right="0.82677165354330717" top="1.377952755905512" bottom="0.70866141732283472" header="0.31496062992125978" footer="0.31496062992125978"/>
  <pageSetup paperSize="8" scale="56" fitToWidth="0" orientation="portrait" r:id="rId1"/>
  <headerFooter>
    <oddHeader>&amp;C&amp;G
&amp;R
Pagina &amp;P van &amp;N</oddHeader>
    <oddFooter>&amp;L&amp;"-,Vet"&amp;8 &amp;K002C5FENGINEERING EN MONITORING VOOR
GWW EN GEOTECHNIEK &amp;R&amp;"-,Standaard"&amp;8 Op al onze werkzaamheden is DNR 2011 van toepassing.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150"/>
  <sheetViews>
    <sheetView view="pageBreakPreview" zoomScale="70" zoomScaleNormal="100" zoomScaleSheetLayoutView="70" zoomScalePageLayoutView="70" workbookViewId="0">
      <selection activeCell="I7" sqref="I7"/>
    </sheetView>
  </sheetViews>
  <sheetFormatPr defaultColWidth="9.140625" defaultRowHeight="12.75" x14ac:dyDescent="0.2"/>
  <cols>
    <col min="1" max="1" width="24.7109375" style="37" customWidth="1"/>
    <col min="2" max="2" width="21.7109375" style="37" bestFit="1" customWidth="1"/>
    <col min="3" max="3" width="3.42578125" style="37" bestFit="1" customWidth="1"/>
    <col min="4" max="4" width="7.7109375" style="9" bestFit="1" customWidth="1"/>
    <col min="5" max="41" width="9.7109375" style="37" customWidth="1"/>
    <col min="42" max="42" width="9.140625" style="37" customWidth="1"/>
    <col min="43" max="16384" width="9.140625" style="37"/>
  </cols>
  <sheetData>
    <row r="1" spans="1:49" ht="18.75" customHeight="1" x14ac:dyDescent="0.2">
      <c r="A1" s="41" t="s">
        <v>244</v>
      </c>
      <c r="E1" s="49" t="s">
        <v>245</v>
      </c>
      <c r="H1" s="9"/>
      <c r="K1" s="49" t="s">
        <v>110</v>
      </c>
      <c r="W1" s="49" t="s">
        <v>245</v>
      </c>
      <c r="AC1" s="49" t="str">
        <f>K1</f>
        <v>veiligheidsfactoren BGT</v>
      </c>
      <c r="AO1" s="49" t="s">
        <v>245</v>
      </c>
      <c r="AU1" s="49" t="str">
        <f>K1</f>
        <v>veiligheidsfactoren BGT</v>
      </c>
    </row>
    <row r="2" spans="1:49" ht="15" customHeight="1" x14ac:dyDescent="0.2">
      <c r="A2" s="70"/>
      <c r="B2" s="71"/>
      <c r="E2" s="46" t="s">
        <v>246</v>
      </c>
      <c r="H2" s="44" t="s">
        <v>141</v>
      </c>
      <c r="I2" s="9">
        <v>30</v>
      </c>
      <c r="K2" s="66" t="s">
        <v>247</v>
      </c>
      <c r="L2" s="44" t="s">
        <v>113</v>
      </c>
      <c r="M2" s="47">
        <v>1</v>
      </c>
      <c r="W2" s="37" t="str">
        <f>E2</f>
        <v xml:space="preserve">Excentriciteit aansluiting </v>
      </c>
      <c r="Z2" s="9" t="s">
        <v>141</v>
      </c>
      <c r="AA2" s="9">
        <f>I2</f>
        <v>30</v>
      </c>
      <c r="AC2" s="66" t="s">
        <v>247</v>
      </c>
      <c r="AD2" s="44" t="s">
        <v>113</v>
      </c>
      <c r="AE2" s="47">
        <f>M2</f>
        <v>1</v>
      </c>
      <c r="AO2" s="37" t="str">
        <f>E2</f>
        <v xml:space="preserve">Excentriciteit aansluiting </v>
      </c>
      <c r="AR2" s="9" t="s">
        <v>141</v>
      </c>
      <c r="AS2" s="9">
        <f>I2</f>
        <v>30</v>
      </c>
      <c r="AU2" s="66" t="s">
        <v>247</v>
      </c>
      <c r="AV2" s="44" t="s">
        <v>113</v>
      </c>
      <c r="AW2" s="47">
        <f>M2</f>
        <v>1</v>
      </c>
    </row>
    <row r="3" spans="1:49" ht="15.75" customHeight="1" x14ac:dyDescent="0.2">
      <c r="A3" s="70" t="s">
        <v>111</v>
      </c>
      <c r="B3" s="72" t="str">
        <f>'C - overzicht'!D3</f>
        <v>H24.0000-1</v>
      </c>
      <c r="E3" s="46" t="s">
        <v>248</v>
      </c>
      <c r="H3" s="44" t="s">
        <v>249</v>
      </c>
      <c r="I3" s="9">
        <f>'C - overzicht'!V7*'C - overzicht'!V8</f>
        <v>10000</v>
      </c>
      <c r="K3" s="66" t="s">
        <v>250</v>
      </c>
      <c r="L3" s="44" t="s">
        <v>113</v>
      </c>
      <c r="M3" s="47">
        <v>1</v>
      </c>
      <c r="W3" s="37" t="str">
        <f>E3</f>
        <v>Kdamwand</v>
      </c>
      <c r="Z3" s="9" t="s">
        <v>249</v>
      </c>
      <c r="AA3" s="9">
        <f>I3</f>
        <v>10000</v>
      </c>
      <c r="AC3" s="66" t="s">
        <v>250</v>
      </c>
      <c r="AD3" s="44" t="s">
        <v>113</v>
      </c>
      <c r="AE3" s="47">
        <f>M3</f>
        <v>1</v>
      </c>
      <c r="AO3" s="37" t="str">
        <f>E3</f>
        <v>Kdamwand</v>
      </c>
      <c r="AR3" s="9" t="s">
        <v>249</v>
      </c>
      <c r="AS3" s="9">
        <f>I3</f>
        <v>10000</v>
      </c>
      <c r="AU3" s="66" t="s">
        <v>250</v>
      </c>
      <c r="AV3" s="44" t="s">
        <v>113</v>
      </c>
      <c r="AW3" s="47">
        <f>M3</f>
        <v>1</v>
      </c>
    </row>
    <row r="4" spans="1:49" ht="15.75" customHeight="1" x14ac:dyDescent="0.2">
      <c r="A4" s="70" t="s">
        <v>114</v>
      </c>
      <c r="B4" s="72" t="str">
        <f>'C - overzicht'!D4</f>
        <v>Stempelframe</v>
      </c>
      <c r="E4" s="46"/>
      <c r="G4" s="66" t="s">
        <v>251</v>
      </c>
      <c r="H4" s="44" t="s">
        <v>252</v>
      </c>
      <c r="I4" s="9">
        <v>1.2E-5</v>
      </c>
      <c r="K4" s="66" t="s">
        <v>253</v>
      </c>
      <c r="L4" s="44" t="s">
        <v>113</v>
      </c>
      <c r="M4" s="47">
        <v>1</v>
      </c>
      <c r="Y4" s="66" t="s">
        <v>251</v>
      </c>
      <c r="Z4" s="9" t="s">
        <v>252</v>
      </c>
      <c r="AA4" s="9">
        <f>I4</f>
        <v>1.2E-5</v>
      </c>
      <c r="AC4" s="66" t="s">
        <v>253</v>
      </c>
      <c r="AD4" s="44" t="s">
        <v>113</v>
      </c>
      <c r="AE4" s="47">
        <f>M4</f>
        <v>1</v>
      </c>
      <c r="AQ4" s="66" t="s">
        <v>251</v>
      </c>
      <c r="AR4" s="9" t="s">
        <v>252</v>
      </c>
      <c r="AS4" s="9">
        <f>I4</f>
        <v>1.2E-5</v>
      </c>
      <c r="AU4" s="66" t="s">
        <v>253</v>
      </c>
      <c r="AV4" s="44" t="s">
        <v>113</v>
      </c>
      <c r="AW4" s="47">
        <f>M4</f>
        <v>1</v>
      </c>
    </row>
    <row r="5" spans="1:49" ht="15" customHeight="1" x14ac:dyDescent="0.2">
      <c r="A5" s="70" t="s">
        <v>116</v>
      </c>
      <c r="B5" s="72" t="str">
        <f>'C - overzicht'!D5</f>
        <v>Amsterdam</v>
      </c>
      <c r="E5" s="46" t="s">
        <v>254</v>
      </c>
      <c r="G5" s="66" t="s">
        <v>255</v>
      </c>
      <c r="H5" s="44" t="s">
        <v>256</v>
      </c>
      <c r="I5" s="9">
        <v>30</v>
      </c>
      <c r="K5" s="66" t="s">
        <v>257</v>
      </c>
      <c r="L5" s="44" t="s">
        <v>113</v>
      </c>
      <c r="M5" s="47">
        <v>1</v>
      </c>
      <c r="W5" s="37" t="str">
        <f>E5</f>
        <v>Temperatuursverschil boven/onder</v>
      </c>
      <c r="Y5" s="66" t="s">
        <v>255</v>
      </c>
      <c r="Z5" s="9" t="s">
        <v>256</v>
      </c>
      <c r="AA5" s="9">
        <f>I5</f>
        <v>30</v>
      </c>
      <c r="AC5" s="66" t="s">
        <v>257</v>
      </c>
      <c r="AD5" s="44" t="s">
        <v>113</v>
      </c>
      <c r="AE5" s="47">
        <f>M5</f>
        <v>1</v>
      </c>
      <c r="AO5" s="37" t="str">
        <f>E5</f>
        <v>Temperatuursverschil boven/onder</v>
      </c>
      <c r="AQ5" s="66" t="s">
        <v>255</v>
      </c>
      <c r="AR5" s="9" t="s">
        <v>256</v>
      </c>
      <c r="AS5" s="9">
        <f>I5</f>
        <v>30</v>
      </c>
      <c r="AU5" s="66" t="s">
        <v>257</v>
      </c>
      <c r="AV5" s="44" t="s">
        <v>113</v>
      </c>
      <c r="AW5" s="47">
        <f>M5</f>
        <v>1</v>
      </c>
    </row>
    <row r="6" spans="1:49" ht="15" customHeight="1" x14ac:dyDescent="0.2">
      <c r="A6" s="70" t="s">
        <v>118</v>
      </c>
      <c r="B6" s="219">
        <f ca="1">'C - overzicht'!D6</f>
        <v>45895</v>
      </c>
      <c r="E6" s="46" t="s">
        <v>346</v>
      </c>
      <c r="G6" s="63"/>
      <c r="H6" s="10" t="s">
        <v>78</v>
      </c>
      <c r="I6" s="60">
        <v>100</v>
      </c>
      <c r="L6" s="9"/>
      <c r="W6" s="37" t="str">
        <f>E6</f>
        <v>Calamiteitsbelasting</v>
      </c>
      <c r="Z6" s="9" t="s">
        <v>78</v>
      </c>
      <c r="AA6" s="60">
        <f>I6</f>
        <v>100</v>
      </c>
      <c r="AO6" s="37" t="str">
        <f>E6</f>
        <v>Calamiteitsbelasting</v>
      </c>
      <c r="AR6" s="9" t="s">
        <v>78</v>
      </c>
      <c r="AS6" s="60">
        <f>I6</f>
        <v>100</v>
      </c>
    </row>
    <row r="7" spans="1:49" x14ac:dyDescent="0.2">
      <c r="D7" s="37"/>
    </row>
    <row r="8" spans="1:49" ht="12.75" customHeight="1" x14ac:dyDescent="0.2">
      <c r="D8" s="62" t="s">
        <v>259</v>
      </c>
      <c r="E8" s="67">
        <f>'C - overzicht'!$B11</f>
        <v>0</v>
      </c>
      <c r="F8" s="67">
        <f>'C - overzicht'!$B12</f>
        <v>0</v>
      </c>
      <c r="G8" s="67">
        <f>'C - overzicht'!$B13</f>
        <v>0</v>
      </c>
      <c r="H8" s="67">
        <f>'C - overzicht'!$B14</f>
        <v>0</v>
      </c>
      <c r="I8" s="67">
        <f>'C - overzicht'!$B15</f>
        <v>0</v>
      </c>
      <c r="J8" s="67">
        <f>'C - overzicht'!$B16</f>
        <v>0</v>
      </c>
      <c r="K8" s="67">
        <f>'C - overzicht'!$B17</f>
        <v>0</v>
      </c>
      <c r="L8" s="67">
        <f>'C - overzicht'!$B18</f>
        <v>0</v>
      </c>
      <c r="M8" s="67">
        <f>'C - overzicht'!$B19</f>
        <v>0</v>
      </c>
      <c r="N8" s="67">
        <f>'C - overzicht'!$B20</f>
        <v>0</v>
      </c>
      <c r="O8" s="67">
        <f>'C - overzicht'!$B21</f>
        <v>0</v>
      </c>
      <c r="P8" s="67">
        <f>'C - overzicht'!$B22</f>
        <v>0</v>
      </c>
      <c r="Q8" s="67">
        <f>'C - overzicht'!$B23</f>
        <v>0</v>
      </c>
      <c r="R8" s="67">
        <f>'C - overzicht'!$B24</f>
        <v>0</v>
      </c>
      <c r="S8" s="67">
        <f>'C - overzicht'!$B25</f>
        <v>0</v>
      </c>
      <c r="T8" s="67">
        <f>'C - overzicht'!$B26</f>
        <v>0</v>
      </c>
      <c r="U8" s="67">
        <f>'C - overzicht'!$B27</f>
        <v>0</v>
      </c>
      <c r="V8" s="67">
        <f>'C - overzicht'!$B28</f>
        <v>0</v>
      </c>
      <c r="W8" s="67">
        <f>'C - overzicht'!$B29</f>
        <v>0</v>
      </c>
      <c r="X8" s="67">
        <f>'C - overzicht'!$B30</f>
        <v>0</v>
      </c>
      <c r="Y8" s="67">
        <f>'C - overzicht'!$B31</f>
        <v>0</v>
      </c>
      <c r="Z8" s="67">
        <f>'C - overzicht'!$B32</f>
        <v>0</v>
      </c>
      <c r="AA8" s="67">
        <f>'C - overzicht'!$B33</f>
        <v>0</v>
      </c>
      <c r="AB8" s="67">
        <f>'C - overzicht'!$B34</f>
        <v>0</v>
      </c>
      <c r="AC8" s="67">
        <f>'C - overzicht'!$B35</f>
        <v>0</v>
      </c>
      <c r="AD8" s="67">
        <f>'C - overzicht'!$B36</f>
        <v>0</v>
      </c>
      <c r="AE8" s="67">
        <f>'C - overzicht'!$B37</f>
        <v>0</v>
      </c>
      <c r="AF8" s="67">
        <f>'C - overzicht'!$B38</f>
        <v>0</v>
      </c>
      <c r="AG8" s="67">
        <f>'C - overzicht'!$B39</f>
        <v>0</v>
      </c>
      <c r="AH8" s="67">
        <f>'C - overzicht'!$B40</f>
        <v>0</v>
      </c>
      <c r="AI8" s="67">
        <f>'C - overzicht'!$B41</f>
        <v>0</v>
      </c>
      <c r="AJ8" s="67">
        <f>'C - overzicht'!$B42</f>
        <v>0</v>
      </c>
      <c r="AK8" s="67">
        <f>'C - overzicht'!$B43</f>
        <v>0</v>
      </c>
      <c r="AL8" s="67">
        <f>'C - overzicht'!$B44</f>
        <v>0</v>
      </c>
      <c r="AM8" s="67">
        <f>'C - overzicht'!$B45</f>
        <v>0</v>
      </c>
      <c r="AN8" s="67">
        <f>'C - overzicht'!$B46</f>
        <v>0</v>
      </c>
      <c r="AO8" s="67">
        <f>'C - overzicht'!$B47</f>
        <v>0</v>
      </c>
      <c r="AP8" s="67">
        <f>'C - overzicht'!$B48</f>
        <v>0</v>
      </c>
      <c r="AQ8" s="67">
        <f>'C - overzicht'!$B49</f>
        <v>0</v>
      </c>
      <c r="AR8" s="67">
        <f>'C - overzicht'!$B50</f>
        <v>0</v>
      </c>
      <c r="AS8" s="67">
        <f>'C - overzicht'!$B51</f>
        <v>0</v>
      </c>
      <c r="AT8" s="67">
        <f>'C - overzicht'!$B52</f>
        <v>0</v>
      </c>
    </row>
    <row r="9" spans="1:49" ht="12.75" customHeight="1" x14ac:dyDescent="0.2">
      <c r="A9" s="42" t="s">
        <v>260</v>
      </c>
      <c r="D9" s="6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49" ht="12.75" customHeight="1" x14ac:dyDescent="0.2">
      <c r="A10" s="43" t="s">
        <v>121</v>
      </c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49" ht="12.75" customHeight="1" x14ac:dyDescent="0.2">
      <c r="A11" s="37" t="s">
        <v>122</v>
      </c>
      <c r="C11" s="37" t="s">
        <v>123</v>
      </c>
      <c r="D11" s="44" t="s">
        <v>113</v>
      </c>
      <c r="E11" s="9">
        <f>VLOOKUP(E8,'C - overzicht'!$B$11:$M$53,5)</f>
        <v>355</v>
      </c>
      <c r="F11" s="9">
        <f>VLOOKUP(F8,'C - overzicht'!$B$11:$M$53,5)</f>
        <v>355</v>
      </c>
      <c r="G11" s="9">
        <f>VLOOKUP(G8,'C - overzicht'!$B$11:$M$53,5)</f>
        <v>355</v>
      </c>
      <c r="H11" s="9">
        <f>VLOOKUP(H8,'C - overzicht'!$B$11:$M$53,5)</f>
        <v>355</v>
      </c>
      <c r="I11" s="9">
        <f>VLOOKUP(I8,'C - overzicht'!$B$11:$M$53,5)</f>
        <v>355</v>
      </c>
      <c r="J11" s="9">
        <f>VLOOKUP(J8,'C - overzicht'!$B$11:$M$53,5)</f>
        <v>355</v>
      </c>
      <c r="K11" s="9">
        <f>VLOOKUP(K8,'C - overzicht'!$B$11:$M$53,5)</f>
        <v>355</v>
      </c>
      <c r="L11" s="9">
        <f>VLOOKUP(L8,'C - overzicht'!$B$11:$M$53,5)</f>
        <v>355</v>
      </c>
      <c r="M11" s="9">
        <f>VLOOKUP(M8,'C - overzicht'!$B$11:$M$53,5)</f>
        <v>355</v>
      </c>
      <c r="N11" s="9">
        <f>VLOOKUP(N8,'C - overzicht'!$B$11:$M$53,5)</f>
        <v>355</v>
      </c>
      <c r="O11" s="9">
        <f>VLOOKUP(O8,'C - overzicht'!$B$11:$M$53,5)</f>
        <v>355</v>
      </c>
      <c r="P11" s="9">
        <f>VLOOKUP(P8,'C - overzicht'!$B$11:$M$53,5)</f>
        <v>355</v>
      </c>
      <c r="Q11" s="9">
        <f>VLOOKUP(Q8,'C - overzicht'!$B$11:$M$53,5)</f>
        <v>355</v>
      </c>
      <c r="R11" s="9">
        <f>VLOOKUP(R8,'C - overzicht'!$B$11:$M$53,5)</f>
        <v>355</v>
      </c>
      <c r="S11" s="9">
        <f>VLOOKUP(S8,'C - overzicht'!$B$11:$M$53,5)</f>
        <v>355</v>
      </c>
      <c r="T11" s="9">
        <f>VLOOKUP(T8,'C - overzicht'!$B$11:$M$53,5)</f>
        <v>355</v>
      </c>
      <c r="U11" s="9">
        <f>VLOOKUP(U8,'C - overzicht'!$B$11:$M$53,5)</f>
        <v>355</v>
      </c>
      <c r="V11" s="9">
        <f>VLOOKUP(V8,'C - overzicht'!$B$11:$M$53,5)</f>
        <v>355</v>
      </c>
      <c r="W11" s="9">
        <f>VLOOKUP(W8,'C - overzicht'!$B$11:$M$53,5)</f>
        <v>355</v>
      </c>
      <c r="X11" s="9">
        <f>VLOOKUP(X8,'C - overzicht'!$B$11:$M$53,5)</f>
        <v>355</v>
      </c>
      <c r="Y11" s="9">
        <f>VLOOKUP(Y8,'C - overzicht'!$B$11:$M$53,5)</f>
        <v>355</v>
      </c>
      <c r="Z11" s="9">
        <f>VLOOKUP(Z8,'C - overzicht'!$B$11:$M$53,5)</f>
        <v>355</v>
      </c>
      <c r="AA11" s="9">
        <f>VLOOKUP(AA8,'C - overzicht'!$B$11:$M$53,5)</f>
        <v>355</v>
      </c>
      <c r="AB11" s="9">
        <f>VLOOKUP(AB8,'C - overzicht'!$B$11:$M$53,5)</f>
        <v>355</v>
      </c>
      <c r="AC11" s="9">
        <f>VLOOKUP(AC8,'C - overzicht'!$B$11:$M$53,5)</f>
        <v>355</v>
      </c>
      <c r="AD11" s="9">
        <f>VLOOKUP(AD8,'C - overzicht'!$B$11:$M$53,5)</f>
        <v>355</v>
      </c>
      <c r="AE11" s="9">
        <f>VLOOKUP(AE8,'C - overzicht'!$B$11:$M$53,5)</f>
        <v>355</v>
      </c>
      <c r="AF11" s="9">
        <f>VLOOKUP(AF8,'C - overzicht'!$B$11:$M$53,5)</f>
        <v>355</v>
      </c>
      <c r="AG11" s="9">
        <f>VLOOKUP(AG8,'C - overzicht'!$B$11:$M$53,5)</f>
        <v>355</v>
      </c>
      <c r="AH11" s="9">
        <f>VLOOKUP(AH8,'C - overzicht'!$B$11:$M$53,5)</f>
        <v>355</v>
      </c>
      <c r="AI11" s="9">
        <f>VLOOKUP(AI8,'C - overzicht'!$B$11:$M$53,5)</f>
        <v>355</v>
      </c>
      <c r="AJ11" s="9">
        <f>VLOOKUP(AJ8,'C - overzicht'!$B$11:$M$53,5)</f>
        <v>355</v>
      </c>
      <c r="AK11" s="9">
        <f>VLOOKUP(AK8,'C - overzicht'!$B$11:$M$53,5)</f>
        <v>355</v>
      </c>
      <c r="AL11" s="9">
        <f>VLOOKUP(AL8,'C - overzicht'!$B$11:$M$53,5)</f>
        <v>355</v>
      </c>
      <c r="AM11" s="9">
        <f>VLOOKUP(AM8,'C - overzicht'!$B$11:$M$53,5)</f>
        <v>355</v>
      </c>
      <c r="AN11" s="9">
        <f>VLOOKUP(AN8,'C - overzicht'!$B$11:$M$53,5)</f>
        <v>355</v>
      </c>
      <c r="AO11" s="9">
        <f>VLOOKUP(AO8,'C - overzicht'!$B$11:$M$53,5)</f>
        <v>355</v>
      </c>
      <c r="AP11" s="9">
        <f>VLOOKUP(AP8,'C - overzicht'!$B$11:$M$53,5)</f>
        <v>355</v>
      </c>
      <c r="AQ11" s="9">
        <f>VLOOKUP(AQ8,'C - overzicht'!$B$11:$M$53,5)</f>
        <v>355</v>
      </c>
      <c r="AR11" s="9">
        <f>VLOOKUP(AR8,'C - overzicht'!$B$11:$M$53,5)</f>
        <v>355</v>
      </c>
      <c r="AS11" s="9">
        <f>VLOOKUP(AS8,'C - overzicht'!$B$11:$M$53,5)</f>
        <v>355</v>
      </c>
      <c r="AT11" s="9">
        <f>VLOOKUP(AT8,'C - overzicht'!$B$11:$M$53,5)</f>
        <v>355</v>
      </c>
    </row>
    <row r="12" spans="1:49" ht="12.75" customHeight="1" x14ac:dyDescent="0.2">
      <c r="A12" s="37" t="s">
        <v>124</v>
      </c>
      <c r="B12" s="65" t="s">
        <v>125</v>
      </c>
      <c r="C12" s="37" t="s">
        <v>126</v>
      </c>
      <c r="D12" s="9" t="s">
        <v>127</v>
      </c>
      <c r="E12" s="9">
        <f t="shared" ref="E12:AT12" si="0">E11</f>
        <v>355</v>
      </c>
      <c r="F12" s="9">
        <f t="shared" si="0"/>
        <v>355</v>
      </c>
      <c r="G12" s="9">
        <f t="shared" si="0"/>
        <v>355</v>
      </c>
      <c r="H12" s="9">
        <f t="shared" si="0"/>
        <v>355</v>
      </c>
      <c r="I12" s="9">
        <f t="shared" si="0"/>
        <v>355</v>
      </c>
      <c r="J12" s="9">
        <f t="shared" si="0"/>
        <v>355</v>
      </c>
      <c r="K12" s="9">
        <f t="shared" si="0"/>
        <v>355</v>
      </c>
      <c r="L12" s="9">
        <f t="shared" si="0"/>
        <v>355</v>
      </c>
      <c r="M12" s="9">
        <f t="shared" si="0"/>
        <v>355</v>
      </c>
      <c r="N12" s="9">
        <f t="shared" si="0"/>
        <v>355</v>
      </c>
      <c r="O12" s="9">
        <f t="shared" si="0"/>
        <v>355</v>
      </c>
      <c r="P12" s="9">
        <f t="shared" si="0"/>
        <v>355</v>
      </c>
      <c r="Q12" s="9">
        <f t="shared" si="0"/>
        <v>355</v>
      </c>
      <c r="R12" s="9">
        <f t="shared" si="0"/>
        <v>355</v>
      </c>
      <c r="S12" s="9">
        <f t="shared" si="0"/>
        <v>355</v>
      </c>
      <c r="T12" s="9">
        <f t="shared" si="0"/>
        <v>355</v>
      </c>
      <c r="U12" s="9">
        <f t="shared" si="0"/>
        <v>355</v>
      </c>
      <c r="V12" s="9">
        <f t="shared" si="0"/>
        <v>355</v>
      </c>
      <c r="W12" s="9">
        <f t="shared" si="0"/>
        <v>355</v>
      </c>
      <c r="X12" s="9">
        <f t="shared" si="0"/>
        <v>355</v>
      </c>
      <c r="Y12" s="9">
        <f t="shared" si="0"/>
        <v>355</v>
      </c>
      <c r="Z12" s="9">
        <f t="shared" si="0"/>
        <v>355</v>
      </c>
      <c r="AA12" s="9">
        <f t="shared" si="0"/>
        <v>355</v>
      </c>
      <c r="AB12" s="9">
        <f t="shared" si="0"/>
        <v>355</v>
      </c>
      <c r="AC12" s="9">
        <f t="shared" si="0"/>
        <v>355</v>
      </c>
      <c r="AD12" s="9">
        <f t="shared" si="0"/>
        <v>355</v>
      </c>
      <c r="AE12" s="9">
        <f t="shared" si="0"/>
        <v>355</v>
      </c>
      <c r="AF12" s="9">
        <f t="shared" si="0"/>
        <v>355</v>
      </c>
      <c r="AG12" s="9">
        <f t="shared" si="0"/>
        <v>355</v>
      </c>
      <c r="AH12" s="9">
        <f t="shared" si="0"/>
        <v>355</v>
      </c>
      <c r="AI12" s="9">
        <f t="shared" si="0"/>
        <v>355</v>
      </c>
      <c r="AJ12" s="9">
        <f t="shared" si="0"/>
        <v>355</v>
      </c>
      <c r="AK12" s="9">
        <f t="shared" si="0"/>
        <v>355</v>
      </c>
      <c r="AL12" s="9">
        <f t="shared" si="0"/>
        <v>355</v>
      </c>
      <c r="AM12" s="9">
        <f t="shared" si="0"/>
        <v>355</v>
      </c>
      <c r="AN12" s="9">
        <f t="shared" si="0"/>
        <v>355</v>
      </c>
      <c r="AO12" s="9">
        <f t="shared" si="0"/>
        <v>355</v>
      </c>
      <c r="AP12" s="9">
        <f t="shared" si="0"/>
        <v>355</v>
      </c>
      <c r="AQ12" s="9">
        <f t="shared" si="0"/>
        <v>355</v>
      </c>
      <c r="AR12" s="9">
        <f t="shared" si="0"/>
        <v>355</v>
      </c>
      <c r="AS12" s="9">
        <f t="shared" si="0"/>
        <v>355</v>
      </c>
      <c r="AT12" s="9">
        <f t="shared" si="0"/>
        <v>355</v>
      </c>
    </row>
    <row r="13" spans="1:49" ht="12.75" customHeight="1" x14ac:dyDescent="0.2">
      <c r="A13" s="37" t="s">
        <v>128</v>
      </c>
      <c r="B13" s="65" t="s">
        <v>125</v>
      </c>
      <c r="C13" s="37" t="s">
        <v>129</v>
      </c>
      <c r="D13" s="9" t="s">
        <v>127</v>
      </c>
      <c r="E13" s="9">
        <f t="shared" ref="E13:AT13" si="1">IF(E11=235,360,IF(E11=275,430,IF(E11=355,510,IF(E11=440,550))))</f>
        <v>510</v>
      </c>
      <c r="F13" s="9">
        <f t="shared" si="1"/>
        <v>510</v>
      </c>
      <c r="G13" s="9">
        <f t="shared" si="1"/>
        <v>510</v>
      </c>
      <c r="H13" s="9">
        <f t="shared" si="1"/>
        <v>510</v>
      </c>
      <c r="I13" s="9">
        <f t="shared" si="1"/>
        <v>510</v>
      </c>
      <c r="J13" s="9">
        <f t="shared" si="1"/>
        <v>510</v>
      </c>
      <c r="K13" s="9">
        <f t="shared" si="1"/>
        <v>510</v>
      </c>
      <c r="L13" s="9">
        <f t="shared" si="1"/>
        <v>510</v>
      </c>
      <c r="M13" s="9">
        <f t="shared" si="1"/>
        <v>510</v>
      </c>
      <c r="N13" s="9">
        <f t="shared" si="1"/>
        <v>510</v>
      </c>
      <c r="O13" s="9">
        <f t="shared" si="1"/>
        <v>510</v>
      </c>
      <c r="P13" s="9">
        <f t="shared" si="1"/>
        <v>510</v>
      </c>
      <c r="Q13" s="9">
        <f t="shared" si="1"/>
        <v>510</v>
      </c>
      <c r="R13" s="9">
        <f t="shared" si="1"/>
        <v>510</v>
      </c>
      <c r="S13" s="9">
        <f t="shared" si="1"/>
        <v>510</v>
      </c>
      <c r="T13" s="9">
        <f t="shared" si="1"/>
        <v>510</v>
      </c>
      <c r="U13" s="9">
        <f t="shared" si="1"/>
        <v>510</v>
      </c>
      <c r="V13" s="9">
        <f t="shared" si="1"/>
        <v>510</v>
      </c>
      <c r="W13" s="9">
        <f t="shared" si="1"/>
        <v>510</v>
      </c>
      <c r="X13" s="9">
        <f t="shared" si="1"/>
        <v>510</v>
      </c>
      <c r="Y13" s="9">
        <f t="shared" si="1"/>
        <v>510</v>
      </c>
      <c r="Z13" s="9">
        <f t="shared" si="1"/>
        <v>510</v>
      </c>
      <c r="AA13" s="9">
        <f t="shared" si="1"/>
        <v>510</v>
      </c>
      <c r="AB13" s="9">
        <f t="shared" si="1"/>
        <v>510</v>
      </c>
      <c r="AC13" s="9">
        <f t="shared" si="1"/>
        <v>510</v>
      </c>
      <c r="AD13" s="9">
        <f t="shared" si="1"/>
        <v>510</v>
      </c>
      <c r="AE13" s="9">
        <f t="shared" si="1"/>
        <v>510</v>
      </c>
      <c r="AF13" s="9">
        <f t="shared" si="1"/>
        <v>510</v>
      </c>
      <c r="AG13" s="9">
        <f t="shared" si="1"/>
        <v>510</v>
      </c>
      <c r="AH13" s="9">
        <f t="shared" si="1"/>
        <v>510</v>
      </c>
      <c r="AI13" s="9">
        <f t="shared" si="1"/>
        <v>510</v>
      </c>
      <c r="AJ13" s="9">
        <f t="shared" si="1"/>
        <v>510</v>
      </c>
      <c r="AK13" s="9">
        <f t="shared" si="1"/>
        <v>510</v>
      </c>
      <c r="AL13" s="9">
        <f t="shared" si="1"/>
        <v>510</v>
      </c>
      <c r="AM13" s="9">
        <f t="shared" si="1"/>
        <v>510</v>
      </c>
      <c r="AN13" s="9">
        <f t="shared" si="1"/>
        <v>510</v>
      </c>
      <c r="AO13" s="9">
        <f t="shared" si="1"/>
        <v>510</v>
      </c>
      <c r="AP13" s="9">
        <f t="shared" si="1"/>
        <v>510</v>
      </c>
      <c r="AQ13" s="9">
        <f t="shared" si="1"/>
        <v>510</v>
      </c>
      <c r="AR13" s="9">
        <f t="shared" si="1"/>
        <v>510</v>
      </c>
      <c r="AS13" s="9">
        <f t="shared" si="1"/>
        <v>510</v>
      </c>
      <c r="AT13" s="9">
        <f t="shared" si="1"/>
        <v>510</v>
      </c>
    </row>
    <row r="14" spans="1:49" ht="12.75" customHeight="1" x14ac:dyDescent="0.2">
      <c r="A14" s="37" t="s">
        <v>130</v>
      </c>
      <c r="B14" s="65" t="s">
        <v>131</v>
      </c>
      <c r="C14" s="37" t="s">
        <v>132</v>
      </c>
      <c r="D14" s="9" t="s">
        <v>127</v>
      </c>
      <c r="E14" s="52">
        <f t="shared" ref="E14:AT14" si="2">2.1*10^5</f>
        <v>210000</v>
      </c>
      <c r="F14" s="52">
        <f t="shared" si="2"/>
        <v>210000</v>
      </c>
      <c r="G14" s="52">
        <f t="shared" si="2"/>
        <v>210000</v>
      </c>
      <c r="H14" s="52">
        <f t="shared" si="2"/>
        <v>210000</v>
      </c>
      <c r="I14" s="52">
        <f t="shared" si="2"/>
        <v>210000</v>
      </c>
      <c r="J14" s="52">
        <f t="shared" si="2"/>
        <v>210000</v>
      </c>
      <c r="K14" s="52">
        <f t="shared" si="2"/>
        <v>210000</v>
      </c>
      <c r="L14" s="52">
        <f t="shared" si="2"/>
        <v>210000</v>
      </c>
      <c r="M14" s="52">
        <f t="shared" si="2"/>
        <v>210000</v>
      </c>
      <c r="N14" s="52">
        <f t="shared" si="2"/>
        <v>210000</v>
      </c>
      <c r="O14" s="52">
        <f t="shared" si="2"/>
        <v>210000</v>
      </c>
      <c r="P14" s="52">
        <f t="shared" si="2"/>
        <v>210000</v>
      </c>
      <c r="Q14" s="52">
        <f t="shared" si="2"/>
        <v>210000</v>
      </c>
      <c r="R14" s="52">
        <f t="shared" si="2"/>
        <v>210000</v>
      </c>
      <c r="S14" s="52">
        <f t="shared" si="2"/>
        <v>210000</v>
      </c>
      <c r="T14" s="52">
        <f t="shared" si="2"/>
        <v>210000</v>
      </c>
      <c r="U14" s="52">
        <f t="shared" si="2"/>
        <v>210000</v>
      </c>
      <c r="V14" s="52">
        <f t="shared" si="2"/>
        <v>210000</v>
      </c>
      <c r="W14" s="52">
        <f t="shared" si="2"/>
        <v>210000</v>
      </c>
      <c r="X14" s="52">
        <f t="shared" si="2"/>
        <v>210000</v>
      </c>
      <c r="Y14" s="52">
        <f t="shared" si="2"/>
        <v>210000</v>
      </c>
      <c r="Z14" s="52">
        <f t="shared" si="2"/>
        <v>210000</v>
      </c>
      <c r="AA14" s="52">
        <f t="shared" si="2"/>
        <v>210000</v>
      </c>
      <c r="AB14" s="52">
        <f t="shared" si="2"/>
        <v>210000</v>
      </c>
      <c r="AC14" s="52">
        <f t="shared" si="2"/>
        <v>210000</v>
      </c>
      <c r="AD14" s="52">
        <f t="shared" si="2"/>
        <v>210000</v>
      </c>
      <c r="AE14" s="52">
        <f t="shared" si="2"/>
        <v>210000</v>
      </c>
      <c r="AF14" s="52">
        <f t="shared" si="2"/>
        <v>210000</v>
      </c>
      <c r="AG14" s="52">
        <f t="shared" si="2"/>
        <v>210000</v>
      </c>
      <c r="AH14" s="52">
        <f t="shared" si="2"/>
        <v>210000</v>
      </c>
      <c r="AI14" s="52">
        <f t="shared" si="2"/>
        <v>210000</v>
      </c>
      <c r="AJ14" s="52">
        <f t="shared" si="2"/>
        <v>210000</v>
      </c>
      <c r="AK14" s="52">
        <f t="shared" si="2"/>
        <v>210000</v>
      </c>
      <c r="AL14" s="52">
        <f t="shared" si="2"/>
        <v>210000</v>
      </c>
      <c r="AM14" s="52">
        <f t="shared" si="2"/>
        <v>210000</v>
      </c>
      <c r="AN14" s="52">
        <f t="shared" si="2"/>
        <v>210000</v>
      </c>
      <c r="AO14" s="52">
        <f t="shared" si="2"/>
        <v>210000</v>
      </c>
      <c r="AP14" s="52">
        <f t="shared" si="2"/>
        <v>210000</v>
      </c>
      <c r="AQ14" s="52">
        <f t="shared" si="2"/>
        <v>210000</v>
      </c>
      <c r="AR14" s="52">
        <f t="shared" si="2"/>
        <v>210000</v>
      </c>
      <c r="AS14" s="52">
        <f t="shared" si="2"/>
        <v>210000</v>
      </c>
      <c r="AT14" s="52">
        <f t="shared" si="2"/>
        <v>210000</v>
      </c>
    </row>
    <row r="15" spans="1:49" ht="12.75" customHeight="1" x14ac:dyDescent="0.2">
      <c r="A15" s="45" t="s">
        <v>133</v>
      </c>
      <c r="B15" s="65" t="s">
        <v>134</v>
      </c>
      <c r="D15" s="44" t="s">
        <v>113</v>
      </c>
      <c r="E15" s="47">
        <f t="shared" ref="E15:AT15" si="3">SQRT(235/E12)</f>
        <v>0.81361651346682706</v>
      </c>
      <c r="F15" s="47">
        <f t="shared" si="3"/>
        <v>0.81361651346682706</v>
      </c>
      <c r="G15" s="47">
        <f t="shared" si="3"/>
        <v>0.81361651346682706</v>
      </c>
      <c r="H15" s="47">
        <f t="shared" si="3"/>
        <v>0.81361651346682706</v>
      </c>
      <c r="I15" s="47">
        <f t="shared" si="3"/>
        <v>0.81361651346682706</v>
      </c>
      <c r="J15" s="47">
        <f t="shared" si="3"/>
        <v>0.81361651346682706</v>
      </c>
      <c r="K15" s="47">
        <f t="shared" si="3"/>
        <v>0.81361651346682706</v>
      </c>
      <c r="L15" s="47">
        <f t="shared" si="3"/>
        <v>0.81361651346682706</v>
      </c>
      <c r="M15" s="47">
        <f t="shared" si="3"/>
        <v>0.81361651346682706</v>
      </c>
      <c r="N15" s="47">
        <f t="shared" si="3"/>
        <v>0.81361651346682706</v>
      </c>
      <c r="O15" s="47">
        <f t="shared" si="3"/>
        <v>0.81361651346682706</v>
      </c>
      <c r="P15" s="47">
        <f t="shared" si="3"/>
        <v>0.81361651346682706</v>
      </c>
      <c r="Q15" s="47">
        <f t="shared" si="3"/>
        <v>0.81361651346682706</v>
      </c>
      <c r="R15" s="47">
        <f t="shared" si="3"/>
        <v>0.81361651346682706</v>
      </c>
      <c r="S15" s="47">
        <f t="shared" si="3"/>
        <v>0.81361651346682706</v>
      </c>
      <c r="T15" s="47">
        <f t="shared" si="3"/>
        <v>0.81361651346682706</v>
      </c>
      <c r="U15" s="47">
        <f t="shared" si="3"/>
        <v>0.81361651346682706</v>
      </c>
      <c r="V15" s="47">
        <f t="shared" si="3"/>
        <v>0.81361651346682706</v>
      </c>
      <c r="W15" s="47">
        <f t="shared" si="3"/>
        <v>0.81361651346682706</v>
      </c>
      <c r="X15" s="47">
        <f t="shared" si="3"/>
        <v>0.81361651346682706</v>
      </c>
      <c r="Y15" s="47">
        <f t="shared" si="3"/>
        <v>0.81361651346682706</v>
      </c>
      <c r="Z15" s="47">
        <f t="shared" si="3"/>
        <v>0.81361651346682706</v>
      </c>
      <c r="AA15" s="47">
        <f t="shared" si="3"/>
        <v>0.81361651346682706</v>
      </c>
      <c r="AB15" s="47">
        <f t="shared" si="3"/>
        <v>0.81361651346682706</v>
      </c>
      <c r="AC15" s="47">
        <f t="shared" si="3"/>
        <v>0.81361651346682706</v>
      </c>
      <c r="AD15" s="47">
        <f t="shared" si="3"/>
        <v>0.81361651346682706</v>
      </c>
      <c r="AE15" s="47">
        <f t="shared" si="3"/>
        <v>0.81361651346682706</v>
      </c>
      <c r="AF15" s="47">
        <f t="shared" si="3"/>
        <v>0.81361651346682706</v>
      </c>
      <c r="AG15" s="47">
        <f t="shared" si="3"/>
        <v>0.81361651346682706</v>
      </c>
      <c r="AH15" s="47">
        <f t="shared" si="3"/>
        <v>0.81361651346682706</v>
      </c>
      <c r="AI15" s="47">
        <f t="shared" si="3"/>
        <v>0.81361651346682706</v>
      </c>
      <c r="AJ15" s="47">
        <f t="shared" si="3"/>
        <v>0.81361651346682706</v>
      </c>
      <c r="AK15" s="47">
        <f t="shared" si="3"/>
        <v>0.81361651346682706</v>
      </c>
      <c r="AL15" s="47">
        <f t="shared" si="3"/>
        <v>0.81361651346682706</v>
      </c>
      <c r="AM15" s="47">
        <f t="shared" si="3"/>
        <v>0.81361651346682706</v>
      </c>
      <c r="AN15" s="47">
        <f t="shared" si="3"/>
        <v>0.81361651346682706</v>
      </c>
      <c r="AO15" s="47">
        <f t="shared" si="3"/>
        <v>0.81361651346682706</v>
      </c>
      <c r="AP15" s="47">
        <f t="shared" si="3"/>
        <v>0.81361651346682706</v>
      </c>
      <c r="AQ15" s="47">
        <f t="shared" si="3"/>
        <v>0.81361651346682706</v>
      </c>
      <c r="AR15" s="47">
        <f t="shared" si="3"/>
        <v>0.81361651346682706</v>
      </c>
      <c r="AS15" s="47">
        <f t="shared" si="3"/>
        <v>0.81361651346682706</v>
      </c>
      <c r="AT15" s="47">
        <f t="shared" si="3"/>
        <v>0.81361651346682706</v>
      </c>
    </row>
    <row r="16" spans="1:49" ht="12.75" customHeight="1" x14ac:dyDescent="0.2">
      <c r="A16" s="45" t="s">
        <v>135</v>
      </c>
      <c r="B16" s="65" t="s">
        <v>136</v>
      </c>
      <c r="D16" s="44" t="s">
        <v>113</v>
      </c>
      <c r="E16" s="47">
        <f t="shared" ref="E16:AT16" si="4">PI()*SQRT((E14/E12))</f>
        <v>76.409145611234095</v>
      </c>
      <c r="F16" s="47">
        <f t="shared" si="4"/>
        <v>76.409145611234095</v>
      </c>
      <c r="G16" s="47">
        <f t="shared" si="4"/>
        <v>76.409145611234095</v>
      </c>
      <c r="H16" s="47">
        <f t="shared" si="4"/>
        <v>76.409145611234095</v>
      </c>
      <c r="I16" s="47">
        <f t="shared" si="4"/>
        <v>76.409145611234095</v>
      </c>
      <c r="J16" s="47">
        <f t="shared" si="4"/>
        <v>76.409145611234095</v>
      </c>
      <c r="K16" s="47">
        <f t="shared" si="4"/>
        <v>76.409145611234095</v>
      </c>
      <c r="L16" s="47">
        <f t="shared" si="4"/>
        <v>76.409145611234095</v>
      </c>
      <c r="M16" s="47">
        <f t="shared" si="4"/>
        <v>76.409145611234095</v>
      </c>
      <c r="N16" s="47">
        <f t="shared" si="4"/>
        <v>76.409145611234095</v>
      </c>
      <c r="O16" s="47">
        <f t="shared" si="4"/>
        <v>76.409145611234095</v>
      </c>
      <c r="P16" s="47">
        <f t="shared" si="4"/>
        <v>76.409145611234095</v>
      </c>
      <c r="Q16" s="47">
        <f t="shared" si="4"/>
        <v>76.409145611234095</v>
      </c>
      <c r="R16" s="47">
        <f t="shared" si="4"/>
        <v>76.409145611234095</v>
      </c>
      <c r="S16" s="47">
        <f t="shared" si="4"/>
        <v>76.409145611234095</v>
      </c>
      <c r="T16" s="47">
        <f t="shared" si="4"/>
        <v>76.409145611234095</v>
      </c>
      <c r="U16" s="47">
        <f t="shared" si="4"/>
        <v>76.409145611234095</v>
      </c>
      <c r="V16" s="47">
        <f t="shared" si="4"/>
        <v>76.409145611234095</v>
      </c>
      <c r="W16" s="47">
        <f t="shared" si="4"/>
        <v>76.409145611234095</v>
      </c>
      <c r="X16" s="47">
        <f t="shared" si="4"/>
        <v>76.409145611234095</v>
      </c>
      <c r="Y16" s="47">
        <f t="shared" si="4"/>
        <v>76.409145611234095</v>
      </c>
      <c r="Z16" s="47">
        <f t="shared" si="4"/>
        <v>76.409145611234095</v>
      </c>
      <c r="AA16" s="47">
        <f t="shared" si="4"/>
        <v>76.409145611234095</v>
      </c>
      <c r="AB16" s="47">
        <f t="shared" si="4"/>
        <v>76.409145611234095</v>
      </c>
      <c r="AC16" s="47">
        <f t="shared" si="4"/>
        <v>76.409145611234095</v>
      </c>
      <c r="AD16" s="47">
        <f t="shared" si="4"/>
        <v>76.409145611234095</v>
      </c>
      <c r="AE16" s="47">
        <f t="shared" si="4"/>
        <v>76.409145611234095</v>
      </c>
      <c r="AF16" s="47">
        <f t="shared" si="4"/>
        <v>76.409145611234095</v>
      </c>
      <c r="AG16" s="47">
        <f t="shared" si="4"/>
        <v>76.409145611234095</v>
      </c>
      <c r="AH16" s="47">
        <f t="shared" si="4"/>
        <v>76.409145611234095</v>
      </c>
      <c r="AI16" s="47">
        <f t="shared" si="4"/>
        <v>76.409145611234095</v>
      </c>
      <c r="AJ16" s="47">
        <f t="shared" si="4"/>
        <v>76.409145611234095</v>
      </c>
      <c r="AK16" s="47">
        <f t="shared" si="4"/>
        <v>76.409145611234095</v>
      </c>
      <c r="AL16" s="47">
        <f t="shared" si="4"/>
        <v>76.409145611234095</v>
      </c>
      <c r="AM16" s="47">
        <f t="shared" si="4"/>
        <v>76.409145611234095</v>
      </c>
      <c r="AN16" s="47">
        <f t="shared" si="4"/>
        <v>76.409145611234095</v>
      </c>
      <c r="AO16" s="47">
        <f t="shared" si="4"/>
        <v>76.409145611234095</v>
      </c>
      <c r="AP16" s="47">
        <f t="shared" si="4"/>
        <v>76.409145611234095</v>
      </c>
      <c r="AQ16" s="47">
        <f t="shared" si="4"/>
        <v>76.409145611234095</v>
      </c>
      <c r="AR16" s="47">
        <f t="shared" si="4"/>
        <v>76.409145611234095</v>
      </c>
      <c r="AS16" s="47">
        <f t="shared" si="4"/>
        <v>76.409145611234095</v>
      </c>
      <c r="AT16" s="47">
        <f t="shared" si="4"/>
        <v>76.409145611234095</v>
      </c>
    </row>
    <row r="17" spans="1:46" ht="12.75" customHeight="1" x14ac:dyDescent="0.2">
      <c r="B17" s="65"/>
    </row>
    <row r="18" spans="1:46" ht="12.75" customHeight="1" x14ac:dyDescent="0.2">
      <c r="A18" s="43" t="s">
        <v>137</v>
      </c>
      <c r="B18" s="65"/>
    </row>
    <row r="19" spans="1:46" ht="12.75" customHeight="1" x14ac:dyDescent="0.2">
      <c r="A19" s="46" t="s">
        <v>261</v>
      </c>
      <c r="B19" s="65"/>
      <c r="C19" s="63" t="s">
        <v>262</v>
      </c>
      <c r="D19" s="44" t="s">
        <v>141</v>
      </c>
      <c r="E19" s="9">
        <f>VLOOKUP(E$8,'C - overzicht'!$B$11:$P$53,3,0)</f>
        <v>0</v>
      </c>
      <c r="F19" s="9">
        <f>VLOOKUP(F$8,'C - overzicht'!$B$11:$P$53,3,0)</f>
        <v>0</v>
      </c>
      <c r="G19" s="9">
        <f>VLOOKUP(G$8,'C - overzicht'!$B$11:$P$53,3,0)</f>
        <v>0</v>
      </c>
      <c r="H19" s="9">
        <f>VLOOKUP(H$8,'C - overzicht'!$B$11:$P$53,3,0)</f>
        <v>0</v>
      </c>
      <c r="I19" s="9">
        <f>VLOOKUP(I$8,'C - overzicht'!$B$11:$P$53,3,0)</f>
        <v>0</v>
      </c>
      <c r="J19" s="9">
        <f>VLOOKUP(J$8,'C - overzicht'!$B$11:$P$53,3,0)</f>
        <v>0</v>
      </c>
      <c r="K19" s="9">
        <f>VLOOKUP(K$8,'C - overzicht'!$B$11:$P$53,3,0)</f>
        <v>0</v>
      </c>
      <c r="L19" s="9">
        <f>VLOOKUP(L$8,'C - overzicht'!$B$11:$P$53,3,0)</f>
        <v>0</v>
      </c>
      <c r="M19" s="9">
        <f>VLOOKUP(M$8,'C - overzicht'!$B$11:$P$53,3,0)</f>
        <v>0</v>
      </c>
      <c r="N19" s="9">
        <f>VLOOKUP(N$8,'C - overzicht'!$B$11:$P$53,3,0)</f>
        <v>0</v>
      </c>
      <c r="O19" s="9">
        <f>VLOOKUP(O$8,'C - overzicht'!$B$11:$P$53,3,0)</f>
        <v>0</v>
      </c>
      <c r="P19" s="9">
        <f>VLOOKUP(P$8,'C - overzicht'!$B$11:$P$53,3,0)</f>
        <v>0</v>
      </c>
      <c r="Q19" s="9">
        <f>VLOOKUP(Q$8,'C - overzicht'!$B$11:$P$53,3,0)</f>
        <v>0</v>
      </c>
      <c r="R19" s="9">
        <f>VLOOKUP(R$8,'C - overzicht'!$B$11:$P$53,3,0)</f>
        <v>0</v>
      </c>
      <c r="S19" s="9">
        <f>VLOOKUP(S$8,'C - overzicht'!$B$11:$P$53,3,0)</f>
        <v>0</v>
      </c>
      <c r="T19" s="9">
        <f>VLOOKUP(T$8,'C - overzicht'!$B$11:$P$53,3,0)</f>
        <v>0</v>
      </c>
      <c r="U19" s="9">
        <f>VLOOKUP(U$8,'C - overzicht'!$B$11:$P$53,3,0)</f>
        <v>0</v>
      </c>
      <c r="V19" s="9">
        <f>VLOOKUP(V$8,'C - overzicht'!$B$11:$P$53,3,0)</f>
        <v>0</v>
      </c>
      <c r="W19" s="9">
        <f>VLOOKUP(W$8,'C - overzicht'!$B$11:$P$53,3,0)</f>
        <v>0</v>
      </c>
      <c r="X19" s="9">
        <f>VLOOKUP(X$8,'C - overzicht'!$B$11:$P$53,3,0)</f>
        <v>0</v>
      </c>
      <c r="Y19" s="9">
        <f>VLOOKUP(Y$8,'C - overzicht'!$B$11:$P$53,3,0)</f>
        <v>0</v>
      </c>
      <c r="Z19" s="9">
        <f>VLOOKUP(Z$8,'C - overzicht'!$B$11:$P$53,3,0)</f>
        <v>0</v>
      </c>
      <c r="AA19" s="9">
        <f>VLOOKUP(AA$8,'C - overzicht'!$B$11:$P$53,3,0)</f>
        <v>0</v>
      </c>
      <c r="AB19" s="9">
        <f>VLOOKUP(AB$8,'C - overzicht'!$B$11:$P$53,3,0)</f>
        <v>0</v>
      </c>
      <c r="AC19" s="9">
        <f>VLOOKUP(AC$8,'C - overzicht'!$B$11:$P$53,3,0)</f>
        <v>0</v>
      </c>
      <c r="AD19" s="9">
        <f>VLOOKUP(AD$8,'C - overzicht'!$B$11:$P$53,3,0)</f>
        <v>0</v>
      </c>
      <c r="AE19" s="9">
        <f>VLOOKUP(AE$8,'C - overzicht'!$B$11:$P$53,3,0)</f>
        <v>0</v>
      </c>
      <c r="AF19" s="9">
        <f>VLOOKUP(AF$8,'C - overzicht'!$B$11:$P$53,3,0)</f>
        <v>0</v>
      </c>
      <c r="AG19" s="9">
        <f>VLOOKUP(AG$8,'C - overzicht'!$B$11:$P$53,3,0)</f>
        <v>0</v>
      </c>
      <c r="AH19" s="9">
        <f>VLOOKUP(AH$8,'C - overzicht'!$B$11:$P$53,3,0)</f>
        <v>0</v>
      </c>
      <c r="AI19" s="9">
        <f>VLOOKUP(AI$8,'C - overzicht'!$B$11:$P$53,3,0)</f>
        <v>0</v>
      </c>
      <c r="AJ19" s="9">
        <f>VLOOKUP(AJ$8,'C - overzicht'!$B$11:$P$53,3,0)</f>
        <v>0</v>
      </c>
      <c r="AK19" s="9">
        <f>VLOOKUP(AK$8,'C - overzicht'!$B$11:$P$53,3,0)</f>
        <v>0</v>
      </c>
      <c r="AL19" s="9">
        <f>VLOOKUP(AL$8,'C - overzicht'!$B$11:$P$53,3,0)</f>
        <v>0</v>
      </c>
      <c r="AM19" s="9">
        <f>VLOOKUP(AM$8,'C - overzicht'!$B$11:$P$53,3,0)</f>
        <v>0</v>
      </c>
      <c r="AN19" s="9">
        <f>VLOOKUP(AN$8,'C - overzicht'!$B$11:$P$53,3,0)</f>
        <v>0</v>
      </c>
      <c r="AO19" s="9">
        <f>VLOOKUP(AO$8,'C - overzicht'!$B$11:$P$53,3,0)</f>
        <v>0</v>
      </c>
      <c r="AP19" s="9">
        <f>VLOOKUP(AP$8,'C - overzicht'!$B$11:$P$53,3,0)</f>
        <v>0</v>
      </c>
      <c r="AQ19" s="9">
        <f>VLOOKUP(AQ$8,'C - overzicht'!$B$11:$P$53,3,0)</f>
        <v>0</v>
      </c>
      <c r="AR19" s="9">
        <f>VLOOKUP(AR$8,'C - overzicht'!$B$11:$P$53,3,0)</f>
        <v>0</v>
      </c>
      <c r="AS19" s="9">
        <f>VLOOKUP(AS$8,'C - overzicht'!$B$11:$P$53,3,0)</f>
        <v>0</v>
      </c>
      <c r="AT19" s="9">
        <f>VLOOKUP(AT$8,'C - overzicht'!$B$11:$P$53,3,0)</f>
        <v>0</v>
      </c>
    </row>
    <row r="20" spans="1:46" ht="12.75" customHeight="1" x14ac:dyDescent="0.2">
      <c r="A20" s="46" t="s">
        <v>263</v>
      </c>
      <c r="B20" s="65"/>
      <c r="C20" s="63" t="s">
        <v>264</v>
      </c>
      <c r="D20" s="44" t="s">
        <v>141</v>
      </c>
      <c r="E20" s="9">
        <f>VLOOKUP(E$8,'C - overzicht'!$B$11:$P$53,4,0)</f>
        <v>0</v>
      </c>
      <c r="F20" s="9">
        <f>VLOOKUP(F$8,'C - overzicht'!$B$11:$P$53,4,0)</f>
        <v>0</v>
      </c>
      <c r="G20" s="9">
        <f>VLOOKUP(G$8,'C - overzicht'!$B$11:$P$53,4,0)</f>
        <v>0</v>
      </c>
      <c r="H20" s="9">
        <f>VLOOKUP(H$8,'C - overzicht'!$B$11:$P$53,4,0)</f>
        <v>0</v>
      </c>
      <c r="I20" s="9">
        <f>VLOOKUP(I$8,'C - overzicht'!$B$11:$P$53,4,0)</f>
        <v>0</v>
      </c>
      <c r="J20" s="9">
        <f>VLOOKUP(J$8,'C - overzicht'!$B$11:$P$53,4,0)</f>
        <v>0</v>
      </c>
      <c r="K20" s="9">
        <f>VLOOKUP(K$8,'C - overzicht'!$B$11:$P$53,4,0)</f>
        <v>0</v>
      </c>
      <c r="L20" s="9">
        <f>VLOOKUP(L$8,'C - overzicht'!$B$11:$P$53,4,0)</f>
        <v>0</v>
      </c>
      <c r="M20" s="9">
        <f>VLOOKUP(M$8,'C - overzicht'!$B$11:$P$53,4,0)</f>
        <v>0</v>
      </c>
      <c r="N20" s="9">
        <f>VLOOKUP(N$8,'C - overzicht'!$B$11:$P$53,4,0)</f>
        <v>0</v>
      </c>
      <c r="O20" s="9">
        <f>VLOOKUP(O$8,'C - overzicht'!$B$11:$P$53,4,0)</f>
        <v>0</v>
      </c>
      <c r="P20" s="9">
        <f>VLOOKUP(P$8,'C - overzicht'!$B$11:$P$53,4,0)</f>
        <v>0</v>
      </c>
      <c r="Q20" s="9">
        <f>VLOOKUP(Q$8,'C - overzicht'!$B$11:$P$53,4,0)</f>
        <v>0</v>
      </c>
      <c r="R20" s="9">
        <f>VLOOKUP(R$8,'C - overzicht'!$B$11:$P$53,4,0)</f>
        <v>0</v>
      </c>
      <c r="S20" s="9">
        <f>VLOOKUP(S$8,'C - overzicht'!$B$11:$P$53,4,0)</f>
        <v>0</v>
      </c>
      <c r="T20" s="9">
        <f>VLOOKUP(T$8,'C - overzicht'!$B$11:$P$53,4,0)</f>
        <v>0</v>
      </c>
      <c r="U20" s="9">
        <f>VLOOKUP(U$8,'C - overzicht'!$B$11:$P$53,4,0)</f>
        <v>0</v>
      </c>
      <c r="V20" s="9">
        <f>VLOOKUP(V$8,'C - overzicht'!$B$11:$P$53,4,0)</f>
        <v>0</v>
      </c>
      <c r="W20" s="9">
        <f>VLOOKUP(W$8,'C - overzicht'!$B$11:$P$53,4,0)</f>
        <v>0</v>
      </c>
      <c r="X20" s="9">
        <f>VLOOKUP(X$8,'C - overzicht'!$B$11:$P$53,4,0)</f>
        <v>0</v>
      </c>
      <c r="Y20" s="9">
        <f>VLOOKUP(Y$8,'C - overzicht'!$B$11:$P$53,4,0)</f>
        <v>0</v>
      </c>
      <c r="Z20" s="9">
        <f>VLOOKUP(Z$8,'C - overzicht'!$B$11:$P$53,4,0)</f>
        <v>0</v>
      </c>
      <c r="AA20" s="9">
        <f>VLOOKUP(AA$8,'C - overzicht'!$B$11:$P$53,4,0)</f>
        <v>0</v>
      </c>
      <c r="AB20" s="9">
        <f>VLOOKUP(AB$8,'C - overzicht'!$B$11:$P$53,4,0)</f>
        <v>0</v>
      </c>
      <c r="AC20" s="9">
        <f>VLOOKUP(AC$8,'C - overzicht'!$B$11:$P$53,4,0)</f>
        <v>0</v>
      </c>
      <c r="AD20" s="9">
        <f>VLOOKUP(AD$8,'C - overzicht'!$B$11:$P$53,4,0)</f>
        <v>0</v>
      </c>
      <c r="AE20" s="9">
        <f>VLOOKUP(AE$8,'C - overzicht'!$B$11:$P$53,4,0)</f>
        <v>0</v>
      </c>
      <c r="AF20" s="9">
        <f>VLOOKUP(AF$8,'C - overzicht'!$B$11:$P$53,4,0)</f>
        <v>0</v>
      </c>
      <c r="AG20" s="9">
        <f>VLOOKUP(AG$8,'C - overzicht'!$B$11:$P$53,4,0)</f>
        <v>0</v>
      </c>
      <c r="AH20" s="9">
        <f>VLOOKUP(AH$8,'C - overzicht'!$B$11:$P$53,4,0)</f>
        <v>0</v>
      </c>
      <c r="AI20" s="9">
        <f>VLOOKUP(AI$8,'C - overzicht'!$B$11:$P$53,4,0)</f>
        <v>0</v>
      </c>
      <c r="AJ20" s="9">
        <f>VLOOKUP(AJ$8,'C - overzicht'!$B$11:$P$53,4,0)</f>
        <v>0</v>
      </c>
      <c r="AK20" s="9">
        <f>VLOOKUP(AK$8,'C - overzicht'!$B$11:$P$53,4,0)</f>
        <v>0</v>
      </c>
      <c r="AL20" s="9">
        <f>VLOOKUP(AL$8,'C - overzicht'!$B$11:$P$53,4,0)</f>
        <v>0</v>
      </c>
      <c r="AM20" s="9">
        <f>VLOOKUP(AM$8,'C - overzicht'!$B$11:$P$53,4,0)</f>
        <v>0</v>
      </c>
      <c r="AN20" s="9">
        <f>VLOOKUP(AN$8,'C - overzicht'!$B$11:$P$53,4,0)</f>
        <v>0</v>
      </c>
      <c r="AO20" s="9">
        <f>VLOOKUP(AO$8,'C - overzicht'!$B$11:$P$53,4,0)</f>
        <v>0</v>
      </c>
      <c r="AP20" s="9">
        <f>VLOOKUP(AP$8,'C - overzicht'!$B$11:$P$53,4,0)</f>
        <v>0</v>
      </c>
      <c r="AQ20" s="9">
        <f>VLOOKUP(AQ$8,'C - overzicht'!$B$11:$P$53,4,0)</f>
        <v>0</v>
      </c>
      <c r="AR20" s="9">
        <f>VLOOKUP(AR$8,'C - overzicht'!$B$11:$P$53,4,0)</f>
        <v>0</v>
      </c>
      <c r="AS20" s="9">
        <f>VLOOKUP(AS$8,'C - overzicht'!$B$11:$P$53,4,0)</f>
        <v>0</v>
      </c>
      <c r="AT20" s="9">
        <f>VLOOKUP(AT$8,'C - overzicht'!$B$11:$P$53,4,0)</f>
        <v>0</v>
      </c>
    </row>
    <row r="21" spans="1:46" ht="12.75" customHeight="1" x14ac:dyDescent="0.2">
      <c r="B21" s="65"/>
      <c r="C21" s="63" t="s">
        <v>265</v>
      </c>
      <c r="D21" s="44" t="s">
        <v>141</v>
      </c>
      <c r="E21" s="9">
        <f t="shared" ref="E21:AT21" si="5">E19-E20-E20</f>
        <v>0</v>
      </c>
      <c r="F21" s="9">
        <f t="shared" si="5"/>
        <v>0</v>
      </c>
      <c r="G21" s="9">
        <f t="shared" si="5"/>
        <v>0</v>
      </c>
      <c r="H21" s="9">
        <f t="shared" si="5"/>
        <v>0</v>
      </c>
      <c r="I21" s="9">
        <f t="shared" si="5"/>
        <v>0</v>
      </c>
      <c r="J21" s="9">
        <f t="shared" si="5"/>
        <v>0</v>
      </c>
      <c r="K21" s="9">
        <f t="shared" si="5"/>
        <v>0</v>
      </c>
      <c r="L21" s="9">
        <f t="shared" si="5"/>
        <v>0</v>
      </c>
      <c r="M21" s="9">
        <f t="shared" si="5"/>
        <v>0</v>
      </c>
      <c r="N21" s="9">
        <f t="shared" si="5"/>
        <v>0</v>
      </c>
      <c r="O21" s="9">
        <f t="shared" si="5"/>
        <v>0</v>
      </c>
      <c r="P21" s="9">
        <f t="shared" si="5"/>
        <v>0</v>
      </c>
      <c r="Q21" s="9">
        <f t="shared" si="5"/>
        <v>0</v>
      </c>
      <c r="R21" s="9">
        <f t="shared" si="5"/>
        <v>0</v>
      </c>
      <c r="S21" s="9">
        <f t="shared" si="5"/>
        <v>0</v>
      </c>
      <c r="T21" s="9">
        <f t="shared" si="5"/>
        <v>0</v>
      </c>
      <c r="U21" s="9">
        <f t="shared" si="5"/>
        <v>0</v>
      </c>
      <c r="V21" s="9">
        <f t="shared" si="5"/>
        <v>0</v>
      </c>
      <c r="W21" s="9">
        <f t="shared" si="5"/>
        <v>0</v>
      </c>
      <c r="X21" s="9">
        <f t="shared" si="5"/>
        <v>0</v>
      </c>
      <c r="Y21" s="9">
        <f t="shared" si="5"/>
        <v>0</v>
      </c>
      <c r="Z21" s="9">
        <f t="shared" si="5"/>
        <v>0</v>
      </c>
      <c r="AA21" s="9">
        <f t="shared" si="5"/>
        <v>0</v>
      </c>
      <c r="AB21" s="9">
        <f t="shared" si="5"/>
        <v>0</v>
      </c>
      <c r="AC21" s="9">
        <f t="shared" si="5"/>
        <v>0</v>
      </c>
      <c r="AD21" s="9">
        <f t="shared" si="5"/>
        <v>0</v>
      </c>
      <c r="AE21" s="9">
        <f t="shared" si="5"/>
        <v>0</v>
      </c>
      <c r="AF21" s="9">
        <f t="shared" si="5"/>
        <v>0</v>
      </c>
      <c r="AG21" s="9">
        <f t="shared" si="5"/>
        <v>0</v>
      </c>
      <c r="AH21" s="9">
        <f t="shared" si="5"/>
        <v>0</v>
      </c>
      <c r="AI21" s="9">
        <f t="shared" si="5"/>
        <v>0</v>
      </c>
      <c r="AJ21" s="9">
        <f t="shared" si="5"/>
        <v>0</v>
      </c>
      <c r="AK21" s="9">
        <f t="shared" si="5"/>
        <v>0</v>
      </c>
      <c r="AL21" s="9">
        <f t="shared" si="5"/>
        <v>0</v>
      </c>
      <c r="AM21" s="9">
        <f t="shared" si="5"/>
        <v>0</v>
      </c>
      <c r="AN21" s="9">
        <f t="shared" si="5"/>
        <v>0</v>
      </c>
      <c r="AO21" s="9">
        <f t="shared" si="5"/>
        <v>0</v>
      </c>
      <c r="AP21" s="9">
        <f t="shared" si="5"/>
        <v>0</v>
      </c>
      <c r="AQ21" s="9">
        <f t="shared" si="5"/>
        <v>0</v>
      </c>
      <c r="AR21" s="9">
        <f t="shared" si="5"/>
        <v>0</v>
      </c>
      <c r="AS21" s="9">
        <f t="shared" si="5"/>
        <v>0</v>
      </c>
      <c r="AT21" s="9">
        <f t="shared" si="5"/>
        <v>0</v>
      </c>
    </row>
    <row r="22" spans="1:46" ht="12.75" customHeight="1" x14ac:dyDescent="0.2">
      <c r="B22" s="65"/>
      <c r="C22" s="63" t="s">
        <v>266</v>
      </c>
      <c r="D22" s="44" t="s">
        <v>267</v>
      </c>
      <c r="E22" s="47">
        <f t="shared" ref="E22:AT22" si="6">(0.25*PI()*E19^2)-(0.25*PI()*E21^2)</f>
        <v>0</v>
      </c>
      <c r="F22" s="47">
        <f t="shared" si="6"/>
        <v>0</v>
      </c>
      <c r="G22" s="47">
        <f t="shared" si="6"/>
        <v>0</v>
      </c>
      <c r="H22" s="47">
        <f t="shared" si="6"/>
        <v>0</v>
      </c>
      <c r="I22" s="47">
        <f t="shared" si="6"/>
        <v>0</v>
      </c>
      <c r="J22" s="47">
        <f t="shared" si="6"/>
        <v>0</v>
      </c>
      <c r="K22" s="47">
        <f t="shared" si="6"/>
        <v>0</v>
      </c>
      <c r="L22" s="47">
        <f t="shared" si="6"/>
        <v>0</v>
      </c>
      <c r="M22" s="47">
        <f t="shared" si="6"/>
        <v>0</v>
      </c>
      <c r="N22" s="47">
        <f t="shared" si="6"/>
        <v>0</v>
      </c>
      <c r="O22" s="47">
        <f t="shared" si="6"/>
        <v>0</v>
      </c>
      <c r="P22" s="47">
        <f t="shared" si="6"/>
        <v>0</v>
      </c>
      <c r="Q22" s="47">
        <f t="shared" si="6"/>
        <v>0</v>
      </c>
      <c r="R22" s="47">
        <f t="shared" si="6"/>
        <v>0</v>
      </c>
      <c r="S22" s="47">
        <f t="shared" si="6"/>
        <v>0</v>
      </c>
      <c r="T22" s="47">
        <f t="shared" si="6"/>
        <v>0</v>
      </c>
      <c r="U22" s="47">
        <f t="shared" si="6"/>
        <v>0</v>
      </c>
      <c r="V22" s="47">
        <f t="shared" si="6"/>
        <v>0</v>
      </c>
      <c r="W22" s="47">
        <f t="shared" si="6"/>
        <v>0</v>
      </c>
      <c r="X22" s="47">
        <f t="shared" si="6"/>
        <v>0</v>
      </c>
      <c r="Y22" s="47">
        <f t="shared" si="6"/>
        <v>0</v>
      </c>
      <c r="Z22" s="47">
        <f t="shared" si="6"/>
        <v>0</v>
      </c>
      <c r="AA22" s="47">
        <f t="shared" si="6"/>
        <v>0</v>
      </c>
      <c r="AB22" s="47">
        <f t="shared" si="6"/>
        <v>0</v>
      </c>
      <c r="AC22" s="47">
        <f t="shared" si="6"/>
        <v>0</v>
      </c>
      <c r="AD22" s="47">
        <f t="shared" si="6"/>
        <v>0</v>
      </c>
      <c r="AE22" s="47">
        <f t="shared" si="6"/>
        <v>0</v>
      </c>
      <c r="AF22" s="47">
        <f t="shared" si="6"/>
        <v>0</v>
      </c>
      <c r="AG22" s="47">
        <f t="shared" si="6"/>
        <v>0</v>
      </c>
      <c r="AH22" s="47">
        <f t="shared" si="6"/>
        <v>0</v>
      </c>
      <c r="AI22" s="47">
        <f t="shared" si="6"/>
        <v>0</v>
      </c>
      <c r="AJ22" s="47">
        <f t="shared" si="6"/>
        <v>0</v>
      </c>
      <c r="AK22" s="47">
        <f t="shared" si="6"/>
        <v>0</v>
      </c>
      <c r="AL22" s="47">
        <f t="shared" si="6"/>
        <v>0</v>
      </c>
      <c r="AM22" s="47">
        <f t="shared" si="6"/>
        <v>0</v>
      </c>
      <c r="AN22" s="47">
        <f t="shared" si="6"/>
        <v>0</v>
      </c>
      <c r="AO22" s="47">
        <f t="shared" si="6"/>
        <v>0</v>
      </c>
      <c r="AP22" s="47">
        <f t="shared" si="6"/>
        <v>0</v>
      </c>
      <c r="AQ22" s="47">
        <f t="shared" si="6"/>
        <v>0</v>
      </c>
      <c r="AR22" s="47">
        <f t="shared" si="6"/>
        <v>0</v>
      </c>
      <c r="AS22" s="47">
        <f t="shared" si="6"/>
        <v>0</v>
      </c>
      <c r="AT22" s="47">
        <f t="shared" si="6"/>
        <v>0</v>
      </c>
    </row>
    <row r="23" spans="1:46" ht="12.75" customHeight="1" x14ac:dyDescent="0.2">
      <c r="B23" s="65"/>
      <c r="C23" s="63" t="s">
        <v>153</v>
      </c>
      <c r="D23" s="44" t="s">
        <v>267</v>
      </c>
      <c r="E23" s="9">
        <f t="shared" ref="E23:AT23" si="7">2*E22/PI()</f>
        <v>0</v>
      </c>
      <c r="F23" s="9">
        <f t="shared" si="7"/>
        <v>0</v>
      </c>
      <c r="G23" s="9">
        <f t="shared" si="7"/>
        <v>0</v>
      </c>
      <c r="H23" s="9">
        <f t="shared" si="7"/>
        <v>0</v>
      </c>
      <c r="I23" s="9">
        <f t="shared" si="7"/>
        <v>0</v>
      </c>
      <c r="J23" s="9">
        <f t="shared" si="7"/>
        <v>0</v>
      </c>
      <c r="K23" s="9">
        <f t="shared" si="7"/>
        <v>0</v>
      </c>
      <c r="L23" s="9">
        <f t="shared" si="7"/>
        <v>0</v>
      </c>
      <c r="M23" s="9">
        <f t="shared" si="7"/>
        <v>0</v>
      </c>
      <c r="N23" s="9">
        <f t="shared" si="7"/>
        <v>0</v>
      </c>
      <c r="O23" s="9">
        <f t="shared" si="7"/>
        <v>0</v>
      </c>
      <c r="P23" s="9">
        <f t="shared" si="7"/>
        <v>0</v>
      </c>
      <c r="Q23" s="9">
        <f t="shared" si="7"/>
        <v>0</v>
      </c>
      <c r="R23" s="9">
        <f t="shared" si="7"/>
        <v>0</v>
      </c>
      <c r="S23" s="9">
        <f t="shared" si="7"/>
        <v>0</v>
      </c>
      <c r="T23" s="9">
        <f t="shared" si="7"/>
        <v>0</v>
      </c>
      <c r="U23" s="9">
        <f t="shared" si="7"/>
        <v>0</v>
      </c>
      <c r="V23" s="9">
        <f t="shared" si="7"/>
        <v>0</v>
      </c>
      <c r="W23" s="9">
        <f t="shared" si="7"/>
        <v>0</v>
      </c>
      <c r="X23" s="9">
        <f t="shared" si="7"/>
        <v>0</v>
      </c>
      <c r="Y23" s="9">
        <f t="shared" si="7"/>
        <v>0</v>
      </c>
      <c r="Z23" s="9">
        <f t="shared" si="7"/>
        <v>0</v>
      </c>
      <c r="AA23" s="9">
        <f t="shared" si="7"/>
        <v>0</v>
      </c>
      <c r="AB23" s="9">
        <f t="shared" si="7"/>
        <v>0</v>
      </c>
      <c r="AC23" s="9">
        <f t="shared" si="7"/>
        <v>0</v>
      </c>
      <c r="AD23" s="9">
        <f t="shared" si="7"/>
        <v>0</v>
      </c>
      <c r="AE23" s="9">
        <f t="shared" si="7"/>
        <v>0</v>
      </c>
      <c r="AF23" s="9">
        <f t="shared" si="7"/>
        <v>0</v>
      </c>
      <c r="AG23" s="9">
        <f t="shared" si="7"/>
        <v>0</v>
      </c>
      <c r="AH23" s="9">
        <f t="shared" si="7"/>
        <v>0</v>
      </c>
      <c r="AI23" s="9">
        <f t="shared" si="7"/>
        <v>0</v>
      </c>
      <c r="AJ23" s="9">
        <f t="shared" si="7"/>
        <v>0</v>
      </c>
      <c r="AK23" s="9">
        <f t="shared" si="7"/>
        <v>0</v>
      </c>
      <c r="AL23" s="9">
        <f t="shared" si="7"/>
        <v>0</v>
      </c>
      <c r="AM23" s="9">
        <f t="shared" si="7"/>
        <v>0</v>
      </c>
      <c r="AN23" s="9">
        <f t="shared" si="7"/>
        <v>0</v>
      </c>
      <c r="AO23" s="9">
        <f t="shared" si="7"/>
        <v>0</v>
      </c>
      <c r="AP23" s="9">
        <f t="shared" si="7"/>
        <v>0</v>
      </c>
      <c r="AQ23" s="9">
        <f t="shared" si="7"/>
        <v>0</v>
      </c>
      <c r="AR23" s="9">
        <f t="shared" si="7"/>
        <v>0</v>
      </c>
      <c r="AS23" s="9">
        <f t="shared" si="7"/>
        <v>0</v>
      </c>
      <c r="AT23" s="9">
        <f t="shared" si="7"/>
        <v>0</v>
      </c>
    </row>
    <row r="24" spans="1:46" ht="12.75" customHeight="1" x14ac:dyDescent="0.2">
      <c r="B24" s="65"/>
      <c r="C24" s="63" t="s">
        <v>19</v>
      </c>
      <c r="D24" s="44" t="s">
        <v>150</v>
      </c>
      <c r="E24" s="48">
        <f t="shared" ref="E24:AT24" si="8">(PI()*(E19^4-E21^4))/64</f>
        <v>0</v>
      </c>
      <c r="F24" s="48">
        <f t="shared" si="8"/>
        <v>0</v>
      </c>
      <c r="G24" s="48">
        <f t="shared" si="8"/>
        <v>0</v>
      </c>
      <c r="H24" s="48">
        <f t="shared" si="8"/>
        <v>0</v>
      </c>
      <c r="I24" s="48">
        <f t="shared" si="8"/>
        <v>0</v>
      </c>
      <c r="J24" s="48">
        <f t="shared" si="8"/>
        <v>0</v>
      </c>
      <c r="K24" s="48">
        <f t="shared" si="8"/>
        <v>0</v>
      </c>
      <c r="L24" s="48">
        <f t="shared" si="8"/>
        <v>0</v>
      </c>
      <c r="M24" s="48">
        <f t="shared" si="8"/>
        <v>0</v>
      </c>
      <c r="N24" s="48">
        <f t="shared" si="8"/>
        <v>0</v>
      </c>
      <c r="O24" s="48">
        <f t="shared" si="8"/>
        <v>0</v>
      </c>
      <c r="P24" s="48">
        <f t="shared" si="8"/>
        <v>0</v>
      </c>
      <c r="Q24" s="48">
        <f t="shared" si="8"/>
        <v>0</v>
      </c>
      <c r="R24" s="48">
        <f t="shared" si="8"/>
        <v>0</v>
      </c>
      <c r="S24" s="48">
        <f t="shared" si="8"/>
        <v>0</v>
      </c>
      <c r="T24" s="48">
        <f t="shared" si="8"/>
        <v>0</v>
      </c>
      <c r="U24" s="48">
        <f t="shared" si="8"/>
        <v>0</v>
      </c>
      <c r="V24" s="48">
        <f t="shared" si="8"/>
        <v>0</v>
      </c>
      <c r="W24" s="48">
        <f t="shared" si="8"/>
        <v>0</v>
      </c>
      <c r="X24" s="48">
        <f t="shared" si="8"/>
        <v>0</v>
      </c>
      <c r="Y24" s="48">
        <f t="shared" si="8"/>
        <v>0</v>
      </c>
      <c r="Z24" s="48">
        <f t="shared" si="8"/>
        <v>0</v>
      </c>
      <c r="AA24" s="48">
        <f t="shared" si="8"/>
        <v>0</v>
      </c>
      <c r="AB24" s="48">
        <f t="shared" si="8"/>
        <v>0</v>
      </c>
      <c r="AC24" s="48">
        <f t="shared" si="8"/>
        <v>0</v>
      </c>
      <c r="AD24" s="48">
        <f t="shared" si="8"/>
        <v>0</v>
      </c>
      <c r="AE24" s="48">
        <f t="shared" si="8"/>
        <v>0</v>
      </c>
      <c r="AF24" s="48">
        <f t="shared" si="8"/>
        <v>0</v>
      </c>
      <c r="AG24" s="48">
        <f t="shared" si="8"/>
        <v>0</v>
      </c>
      <c r="AH24" s="48">
        <f t="shared" si="8"/>
        <v>0</v>
      </c>
      <c r="AI24" s="48">
        <f t="shared" si="8"/>
        <v>0</v>
      </c>
      <c r="AJ24" s="48">
        <f t="shared" si="8"/>
        <v>0</v>
      </c>
      <c r="AK24" s="48">
        <f t="shared" si="8"/>
        <v>0</v>
      </c>
      <c r="AL24" s="48">
        <f t="shared" si="8"/>
        <v>0</v>
      </c>
      <c r="AM24" s="48">
        <f t="shared" si="8"/>
        <v>0</v>
      </c>
      <c r="AN24" s="48">
        <f t="shared" si="8"/>
        <v>0</v>
      </c>
      <c r="AO24" s="48">
        <f t="shared" si="8"/>
        <v>0</v>
      </c>
      <c r="AP24" s="48">
        <f t="shared" si="8"/>
        <v>0</v>
      </c>
      <c r="AQ24" s="48">
        <f t="shared" si="8"/>
        <v>0</v>
      </c>
      <c r="AR24" s="48">
        <f t="shared" si="8"/>
        <v>0</v>
      </c>
      <c r="AS24" s="48">
        <f t="shared" si="8"/>
        <v>0</v>
      </c>
      <c r="AT24" s="48">
        <f t="shared" si="8"/>
        <v>0</v>
      </c>
    </row>
    <row r="25" spans="1:46" ht="12.75" customHeight="1" x14ac:dyDescent="0.2">
      <c r="B25" s="65"/>
      <c r="C25" s="63" t="s">
        <v>144</v>
      </c>
      <c r="D25" s="44" t="s">
        <v>145</v>
      </c>
      <c r="E25" s="48" t="e">
        <f t="shared" ref="E25:AT25" si="9">PI()*(E19^4-E21^4)/(32*E19)</f>
        <v>#DIV/0!</v>
      </c>
      <c r="F25" s="48" t="e">
        <f t="shared" si="9"/>
        <v>#DIV/0!</v>
      </c>
      <c r="G25" s="48" t="e">
        <f t="shared" si="9"/>
        <v>#DIV/0!</v>
      </c>
      <c r="H25" s="48" t="e">
        <f t="shared" si="9"/>
        <v>#DIV/0!</v>
      </c>
      <c r="I25" s="48" t="e">
        <f t="shared" si="9"/>
        <v>#DIV/0!</v>
      </c>
      <c r="J25" s="48" t="e">
        <f t="shared" si="9"/>
        <v>#DIV/0!</v>
      </c>
      <c r="K25" s="48" t="e">
        <f t="shared" si="9"/>
        <v>#DIV/0!</v>
      </c>
      <c r="L25" s="48" t="e">
        <f t="shared" si="9"/>
        <v>#DIV/0!</v>
      </c>
      <c r="M25" s="48" t="e">
        <f t="shared" si="9"/>
        <v>#DIV/0!</v>
      </c>
      <c r="N25" s="48" t="e">
        <f t="shared" si="9"/>
        <v>#DIV/0!</v>
      </c>
      <c r="O25" s="48" t="e">
        <f t="shared" si="9"/>
        <v>#DIV/0!</v>
      </c>
      <c r="P25" s="48" t="e">
        <f t="shared" si="9"/>
        <v>#DIV/0!</v>
      </c>
      <c r="Q25" s="48" t="e">
        <f t="shared" si="9"/>
        <v>#DIV/0!</v>
      </c>
      <c r="R25" s="48" t="e">
        <f t="shared" si="9"/>
        <v>#DIV/0!</v>
      </c>
      <c r="S25" s="48" t="e">
        <f t="shared" si="9"/>
        <v>#DIV/0!</v>
      </c>
      <c r="T25" s="48" t="e">
        <f t="shared" si="9"/>
        <v>#DIV/0!</v>
      </c>
      <c r="U25" s="48" t="e">
        <f t="shared" si="9"/>
        <v>#DIV/0!</v>
      </c>
      <c r="V25" s="48" t="e">
        <f t="shared" si="9"/>
        <v>#DIV/0!</v>
      </c>
      <c r="W25" s="48" t="e">
        <f t="shared" si="9"/>
        <v>#DIV/0!</v>
      </c>
      <c r="X25" s="48" t="e">
        <f t="shared" si="9"/>
        <v>#DIV/0!</v>
      </c>
      <c r="Y25" s="48" t="e">
        <f t="shared" si="9"/>
        <v>#DIV/0!</v>
      </c>
      <c r="Z25" s="48" t="e">
        <f t="shared" si="9"/>
        <v>#DIV/0!</v>
      </c>
      <c r="AA25" s="48" t="e">
        <f t="shared" si="9"/>
        <v>#DIV/0!</v>
      </c>
      <c r="AB25" s="48" t="e">
        <f t="shared" si="9"/>
        <v>#DIV/0!</v>
      </c>
      <c r="AC25" s="48" t="e">
        <f t="shared" si="9"/>
        <v>#DIV/0!</v>
      </c>
      <c r="AD25" s="48" t="e">
        <f t="shared" si="9"/>
        <v>#DIV/0!</v>
      </c>
      <c r="AE25" s="48" t="e">
        <f t="shared" si="9"/>
        <v>#DIV/0!</v>
      </c>
      <c r="AF25" s="48" t="e">
        <f t="shared" si="9"/>
        <v>#DIV/0!</v>
      </c>
      <c r="AG25" s="48" t="e">
        <f t="shared" si="9"/>
        <v>#DIV/0!</v>
      </c>
      <c r="AH25" s="48" t="e">
        <f t="shared" si="9"/>
        <v>#DIV/0!</v>
      </c>
      <c r="AI25" s="48" t="e">
        <f t="shared" si="9"/>
        <v>#DIV/0!</v>
      </c>
      <c r="AJ25" s="48" t="e">
        <f t="shared" si="9"/>
        <v>#DIV/0!</v>
      </c>
      <c r="AK25" s="48" t="e">
        <f t="shared" si="9"/>
        <v>#DIV/0!</v>
      </c>
      <c r="AL25" s="48" t="e">
        <f t="shared" si="9"/>
        <v>#DIV/0!</v>
      </c>
      <c r="AM25" s="48" t="e">
        <f t="shared" si="9"/>
        <v>#DIV/0!</v>
      </c>
      <c r="AN25" s="48" t="e">
        <f t="shared" si="9"/>
        <v>#DIV/0!</v>
      </c>
      <c r="AO25" s="48" t="e">
        <f t="shared" si="9"/>
        <v>#DIV/0!</v>
      </c>
      <c r="AP25" s="48" t="e">
        <f t="shared" si="9"/>
        <v>#DIV/0!</v>
      </c>
      <c r="AQ25" s="48" t="e">
        <f t="shared" si="9"/>
        <v>#DIV/0!</v>
      </c>
      <c r="AR25" s="48" t="e">
        <f t="shared" si="9"/>
        <v>#DIV/0!</v>
      </c>
      <c r="AS25" s="48" t="e">
        <f t="shared" si="9"/>
        <v>#DIV/0!</v>
      </c>
      <c r="AT25" s="48" t="e">
        <f t="shared" si="9"/>
        <v>#DIV/0!</v>
      </c>
    </row>
    <row r="26" spans="1:46" ht="12.75" customHeight="1" x14ac:dyDescent="0.2">
      <c r="B26" s="65"/>
      <c r="C26" s="63" t="s">
        <v>146</v>
      </c>
      <c r="D26" s="44" t="s">
        <v>145</v>
      </c>
      <c r="E26" s="48">
        <f t="shared" ref="E26:AT26" si="10">(E19-E20)^2*E20</f>
        <v>0</v>
      </c>
      <c r="F26" s="48">
        <f t="shared" si="10"/>
        <v>0</v>
      </c>
      <c r="G26" s="48">
        <f t="shared" si="10"/>
        <v>0</v>
      </c>
      <c r="H26" s="48">
        <f t="shared" si="10"/>
        <v>0</v>
      </c>
      <c r="I26" s="48">
        <f t="shared" si="10"/>
        <v>0</v>
      </c>
      <c r="J26" s="48">
        <f t="shared" si="10"/>
        <v>0</v>
      </c>
      <c r="K26" s="48">
        <f t="shared" si="10"/>
        <v>0</v>
      </c>
      <c r="L26" s="48">
        <f t="shared" si="10"/>
        <v>0</v>
      </c>
      <c r="M26" s="48">
        <f t="shared" si="10"/>
        <v>0</v>
      </c>
      <c r="N26" s="48">
        <f t="shared" si="10"/>
        <v>0</v>
      </c>
      <c r="O26" s="48">
        <f t="shared" si="10"/>
        <v>0</v>
      </c>
      <c r="P26" s="48">
        <f t="shared" si="10"/>
        <v>0</v>
      </c>
      <c r="Q26" s="48">
        <f t="shared" si="10"/>
        <v>0</v>
      </c>
      <c r="R26" s="48">
        <f t="shared" si="10"/>
        <v>0</v>
      </c>
      <c r="S26" s="48">
        <f t="shared" si="10"/>
        <v>0</v>
      </c>
      <c r="T26" s="48">
        <f t="shared" si="10"/>
        <v>0</v>
      </c>
      <c r="U26" s="48">
        <f t="shared" si="10"/>
        <v>0</v>
      </c>
      <c r="V26" s="48">
        <f t="shared" si="10"/>
        <v>0</v>
      </c>
      <c r="W26" s="48">
        <f t="shared" si="10"/>
        <v>0</v>
      </c>
      <c r="X26" s="48">
        <f t="shared" si="10"/>
        <v>0</v>
      </c>
      <c r="Y26" s="48">
        <f t="shared" si="10"/>
        <v>0</v>
      </c>
      <c r="Z26" s="48">
        <f t="shared" si="10"/>
        <v>0</v>
      </c>
      <c r="AA26" s="48">
        <f t="shared" si="10"/>
        <v>0</v>
      </c>
      <c r="AB26" s="48">
        <f t="shared" si="10"/>
        <v>0</v>
      </c>
      <c r="AC26" s="48">
        <f t="shared" si="10"/>
        <v>0</v>
      </c>
      <c r="AD26" s="48">
        <f t="shared" si="10"/>
        <v>0</v>
      </c>
      <c r="AE26" s="48">
        <f t="shared" si="10"/>
        <v>0</v>
      </c>
      <c r="AF26" s="48">
        <f t="shared" si="10"/>
        <v>0</v>
      </c>
      <c r="AG26" s="48">
        <f t="shared" si="10"/>
        <v>0</v>
      </c>
      <c r="AH26" s="48">
        <f t="shared" si="10"/>
        <v>0</v>
      </c>
      <c r="AI26" s="48">
        <f t="shared" si="10"/>
        <v>0</v>
      </c>
      <c r="AJ26" s="48">
        <f t="shared" si="10"/>
        <v>0</v>
      </c>
      <c r="AK26" s="48">
        <f t="shared" si="10"/>
        <v>0</v>
      </c>
      <c r="AL26" s="48">
        <f t="shared" si="10"/>
        <v>0</v>
      </c>
      <c r="AM26" s="48">
        <f t="shared" si="10"/>
        <v>0</v>
      </c>
      <c r="AN26" s="48">
        <f t="shared" si="10"/>
        <v>0</v>
      </c>
      <c r="AO26" s="48">
        <f t="shared" si="10"/>
        <v>0</v>
      </c>
      <c r="AP26" s="48">
        <f t="shared" si="10"/>
        <v>0</v>
      </c>
      <c r="AQ26" s="48">
        <f t="shared" si="10"/>
        <v>0</v>
      </c>
      <c r="AR26" s="48">
        <f t="shared" si="10"/>
        <v>0</v>
      </c>
      <c r="AS26" s="48">
        <f t="shared" si="10"/>
        <v>0</v>
      </c>
      <c r="AT26" s="48">
        <f t="shared" si="10"/>
        <v>0</v>
      </c>
    </row>
    <row r="27" spans="1:46" ht="12.75" customHeight="1" x14ac:dyDescent="0.2">
      <c r="B27" s="65"/>
      <c r="C27" s="63" t="s">
        <v>17</v>
      </c>
      <c r="D27" s="44" t="s">
        <v>249</v>
      </c>
      <c r="E27" s="47">
        <f t="shared" ref="E27:AT27" si="11">E22*78.5/1000000</f>
        <v>0</v>
      </c>
      <c r="F27" s="47">
        <f t="shared" si="11"/>
        <v>0</v>
      </c>
      <c r="G27" s="47">
        <f t="shared" si="11"/>
        <v>0</v>
      </c>
      <c r="H27" s="47">
        <f t="shared" si="11"/>
        <v>0</v>
      </c>
      <c r="I27" s="47">
        <f t="shared" si="11"/>
        <v>0</v>
      </c>
      <c r="J27" s="47">
        <f t="shared" si="11"/>
        <v>0</v>
      </c>
      <c r="K27" s="47">
        <f t="shared" si="11"/>
        <v>0</v>
      </c>
      <c r="L27" s="47">
        <f t="shared" si="11"/>
        <v>0</v>
      </c>
      <c r="M27" s="47">
        <f t="shared" si="11"/>
        <v>0</v>
      </c>
      <c r="N27" s="47">
        <f t="shared" si="11"/>
        <v>0</v>
      </c>
      <c r="O27" s="47">
        <f t="shared" si="11"/>
        <v>0</v>
      </c>
      <c r="P27" s="47">
        <f t="shared" si="11"/>
        <v>0</v>
      </c>
      <c r="Q27" s="47">
        <f t="shared" si="11"/>
        <v>0</v>
      </c>
      <c r="R27" s="47">
        <f t="shared" si="11"/>
        <v>0</v>
      </c>
      <c r="S27" s="47">
        <f t="shared" si="11"/>
        <v>0</v>
      </c>
      <c r="T27" s="47">
        <f t="shared" si="11"/>
        <v>0</v>
      </c>
      <c r="U27" s="47">
        <f t="shared" si="11"/>
        <v>0</v>
      </c>
      <c r="V27" s="47">
        <f t="shared" si="11"/>
        <v>0</v>
      </c>
      <c r="W27" s="47">
        <f t="shared" si="11"/>
        <v>0</v>
      </c>
      <c r="X27" s="47">
        <f t="shared" si="11"/>
        <v>0</v>
      </c>
      <c r="Y27" s="47">
        <f t="shared" si="11"/>
        <v>0</v>
      </c>
      <c r="Z27" s="47">
        <f t="shared" si="11"/>
        <v>0</v>
      </c>
      <c r="AA27" s="47">
        <f t="shared" si="11"/>
        <v>0</v>
      </c>
      <c r="AB27" s="47">
        <f t="shared" si="11"/>
        <v>0</v>
      </c>
      <c r="AC27" s="47">
        <f t="shared" si="11"/>
        <v>0</v>
      </c>
      <c r="AD27" s="47">
        <f t="shared" si="11"/>
        <v>0</v>
      </c>
      <c r="AE27" s="47">
        <f t="shared" si="11"/>
        <v>0</v>
      </c>
      <c r="AF27" s="47">
        <f t="shared" si="11"/>
        <v>0</v>
      </c>
      <c r="AG27" s="47">
        <f t="shared" si="11"/>
        <v>0</v>
      </c>
      <c r="AH27" s="47">
        <f t="shared" si="11"/>
        <v>0</v>
      </c>
      <c r="AI27" s="47">
        <f t="shared" si="11"/>
        <v>0</v>
      </c>
      <c r="AJ27" s="47">
        <f t="shared" si="11"/>
        <v>0</v>
      </c>
      <c r="AK27" s="47">
        <f t="shared" si="11"/>
        <v>0</v>
      </c>
      <c r="AL27" s="47">
        <f t="shared" si="11"/>
        <v>0</v>
      </c>
      <c r="AM27" s="47">
        <f t="shared" si="11"/>
        <v>0</v>
      </c>
      <c r="AN27" s="47">
        <f t="shared" si="11"/>
        <v>0</v>
      </c>
      <c r="AO27" s="47">
        <f t="shared" si="11"/>
        <v>0</v>
      </c>
      <c r="AP27" s="47">
        <f t="shared" si="11"/>
        <v>0</v>
      </c>
      <c r="AQ27" s="47">
        <f t="shared" si="11"/>
        <v>0</v>
      </c>
      <c r="AR27" s="47">
        <f t="shared" si="11"/>
        <v>0</v>
      </c>
      <c r="AS27" s="47">
        <f t="shared" si="11"/>
        <v>0</v>
      </c>
      <c r="AT27" s="47">
        <f t="shared" si="11"/>
        <v>0</v>
      </c>
    </row>
    <row r="28" spans="1:46" ht="12.75" customHeight="1" x14ac:dyDescent="0.2">
      <c r="A28" s="46" t="s">
        <v>268</v>
      </c>
      <c r="B28" s="65"/>
      <c r="D28" s="55" t="s">
        <v>75</v>
      </c>
      <c r="E28" s="9">
        <f>VLOOKUP(E$8,'C - overzicht'!$B$11:$P$53,6,0)</f>
        <v>0</v>
      </c>
      <c r="F28" s="9">
        <f>VLOOKUP(F$8,'C - overzicht'!$B$11:$P$53,6,0)</f>
        <v>0</v>
      </c>
      <c r="G28" s="9">
        <f>VLOOKUP(G$8,'C - overzicht'!$B$11:$P$53,6,0)</f>
        <v>0</v>
      </c>
      <c r="H28" s="9">
        <f>VLOOKUP(H$8,'C - overzicht'!$B$11:$P$53,6,0)</f>
        <v>0</v>
      </c>
      <c r="I28" s="9">
        <f>VLOOKUP(I$8,'C - overzicht'!$B$11:$P$53,6,0)</f>
        <v>0</v>
      </c>
      <c r="J28" s="9">
        <f>VLOOKUP(J$8,'C - overzicht'!$B$11:$P$53,6,0)</f>
        <v>0</v>
      </c>
      <c r="K28" s="9">
        <f>VLOOKUP(K$8,'C - overzicht'!$B$11:$P$53,6,0)</f>
        <v>0</v>
      </c>
      <c r="L28" s="9">
        <f>VLOOKUP(L$8,'C - overzicht'!$B$11:$P$53,6,0)</f>
        <v>0</v>
      </c>
      <c r="M28" s="9">
        <f>VLOOKUP(M$8,'C - overzicht'!$B$11:$P$53,6,0)</f>
        <v>0</v>
      </c>
      <c r="N28" s="9">
        <f>VLOOKUP(N$8,'C - overzicht'!$B$11:$P$53,6,0)</f>
        <v>0</v>
      </c>
      <c r="O28" s="9">
        <f>VLOOKUP(O$8,'C - overzicht'!$B$11:$P$53,6,0)</f>
        <v>0</v>
      </c>
      <c r="P28" s="9">
        <f>VLOOKUP(P$8,'C - overzicht'!$B$11:$P$53,6,0)</f>
        <v>0</v>
      </c>
      <c r="Q28" s="9">
        <f>VLOOKUP(Q$8,'C - overzicht'!$B$11:$P$53,6,0)</f>
        <v>0</v>
      </c>
      <c r="R28" s="9">
        <f>VLOOKUP(R$8,'C - overzicht'!$B$11:$P$53,6,0)</f>
        <v>0</v>
      </c>
      <c r="S28" s="9">
        <f>VLOOKUP(S$8,'C - overzicht'!$B$11:$P$53,6,0)</f>
        <v>0</v>
      </c>
      <c r="T28" s="9">
        <f>VLOOKUP(T$8,'C - overzicht'!$B$11:$P$53,6,0)</f>
        <v>0</v>
      </c>
      <c r="U28" s="9">
        <f>VLOOKUP(U$8,'C - overzicht'!$B$11:$P$53,6,0)</f>
        <v>0</v>
      </c>
      <c r="V28" s="9">
        <f>VLOOKUP(V$8,'C - overzicht'!$B$11:$P$53,6,0)</f>
        <v>0</v>
      </c>
      <c r="W28" s="9">
        <f>VLOOKUP(W$8,'C - overzicht'!$B$11:$P$53,6,0)</f>
        <v>0</v>
      </c>
      <c r="X28" s="9">
        <f>VLOOKUP(X$8,'C - overzicht'!$B$11:$P$53,6,0)</f>
        <v>0</v>
      </c>
      <c r="Y28" s="9">
        <f>VLOOKUP(Y$8,'C - overzicht'!$B$11:$P$53,6,0)</f>
        <v>0</v>
      </c>
      <c r="Z28" s="9">
        <f>VLOOKUP(Z$8,'C - overzicht'!$B$11:$P$53,6,0)</f>
        <v>0</v>
      </c>
      <c r="AA28" s="9">
        <f>VLOOKUP(AA$8,'C - overzicht'!$B$11:$P$53,6,0)</f>
        <v>0</v>
      </c>
      <c r="AB28" s="9">
        <f>VLOOKUP(AB$8,'C - overzicht'!$B$11:$P$53,6,0)</f>
        <v>0</v>
      </c>
      <c r="AC28" s="9">
        <f>VLOOKUP(AC$8,'C - overzicht'!$B$11:$P$53,6,0)</f>
        <v>0</v>
      </c>
      <c r="AD28" s="9">
        <f>VLOOKUP(AD$8,'C - overzicht'!$B$11:$P$53,6,0)</f>
        <v>0</v>
      </c>
      <c r="AE28" s="9">
        <f>VLOOKUP(AE$8,'C - overzicht'!$B$11:$P$53,6,0)</f>
        <v>0</v>
      </c>
      <c r="AF28" s="9">
        <f>VLOOKUP(AF$8,'C - overzicht'!$B$11:$P$53,6,0)</f>
        <v>0</v>
      </c>
      <c r="AG28" s="9">
        <f>VLOOKUP(AG$8,'C - overzicht'!$B$11:$P$53,6,0)</f>
        <v>0</v>
      </c>
      <c r="AH28" s="9">
        <f>VLOOKUP(AH$8,'C - overzicht'!$B$11:$P$53,6,0)</f>
        <v>0</v>
      </c>
      <c r="AI28" s="9">
        <f>VLOOKUP(AI$8,'C - overzicht'!$B$11:$P$53,6,0)</f>
        <v>0</v>
      </c>
      <c r="AJ28" s="9">
        <f>VLOOKUP(AJ$8,'C - overzicht'!$B$11:$P$53,6,0)</f>
        <v>0</v>
      </c>
      <c r="AK28" s="9">
        <f>VLOOKUP(AK$8,'C - overzicht'!$B$11:$P$53,6,0)</f>
        <v>0</v>
      </c>
      <c r="AL28" s="9">
        <f>VLOOKUP(AL$8,'C - overzicht'!$B$11:$P$53,6,0)</f>
        <v>0</v>
      </c>
      <c r="AM28" s="9">
        <f>VLOOKUP(AM$8,'C - overzicht'!$B$11:$P$53,6,0)</f>
        <v>0</v>
      </c>
      <c r="AN28" s="9">
        <f>VLOOKUP(AN$8,'C - overzicht'!$B$11:$P$53,6,0)</f>
        <v>0</v>
      </c>
      <c r="AO28" s="9">
        <f>VLOOKUP(AO$8,'C - overzicht'!$B$11:$P$53,6,0)</f>
        <v>0</v>
      </c>
      <c r="AP28" s="9">
        <f>VLOOKUP(AP$8,'C - overzicht'!$B$11:$P$53,6,0)</f>
        <v>0</v>
      </c>
      <c r="AQ28" s="9">
        <f>VLOOKUP(AQ$8,'C - overzicht'!$B$11:$P$53,6,0)</f>
        <v>0</v>
      </c>
      <c r="AR28" s="9">
        <f>VLOOKUP(AR$8,'C - overzicht'!$B$11:$P$53,6,0)</f>
        <v>0</v>
      </c>
      <c r="AS28" s="9">
        <f>VLOOKUP(AS$8,'C - overzicht'!$B$11:$P$53,6,0)</f>
        <v>0</v>
      </c>
      <c r="AT28" s="9">
        <f>VLOOKUP(AT$8,'C - overzicht'!$B$11:$P$53,6,0)</f>
        <v>0</v>
      </c>
    </row>
    <row r="29" spans="1:46" ht="12.75" customHeight="1" x14ac:dyDescent="0.2">
      <c r="B29" s="65"/>
      <c r="D29" s="44"/>
    </row>
    <row r="30" spans="1:46" ht="12.75" customHeight="1" x14ac:dyDescent="0.2">
      <c r="A30" s="43" t="s">
        <v>157</v>
      </c>
      <c r="B30" s="65"/>
    </row>
    <row r="31" spans="1:46" ht="12.75" customHeight="1" x14ac:dyDescent="0.2">
      <c r="A31" s="37" t="s">
        <v>269</v>
      </c>
      <c r="B31" s="65" t="s">
        <v>134</v>
      </c>
      <c r="D31" s="20" t="s">
        <v>113</v>
      </c>
      <c r="E31" s="9" t="e">
        <f t="shared" ref="E31:AT31" si="12">E19/E20</f>
        <v>#DIV/0!</v>
      </c>
      <c r="F31" s="9" t="e">
        <f t="shared" si="12"/>
        <v>#DIV/0!</v>
      </c>
      <c r="G31" s="9" t="e">
        <f t="shared" si="12"/>
        <v>#DIV/0!</v>
      </c>
      <c r="H31" s="9" t="e">
        <f t="shared" si="12"/>
        <v>#DIV/0!</v>
      </c>
      <c r="I31" s="9" t="e">
        <f t="shared" si="12"/>
        <v>#DIV/0!</v>
      </c>
      <c r="J31" s="9" t="e">
        <f t="shared" si="12"/>
        <v>#DIV/0!</v>
      </c>
      <c r="K31" s="9" t="e">
        <f t="shared" si="12"/>
        <v>#DIV/0!</v>
      </c>
      <c r="L31" s="9" t="e">
        <f t="shared" si="12"/>
        <v>#DIV/0!</v>
      </c>
      <c r="M31" s="9" t="e">
        <f t="shared" si="12"/>
        <v>#DIV/0!</v>
      </c>
      <c r="N31" s="9" t="e">
        <f t="shared" si="12"/>
        <v>#DIV/0!</v>
      </c>
      <c r="O31" s="9" t="e">
        <f t="shared" si="12"/>
        <v>#DIV/0!</v>
      </c>
      <c r="P31" s="9" t="e">
        <f t="shared" si="12"/>
        <v>#DIV/0!</v>
      </c>
      <c r="Q31" s="9" t="e">
        <f t="shared" si="12"/>
        <v>#DIV/0!</v>
      </c>
      <c r="R31" s="9" t="e">
        <f t="shared" si="12"/>
        <v>#DIV/0!</v>
      </c>
      <c r="S31" s="9" t="e">
        <f t="shared" si="12"/>
        <v>#DIV/0!</v>
      </c>
      <c r="T31" s="9" t="e">
        <f t="shared" si="12"/>
        <v>#DIV/0!</v>
      </c>
      <c r="U31" s="9" t="e">
        <f t="shared" si="12"/>
        <v>#DIV/0!</v>
      </c>
      <c r="V31" s="9" t="e">
        <f t="shared" si="12"/>
        <v>#DIV/0!</v>
      </c>
      <c r="W31" s="9" t="e">
        <f t="shared" si="12"/>
        <v>#DIV/0!</v>
      </c>
      <c r="X31" s="9" t="e">
        <f t="shared" si="12"/>
        <v>#DIV/0!</v>
      </c>
      <c r="Y31" s="9" t="e">
        <f t="shared" si="12"/>
        <v>#DIV/0!</v>
      </c>
      <c r="Z31" s="9" t="e">
        <f t="shared" si="12"/>
        <v>#DIV/0!</v>
      </c>
      <c r="AA31" s="9" t="e">
        <f t="shared" si="12"/>
        <v>#DIV/0!</v>
      </c>
      <c r="AB31" s="9" t="e">
        <f t="shared" si="12"/>
        <v>#DIV/0!</v>
      </c>
      <c r="AC31" s="9" t="e">
        <f t="shared" si="12"/>
        <v>#DIV/0!</v>
      </c>
      <c r="AD31" s="9" t="e">
        <f t="shared" si="12"/>
        <v>#DIV/0!</v>
      </c>
      <c r="AE31" s="9" t="e">
        <f t="shared" si="12"/>
        <v>#DIV/0!</v>
      </c>
      <c r="AF31" s="9" t="e">
        <f t="shared" si="12"/>
        <v>#DIV/0!</v>
      </c>
      <c r="AG31" s="9" t="e">
        <f t="shared" si="12"/>
        <v>#DIV/0!</v>
      </c>
      <c r="AH31" s="9" t="e">
        <f t="shared" si="12"/>
        <v>#DIV/0!</v>
      </c>
      <c r="AI31" s="9" t="e">
        <f t="shared" si="12"/>
        <v>#DIV/0!</v>
      </c>
      <c r="AJ31" s="9" t="e">
        <f t="shared" si="12"/>
        <v>#DIV/0!</v>
      </c>
      <c r="AK31" s="9" t="e">
        <f t="shared" si="12"/>
        <v>#DIV/0!</v>
      </c>
      <c r="AL31" s="9" t="e">
        <f t="shared" si="12"/>
        <v>#DIV/0!</v>
      </c>
      <c r="AM31" s="9" t="e">
        <f t="shared" si="12"/>
        <v>#DIV/0!</v>
      </c>
      <c r="AN31" s="9" t="e">
        <f t="shared" si="12"/>
        <v>#DIV/0!</v>
      </c>
      <c r="AO31" s="9" t="e">
        <f t="shared" si="12"/>
        <v>#DIV/0!</v>
      </c>
      <c r="AP31" s="9" t="e">
        <f t="shared" si="12"/>
        <v>#DIV/0!</v>
      </c>
      <c r="AQ31" s="9" t="e">
        <f t="shared" si="12"/>
        <v>#DIV/0!</v>
      </c>
      <c r="AR31" s="9" t="e">
        <f t="shared" si="12"/>
        <v>#DIV/0!</v>
      </c>
      <c r="AS31" s="9" t="e">
        <f t="shared" si="12"/>
        <v>#DIV/0!</v>
      </c>
      <c r="AT31" s="9" t="e">
        <f t="shared" si="12"/>
        <v>#DIV/0!</v>
      </c>
    </row>
    <row r="32" spans="1:46" ht="12.75" customHeight="1" x14ac:dyDescent="0.2">
      <c r="A32" s="45" t="s">
        <v>270</v>
      </c>
      <c r="B32" s="65" t="s">
        <v>134</v>
      </c>
      <c r="D32" s="20" t="s">
        <v>113</v>
      </c>
      <c r="E32" s="47">
        <f t="shared" ref="E32:AT32" si="13">E15^2</f>
        <v>0.66197183098591561</v>
      </c>
      <c r="F32" s="47">
        <f t="shared" si="13"/>
        <v>0.66197183098591561</v>
      </c>
      <c r="G32" s="47">
        <f t="shared" si="13"/>
        <v>0.66197183098591561</v>
      </c>
      <c r="H32" s="47">
        <f t="shared" si="13"/>
        <v>0.66197183098591561</v>
      </c>
      <c r="I32" s="47">
        <f t="shared" si="13"/>
        <v>0.66197183098591561</v>
      </c>
      <c r="J32" s="47">
        <f t="shared" si="13"/>
        <v>0.66197183098591561</v>
      </c>
      <c r="K32" s="47">
        <f t="shared" si="13"/>
        <v>0.66197183098591561</v>
      </c>
      <c r="L32" s="47">
        <f t="shared" si="13"/>
        <v>0.66197183098591561</v>
      </c>
      <c r="M32" s="47">
        <f t="shared" si="13"/>
        <v>0.66197183098591561</v>
      </c>
      <c r="N32" s="47">
        <f t="shared" si="13"/>
        <v>0.66197183098591561</v>
      </c>
      <c r="O32" s="47">
        <f t="shared" si="13"/>
        <v>0.66197183098591561</v>
      </c>
      <c r="P32" s="47">
        <f t="shared" si="13"/>
        <v>0.66197183098591561</v>
      </c>
      <c r="Q32" s="47">
        <f t="shared" si="13"/>
        <v>0.66197183098591561</v>
      </c>
      <c r="R32" s="47">
        <f t="shared" si="13"/>
        <v>0.66197183098591561</v>
      </c>
      <c r="S32" s="47">
        <f t="shared" si="13"/>
        <v>0.66197183098591561</v>
      </c>
      <c r="T32" s="47">
        <f t="shared" si="13"/>
        <v>0.66197183098591561</v>
      </c>
      <c r="U32" s="47">
        <f t="shared" si="13"/>
        <v>0.66197183098591561</v>
      </c>
      <c r="V32" s="47">
        <f t="shared" si="13"/>
        <v>0.66197183098591561</v>
      </c>
      <c r="W32" s="47">
        <f t="shared" si="13"/>
        <v>0.66197183098591561</v>
      </c>
      <c r="X32" s="47">
        <f t="shared" si="13"/>
        <v>0.66197183098591561</v>
      </c>
      <c r="Y32" s="47">
        <f t="shared" si="13"/>
        <v>0.66197183098591561</v>
      </c>
      <c r="Z32" s="47">
        <f t="shared" si="13"/>
        <v>0.66197183098591561</v>
      </c>
      <c r="AA32" s="47">
        <f t="shared" si="13"/>
        <v>0.66197183098591561</v>
      </c>
      <c r="AB32" s="47">
        <f t="shared" si="13"/>
        <v>0.66197183098591561</v>
      </c>
      <c r="AC32" s="47">
        <f t="shared" si="13"/>
        <v>0.66197183098591561</v>
      </c>
      <c r="AD32" s="47">
        <f t="shared" si="13"/>
        <v>0.66197183098591561</v>
      </c>
      <c r="AE32" s="47">
        <f t="shared" si="13"/>
        <v>0.66197183098591561</v>
      </c>
      <c r="AF32" s="47">
        <f t="shared" si="13"/>
        <v>0.66197183098591561</v>
      </c>
      <c r="AG32" s="47">
        <f t="shared" si="13"/>
        <v>0.66197183098591561</v>
      </c>
      <c r="AH32" s="47">
        <f t="shared" si="13"/>
        <v>0.66197183098591561</v>
      </c>
      <c r="AI32" s="47">
        <f t="shared" si="13"/>
        <v>0.66197183098591561</v>
      </c>
      <c r="AJ32" s="47">
        <f t="shared" si="13"/>
        <v>0.66197183098591561</v>
      </c>
      <c r="AK32" s="47">
        <f t="shared" si="13"/>
        <v>0.66197183098591561</v>
      </c>
      <c r="AL32" s="47">
        <f t="shared" si="13"/>
        <v>0.66197183098591561</v>
      </c>
      <c r="AM32" s="47">
        <f t="shared" si="13"/>
        <v>0.66197183098591561</v>
      </c>
      <c r="AN32" s="47">
        <f t="shared" si="13"/>
        <v>0.66197183098591561</v>
      </c>
      <c r="AO32" s="47">
        <f t="shared" si="13"/>
        <v>0.66197183098591561</v>
      </c>
      <c r="AP32" s="47">
        <f t="shared" si="13"/>
        <v>0.66197183098591561</v>
      </c>
      <c r="AQ32" s="47">
        <f t="shared" si="13"/>
        <v>0.66197183098591561</v>
      </c>
      <c r="AR32" s="47">
        <f t="shared" si="13"/>
        <v>0.66197183098591561</v>
      </c>
      <c r="AS32" s="47">
        <f t="shared" si="13"/>
        <v>0.66197183098591561</v>
      </c>
      <c r="AT32" s="47">
        <f t="shared" si="13"/>
        <v>0.66197183098591561</v>
      </c>
    </row>
    <row r="33" spans="1:46" ht="12.75" customHeight="1" x14ac:dyDescent="0.2">
      <c r="A33" s="46" t="s">
        <v>271</v>
      </c>
      <c r="D33" s="56" t="s">
        <v>113</v>
      </c>
      <c r="E33" s="9" t="str">
        <f t="shared" ref="E33:AT33" si="14">IF(E12&lt;=420,"a","a0")</f>
        <v>a</v>
      </c>
      <c r="F33" s="9" t="str">
        <f t="shared" si="14"/>
        <v>a</v>
      </c>
      <c r="G33" s="9" t="str">
        <f t="shared" si="14"/>
        <v>a</v>
      </c>
      <c r="H33" s="9" t="str">
        <f t="shared" si="14"/>
        <v>a</v>
      </c>
      <c r="I33" s="9" t="str">
        <f t="shared" si="14"/>
        <v>a</v>
      </c>
      <c r="J33" s="9" t="str">
        <f t="shared" si="14"/>
        <v>a</v>
      </c>
      <c r="K33" s="9" t="str">
        <f t="shared" si="14"/>
        <v>a</v>
      </c>
      <c r="L33" s="9" t="str">
        <f t="shared" si="14"/>
        <v>a</v>
      </c>
      <c r="M33" s="9" t="str">
        <f t="shared" si="14"/>
        <v>a</v>
      </c>
      <c r="N33" s="9" t="str">
        <f t="shared" si="14"/>
        <v>a</v>
      </c>
      <c r="O33" s="9" t="str">
        <f t="shared" si="14"/>
        <v>a</v>
      </c>
      <c r="P33" s="9" t="str">
        <f t="shared" si="14"/>
        <v>a</v>
      </c>
      <c r="Q33" s="9" t="str">
        <f t="shared" si="14"/>
        <v>a</v>
      </c>
      <c r="R33" s="9" t="str">
        <f t="shared" si="14"/>
        <v>a</v>
      </c>
      <c r="S33" s="9" t="str">
        <f t="shared" si="14"/>
        <v>a</v>
      </c>
      <c r="T33" s="9" t="str">
        <f t="shared" si="14"/>
        <v>a</v>
      </c>
      <c r="U33" s="9" t="str">
        <f t="shared" si="14"/>
        <v>a</v>
      </c>
      <c r="V33" s="9" t="str">
        <f t="shared" si="14"/>
        <v>a</v>
      </c>
      <c r="W33" s="9" t="str">
        <f t="shared" si="14"/>
        <v>a</v>
      </c>
      <c r="X33" s="9" t="str">
        <f t="shared" si="14"/>
        <v>a</v>
      </c>
      <c r="Y33" s="9" t="str">
        <f t="shared" si="14"/>
        <v>a</v>
      </c>
      <c r="Z33" s="9" t="str">
        <f t="shared" si="14"/>
        <v>a</v>
      </c>
      <c r="AA33" s="9" t="str">
        <f t="shared" si="14"/>
        <v>a</v>
      </c>
      <c r="AB33" s="9" t="str">
        <f t="shared" si="14"/>
        <v>a</v>
      </c>
      <c r="AC33" s="9" t="str">
        <f t="shared" si="14"/>
        <v>a</v>
      </c>
      <c r="AD33" s="9" t="str">
        <f t="shared" si="14"/>
        <v>a</v>
      </c>
      <c r="AE33" s="9" t="str">
        <f t="shared" si="14"/>
        <v>a</v>
      </c>
      <c r="AF33" s="9" t="str">
        <f t="shared" si="14"/>
        <v>a</v>
      </c>
      <c r="AG33" s="9" t="str">
        <f t="shared" si="14"/>
        <v>a</v>
      </c>
      <c r="AH33" s="9" t="str">
        <f t="shared" si="14"/>
        <v>a</v>
      </c>
      <c r="AI33" s="9" t="str">
        <f t="shared" si="14"/>
        <v>a</v>
      </c>
      <c r="AJ33" s="9" t="str">
        <f t="shared" si="14"/>
        <v>a</v>
      </c>
      <c r="AK33" s="9" t="str">
        <f t="shared" si="14"/>
        <v>a</v>
      </c>
      <c r="AL33" s="9" t="str">
        <f t="shared" si="14"/>
        <v>a</v>
      </c>
      <c r="AM33" s="9" t="str">
        <f t="shared" si="14"/>
        <v>a</v>
      </c>
      <c r="AN33" s="9" t="str">
        <f t="shared" si="14"/>
        <v>a</v>
      </c>
      <c r="AO33" s="9" t="str">
        <f t="shared" si="14"/>
        <v>a</v>
      </c>
      <c r="AP33" s="9" t="str">
        <f t="shared" si="14"/>
        <v>a</v>
      </c>
      <c r="AQ33" s="9" t="str">
        <f t="shared" si="14"/>
        <v>a</v>
      </c>
      <c r="AR33" s="9" t="str">
        <f t="shared" si="14"/>
        <v>a</v>
      </c>
      <c r="AS33" s="9" t="str">
        <f t="shared" si="14"/>
        <v>a</v>
      </c>
      <c r="AT33" s="9" t="str">
        <f t="shared" si="14"/>
        <v>a</v>
      </c>
    </row>
    <row r="34" spans="1:46" ht="12.75" customHeight="1" x14ac:dyDescent="0.2">
      <c r="A34" s="54" t="s">
        <v>272</v>
      </c>
      <c r="D34" s="56" t="s">
        <v>113</v>
      </c>
      <c r="E34" s="53">
        <f t="shared" ref="E34:AT34" si="15">IF(E33="a",0.21,0.13)</f>
        <v>0.21</v>
      </c>
      <c r="F34" s="53">
        <f t="shared" si="15"/>
        <v>0.21</v>
      </c>
      <c r="G34" s="53">
        <f t="shared" si="15"/>
        <v>0.21</v>
      </c>
      <c r="H34" s="53">
        <f t="shared" si="15"/>
        <v>0.21</v>
      </c>
      <c r="I34" s="53">
        <f t="shared" si="15"/>
        <v>0.21</v>
      </c>
      <c r="J34" s="53">
        <f t="shared" si="15"/>
        <v>0.21</v>
      </c>
      <c r="K34" s="53">
        <f t="shared" si="15"/>
        <v>0.21</v>
      </c>
      <c r="L34" s="53">
        <f t="shared" si="15"/>
        <v>0.21</v>
      </c>
      <c r="M34" s="53">
        <f t="shared" si="15"/>
        <v>0.21</v>
      </c>
      <c r="N34" s="53">
        <f t="shared" si="15"/>
        <v>0.21</v>
      </c>
      <c r="O34" s="53">
        <f t="shared" si="15"/>
        <v>0.21</v>
      </c>
      <c r="P34" s="53">
        <f t="shared" si="15"/>
        <v>0.21</v>
      </c>
      <c r="Q34" s="53">
        <f t="shared" si="15"/>
        <v>0.21</v>
      </c>
      <c r="R34" s="53">
        <f t="shared" si="15"/>
        <v>0.21</v>
      </c>
      <c r="S34" s="53">
        <f t="shared" si="15"/>
        <v>0.21</v>
      </c>
      <c r="T34" s="53">
        <f t="shared" si="15"/>
        <v>0.21</v>
      </c>
      <c r="U34" s="53">
        <f t="shared" si="15"/>
        <v>0.21</v>
      </c>
      <c r="V34" s="53">
        <f t="shared" si="15"/>
        <v>0.21</v>
      </c>
      <c r="W34" s="53">
        <f t="shared" si="15"/>
        <v>0.21</v>
      </c>
      <c r="X34" s="53">
        <f t="shared" si="15"/>
        <v>0.21</v>
      </c>
      <c r="Y34" s="53">
        <f t="shared" si="15"/>
        <v>0.21</v>
      </c>
      <c r="Z34" s="53">
        <f t="shared" si="15"/>
        <v>0.21</v>
      </c>
      <c r="AA34" s="53">
        <f t="shared" si="15"/>
        <v>0.21</v>
      </c>
      <c r="AB34" s="53">
        <f t="shared" si="15"/>
        <v>0.21</v>
      </c>
      <c r="AC34" s="53">
        <f t="shared" si="15"/>
        <v>0.21</v>
      </c>
      <c r="AD34" s="53">
        <f t="shared" si="15"/>
        <v>0.21</v>
      </c>
      <c r="AE34" s="53">
        <f t="shared" si="15"/>
        <v>0.21</v>
      </c>
      <c r="AF34" s="53">
        <f t="shared" si="15"/>
        <v>0.21</v>
      </c>
      <c r="AG34" s="53">
        <f t="shared" si="15"/>
        <v>0.21</v>
      </c>
      <c r="AH34" s="53">
        <f t="shared" si="15"/>
        <v>0.21</v>
      </c>
      <c r="AI34" s="53">
        <f t="shared" si="15"/>
        <v>0.21</v>
      </c>
      <c r="AJ34" s="53">
        <f t="shared" si="15"/>
        <v>0.21</v>
      </c>
      <c r="AK34" s="53">
        <f t="shared" si="15"/>
        <v>0.21</v>
      </c>
      <c r="AL34" s="53">
        <f t="shared" si="15"/>
        <v>0.21</v>
      </c>
      <c r="AM34" s="53">
        <f t="shared" si="15"/>
        <v>0.21</v>
      </c>
      <c r="AN34" s="53">
        <f t="shared" si="15"/>
        <v>0.21</v>
      </c>
      <c r="AO34" s="53">
        <f t="shared" si="15"/>
        <v>0.21</v>
      </c>
      <c r="AP34" s="53">
        <f t="shared" si="15"/>
        <v>0.21</v>
      </c>
      <c r="AQ34" s="53">
        <f t="shared" si="15"/>
        <v>0.21</v>
      </c>
      <c r="AR34" s="53">
        <f t="shared" si="15"/>
        <v>0.21</v>
      </c>
      <c r="AS34" s="53">
        <f t="shared" si="15"/>
        <v>0.21</v>
      </c>
      <c r="AT34" s="53">
        <f t="shared" si="15"/>
        <v>0.21</v>
      </c>
    </row>
    <row r="35" spans="1:46" ht="12.75" hidden="1" customHeight="1" x14ac:dyDescent="0.2">
      <c r="A35" s="45"/>
      <c r="D35" s="20"/>
      <c r="E35" s="47" t="e">
        <f t="shared" ref="E35:AT35" si="16">E31/E32</f>
        <v>#DIV/0!</v>
      </c>
      <c r="F35" s="47" t="e">
        <f t="shared" si="16"/>
        <v>#DIV/0!</v>
      </c>
      <c r="G35" s="47" t="e">
        <f t="shared" si="16"/>
        <v>#DIV/0!</v>
      </c>
      <c r="H35" s="47" t="e">
        <f t="shared" si="16"/>
        <v>#DIV/0!</v>
      </c>
      <c r="I35" s="47" t="e">
        <f t="shared" si="16"/>
        <v>#DIV/0!</v>
      </c>
      <c r="J35" s="47" t="e">
        <f t="shared" si="16"/>
        <v>#DIV/0!</v>
      </c>
      <c r="K35" s="47" t="e">
        <f t="shared" si="16"/>
        <v>#DIV/0!</v>
      </c>
      <c r="L35" s="47" t="e">
        <f t="shared" si="16"/>
        <v>#DIV/0!</v>
      </c>
      <c r="M35" s="47" t="e">
        <f t="shared" si="16"/>
        <v>#DIV/0!</v>
      </c>
      <c r="N35" s="47" t="e">
        <f t="shared" si="16"/>
        <v>#DIV/0!</v>
      </c>
      <c r="O35" s="47" t="e">
        <f t="shared" si="16"/>
        <v>#DIV/0!</v>
      </c>
      <c r="P35" s="47" t="e">
        <f t="shared" si="16"/>
        <v>#DIV/0!</v>
      </c>
      <c r="Q35" s="47" t="e">
        <f t="shared" si="16"/>
        <v>#DIV/0!</v>
      </c>
      <c r="R35" s="47" t="e">
        <f t="shared" si="16"/>
        <v>#DIV/0!</v>
      </c>
      <c r="S35" s="47" t="e">
        <f t="shared" si="16"/>
        <v>#DIV/0!</v>
      </c>
      <c r="T35" s="47" t="e">
        <f t="shared" si="16"/>
        <v>#DIV/0!</v>
      </c>
      <c r="U35" s="47" t="e">
        <f t="shared" si="16"/>
        <v>#DIV/0!</v>
      </c>
      <c r="V35" s="47" t="e">
        <f t="shared" si="16"/>
        <v>#DIV/0!</v>
      </c>
      <c r="W35" s="47" t="e">
        <f t="shared" si="16"/>
        <v>#DIV/0!</v>
      </c>
      <c r="X35" s="47" t="e">
        <f t="shared" si="16"/>
        <v>#DIV/0!</v>
      </c>
      <c r="Y35" s="47" t="e">
        <f t="shared" si="16"/>
        <v>#DIV/0!</v>
      </c>
      <c r="Z35" s="47" t="e">
        <f t="shared" si="16"/>
        <v>#DIV/0!</v>
      </c>
      <c r="AA35" s="47" t="e">
        <f t="shared" si="16"/>
        <v>#DIV/0!</v>
      </c>
      <c r="AB35" s="47" t="e">
        <f t="shared" si="16"/>
        <v>#DIV/0!</v>
      </c>
      <c r="AC35" s="47" t="e">
        <f t="shared" si="16"/>
        <v>#DIV/0!</v>
      </c>
      <c r="AD35" s="47" t="e">
        <f t="shared" si="16"/>
        <v>#DIV/0!</v>
      </c>
      <c r="AE35" s="47" t="e">
        <f t="shared" si="16"/>
        <v>#DIV/0!</v>
      </c>
      <c r="AF35" s="47" t="e">
        <f t="shared" si="16"/>
        <v>#DIV/0!</v>
      </c>
      <c r="AG35" s="47" t="e">
        <f t="shared" si="16"/>
        <v>#DIV/0!</v>
      </c>
      <c r="AH35" s="47" t="e">
        <f t="shared" si="16"/>
        <v>#DIV/0!</v>
      </c>
      <c r="AI35" s="47" t="e">
        <f t="shared" si="16"/>
        <v>#DIV/0!</v>
      </c>
      <c r="AJ35" s="47" t="e">
        <f t="shared" si="16"/>
        <v>#DIV/0!</v>
      </c>
      <c r="AK35" s="47" t="e">
        <f t="shared" si="16"/>
        <v>#DIV/0!</v>
      </c>
      <c r="AL35" s="47" t="e">
        <f t="shared" si="16"/>
        <v>#DIV/0!</v>
      </c>
      <c r="AM35" s="47" t="e">
        <f t="shared" si="16"/>
        <v>#DIV/0!</v>
      </c>
      <c r="AN35" s="47" t="e">
        <f t="shared" si="16"/>
        <v>#DIV/0!</v>
      </c>
      <c r="AO35" s="47" t="e">
        <f t="shared" si="16"/>
        <v>#DIV/0!</v>
      </c>
      <c r="AP35" s="47" t="e">
        <f t="shared" si="16"/>
        <v>#DIV/0!</v>
      </c>
      <c r="AQ35" s="47" t="e">
        <f t="shared" si="16"/>
        <v>#DIV/0!</v>
      </c>
      <c r="AR35" s="47" t="e">
        <f t="shared" si="16"/>
        <v>#DIV/0!</v>
      </c>
      <c r="AS35" s="47" t="e">
        <f t="shared" si="16"/>
        <v>#DIV/0!</v>
      </c>
      <c r="AT35" s="47" t="e">
        <f t="shared" si="16"/>
        <v>#DIV/0!</v>
      </c>
    </row>
    <row r="36" spans="1:46" ht="12.75" hidden="1" customHeight="1" x14ac:dyDescent="0.2">
      <c r="A36" s="45"/>
      <c r="D36" s="20">
        <v>1</v>
      </c>
      <c r="E36" s="47" t="e">
        <f t="shared" ref="E36:AT36" si="17">IF(E35&lt;=50,1,0)</f>
        <v>#DIV/0!</v>
      </c>
      <c r="F36" s="47" t="e">
        <f t="shared" si="17"/>
        <v>#DIV/0!</v>
      </c>
      <c r="G36" s="47" t="e">
        <f t="shared" si="17"/>
        <v>#DIV/0!</v>
      </c>
      <c r="H36" s="47" t="e">
        <f t="shared" si="17"/>
        <v>#DIV/0!</v>
      </c>
      <c r="I36" s="47" t="e">
        <f t="shared" si="17"/>
        <v>#DIV/0!</v>
      </c>
      <c r="J36" s="47" t="e">
        <f t="shared" si="17"/>
        <v>#DIV/0!</v>
      </c>
      <c r="K36" s="47" t="e">
        <f t="shared" si="17"/>
        <v>#DIV/0!</v>
      </c>
      <c r="L36" s="47" t="e">
        <f t="shared" si="17"/>
        <v>#DIV/0!</v>
      </c>
      <c r="M36" s="47" t="e">
        <f t="shared" si="17"/>
        <v>#DIV/0!</v>
      </c>
      <c r="N36" s="47" t="e">
        <f t="shared" si="17"/>
        <v>#DIV/0!</v>
      </c>
      <c r="O36" s="47" t="e">
        <f t="shared" si="17"/>
        <v>#DIV/0!</v>
      </c>
      <c r="P36" s="47" t="e">
        <f t="shared" si="17"/>
        <v>#DIV/0!</v>
      </c>
      <c r="Q36" s="47" t="e">
        <f t="shared" si="17"/>
        <v>#DIV/0!</v>
      </c>
      <c r="R36" s="47" t="e">
        <f t="shared" si="17"/>
        <v>#DIV/0!</v>
      </c>
      <c r="S36" s="47" t="e">
        <f t="shared" si="17"/>
        <v>#DIV/0!</v>
      </c>
      <c r="T36" s="47" t="e">
        <f t="shared" si="17"/>
        <v>#DIV/0!</v>
      </c>
      <c r="U36" s="47" t="e">
        <f t="shared" si="17"/>
        <v>#DIV/0!</v>
      </c>
      <c r="V36" s="47" t="e">
        <f t="shared" si="17"/>
        <v>#DIV/0!</v>
      </c>
      <c r="W36" s="47" t="e">
        <f t="shared" si="17"/>
        <v>#DIV/0!</v>
      </c>
      <c r="X36" s="47" t="e">
        <f t="shared" si="17"/>
        <v>#DIV/0!</v>
      </c>
      <c r="Y36" s="47" t="e">
        <f t="shared" si="17"/>
        <v>#DIV/0!</v>
      </c>
      <c r="Z36" s="47" t="e">
        <f t="shared" si="17"/>
        <v>#DIV/0!</v>
      </c>
      <c r="AA36" s="47" t="e">
        <f t="shared" si="17"/>
        <v>#DIV/0!</v>
      </c>
      <c r="AB36" s="47" t="e">
        <f t="shared" si="17"/>
        <v>#DIV/0!</v>
      </c>
      <c r="AC36" s="47" t="e">
        <f t="shared" si="17"/>
        <v>#DIV/0!</v>
      </c>
      <c r="AD36" s="47" t="e">
        <f t="shared" si="17"/>
        <v>#DIV/0!</v>
      </c>
      <c r="AE36" s="47" t="e">
        <f t="shared" si="17"/>
        <v>#DIV/0!</v>
      </c>
      <c r="AF36" s="47" t="e">
        <f t="shared" si="17"/>
        <v>#DIV/0!</v>
      </c>
      <c r="AG36" s="47" t="e">
        <f t="shared" si="17"/>
        <v>#DIV/0!</v>
      </c>
      <c r="AH36" s="47" t="e">
        <f t="shared" si="17"/>
        <v>#DIV/0!</v>
      </c>
      <c r="AI36" s="47" t="e">
        <f t="shared" si="17"/>
        <v>#DIV/0!</v>
      </c>
      <c r="AJ36" s="47" t="e">
        <f t="shared" si="17"/>
        <v>#DIV/0!</v>
      </c>
      <c r="AK36" s="47" t="e">
        <f t="shared" si="17"/>
        <v>#DIV/0!</v>
      </c>
      <c r="AL36" s="47" t="e">
        <f t="shared" si="17"/>
        <v>#DIV/0!</v>
      </c>
      <c r="AM36" s="47" t="e">
        <f t="shared" si="17"/>
        <v>#DIV/0!</v>
      </c>
      <c r="AN36" s="47" t="e">
        <f t="shared" si="17"/>
        <v>#DIV/0!</v>
      </c>
      <c r="AO36" s="47" t="e">
        <f t="shared" si="17"/>
        <v>#DIV/0!</v>
      </c>
      <c r="AP36" s="47" t="e">
        <f t="shared" si="17"/>
        <v>#DIV/0!</v>
      </c>
      <c r="AQ36" s="47" t="e">
        <f t="shared" si="17"/>
        <v>#DIV/0!</v>
      </c>
      <c r="AR36" s="47" t="e">
        <f t="shared" si="17"/>
        <v>#DIV/0!</v>
      </c>
      <c r="AS36" s="47" t="e">
        <f t="shared" si="17"/>
        <v>#DIV/0!</v>
      </c>
      <c r="AT36" s="47" t="e">
        <f t="shared" si="17"/>
        <v>#DIV/0!</v>
      </c>
    </row>
    <row r="37" spans="1:46" ht="12.75" hidden="1" customHeight="1" x14ac:dyDescent="0.2">
      <c r="A37" s="45"/>
      <c r="D37" s="20">
        <v>2</v>
      </c>
      <c r="E37" s="47" t="e">
        <f t="shared" ref="E37:AT37" si="18">IF(E35&lt;=70,1,0)</f>
        <v>#DIV/0!</v>
      </c>
      <c r="F37" s="47" t="e">
        <f t="shared" si="18"/>
        <v>#DIV/0!</v>
      </c>
      <c r="G37" s="47" t="e">
        <f t="shared" si="18"/>
        <v>#DIV/0!</v>
      </c>
      <c r="H37" s="47" t="e">
        <f t="shared" si="18"/>
        <v>#DIV/0!</v>
      </c>
      <c r="I37" s="47" t="e">
        <f t="shared" si="18"/>
        <v>#DIV/0!</v>
      </c>
      <c r="J37" s="47" t="e">
        <f t="shared" si="18"/>
        <v>#DIV/0!</v>
      </c>
      <c r="K37" s="47" t="e">
        <f t="shared" si="18"/>
        <v>#DIV/0!</v>
      </c>
      <c r="L37" s="47" t="e">
        <f t="shared" si="18"/>
        <v>#DIV/0!</v>
      </c>
      <c r="M37" s="47" t="e">
        <f t="shared" si="18"/>
        <v>#DIV/0!</v>
      </c>
      <c r="N37" s="47" t="e">
        <f t="shared" si="18"/>
        <v>#DIV/0!</v>
      </c>
      <c r="O37" s="47" t="e">
        <f t="shared" si="18"/>
        <v>#DIV/0!</v>
      </c>
      <c r="P37" s="47" t="e">
        <f t="shared" si="18"/>
        <v>#DIV/0!</v>
      </c>
      <c r="Q37" s="47" t="e">
        <f t="shared" si="18"/>
        <v>#DIV/0!</v>
      </c>
      <c r="R37" s="47" t="e">
        <f t="shared" si="18"/>
        <v>#DIV/0!</v>
      </c>
      <c r="S37" s="47" t="e">
        <f t="shared" si="18"/>
        <v>#DIV/0!</v>
      </c>
      <c r="T37" s="47" t="e">
        <f t="shared" si="18"/>
        <v>#DIV/0!</v>
      </c>
      <c r="U37" s="47" t="e">
        <f t="shared" si="18"/>
        <v>#DIV/0!</v>
      </c>
      <c r="V37" s="47" t="e">
        <f t="shared" si="18"/>
        <v>#DIV/0!</v>
      </c>
      <c r="W37" s="47" t="e">
        <f t="shared" si="18"/>
        <v>#DIV/0!</v>
      </c>
      <c r="X37" s="47" t="e">
        <f t="shared" si="18"/>
        <v>#DIV/0!</v>
      </c>
      <c r="Y37" s="47" t="e">
        <f t="shared" si="18"/>
        <v>#DIV/0!</v>
      </c>
      <c r="Z37" s="47" t="e">
        <f t="shared" si="18"/>
        <v>#DIV/0!</v>
      </c>
      <c r="AA37" s="47" t="e">
        <f t="shared" si="18"/>
        <v>#DIV/0!</v>
      </c>
      <c r="AB37" s="47" t="e">
        <f t="shared" si="18"/>
        <v>#DIV/0!</v>
      </c>
      <c r="AC37" s="47" t="e">
        <f t="shared" si="18"/>
        <v>#DIV/0!</v>
      </c>
      <c r="AD37" s="47" t="e">
        <f t="shared" si="18"/>
        <v>#DIV/0!</v>
      </c>
      <c r="AE37" s="47" t="e">
        <f t="shared" si="18"/>
        <v>#DIV/0!</v>
      </c>
      <c r="AF37" s="47" t="e">
        <f t="shared" si="18"/>
        <v>#DIV/0!</v>
      </c>
      <c r="AG37" s="47" t="e">
        <f t="shared" si="18"/>
        <v>#DIV/0!</v>
      </c>
      <c r="AH37" s="47" t="e">
        <f t="shared" si="18"/>
        <v>#DIV/0!</v>
      </c>
      <c r="AI37" s="47" t="e">
        <f t="shared" si="18"/>
        <v>#DIV/0!</v>
      </c>
      <c r="AJ37" s="47" t="e">
        <f t="shared" si="18"/>
        <v>#DIV/0!</v>
      </c>
      <c r="AK37" s="47" t="e">
        <f t="shared" si="18"/>
        <v>#DIV/0!</v>
      </c>
      <c r="AL37" s="47" t="e">
        <f t="shared" si="18"/>
        <v>#DIV/0!</v>
      </c>
      <c r="AM37" s="47" t="e">
        <f t="shared" si="18"/>
        <v>#DIV/0!</v>
      </c>
      <c r="AN37" s="47" t="e">
        <f t="shared" si="18"/>
        <v>#DIV/0!</v>
      </c>
      <c r="AO37" s="47" t="e">
        <f t="shared" si="18"/>
        <v>#DIV/0!</v>
      </c>
      <c r="AP37" s="47" t="e">
        <f t="shared" si="18"/>
        <v>#DIV/0!</v>
      </c>
      <c r="AQ37" s="47" t="e">
        <f t="shared" si="18"/>
        <v>#DIV/0!</v>
      </c>
      <c r="AR37" s="47" t="e">
        <f t="shared" si="18"/>
        <v>#DIV/0!</v>
      </c>
      <c r="AS37" s="47" t="e">
        <f t="shared" si="18"/>
        <v>#DIV/0!</v>
      </c>
      <c r="AT37" s="47" t="e">
        <f t="shared" si="18"/>
        <v>#DIV/0!</v>
      </c>
    </row>
    <row r="38" spans="1:46" ht="12.75" hidden="1" customHeight="1" x14ac:dyDescent="0.2">
      <c r="A38" s="45"/>
      <c r="D38" s="20">
        <v>3</v>
      </c>
      <c r="E38" s="47" t="e">
        <f t="shared" ref="E38:AT38" si="19">IF(E35&lt;=90,1,0)</f>
        <v>#DIV/0!</v>
      </c>
      <c r="F38" s="47" t="e">
        <f t="shared" si="19"/>
        <v>#DIV/0!</v>
      </c>
      <c r="G38" s="47" t="e">
        <f t="shared" si="19"/>
        <v>#DIV/0!</v>
      </c>
      <c r="H38" s="47" t="e">
        <f t="shared" si="19"/>
        <v>#DIV/0!</v>
      </c>
      <c r="I38" s="47" t="e">
        <f t="shared" si="19"/>
        <v>#DIV/0!</v>
      </c>
      <c r="J38" s="47" t="e">
        <f t="shared" si="19"/>
        <v>#DIV/0!</v>
      </c>
      <c r="K38" s="47" t="e">
        <f t="shared" si="19"/>
        <v>#DIV/0!</v>
      </c>
      <c r="L38" s="47" t="e">
        <f t="shared" si="19"/>
        <v>#DIV/0!</v>
      </c>
      <c r="M38" s="47" t="e">
        <f t="shared" si="19"/>
        <v>#DIV/0!</v>
      </c>
      <c r="N38" s="47" t="e">
        <f t="shared" si="19"/>
        <v>#DIV/0!</v>
      </c>
      <c r="O38" s="47" t="e">
        <f t="shared" si="19"/>
        <v>#DIV/0!</v>
      </c>
      <c r="P38" s="47" t="e">
        <f t="shared" si="19"/>
        <v>#DIV/0!</v>
      </c>
      <c r="Q38" s="47" t="e">
        <f t="shared" si="19"/>
        <v>#DIV/0!</v>
      </c>
      <c r="R38" s="47" t="e">
        <f t="shared" si="19"/>
        <v>#DIV/0!</v>
      </c>
      <c r="S38" s="47" t="e">
        <f t="shared" si="19"/>
        <v>#DIV/0!</v>
      </c>
      <c r="T38" s="47" t="e">
        <f t="shared" si="19"/>
        <v>#DIV/0!</v>
      </c>
      <c r="U38" s="47" t="e">
        <f t="shared" si="19"/>
        <v>#DIV/0!</v>
      </c>
      <c r="V38" s="47" t="e">
        <f t="shared" si="19"/>
        <v>#DIV/0!</v>
      </c>
      <c r="W38" s="47" t="e">
        <f t="shared" si="19"/>
        <v>#DIV/0!</v>
      </c>
      <c r="X38" s="47" t="e">
        <f t="shared" si="19"/>
        <v>#DIV/0!</v>
      </c>
      <c r="Y38" s="47" t="e">
        <f t="shared" si="19"/>
        <v>#DIV/0!</v>
      </c>
      <c r="Z38" s="47" t="e">
        <f t="shared" si="19"/>
        <v>#DIV/0!</v>
      </c>
      <c r="AA38" s="47" t="e">
        <f t="shared" si="19"/>
        <v>#DIV/0!</v>
      </c>
      <c r="AB38" s="47" t="e">
        <f t="shared" si="19"/>
        <v>#DIV/0!</v>
      </c>
      <c r="AC38" s="47" t="e">
        <f t="shared" si="19"/>
        <v>#DIV/0!</v>
      </c>
      <c r="AD38" s="47" t="e">
        <f t="shared" si="19"/>
        <v>#DIV/0!</v>
      </c>
      <c r="AE38" s="47" t="e">
        <f t="shared" si="19"/>
        <v>#DIV/0!</v>
      </c>
      <c r="AF38" s="47" t="e">
        <f t="shared" si="19"/>
        <v>#DIV/0!</v>
      </c>
      <c r="AG38" s="47" t="e">
        <f t="shared" si="19"/>
        <v>#DIV/0!</v>
      </c>
      <c r="AH38" s="47" t="e">
        <f t="shared" si="19"/>
        <v>#DIV/0!</v>
      </c>
      <c r="AI38" s="47" t="e">
        <f t="shared" si="19"/>
        <v>#DIV/0!</v>
      </c>
      <c r="AJ38" s="47" t="e">
        <f t="shared" si="19"/>
        <v>#DIV/0!</v>
      </c>
      <c r="AK38" s="47" t="e">
        <f t="shared" si="19"/>
        <v>#DIV/0!</v>
      </c>
      <c r="AL38" s="47" t="e">
        <f t="shared" si="19"/>
        <v>#DIV/0!</v>
      </c>
      <c r="AM38" s="47" t="e">
        <f t="shared" si="19"/>
        <v>#DIV/0!</v>
      </c>
      <c r="AN38" s="47" t="e">
        <f t="shared" si="19"/>
        <v>#DIV/0!</v>
      </c>
      <c r="AO38" s="47" t="e">
        <f t="shared" si="19"/>
        <v>#DIV/0!</v>
      </c>
      <c r="AP38" s="47" t="e">
        <f t="shared" si="19"/>
        <v>#DIV/0!</v>
      </c>
      <c r="AQ38" s="47" t="e">
        <f t="shared" si="19"/>
        <v>#DIV/0!</v>
      </c>
      <c r="AR38" s="47" t="e">
        <f t="shared" si="19"/>
        <v>#DIV/0!</v>
      </c>
      <c r="AS38" s="47" t="e">
        <f t="shared" si="19"/>
        <v>#DIV/0!</v>
      </c>
      <c r="AT38" s="47" t="e">
        <f t="shared" si="19"/>
        <v>#DIV/0!</v>
      </c>
    </row>
    <row r="39" spans="1:46" ht="12.75" hidden="1" customHeight="1" x14ac:dyDescent="0.2">
      <c r="A39" s="45"/>
      <c r="D39" s="20"/>
      <c r="E39" s="47" t="e">
        <f t="shared" ref="E39:AT39" si="20">SUM(E36:E38)</f>
        <v>#DIV/0!</v>
      </c>
      <c r="F39" s="47" t="e">
        <f t="shared" si="20"/>
        <v>#DIV/0!</v>
      </c>
      <c r="G39" s="47" t="e">
        <f t="shared" si="20"/>
        <v>#DIV/0!</v>
      </c>
      <c r="H39" s="47" t="e">
        <f t="shared" si="20"/>
        <v>#DIV/0!</v>
      </c>
      <c r="I39" s="47" t="e">
        <f t="shared" si="20"/>
        <v>#DIV/0!</v>
      </c>
      <c r="J39" s="47" t="e">
        <f t="shared" si="20"/>
        <v>#DIV/0!</v>
      </c>
      <c r="K39" s="47" t="e">
        <f t="shared" si="20"/>
        <v>#DIV/0!</v>
      </c>
      <c r="L39" s="47" t="e">
        <f t="shared" si="20"/>
        <v>#DIV/0!</v>
      </c>
      <c r="M39" s="47" t="e">
        <f t="shared" si="20"/>
        <v>#DIV/0!</v>
      </c>
      <c r="N39" s="47" t="e">
        <f t="shared" si="20"/>
        <v>#DIV/0!</v>
      </c>
      <c r="O39" s="47" t="e">
        <f t="shared" si="20"/>
        <v>#DIV/0!</v>
      </c>
      <c r="P39" s="47" t="e">
        <f t="shared" si="20"/>
        <v>#DIV/0!</v>
      </c>
      <c r="Q39" s="47" t="e">
        <f t="shared" si="20"/>
        <v>#DIV/0!</v>
      </c>
      <c r="R39" s="47" t="e">
        <f t="shared" si="20"/>
        <v>#DIV/0!</v>
      </c>
      <c r="S39" s="47" t="e">
        <f t="shared" si="20"/>
        <v>#DIV/0!</v>
      </c>
      <c r="T39" s="47" t="e">
        <f t="shared" si="20"/>
        <v>#DIV/0!</v>
      </c>
      <c r="U39" s="47" t="e">
        <f t="shared" si="20"/>
        <v>#DIV/0!</v>
      </c>
      <c r="V39" s="47" t="e">
        <f t="shared" si="20"/>
        <v>#DIV/0!</v>
      </c>
      <c r="W39" s="47" t="e">
        <f t="shared" si="20"/>
        <v>#DIV/0!</v>
      </c>
      <c r="X39" s="47" t="e">
        <f t="shared" si="20"/>
        <v>#DIV/0!</v>
      </c>
      <c r="Y39" s="47" t="e">
        <f t="shared" si="20"/>
        <v>#DIV/0!</v>
      </c>
      <c r="Z39" s="47" t="e">
        <f t="shared" si="20"/>
        <v>#DIV/0!</v>
      </c>
      <c r="AA39" s="47" t="e">
        <f t="shared" si="20"/>
        <v>#DIV/0!</v>
      </c>
      <c r="AB39" s="47" t="e">
        <f t="shared" si="20"/>
        <v>#DIV/0!</v>
      </c>
      <c r="AC39" s="47" t="e">
        <f t="shared" si="20"/>
        <v>#DIV/0!</v>
      </c>
      <c r="AD39" s="47" t="e">
        <f t="shared" si="20"/>
        <v>#DIV/0!</v>
      </c>
      <c r="AE39" s="47" t="e">
        <f t="shared" si="20"/>
        <v>#DIV/0!</v>
      </c>
      <c r="AF39" s="47" t="e">
        <f t="shared" si="20"/>
        <v>#DIV/0!</v>
      </c>
      <c r="AG39" s="47" t="e">
        <f t="shared" si="20"/>
        <v>#DIV/0!</v>
      </c>
      <c r="AH39" s="47" t="e">
        <f t="shared" si="20"/>
        <v>#DIV/0!</v>
      </c>
      <c r="AI39" s="47" t="e">
        <f t="shared" si="20"/>
        <v>#DIV/0!</v>
      </c>
      <c r="AJ39" s="47" t="e">
        <f t="shared" si="20"/>
        <v>#DIV/0!</v>
      </c>
      <c r="AK39" s="47" t="e">
        <f t="shared" si="20"/>
        <v>#DIV/0!</v>
      </c>
      <c r="AL39" s="47" t="e">
        <f t="shared" si="20"/>
        <v>#DIV/0!</v>
      </c>
      <c r="AM39" s="47" t="e">
        <f t="shared" si="20"/>
        <v>#DIV/0!</v>
      </c>
      <c r="AN39" s="47" t="e">
        <f t="shared" si="20"/>
        <v>#DIV/0!</v>
      </c>
      <c r="AO39" s="47" t="e">
        <f t="shared" si="20"/>
        <v>#DIV/0!</v>
      </c>
      <c r="AP39" s="47" t="e">
        <f t="shared" si="20"/>
        <v>#DIV/0!</v>
      </c>
      <c r="AQ39" s="47" t="e">
        <f t="shared" si="20"/>
        <v>#DIV/0!</v>
      </c>
      <c r="AR39" s="47" t="e">
        <f t="shared" si="20"/>
        <v>#DIV/0!</v>
      </c>
      <c r="AS39" s="47" t="e">
        <f t="shared" si="20"/>
        <v>#DIV/0!</v>
      </c>
      <c r="AT39" s="47" t="e">
        <f t="shared" si="20"/>
        <v>#DIV/0!</v>
      </c>
    </row>
    <row r="40" spans="1:46" ht="12.75" customHeight="1" x14ac:dyDescent="0.2">
      <c r="A40" s="37" t="s">
        <v>273</v>
      </c>
      <c r="D40" s="20" t="s">
        <v>113</v>
      </c>
      <c r="E40" s="9" t="e">
        <f t="shared" ref="E40:AT40" si="21">IF(E39=3,1,IF(E39=2,2,IF(E39=1,3,IF(E39=0,4))))</f>
        <v>#DIV/0!</v>
      </c>
      <c r="F40" s="9" t="e">
        <f t="shared" si="21"/>
        <v>#DIV/0!</v>
      </c>
      <c r="G40" s="9" t="e">
        <f t="shared" si="21"/>
        <v>#DIV/0!</v>
      </c>
      <c r="H40" s="9" t="e">
        <f t="shared" si="21"/>
        <v>#DIV/0!</v>
      </c>
      <c r="I40" s="9" t="e">
        <f t="shared" si="21"/>
        <v>#DIV/0!</v>
      </c>
      <c r="J40" s="9" t="e">
        <f t="shared" si="21"/>
        <v>#DIV/0!</v>
      </c>
      <c r="K40" s="9" t="e">
        <f t="shared" si="21"/>
        <v>#DIV/0!</v>
      </c>
      <c r="L40" s="9" t="e">
        <f t="shared" si="21"/>
        <v>#DIV/0!</v>
      </c>
      <c r="M40" s="9" t="e">
        <f t="shared" si="21"/>
        <v>#DIV/0!</v>
      </c>
      <c r="N40" s="9" t="e">
        <f t="shared" si="21"/>
        <v>#DIV/0!</v>
      </c>
      <c r="O40" s="9" t="e">
        <f t="shared" si="21"/>
        <v>#DIV/0!</v>
      </c>
      <c r="P40" s="9" t="e">
        <f t="shared" si="21"/>
        <v>#DIV/0!</v>
      </c>
      <c r="Q40" s="9" t="e">
        <f t="shared" si="21"/>
        <v>#DIV/0!</v>
      </c>
      <c r="R40" s="9" t="e">
        <f t="shared" si="21"/>
        <v>#DIV/0!</v>
      </c>
      <c r="S40" s="9" t="e">
        <f t="shared" si="21"/>
        <v>#DIV/0!</v>
      </c>
      <c r="T40" s="9" t="e">
        <f t="shared" si="21"/>
        <v>#DIV/0!</v>
      </c>
      <c r="U40" s="9" t="e">
        <f t="shared" si="21"/>
        <v>#DIV/0!</v>
      </c>
      <c r="V40" s="9" t="e">
        <f t="shared" si="21"/>
        <v>#DIV/0!</v>
      </c>
      <c r="W40" s="9" t="e">
        <f t="shared" si="21"/>
        <v>#DIV/0!</v>
      </c>
      <c r="X40" s="9" t="e">
        <f t="shared" si="21"/>
        <v>#DIV/0!</v>
      </c>
      <c r="Y40" s="9" t="e">
        <f t="shared" si="21"/>
        <v>#DIV/0!</v>
      </c>
      <c r="Z40" s="9" t="e">
        <f t="shared" si="21"/>
        <v>#DIV/0!</v>
      </c>
      <c r="AA40" s="9" t="e">
        <f t="shared" si="21"/>
        <v>#DIV/0!</v>
      </c>
      <c r="AB40" s="9" t="e">
        <f t="shared" si="21"/>
        <v>#DIV/0!</v>
      </c>
      <c r="AC40" s="9" t="e">
        <f t="shared" si="21"/>
        <v>#DIV/0!</v>
      </c>
      <c r="AD40" s="9" t="e">
        <f t="shared" si="21"/>
        <v>#DIV/0!</v>
      </c>
      <c r="AE40" s="9" t="e">
        <f t="shared" si="21"/>
        <v>#DIV/0!</v>
      </c>
      <c r="AF40" s="9" t="e">
        <f t="shared" si="21"/>
        <v>#DIV/0!</v>
      </c>
      <c r="AG40" s="9" t="e">
        <f t="shared" si="21"/>
        <v>#DIV/0!</v>
      </c>
      <c r="AH40" s="9" t="e">
        <f t="shared" si="21"/>
        <v>#DIV/0!</v>
      </c>
      <c r="AI40" s="9" t="e">
        <f t="shared" si="21"/>
        <v>#DIV/0!</v>
      </c>
      <c r="AJ40" s="9" t="e">
        <f t="shared" si="21"/>
        <v>#DIV/0!</v>
      </c>
      <c r="AK40" s="9" t="e">
        <f t="shared" si="21"/>
        <v>#DIV/0!</v>
      </c>
      <c r="AL40" s="9" t="e">
        <f t="shared" si="21"/>
        <v>#DIV/0!</v>
      </c>
      <c r="AM40" s="9" t="e">
        <f t="shared" si="21"/>
        <v>#DIV/0!</v>
      </c>
      <c r="AN40" s="9" t="e">
        <f t="shared" si="21"/>
        <v>#DIV/0!</v>
      </c>
      <c r="AO40" s="9" t="e">
        <f t="shared" si="21"/>
        <v>#DIV/0!</v>
      </c>
      <c r="AP40" s="9" t="e">
        <f t="shared" si="21"/>
        <v>#DIV/0!</v>
      </c>
      <c r="AQ40" s="9" t="e">
        <f t="shared" si="21"/>
        <v>#DIV/0!</v>
      </c>
      <c r="AR40" s="9" t="e">
        <f t="shared" si="21"/>
        <v>#DIV/0!</v>
      </c>
      <c r="AS40" s="9" t="e">
        <f t="shared" si="21"/>
        <v>#DIV/0!</v>
      </c>
      <c r="AT40" s="9" t="e">
        <f t="shared" si="21"/>
        <v>#DIV/0!</v>
      </c>
    </row>
    <row r="41" spans="1:46" ht="12.75" customHeight="1" x14ac:dyDescent="0.2"/>
    <row r="42" spans="1:46" ht="12.75" customHeight="1" x14ac:dyDescent="0.2">
      <c r="A42" s="49" t="s">
        <v>274</v>
      </c>
    </row>
    <row r="43" spans="1:46" ht="12.75" customHeight="1" x14ac:dyDescent="0.2">
      <c r="A43" s="46" t="s">
        <v>275</v>
      </c>
      <c r="D43" s="10" t="s">
        <v>78</v>
      </c>
      <c r="E43" s="9">
        <f>VLOOKUP(E$8,'C - overzicht'!$B$11:$P$53,12,0)</f>
        <v>0</v>
      </c>
      <c r="F43" s="9">
        <f>VLOOKUP(F$8,'C - overzicht'!$B$11:$P$53,12,0)</f>
        <v>0</v>
      </c>
      <c r="G43" s="9">
        <f>VLOOKUP(G$8,'C - overzicht'!$B$11:$P$53,12,0)</f>
        <v>0</v>
      </c>
      <c r="H43" s="9">
        <f>VLOOKUP(H$8,'C - overzicht'!$B$11:$P$53,12,0)</f>
        <v>0</v>
      </c>
      <c r="I43" s="9">
        <f>VLOOKUP(I$8,'C - overzicht'!$B$11:$P$53,12,0)</f>
        <v>0</v>
      </c>
      <c r="J43" s="9">
        <f>VLOOKUP(J$8,'C - overzicht'!$B$11:$P$53,12,0)</f>
        <v>0</v>
      </c>
      <c r="K43" s="9">
        <f>VLOOKUP(K$8,'C - overzicht'!$B$11:$P$53,12,0)</f>
        <v>0</v>
      </c>
      <c r="L43" s="9">
        <f>VLOOKUP(L$8,'C - overzicht'!$B$11:$P$53,12,0)</f>
        <v>0</v>
      </c>
      <c r="M43" s="9">
        <f>VLOOKUP(M$8,'C - overzicht'!$B$11:$P$53,12,0)</f>
        <v>0</v>
      </c>
      <c r="N43" s="9">
        <f>VLOOKUP(N$8,'C - overzicht'!$B$11:$P$53,12,0)</f>
        <v>0</v>
      </c>
      <c r="O43" s="9">
        <f>VLOOKUP(O$8,'C - overzicht'!$B$11:$P$53,12,0)</f>
        <v>0</v>
      </c>
      <c r="P43" s="9">
        <f>VLOOKUP(P$8,'C - overzicht'!$B$11:$P$53,12,0)</f>
        <v>0</v>
      </c>
      <c r="Q43" s="9">
        <f>VLOOKUP(Q$8,'C - overzicht'!$B$11:$P$53,12,0)</f>
        <v>0</v>
      </c>
      <c r="R43" s="9">
        <f>VLOOKUP(R$8,'C - overzicht'!$B$11:$P$53,12,0)</f>
        <v>0</v>
      </c>
      <c r="S43" s="9">
        <f>VLOOKUP(S$8,'C - overzicht'!$B$11:$P$53,12,0)</f>
        <v>0</v>
      </c>
      <c r="T43" s="9">
        <f>VLOOKUP(T$8,'C - overzicht'!$B$11:$P$53,12,0)</f>
        <v>0</v>
      </c>
      <c r="U43" s="9">
        <f>VLOOKUP(U$8,'C - overzicht'!$B$11:$P$53,12,0)</f>
        <v>0</v>
      </c>
      <c r="V43" s="9">
        <f>VLOOKUP(V$8,'C - overzicht'!$B$11:$P$53,12,0)</f>
        <v>0</v>
      </c>
      <c r="W43" s="9">
        <f>VLOOKUP(W$8,'C - overzicht'!$B$11:$P$53,12,0)</f>
        <v>0</v>
      </c>
      <c r="X43" s="9">
        <f>VLOOKUP(X$8,'C - overzicht'!$B$11:$P$53,12,0)</f>
        <v>0</v>
      </c>
      <c r="Y43" s="9">
        <f>VLOOKUP(Y$8,'C - overzicht'!$B$11:$P$53,12,0)</f>
        <v>0</v>
      </c>
      <c r="Z43" s="9">
        <f>VLOOKUP(Z$8,'C - overzicht'!$B$11:$P$53,12,0)</f>
        <v>0</v>
      </c>
      <c r="AA43" s="9">
        <f>VLOOKUP(AA$8,'C - overzicht'!$B$11:$P$53,12,0)</f>
        <v>0</v>
      </c>
      <c r="AB43" s="9">
        <f>VLOOKUP(AB$8,'C - overzicht'!$B$11:$P$53,12,0)</f>
        <v>0</v>
      </c>
      <c r="AC43" s="9">
        <f>VLOOKUP(AC$8,'C - overzicht'!$B$11:$P$53,12,0)</f>
        <v>0</v>
      </c>
      <c r="AD43" s="9">
        <f>VLOOKUP(AD$8,'C - overzicht'!$B$11:$P$53,12,0)</f>
        <v>0</v>
      </c>
      <c r="AE43" s="9">
        <f>VLOOKUP(AE$8,'C - overzicht'!$B$11:$P$53,12,0)</f>
        <v>0</v>
      </c>
      <c r="AF43" s="9">
        <f>VLOOKUP(AF$8,'C - overzicht'!$B$11:$P$53,12,0)</f>
        <v>0</v>
      </c>
      <c r="AG43" s="9">
        <f>VLOOKUP(AG$8,'C - overzicht'!$B$11:$P$53,12,0)</f>
        <v>0</v>
      </c>
      <c r="AH43" s="9">
        <f>VLOOKUP(AH$8,'C - overzicht'!$B$11:$P$53,12,0)</f>
        <v>0</v>
      </c>
      <c r="AI43" s="9">
        <f>VLOOKUP(AI$8,'C - overzicht'!$B$11:$P$53,12,0)</f>
        <v>0</v>
      </c>
      <c r="AJ43" s="9">
        <f>VLOOKUP(AJ$8,'C - overzicht'!$B$11:$P$53,12,0)</f>
        <v>0</v>
      </c>
      <c r="AK43" s="9">
        <f>VLOOKUP(AK$8,'C - overzicht'!$B$11:$P$53,12,0)</f>
        <v>0</v>
      </c>
      <c r="AL43" s="9">
        <f>VLOOKUP(AL$8,'C - overzicht'!$B$11:$P$53,12,0)</f>
        <v>0</v>
      </c>
      <c r="AM43" s="9">
        <f>VLOOKUP(AM$8,'C - overzicht'!$B$11:$P$53,12,0)</f>
        <v>0</v>
      </c>
      <c r="AN43" s="9">
        <f>VLOOKUP(AN$8,'C - overzicht'!$B$11:$P$53,12,0)</f>
        <v>0</v>
      </c>
      <c r="AO43" s="9">
        <f>VLOOKUP(AO$8,'C - overzicht'!$B$11:$P$53,12,0)</f>
        <v>0</v>
      </c>
      <c r="AP43" s="9">
        <f>VLOOKUP(AP$8,'C - overzicht'!$B$11:$P$53,12,0)</f>
        <v>0</v>
      </c>
      <c r="AQ43" s="9">
        <f>VLOOKUP(AQ$8,'C - overzicht'!$B$11:$P$53,12,0)</f>
        <v>0</v>
      </c>
      <c r="AR43" s="9">
        <f>VLOOKUP(AR$8,'C - overzicht'!$B$11:$P$53,12,0)</f>
        <v>0</v>
      </c>
      <c r="AS43" s="9">
        <f>VLOOKUP(AS$8,'C - overzicht'!$B$11:$P$53,12,0)</f>
        <v>0</v>
      </c>
      <c r="AT43" s="9">
        <f>VLOOKUP(AT$8,'C - overzicht'!$B$11:$P$53,12,0)</f>
        <v>0</v>
      </c>
    </row>
    <row r="44" spans="1:46" ht="12.75" customHeight="1" x14ac:dyDescent="0.2">
      <c r="A44" s="46"/>
    </row>
    <row r="45" spans="1:46" ht="12.75" customHeight="1" x14ac:dyDescent="0.2">
      <c r="A45" s="42" t="s">
        <v>276</v>
      </c>
    </row>
    <row r="46" spans="1:46" ht="12.75" customHeight="1" x14ac:dyDescent="0.2">
      <c r="A46" s="37" t="s">
        <v>277</v>
      </c>
      <c r="D46" s="20" t="s">
        <v>177</v>
      </c>
      <c r="E46" s="47">
        <f t="shared" ref="E46:AT46" si="22">1/8*E27*E28^2</f>
        <v>0</v>
      </c>
      <c r="F46" s="47">
        <f t="shared" si="22"/>
        <v>0</v>
      </c>
      <c r="G46" s="47">
        <f t="shared" si="22"/>
        <v>0</v>
      </c>
      <c r="H46" s="47">
        <f t="shared" si="22"/>
        <v>0</v>
      </c>
      <c r="I46" s="47">
        <f t="shared" si="22"/>
        <v>0</v>
      </c>
      <c r="J46" s="47">
        <f t="shared" si="22"/>
        <v>0</v>
      </c>
      <c r="K46" s="47">
        <f t="shared" si="22"/>
        <v>0</v>
      </c>
      <c r="L46" s="47">
        <f t="shared" si="22"/>
        <v>0</v>
      </c>
      <c r="M46" s="47">
        <f t="shared" si="22"/>
        <v>0</v>
      </c>
      <c r="N46" s="47">
        <f t="shared" si="22"/>
        <v>0</v>
      </c>
      <c r="O46" s="47">
        <f t="shared" si="22"/>
        <v>0</v>
      </c>
      <c r="P46" s="47">
        <f t="shared" si="22"/>
        <v>0</v>
      </c>
      <c r="Q46" s="47">
        <f t="shared" si="22"/>
        <v>0</v>
      </c>
      <c r="R46" s="47">
        <f t="shared" si="22"/>
        <v>0</v>
      </c>
      <c r="S46" s="47">
        <f t="shared" si="22"/>
        <v>0</v>
      </c>
      <c r="T46" s="47">
        <f t="shared" si="22"/>
        <v>0</v>
      </c>
      <c r="U46" s="47">
        <f t="shared" si="22"/>
        <v>0</v>
      </c>
      <c r="V46" s="47">
        <f t="shared" si="22"/>
        <v>0</v>
      </c>
      <c r="W46" s="47">
        <f t="shared" si="22"/>
        <v>0</v>
      </c>
      <c r="X46" s="47">
        <f t="shared" si="22"/>
        <v>0</v>
      </c>
      <c r="Y46" s="47">
        <f t="shared" si="22"/>
        <v>0</v>
      </c>
      <c r="Z46" s="47">
        <f t="shared" si="22"/>
        <v>0</v>
      </c>
      <c r="AA46" s="47">
        <f t="shared" si="22"/>
        <v>0</v>
      </c>
      <c r="AB46" s="47">
        <f t="shared" si="22"/>
        <v>0</v>
      </c>
      <c r="AC46" s="47">
        <f t="shared" si="22"/>
        <v>0</v>
      </c>
      <c r="AD46" s="47">
        <f t="shared" si="22"/>
        <v>0</v>
      </c>
      <c r="AE46" s="47">
        <f t="shared" si="22"/>
        <v>0</v>
      </c>
      <c r="AF46" s="47">
        <f t="shared" si="22"/>
        <v>0</v>
      </c>
      <c r="AG46" s="47">
        <f t="shared" si="22"/>
        <v>0</v>
      </c>
      <c r="AH46" s="47">
        <f t="shared" si="22"/>
        <v>0</v>
      </c>
      <c r="AI46" s="47">
        <f t="shared" si="22"/>
        <v>0</v>
      </c>
      <c r="AJ46" s="47">
        <f t="shared" si="22"/>
        <v>0</v>
      </c>
      <c r="AK46" s="47">
        <f t="shared" si="22"/>
        <v>0</v>
      </c>
      <c r="AL46" s="47">
        <f t="shared" si="22"/>
        <v>0</v>
      </c>
      <c r="AM46" s="47">
        <f t="shared" si="22"/>
        <v>0</v>
      </c>
      <c r="AN46" s="47">
        <f t="shared" si="22"/>
        <v>0</v>
      </c>
      <c r="AO46" s="47">
        <f t="shared" si="22"/>
        <v>0</v>
      </c>
      <c r="AP46" s="47">
        <f t="shared" si="22"/>
        <v>0</v>
      </c>
      <c r="AQ46" s="47">
        <f t="shared" si="22"/>
        <v>0</v>
      </c>
      <c r="AR46" s="47">
        <f t="shared" si="22"/>
        <v>0</v>
      </c>
      <c r="AS46" s="47">
        <f t="shared" si="22"/>
        <v>0</v>
      </c>
      <c r="AT46" s="47">
        <f t="shared" si="22"/>
        <v>0</v>
      </c>
    </row>
    <row r="47" spans="1:46" ht="12.75" customHeight="1" x14ac:dyDescent="0.2">
      <c r="A47" s="37" t="s">
        <v>278</v>
      </c>
      <c r="D47" s="20" t="s">
        <v>177</v>
      </c>
      <c r="E47" s="47">
        <f t="shared" ref="E47:AT47" si="23">1/8*1*E28^2</f>
        <v>0</v>
      </c>
      <c r="F47" s="47">
        <f t="shared" si="23"/>
        <v>0</v>
      </c>
      <c r="G47" s="47">
        <f t="shared" si="23"/>
        <v>0</v>
      </c>
      <c r="H47" s="47">
        <f t="shared" si="23"/>
        <v>0</v>
      </c>
      <c r="I47" s="47">
        <f t="shared" si="23"/>
        <v>0</v>
      </c>
      <c r="J47" s="47">
        <f t="shared" si="23"/>
        <v>0</v>
      </c>
      <c r="K47" s="47">
        <f t="shared" si="23"/>
        <v>0</v>
      </c>
      <c r="L47" s="47">
        <f t="shared" si="23"/>
        <v>0</v>
      </c>
      <c r="M47" s="47">
        <f t="shared" si="23"/>
        <v>0</v>
      </c>
      <c r="N47" s="47">
        <f t="shared" si="23"/>
        <v>0</v>
      </c>
      <c r="O47" s="47">
        <f t="shared" si="23"/>
        <v>0</v>
      </c>
      <c r="P47" s="47">
        <f t="shared" si="23"/>
        <v>0</v>
      </c>
      <c r="Q47" s="47">
        <f t="shared" si="23"/>
        <v>0</v>
      </c>
      <c r="R47" s="47">
        <f t="shared" si="23"/>
        <v>0</v>
      </c>
      <c r="S47" s="47">
        <f t="shared" si="23"/>
        <v>0</v>
      </c>
      <c r="T47" s="47">
        <f t="shared" si="23"/>
        <v>0</v>
      </c>
      <c r="U47" s="47">
        <f t="shared" si="23"/>
        <v>0</v>
      </c>
      <c r="V47" s="47">
        <f t="shared" si="23"/>
        <v>0</v>
      </c>
      <c r="W47" s="47">
        <f t="shared" si="23"/>
        <v>0</v>
      </c>
      <c r="X47" s="47">
        <f t="shared" si="23"/>
        <v>0</v>
      </c>
      <c r="Y47" s="47">
        <f t="shared" si="23"/>
        <v>0</v>
      </c>
      <c r="Z47" s="47">
        <f t="shared" si="23"/>
        <v>0</v>
      </c>
      <c r="AA47" s="47">
        <f t="shared" si="23"/>
        <v>0</v>
      </c>
      <c r="AB47" s="47">
        <f t="shared" si="23"/>
        <v>0</v>
      </c>
      <c r="AC47" s="47">
        <f t="shared" si="23"/>
        <v>0</v>
      </c>
      <c r="AD47" s="47">
        <f t="shared" si="23"/>
        <v>0</v>
      </c>
      <c r="AE47" s="47">
        <f t="shared" si="23"/>
        <v>0</v>
      </c>
      <c r="AF47" s="47">
        <f t="shared" si="23"/>
        <v>0</v>
      </c>
      <c r="AG47" s="47">
        <f t="shared" si="23"/>
        <v>0</v>
      </c>
      <c r="AH47" s="47">
        <f t="shared" si="23"/>
        <v>0</v>
      </c>
      <c r="AI47" s="47">
        <f t="shared" si="23"/>
        <v>0</v>
      </c>
      <c r="AJ47" s="47">
        <f t="shared" si="23"/>
        <v>0</v>
      </c>
      <c r="AK47" s="47">
        <f t="shared" si="23"/>
        <v>0</v>
      </c>
      <c r="AL47" s="47">
        <f t="shared" si="23"/>
        <v>0</v>
      </c>
      <c r="AM47" s="47">
        <f t="shared" si="23"/>
        <v>0</v>
      </c>
      <c r="AN47" s="47">
        <f t="shared" si="23"/>
        <v>0</v>
      </c>
      <c r="AO47" s="47">
        <f t="shared" si="23"/>
        <v>0</v>
      </c>
      <c r="AP47" s="47">
        <f t="shared" si="23"/>
        <v>0</v>
      </c>
      <c r="AQ47" s="47">
        <f t="shared" si="23"/>
        <v>0</v>
      </c>
      <c r="AR47" s="47">
        <f t="shared" si="23"/>
        <v>0</v>
      </c>
      <c r="AS47" s="47">
        <f t="shared" si="23"/>
        <v>0</v>
      </c>
      <c r="AT47" s="47">
        <f t="shared" si="23"/>
        <v>0</v>
      </c>
    </row>
    <row r="48" spans="1:46" ht="12.75" customHeight="1" x14ac:dyDescent="0.2">
      <c r="A48" s="46" t="s">
        <v>279</v>
      </c>
      <c r="D48" s="20" t="s">
        <v>177</v>
      </c>
      <c r="E48" s="47">
        <f t="shared" ref="E48:AT48" si="24">0.25*$I$6*E28</f>
        <v>0</v>
      </c>
      <c r="F48" s="47">
        <f t="shared" si="24"/>
        <v>0</v>
      </c>
      <c r="G48" s="47">
        <f t="shared" si="24"/>
        <v>0</v>
      </c>
      <c r="H48" s="47">
        <f t="shared" si="24"/>
        <v>0</v>
      </c>
      <c r="I48" s="47">
        <f t="shared" si="24"/>
        <v>0</v>
      </c>
      <c r="J48" s="47">
        <f t="shared" si="24"/>
        <v>0</v>
      </c>
      <c r="K48" s="47">
        <f t="shared" si="24"/>
        <v>0</v>
      </c>
      <c r="L48" s="47">
        <f t="shared" si="24"/>
        <v>0</v>
      </c>
      <c r="M48" s="47">
        <f t="shared" si="24"/>
        <v>0</v>
      </c>
      <c r="N48" s="47">
        <f t="shared" si="24"/>
        <v>0</v>
      </c>
      <c r="O48" s="47">
        <f t="shared" si="24"/>
        <v>0</v>
      </c>
      <c r="P48" s="47">
        <f t="shared" si="24"/>
        <v>0</v>
      </c>
      <c r="Q48" s="47">
        <f t="shared" si="24"/>
        <v>0</v>
      </c>
      <c r="R48" s="47">
        <f t="shared" si="24"/>
        <v>0</v>
      </c>
      <c r="S48" s="47">
        <f t="shared" si="24"/>
        <v>0</v>
      </c>
      <c r="T48" s="47">
        <f t="shared" si="24"/>
        <v>0</v>
      </c>
      <c r="U48" s="47">
        <f t="shared" si="24"/>
        <v>0</v>
      </c>
      <c r="V48" s="47">
        <f t="shared" si="24"/>
        <v>0</v>
      </c>
      <c r="W48" s="47">
        <f t="shared" si="24"/>
        <v>0</v>
      </c>
      <c r="X48" s="47">
        <f t="shared" si="24"/>
        <v>0</v>
      </c>
      <c r="Y48" s="47">
        <f t="shared" si="24"/>
        <v>0</v>
      </c>
      <c r="Z48" s="47">
        <f t="shared" si="24"/>
        <v>0</v>
      </c>
      <c r="AA48" s="47">
        <f t="shared" si="24"/>
        <v>0</v>
      </c>
      <c r="AB48" s="47">
        <f t="shared" si="24"/>
        <v>0</v>
      </c>
      <c r="AC48" s="47">
        <f t="shared" si="24"/>
        <v>0</v>
      </c>
      <c r="AD48" s="47">
        <f t="shared" si="24"/>
        <v>0</v>
      </c>
      <c r="AE48" s="47">
        <f t="shared" si="24"/>
        <v>0</v>
      </c>
      <c r="AF48" s="47">
        <f t="shared" si="24"/>
        <v>0</v>
      </c>
      <c r="AG48" s="47">
        <f t="shared" si="24"/>
        <v>0</v>
      </c>
      <c r="AH48" s="47">
        <f t="shared" si="24"/>
        <v>0</v>
      </c>
      <c r="AI48" s="47">
        <f t="shared" si="24"/>
        <v>0</v>
      </c>
      <c r="AJ48" s="47">
        <f t="shared" si="24"/>
        <v>0</v>
      </c>
      <c r="AK48" s="47">
        <f t="shared" si="24"/>
        <v>0</v>
      </c>
      <c r="AL48" s="47">
        <f t="shared" si="24"/>
        <v>0</v>
      </c>
      <c r="AM48" s="47">
        <f t="shared" si="24"/>
        <v>0</v>
      </c>
      <c r="AN48" s="47">
        <f t="shared" si="24"/>
        <v>0</v>
      </c>
      <c r="AO48" s="47">
        <f t="shared" si="24"/>
        <v>0</v>
      </c>
      <c r="AP48" s="47">
        <f t="shared" si="24"/>
        <v>0</v>
      </c>
      <c r="AQ48" s="47">
        <f t="shared" si="24"/>
        <v>0</v>
      </c>
      <c r="AR48" s="47">
        <f t="shared" si="24"/>
        <v>0</v>
      </c>
      <c r="AS48" s="47">
        <f t="shared" si="24"/>
        <v>0</v>
      </c>
      <c r="AT48" s="47">
        <f t="shared" si="24"/>
        <v>0</v>
      </c>
    </row>
    <row r="49" spans="1:46" ht="12.75" customHeight="1" x14ac:dyDescent="0.2">
      <c r="A49" s="45" t="s">
        <v>280</v>
      </c>
      <c r="D49" s="20" t="s">
        <v>141</v>
      </c>
      <c r="E49" s="47" t="e">
        <f t="shared" ref="E49:AT49" si="25">(5/384)*(E27*(E28*1000)^4)/(E14*E24)</f>
        <v>#DIV/0!</v>
      </c>
      <c r="F49" s="47" t="e">
        <f t="shared" si="25"/>
        <v>#DIV/0!</v>
      </c>
      <c r="G49" s="47" t="e">
        <f t="shared" si="25"/>
        <v>#DIV/0!</v>
      </c>
      <c r="H49" s="47" t="e">
        <f t="shared" si="25"/>
        <v>#DIV/0!</v>
      </c>
      <c r="I49" s="47" t="e">
        <f t="shared" si="25"/>
        <v>#DIV/0!</v>
      </c>
      <c r="J49" s="47" t="e">
        <f t="shared" si="25"/>
        <v>#DIV/0!</v>
      </c>
      <c r="K49" s="47" t="e">
        <f t="shared" si="25"/>
        <v>#DIV/0!</v>
      </c>
      <c r="L49" s="47" t="e">
        <f t="shared" si="25"/>
        <v>#DIV/0!</v>
      </c>
      <c r="M49" s="47" t="e">
        <f t="shared" si="25"/>
        <v>#DIV/0!</v>
      </c>
      <c r="N49" s="47" t="e">
        <f t="shared" si="25"/>
        <v>#DIV/0!</v>
      </c>
      <c r="O49" s="47" t="e">
        <f t="shared" si="25"/>
        <v>#DIV/0!</v>
      </c>
      <c r="P49" s="47" t="e">
        <f t="shared" si="25"/>
        <v>#DIV/0!</v>
      </c>
      <c r="Q49" s="47" t="e">
        <f t="shared" si="25"/>
        <v>#DIV/0!</v>
      </c>
      <c r="R49" s="47" t="e">
        <f t="shared" si="25"/>
        <v>#DIV/0!</v>
      </c>
      <c r="S49" s="47" t="e">
        <f t="shared" si="25"/>
        <v>#DIV/0!</v>
      </c>
      <c r="T49" s="47" t="e">
        <f t="shared" si="25"/>
        <v>#DIV/0!</v>
      </c>
      <c r="U49" s="47" t="e">
        <f t="shared" si="25"/>
        <v>#DIV/0!</v>
      </c>
      <c r="V49" s="47" t="e">
        <f t="shared" si="25"/>
        <v>#DIV/0!</v>
      </c>
      <c r="W49" s="47" t="e">
        <f t="shared" si="25"/>
        <v>#DIV/0!</v>
      </c>
      <c r="X49" s="47" t="e">
        <f t="shared" si="25"/>
        <v>#DIV/0!</v>
      </c>
      <c r="Y49" s="47" t="e">
        <f t="shared" si="25"/>
        <v>#DIV/0!</v>
      </c>
      <c r="Z49" s="47" t="e">
        <f t="shared" si="25"/>
        <v>#DIV/0!</v>
      </c>
      <c r="AA49" s="47" t="e">
        <f t="shared" si="25"/>
        <v>#DIV/0!</v>
      </c>
      <c r="AB49" s="47" t="e">
        <f t="shared" si="25"/>
        <v>#DIV/0!</v>
      </c>
      <c r="AC49" s="47" t="e">
        <f t="shared" si="25"/>
        <v>#DIV/0!</v>
      </c>
      <c r="AD49" s="47" t="e">
        <f t="shared" si="25"/>
        <v>#DIV/0!</v>
      </c>
      <c r="AE49" s="47" t="e">
        <f t="shared" si="25"/>
        <v>#DIV/0!</v>
      </c>
      <c r="AF49" s="47" t="e">
        <f t="shared" si="25"/>
        <v>#DIV/0!</v>
      </c>
      <c r="AG49" s="47" t="e">
        <f t="shared" si="25"/>
        <v>#DIV/0!</v>
      </c>
      <c r="AH49" s="47" t="e">
        <f t="shared" si="25"/>
        <v>#DIV/0!</v>
      </c>
      <c r="AI49" s="47" t="e">
        <f t="shared" si="25"/>
        <v>#DIV/0!</v>
      </c>
      <c r="AJ49" s="47" t="e">
        <f t="shared" si="25"/>
        <v>#DIV/0!</v>
      </c>
      <c r="AK49" s="47" t="e">
        <f t="shared" si="25"/>
        <v>#DIV/0!</v>
      </c>
      <c r="AL49" s="47" t="e">
        <f t="shared" si="25"/>
        <v>#DIV/0!</v>
      </c>
      <c r="AM49" s="47" t="e">
        <f t="shared" si="25"/>
        <v>#DIV/0!</v>
      </c>
      <c r="AN49" s="47" t="e">
        <f t="shared" si="25"/>
        <v>#DIV/0!</v>
      </c>
      <c r="AO49" s="47" t="e">
        <f t="shared" si="25"/>
        <v>#DIV/0!</v>
      </c>
      <c r="AP49" s="47" t="e">
        <f t="shared" si="25"/>
        <v>#DIV/0!</v>
      </c>
      <c r="AQ49" s="47" t="e">
        <f t="shared" si="25"/>
        <v>#DIV/0!</v>
      </c>
      <c r="AR49" s="47" t="e">
        <f t="shared" si="25"/>
        <v>#DIV/0!</v>
      </c>
      <c r="AS49" s="47" t="e">
        <f t="shared" si="25"/>
        <v>#DIV/0!</v>
      </c>
      <c r="AT49" s="47" t="e">
        <f t="shared" si="25"/>
        <v>#DIV/0!</v>
      </c>
    </row>
    <row r="50" spans="1:46" ht="12.75" customHeight="1" x14ac:dyDescent="0.2">
      <c r="A50" s="45" t="s">
        <v>281</v>
      </c>
      <c r="D50" s="20" t="s">
        <v>177</v>
      </c>
      <c r="E50" s="47" t="e">
        <f t="shared" ref="E50:AT50" si="26">(E43*E49/1000)</f>
        <v>#DIV/0!</v>
      </c>
      <c r="F50" s="47" t="e">
        <f t="shared" si="26"/>
        <v>#DIV/0!</v>
      </c>
      <c r="G50" s="47" t="e">
        <f t="shared" si="26"/>
        <v>#DIV/0!</v>
      </c>
      <c r="H50" s="47" t="e">
        <f t="shared" si="26"/>
        <v>#DIV/0!</v>
      </c>
      <c r="I50" s="47" t="e">
        <f t="shared" si="26"/>
        <v>#DIV/0!</v>
      </c>
      <c r="J50" s="47" t="e">
        <f t="shared" si="26"/>
        <v>#DIV/0!</v>
      </c>
      <c r="K50" s="47" t="e">
        <f t="shared" si="26"/>
        <v>#DIV/0!</v>
      </c>
      <c r="L50" s="47" t="e">
        <f t="shared" si="26"/>
        <v>#DIV/0!</v>
      </c>
      <c r="M50" s="47" t="e">
        <f t="shared" si="26"/>
        <v>#DIV/0!</v>
      </c>
      <c r="N50" s="47" t="e">
        <f t="shared" si="26"/>
        <v>#DIV/0!</v>
      </c>
      <c r="O50" s="47" t="e">
        <f t="shared" si="26"/>
        <v>#DIV/0!</v>
      </c>
      <c r="P50" s="47" t="e">
        <f t="shared" si="26"/>
        <v>#DIV/0!</v>
      </c>
      <c r="Q50" s="47" t="e">
        <f t="shared" si="26"/>
        <v>#DIV/0!</v>
      </c>
      <c r="R50" s="47" t="e">
        <f t="shared" si="26"/>
        <v>#DIV/0!</v>
      </c>
      <c r="S50" s="47" t="e">
        <f t="shared" si="26"/>
        <v>#DIV/0!</v>
      </c>
      <c r="T50" s="47" t="e">
        <f t="shared" si="26"/>
        <v>#DIV/0!</v>
      </c>
      <c r="U50" s="47" t="e">
        <f t="shared" si="26"/>
        <v>#DIV/0!</v>
      </c>
      <c r="V50" s="47" t="e">
        <f t="shared" si="26"/>
        <v>#DIV/0!</v>
      </c>
      <c r="W50" s="47" t="e">
        <f t="shared" si="26"/>
        <v>#DIV/0!</v>
      </c>
      <c r="X50" s="47" t="e">
        <f t="shared" si="26"/>
        <v>#DIV/0!</v>
      </c>
      <c r="Y50" s="47" t="e">
        <f t="shared" si="26"/>
        <v>#DIV/0!</v>
      </c>
      <c r="Z50" s="47" t="e">
        <f t="shared" si="26"/>
        <v>#DIV/0!</v>
      </c>
      <c r="AA50" s="47" t="e">
        <f t="shared" si="26"/>
        <v>#DIV/0!</v>
      </c>
      <c r="AB50" s="47" t="e">
        <f t="shared" si="26"/>
        <v>#DIV/0!</v>
      </c>
      <c r="AC50" s="47" t="e">
        <f t="shared" si="26"/>
        <v>#DIV/0!</v>
      </c>
      <c r="AD50" s="47" t="e">
        <f t="shared" si="26"/>
        <v>#DIV/0!</v>
      </c>
      <c r="AE50" s="47" t="e">
        <f t="shared" si="26"/>
        <v>#DIV/0!</v>
      </c>
      <c r="AF50" s="47" t="e">
        <f t="shared" si="26"/>
        <v>#DIV/0!</v>
      </c>
      <c r="AG50" s="47" t="e">
        <f t="shared" si="26"/>
        <v>#DIV/0!</v>
      </c>
      <c r="AH50" s="47" t="e">
        <f t="shared" si="26"/>
        <v>#DIV/0!</v>
      </c>
      <c r="AI50" s="47" t="e">
        <f t="shared" si="26"/>
        <v>#DIV/0!</v>
      </c>
      <c r="AJ50" s="47" t="e">
        <f t="shared" si="26"/>
        <v>#DIV/0!</v>
      </c>
      <c r="AK50" s="47" t="e">
        <f t="shared" si="26"/>
        <v>#DIV/0!</v>
      </c>
      <c r="AL50" s="47" t="e">
        <f t="shared" si="26"/>
        <v>#DIV/0!</v>
      </c>
      <c r="AM50" s="47" t="e">
        <f t="shared" si="26"/>
        <v>#DIV/0!</v>
      </c>
      <c r="AN50" s="47" t="e">
        <f t="shared" si="26"/>
        <v>#DIV/0!</v>
      </c>
      <c r="AO50" s="47" t="e">
        <f t="shared" si="26"/>
        <v>#DIV/0!</v>
      </c>
      <c r="AP50" s="47" t="e">
        <f t="shared" si="26"/>
        <v>#DIV/0!</v>
      </c>
      <c r="AQ50" s="47" t="e">
        <f t="shared" si="26"/>
        <v>#DIV/0!</v>
      </c>
      <c r="AR50" s="47" t="e">
        <f t="shared" si="26"/>
        <v>#DIV/0!</v>
      </c>
      <c r="AS50" s="47" t="e">
        <f t="shared" si="26"/>
        <v>#DIV/0!</v>
      </c>
      <c r="AT50" s="47" t="e">
        <f t="shared" si="26"/>
        <v>#DIV/0!</v>
      </c>
    </row>
    <row r="51" spans="1:46" ht="12.75" customHeight="1" x14ac:dyDescent="0.2">
      <c r="A51" s="46" t="s">
        <v>282</v>
      </c>
      <c r="D51" s="10" t="s">
        <v>141</v>
      </c>
      <c r="E51" s="9">
        <f t="shared" ref="E51:AT51" si="27">$I$2</f>
        <v>30</v>
      </c>
      <c r="F51" s="9">
        <f t="shared" si="27"/>
        <v>30</v>
      </c>
      <c r="G51" s="9">
        <f t="shared" si="27"/>
        <v>30</v>
      </c>
      <c r="H51" s="9">
        <f t="shared" si="27"/>
        <v>30</v>
      </c>
      <c r="I51" s="9">
        <f t="shared" si="27"/>
        <v>30</v>
      </c>
      <c r="J51" s="9">
        <f t="shared" si="27"/>
        <v>30</v>
      </c>
      <c r="K51" s="9">
        <f t="shared" si="27"/>
        <v>30</v>
      </c>
      <c r="L51" s="9">
        <f t="shared" si="27"/>
        <v>30</v>
      </c>
      <c r="M51" s="9">
        <f t="shared" si="27"/>
        <v>30</v>
      </c>
      <c r="N51" s="9">
        <f t="shared" si="27"/>
        <v>30</v>
      </c>
      <c r="O51" s="9">
        <f t="shared" si="27"/>
        <v>30</v>
      </c>
      <c r="P51" s="9">
        <f t="shared" si="27"/>
        <v>30</v>
      </c>
      <c r="Q51" s="9">
        <f t="shared" si="27"/>
        <v>30</v>
      </c>
      <c r="R51" s="9">
        <f t="shared" si="27"/>
        <v>30</v>
      </c>
      <c r="S51" s="9">
        <f t="shared" si="27"/>
        <v>30</v>
      </c>
      <c r="T51" s="9">
        <f t="shared" si="27"/>
        <v>30</v>
      </c>
      <c r="U51" s="9">
        <f t="shared" si="27"/>
        <v>30</v>
      </c>
      <c r="V51" s="9">
        <f t="shared" si="27"/>
        <v>30</v>
      </c>
      <c r="W51" s="9">
        <f t="shared" si="27"/>
        <v>30</v>
      </c>
      <c r="X51" s="9">
        <f t="shared" si="27"/>
        <v>30</v>
      </c>
      <c r="Y51" s="9">
        <f t="shared" si="27"/>
        <v>30</v>
      </c>
      <c r="Z51" s="9">
        <f t="shared" si="27"/>
        <v>30</v>
      </c>
      <c r="AA51" s="9">
        <f t="shared" si="27"/>
        <v>30</v>
      </c>
      <c r="AB51" s="9">
        <f t="shared" si="27"/>
        <v>30</v>
      </c>
      <c r="AC51" s="9">
        <f t="shared" si="27"/>
        <v>30</v>
      </c>
      <c r="AD51" s="9">
        <f t="shared" si="27"/>
        <v>30</v>
      </c>
      <c r="AE51" s="9">
        <f t="shared" si="27"/>
        <v>30</v>
      </c>
      <c r="AF51" s="9">
        <f t="shared" si="27"/>
        <v>30</v>
      </c>
      <c r="AG51" s="9">
        <f t="shared" si="27"/>
        <v>30</v>
      </c>
      <c r="AH51" s="9">
        <f t="shared" si="27"/>
        <v>30</v>
      </c>
      <c r="AI51" s="9">
        <f t="shared" si="27"/>
        <v>30</v>
      </c>
      <c r="AJ51" s="9">
        <f t="shared" si="27"/>
        <v>30</v>
      </c>
      <c r="AK51" s="9">
        <f t="shared" si="27"/>
        <v>30</v>
      </c>
      <c r="AL51" s="9">
        <f t="shared" si="27"/>
        <v>30</v>
      </c>
      <c r="AM51" s="9">
        <f t="shared" si="27"/>
        <v>30</v>
      </c>
      <c r="AN51" s="9">
        <f t="shared" si="27"/>
        <v>30</v>
      </c>
      <c r="AO51" s="9">
        <f t="shared" si="27"/>
        <v>30</v>
      </c>
      <c r="AP51" s="9">
        <f t="shared" si="27"/>
        <v>30</v>
      </c>
      <c r="AQ51" s="9">
        <f t="shared" si="27"/>
        <v>30</v>
      </c>
      <c r="AR51" s="9">
        <f t="shared" si="27"/>
        <v>30</v>
      </c>
      <c r="AS51" s="9">
        <f t="shared" si="27"/>
        <v>30</v>
      </c>
      <c r="AT51" s="9">
        <f t="shared" si="27"/>
        <v>30</v>
      </c>
    </row>
    <row r="52" spans="1:46" ht="12.75" customHeight="1" x14ac:dyDescent="0.2">
      <c r="A52" s="45" t="s">
        <v>283</v>
      </c>
      <c r="D52" s="20" t="s">
        <v>177</v>
      </c>
      <c r="E52" s="47">
        <f t="shared" ref="E52:AT52" si="28">E43*E51/1000</f>
        <v>0</v>
      </c>
      <c r="F52" s="47">
        <f t="shared" si="28"/>
        <v>0</v>
      </c>
      <c r="G52" s="47">
        <f t="shared" si="28"/>
        <v>0</v>
      </c>
      <c r="H52" s="47">
        <f t="shared" si="28"/>
        <v>0</v>
      </c>
      <c r="I52" s="47">
        <f t="shared" si="28"/>
        <v>0</v>
      </c>
      <c r="J52" s="47">
        <f t="shared" si="28"/>
        <v>0</v>
      </c>
      <c r="K52" s="47">
        <f t="shared" si="28"/>
        <v>0</v>
      </c>
      <c r="L52" s="47">
        <f t="shared" si="28"/>
        <v>0</v>
      </c>
      <c r="M52" s="47">
        <f t="shared" si="28"/>
        <v>0</v>
      </c>
      <c r="N52" s="47">
        <f t="shared" si="28"/>
        <v>0</v>
      </c>
      <c r="O52" s="47">
        <f t="shared" si="28"/>
        <v>0</v>
      </c>
      <c r="P52" s="47">
        <f t="shared" si="28"/>
        <v>0</v>
      </c>
      <c r="Q52" s="47">
        <f t="shared" si="28"/>
        <v>0</v>
      </c>
      <c r="R52" s="47">
        <f t="shared" si="28"/>
        <v>0</v>
      </c>
      <c r="S52" s="47">
        <f t="shared" si="28"/>
        <v>0</v>
      </c>
      <c r="T52" s="47">
        <f t="shared" si="28"/>
        <v>0</v>
      </c>
      <c r="U52" s="47">
        <f t="shared" si="28"/>
        <v>0</v>
      </c>
      <c r="V52" s="47">
        <f t="shared" si="28"/>
        <v>0</v>
      </c>
      <c r="W52" s="47">
        <f t="shared" si="28"/>
        <v>0</v>
      </c>
      <c r="X52" s="47">
        <f t="shared" si="28"/>
        <v>0</v>
      </c>
      <c r="Y52" s="47">
        <f t="shared" si="28"/>
        <v>0</v>
      </c>
      <c r="Z52" s="47">
        <f t="shared" si="28"/>
        <v>0</v>
      </c>
      <c r="AA52" s="47">
        <f t="shared" si="28"/>
        <v>0</v>
      </c>
      <c r="AB52" s="47">
        <f t="shared" si="28"/>
        <v>0</v>
      </c>
      <c r="AC52" s="47">
        <f t="shared" si="28"/>
        <v>0</v>
      </c>
      <c r="AD52" s="47">
        <f t="shared" si="28"/>
        <v>0</v>
      </c>
      <c r="AE52" s="47">
        <f t="shared" si="28"/>
        <v>0</v>
      </c>
      <c r="AF52" s="47">
        <f t="shared" si="28"/>
        <v>0</v>
      </c>
      <c r="AG52" s="47">
        <f t="shared" si="28"/>
        <v>0</v>
      </c>
      <c r="AH52" s="47">
        <f t="shared" si="28"/>
        <v>0</v>
      </c>
      <c r="AI52" s="47">
        <f t="shared" si="28"/>
        <v>0</v>
      </c>
      <c r="AJ52" s="47">
        <f t="shared" si="28"/>
        <v>0</v>
      </c>
      <c r="AK52" s="47">
        <f t="shared" si="28"/>
        <v>0</v>
      </c>
      <c r="AL52" s="47">
        <f t="shared" si="28"/>
        <v>0</v>
      </c>
      <c r="AM52" s="47">
        <f t="shared" si="28"/>
        <v>0</v>
      </c>
      <c r="AN52" s="47">
        <f t="shared" si="28"/>
        <v>0</v>
      </c>
      <c r="AO52" s="47">
        <f t="shared" si="28"/>
        <v>0</v>
      </c>
      <c r="AP52" s="47">
        <f t="shared" si="28"/>
        <v>0</v>
      </c>
      <c r="AQ52" s="47">
        <f t="shared" si="28"/>
        <v>0</v>
      </c>
      <c r="AR52" s="47">
        <f t="shared" si="28"/>
        <v>0</v>
      </c>
      <c r="AS52" s="47">
        <f t="shared" si="28"/>
        <v>0</v>
      </c>
      <c r="AT52" s="47">
        <f t="shared" si="28"/>
        <v>0</v>
      </c>
    </row>
    <row r="53" spans="1:46" ht="12.75" customHeight="1" x14ac:dyDescent="0.2">
      <c r="D53" s="2"/>
    </row>
    <row r="54" spans="1:46" ht="12.75" customHeight="1" x14ac:dyDescent="0.2">
      <c r="A54" s="37" t="s">
        <v>284</v>
      </c>
      <c r="D54" s="20" t="s">
        <v>78</v>
      </c>
      <c r="E54" s="47">
        <f t="shared" ref="E54:AT54" si="29">E28*E27*0.5</f>
        <v>0</v>
      </c>
      <c r="F54" s="47">
        <f t="shared" si="29"/>
        <v>0</v>
      </c>
      <c r="G54" s="47">
        <f t="shared" si="29"/>
        <v>0</v>
      </c>
      <c r="H54" s="47">
        <f t="shared" si="29"/>
        <v>0</v>
      </c>
      <c r="I54" s="47">
        <f t="shared" si="29"/>
        <v>0</v>
      </c>
      <c r="J54" s="47">
        <f t="shared" si="29"/>
        <v>0</v>
      </c>
      <c r="K54" s="47">
        <f t="shared" si="29"/>
        <v>0</v>
      </c>
      <c r="L54" s="47">
        <f t="shared" si="29"/>
        <v>0</v>
      </c>
      <c r="M54" s="47">
        <f t="shared" si="29"/>
        <v>0</v>
      </c>
      <c r="N54" s="47">
        <f t="shared" si="29"/>
        <v>0</v>
      </c>
      <c r="O54" s="47">
        <f t="shared" si="29"/>
        <v>0</v>
      </c>
      <c r="P54" s="47">
        <f t="shared" si="29"/>
        <v>0</v>
      </c>
      <c r="Q54" s="47">
        <f t="shared" si="29"/>
        <v>0</v>
      </c>
      <c r="R54" s="47">
        <f t="shared" si="29"/>
        <v>0</v>
      </c>
      <c r="S54" s="47">
        <f t="shared" si="29"/>
        <v>0</v>
      </c>
      <c r="T54" s="47">
        <f t="shared" si="29"/>
        <v>0</v>
      </c>
      <c r="U54" s="47">
        <f t="shared" si="29"/>
        <v>0</v>
      </c>
      <c r="V54" s="47">
        <f t="shared" si="29"/>
        <v>0</v>
      </c>
      <c r="W54" s="47">
        <f t="shared" si="29"/>
        <v>0</v>
      </c>
      <c r="X54" s="47">
        <f t="shared" si="29"/>
        <v>0</v>
      </c>
      <c r="Y54" s="47">
        <f t="shared" si="29"/>
        <v>0</v>
      </c>
      <c r="Z54" s="47">
        <f t="shared" si="29"/>
        <v>0</v>
      </c>
      <c r="AA54" s="47">
        <f t="shared" si="29"/>
        <v>0</v>
      </c>
      <c r="AB54" s="47">
        <f t="shared" si="29"/>
        <v>0</v>
      </c>
      <c r="AC54" s="47">
        <f t="shared" si="29"/>
        <v>0</v>
      </c>
      <c r="AD54" s="47">
        <f t="shared" si="29"/>
        <v>0</v>
      </c>
      <c r="AE54" s="47">
        <f t="shared" si="29"/>
        <v>0</v>
      </c>
      <c r="AF54" s="47">
        <f t="shared" si="29"/>
        <v>0</v>
      </c>
      <c r="AG54" s="47">
        <f t="shared" si="29"/>
        <v>0</v>
      </c>
      <c r="AH54" s="47">
        <f t="shared" si="29"/>
        <v>0</v>
      </c>
      <c r="AI54" s="47">
        <f t="shared" si="29"/>
        <v>0</v>
      </c>
      <c r="AJ54" s="47">
        <f t="shared" si="29"/>
        <v>0</v>
      </c>
      <c r="AK54" s="47">
        <f t="shared" si="29"/>
        <v>0</v>
      </c>
      <c r="AL54" s="47">
        <f t="shared" si="29"/>
        <v>0</v>
      </c>
      <c r="AM54" s="47">
        <f t="shared" si="29"/>
        <v>0</v>
      </c>
      <c r="AN54" s="47">
        <f t="shared" si="29"/>
        <v>0</v>
      </c>
      <c r="AO54" s="47">
        <f t="shared" si="29"/>
        <v>0</v>
      </c>
      <c r="AP54" s="47">
        <f t="shared" si="29"/>
        <v>0</v>
      </c>
      <c r="AQ54" s="47">
        <f t="shared" si="29"/>
        <v>0</v>
      </c>
      <c r="AR54" s="47">
        <f t="shared" si="29"/>
        <v>0</v>
      </c>
      <c r="AS54" s="47">
        <f t="shared" si="29"/>
        <v>0</v>
      </c>
      <c r="AT54" s="47">
        <f t="shared" si="29"/>
        <v>0</v>
      </c>
    </row>
    <row r="55" spans="1:46" ht="12.75" customHeight="1" x14ac:dyDescent="0.2">
      <c r="A55" s="37" t="s">
        <v>285</v>
      </c>
      <c r="D55" s="20" t="s">
        <v>78</v>
      </c>
      <c r="E55" s="47">
        <f t="shared" ref="E55:AT55" si="30">E28*1*0.5</f>
        <v>0</v>
      </c>
      <c r="F55" s="47">
        <f t="shared" si="30"/>
        <v>0</v>
      </c>
      <c r="G55" s="47">
        <f t="shared" si="30"/>
        <v>0</v>
      </c>
      <c r="H55" s="47">
        <f t="shared" si="30"/>
        <v>0</v>
      </c>
      <c r="I55" s="47">
        <f t="shared" si="30"/>
        <v>0</v>
      </c>
      <c r="J55" s="47">
        <f t="shared" si="30"/>
        <v>0</v>
      </c>
      <c r="K55" s="47">
        <f t="shared" si="30"/>
        <v>0</v>
      </c>
      <c r="L55" s="47">
        <f t="shared" si="30"/>
        <v>0</v>
      </c>
      <c r="M55" s="47">
        <f t="shared" si="30"/>
        <v>0</v>
      </c>
      <c r="N55" s="47">
        <f t="shared" si="30"/>
        <v>0</v>
      </c>
      <c r="O55" s="47">
        <f t="shared" si="30"/>
        <v>0</v>
      </c>
      <c r="P55" s="47">
        <f t="shared" si="30"/>
        <v>0</v>
      </c>
      <c r="Q55" s="47">
        <f t="shared" si="30"/>
        <v>0</v>
      </c>
      <c r="R55" s="47">
        <f t="shared" si="30"/>
        <v>0</v>
      </c>
      <c r="S55" s="47">
        <f t="shared" si="30"/>
        <v>0</v>
      </c>
      <c r="T55" s="47">
        <f t="shared" si="30"/>
        <v>0</v>
      </c>
      <c r="U55" s="47">
        <f t="shared" si="30"/>
        <v>0</v>
      </c>
      <c r="V55" s="47">
        <f t="shared" si="30"/>
        <v>0</v>
      </c>
      <c r="W55" s="47">
        <f t="shared" si="30"/>
        <v>0</v>
      </c>
      <c r="X55" s="47">
        <f t="shared" si="30"/>
        <v>0</v>
      </c>
      <c r="Y55" s="47">
        <f t="shared" si="30"/>
        <v>0</v>
      </c>
      <c r="Z55" s="47">
        <f t="shared" si="30"/>
        <v>0</v>
      </c>
      <c r="AA55" s="47">
        <f t="shared" si="30"/>
        <v>0</v>
      </c>
      <c r="AB55" s="47">
        <f t="shared" si="30"/>
        <v>0</v>
      </c>
      <c r="AC55" s="47">
        <f t="shared" si="30"/>
        <v>0</v>
      </c>
      <c r="AD55" s="47">
        <f t="shared" si="30"/>
        <v>0</v>
      </c>
      <c r="AE55" s="47">
        <f t="shared" si="30"/>
        <v>0</v>
      </c>
      <c r="AF55" s="47">
        <f t="shared" si="30"/>
        <v>0</v>
      </c>
      <c r="AG55" s="47">
        <f t="shared" si="30"/>
        <v>0</v>
      </c>
      <c r="AH55" s="47">
        <f t="shared" si="30"/>
        <v>0</v>
      </c>
      <c r="AI55" s="47">
        <f t="shared" si="30"/>
        <v>0</v>
      </c>
      <c r="AJ55" s="47">
        <f t="shared" si="30"/>
        <v>0</v>
      </c>
      <c r="AK55" s="47">
        <f t="shared" si="30"/>
        <v>0</v>
      </c>
      <c r="AL55" s="47">
        <f t="shared" si="30"/>
        <v>0</v>
      </c>
      <c r="AM55" s="47">
        <f t="shared" si="30"/>
        <v>0</v>
      </c>
      <c r="AN55" s="47">
        <f t="shared" si="30"/>
        <v>0</v>
      </c>
      <c r="AO55" s="47">
        <f t="shared" si="30"/>
        <v>0</v>
      </c>
      <c r="AP55" s="47">
        <f t="shared" si="30"/>
        <v>0</v>
      </c>
      <c r="AQ55" s="47">
        <f t="shared" si="30"/>
        <v>0</v>
      </c>
      <c r="AR55" s="47">
        <f t="shared" si="30"/>
        <v>0</v>
      </c>
      <c r="AS55" s="47">
        <f t="shared" si="30"/>
        <v>0</v>
      </c>
      <c r="AT55" s="47">
        <f t="shared" si="30"/>
        <v>0</v>
      </c>
    </row>
    <row r="56" spans="1:46" ht="12.75" customHeight="1" x14ac:dyDescent="0.2">
      <c r="A56" s="46" t="s">
        <v>286</v>
      </c>
      <c r="D56" s="20" t="s">
        <v>78</v>
      </c>
      <c r="E56" s="9">
        <f t="shared" ref="E56:AT56" si="31">$I$6*0.5</f>
        <v>50</v>
      </c>
      <c r="F56" s="9">
        <f t="shared" si="31"/>
        <v>50</v>
      </c>
      <c r="G56" s="9">
        <f t="shared" si="31"/>
        <v>50</v>
      </c>
      <c r="H56" s="9">
        <f t="shared" si="31"/>
        <v>50</v>
      </c>
      <c r="I56" s="9">
        <f t="shared" si="31"/>
        <v>50</v>
      </c>
      <c r="J56" s="9">
        <f t="shared" si="31"/>
        <v>50</v>
      </c>
      <c r="K56" s="9">
        <f t="shared" si="31"/>
        <v>50</v>
      </c>
      <c r="L56" s="9">
        <f t="shared" si="31"/>
        <v>50</v>
      </c>
      <c r="M56" s="9">
        <f t="shared" si="31"/>
        <v>50</v>
      </c>
      <c r="N56" s="9">
        <f t="shared" si="31"/>
        <v>50</v>
      </c>
      <c r="O56" s="9">
        <f t="shared" si="31"/>
        <v>50</v>
      </c>
      <c r="P56" s="9">
        <f t="shared" si="31"/>
        <v>50</v>
      </c>
      <c r="Q56" s="9">
        <f t="shared" si="31"/>
        <v>50</v>
      </c>
      <c r="R56" s="9">
        <f t="shared" si="31"/>
        <v>50</v>
      </c>
      <c r="S56" s="9">
        <f t="shared" si="31"/>
        <v>50</v>
      </c>
      <c r="T56" s="9">
        <f t="shared" si="31"/>
        <v>50</v>
      </c>
      <c r="U56" s="9">
        <f t="shared" si="31"/>
        <v>50</v>
      </c>
      <c r="V56" s="9">
        <f t="shared" si="31"/>
        <v>50</v>
      </c>
      <c r="W56" s="9">
        <f t="shared" si="31"/>
        <v>50</v>
      </c>
      <c r="X56" s="9">
        <f t="shared" si="31"/>
        <v>50</v>
      </c>
      <c r="Y56" s="9">
        <f t="shared" si="31"/>
        <v>50</v>
      </c>
      <c r="Z56" s="9">
        <f t="shared" si="31"/>
        <v>50</v>
      </c>
      <c r="AA56" s="9">
        <f t="shared" si="31"/>
        <v>50</v>
      </c>
      <c r="AB56" s="9">
        <f t="shared" si="31"/>
        <v>50</v>
      </c>
      <c r="AC56" s="9">
        <f t="shared" si="31"/>
        <v>50</v>
      </c>
      <c r="AD56" s="9">
        <f t="shared" si="31"/>
        <v>50</v>
      </c>
      <c r="AE56" s="9">
        <f t="shared" si="31"/>
        <v>50</v>
      </c>
      <c r="AF56" s="9">
        <f t="shared" si="31"/>
        <v>50</v>
      </c>
      <c r="AG56" s="9">
        <f t="shared" si="31"/>
        <v>50</v>
      </c>
      <c r="AH56" s="9">
        <f t="shared" si="31"/>
        <v>50</v>
      </c>
      <c r="AI56" s="9">
        <f t="shared" si="31"/>
        <v>50</v>
      </c>
      <c r="AJ56" s="9">
        <f t="shared" si="31"/>
        <v>50</v>
      </c>
      <c r="AK56" s="9">
        <f t="shared" si="31"/>
        <v>50</v>
      </c>
      <c r="AL56" s="9">
        <f t="shared" si="31"/>
        <v>50</v>
      </c>
      <c r="AM56" s="9">
        <f t="shared" si="31"/>
        <v>50</v>
      </c>
      <c r="AN56" s="9">
        <f t="shared" si="31"/>
        <v>50</v>
      </c>
      <c r="AO56" s="9">
        <f t="shared" si="31"/>
        <v>50</v>
      </c>
      <c r="AP56" s="9">
        <f t="shared" si="31"/>
        <v>50</v>
      </c>
      <c r="AQ56" s="9">
        <f t="shared" si="31"/>
        <v>50</v>
      </c>
      <c r="AR56" s="9">
        <f t="shared" si="31"/>
        <v>50</v>
      </c>
      <c r="AS56" s="9">
        <f t="shared" si="31"/>
        <v>50</v>
      </c>
      <c r="AT56" s="9">
        <f t="shared" si="31"/>
        <v>50</v>
      </c>
    </row>
    <row r="57" spans="1:46" ht="12.75" customHeight="1" x14ac:dyDescent="0.2">
      <c r="D57" s="2"/>
    </row>
    <row r="58" spans="1:46" ht="12.75" customHeight="1" x14ac:dyDescent="0.2">
      <c r="A58" s="37" t="s">
        <v>287</v>
      </c>
      <c r="D58" s="20" t="s">
        <v>78</v>
      </c>
      <c r="E58" s="9">
        <f t="shared" ref="E58:AT58" si="32">E43</f>
        <v>0</v>
      </c>
      <c r="F58" s="9">
        <f t="shared" si="32"/>
        <v>0</v>
      </c>
      <c r="G58" s="9">
        <f t="shared" si="32"/>
        <v>0</v>
      </c>
      <c r="H58" s="9">
        <f t="shared" si="32"/>
        <v>0</v>
      </c>
      <c r="I58" s="9">
        <f t="shared" si="32"/>
        <v>0</v>
      </c>
      <c r="J58" s="9">
        <f t="shared" si="32"/>
        <v>0</v>
      </c>
      <c r="K58" s="9">
        <f t="shared" si="32"/>
        <v>0</v>
      </c>
      <c r="L58" s="9">
        <f t="shared" si="32"/>
        <v>0</v>
      </c>
      <c r="M58" s="9">
        <f t="shared" si="32"/>
        <v>0</v>
      </c>
      <c r="N58" s="9">
        <f t="shared" si="32"/>
        <v>0</v>
      </c>
      <c r="O58" s="9">
        <f t="shared" si="32"/>
        <v>0</v>
      </c>
      <c r="P58" s="9">
        <f t="shared" si="32"/>
        <v>0</v>
      </c>
      <c r="Q58" s="9">
        <f t="shared" si="32"/>
        <v>0</v>
      </c>
      <c r="R58" s="9">
        <f t="shared" si="32"/>
        <v>0</v>
      </c>
      <c r="S58" s="9">
        <f t="shared" si="32"/>
        <v>0</v>
      </c>
      <c r="T58" s="9">
        <f t="shared" si="32"/>
        <v>0</v>
      </c>
      <c r="U58" s="9">
        <f t="shared" si="32"/>
        <v>0</v>
      </c>
      <c r="V58" s="9">
        <f t="shared" si="32"/>
        <v>0</v>
      </c>
      <c r="W58" s="9">
        <f t="shared" si="32"/>
        <v>0</v>
      </c>
      <c r="X58" s="9">
        <f t="shared" si="32"/>
        <v>0</v>
      </c>
      <c r="Y58" s="9">
        <f t="shared" si="32"/>
        <v>0</v>
      </c>
      <c r="Z58" s="9">
        <f t="shared" si="32"/>
        <v>0</v>
      </c>
      <c r="AA58" s="9">
        <f t="shared" si="32"/>
        <v>0</v>
      </c>
      <c r="AB58" s="9">
        <f t="shared" si="32"/>
        <v>0</v>
      </c>
      <c r="AC58" s="9">
        <f t="shared" si="32"/>
        <v>0</v>
      </c>
      <c r="AD58" s="9">
        <f t="shared" si="32"/>
        <v>0</v>
      </c>
      <c r="AE58" s="9">
        <f t="shared" si="32"/>
        <v>0</v>
      </c>
      <c r="AF58" s="9">
        <f t="shared" si="32"/>
        <v>0</v>
      </c>
      <c r="AG58" s="9">
        <f t="shared" si="32"/>
        <v>0</v>
      </c>
      <c r="AH58" s="9">
        <f t="shared" si="32"/>
        <v>0</v>
      </c>
      <c r="AI58" s="9">
        <f t="shared" si="32"/>
        <v>0</v>
      </c>
      <c r="AJ58" s="9">
        <f t="shared" si="32"/>
        <v>0</v>
      </c>
      <c r="AK58" s="9">
        <f t="shared" si="32"/>
        <v>0</v>
      </c>
      <c r="AL58" s="9">
        <f t="shared" si="32"/>
        <v>0</v>
      </c>
      <c r="AM58" s="9">
        <f t="shared" si="32"/>
        <v>0</v>
      </c>
      <c r="AN58" s="9">
        <f t="shared" si="32"/>
        <v>0</v>
      </c>
      <c r="AO58" s="9">
        <f t="shared" si="32"/>
        <v>0</v>
      </c>
      <c r="AP58" s="9">
        <f t="shared" si="32"/>
        <v>0</v>
      </c>
      <c r="AQ58" s="9">
        <f t="shared" si="32"/>
        <v>0</v>
      </c>
      <c r="AR58" s="9">
        <f t="shared" si="32"/>
        <v>0</v>
      </c>
      <c r="AS58" s="9">
        <f t="shared" si="32"/>
        <v>0</v>
      </c>
      <c r="AT58" s="9">
        <f t="shared" si="32"/>
        <v>0</v>
      </c>
    </row>
    <row r="59" spans="1:46" ht="12.75" customHeight="1" x14ac:dyDescent="0.2">
      <c r="A59" s="45" t="s">
        <v>288</v>
      </c>
      <c r="D59" s="20" t="s">
        <v>78</v>
      </c>
      <c r="E59" s="47" t="e">
        <f t="shared" ref="E59:AT59" si="33">E14*E22*$I$4*$I$5*($I$3/($I$3+((E14*E22)/(0.5*E28*1000))))/1000</f>
        <v>#DIV/0!</v>
      </c>
      <c r="F59" s="47" t="e">
        <f t="shared" si="33"/>
        <v>#DIV/0!</v>
      </c>
      <c r="G59" s="47" t="e">
        <f t="shared" si="33"/>
        <v>#DIV/0!</v>
      </c>
      <c r="H59" s="47" t="e">
        <f t="shared" si="33"/>
        <v>#DIV/0!</v>
      </c>
      <c r="I59" s="47" t="e">
        <f t="shared" si="33"/>
        <v>#DIV/0!</v>
      </c>
      <c r="J59" s="47" t="e">
        <f t="shared" si="33"/>
        <v>#DIV/0!</v>
      </c>
      <c r="K59" s="47" t="e">
        <f t="shared" si="33"/>
        <v>#DIV/0!</v>
      </c>
      <c r="L59" s="47" t="e">
        <f t="shared" si="33"/>
        <v>#DIV/0!</v>
      </c>
      <c r="M59" s="47" t="e">
        <f t="shared" si="33"/>
        <v>#DIV/0!</v>
      </c>
      <c r="N59" s="47" t="e">
        <f t="shared" si="33"/>
        <v>#DIV/0!</v>
      </c>
      <c r="O59" s="47" t="e">
        <f t="shared" si="33"/>
        <v>#DIV/0!</v>
      </c>
      <c r="P59" s="47" t="e">
        <f t="shared" si="33"/>
        <v>#DIV/0!</v>
      </c>
      <c r="Q59" s="47" t="e">
        <f t="shared" si="33"/>
        <v>#DIV/0!</v>
      </c>
      <c r="R59" s="47" t="e">
        <f t="shared" si="33"/>
        <v>#DIV/0!</v>
      </c>
      <c r="S59" s="47" t="e">
        <f t="shared" si="33"/>
        <v>#DIV/0!</v>
      </c>
      <c r="T59" s="47" t="e">
        <f t="shared" si="33"/>
        <v>#DIV/0!</v>
      </c>
      <c r="U59" s="47" t="e">
        <f t="shared" si="33"/>
        <v>#DIV/0!</v>
      </c>
      <c r="V59" s="47" t="e">
        <f t="shared" si="33"/>
        <v>#DIV/0!</v>
      </c>
      <c r="W59" s="47" t="e">
        <f t="shared" si="33"/>
        <v>#DIV/0!</v>
      </c>
      <c r="X59" s="47" t="e">
        <f t="shared" si="33"/>
        <v>#DIV/0!</v>
      </c>
      <c r="Y59" s="47" t="e">
        <f t="shared" si="33"/>
        <v>#DIV/0!</v>
      </c>
      <c r="Z59" s="47" t="e">
        <f t="shared" si="33"/>
        <v>#DIV/0!</v>
      </c>
      <c r="AA59" s="47" t="e">
        <f t="shared" si="33"/>
        <v>#DIV/0!</v>
      </c>
      <c r="AB59" s="47" t="e">
        <f t="shared" si="33"/>
        <v>#DIV/0!</v>
      </c>
      <c r="AC59" s="47" t="e">
        <f t="shared" si="33"/>
        <v>#DIV/0!</v>
      </c>
      <c r="AD59" s="47" t="e">
        <f t="shared" si="33"/>
        <v>#DIV/0!</v>
      </c>
      <c r="AE59" s="47" t="e">
        <f t="shared" si="33"/>
        <v>#DIV/0!</v>
      </c>
      <c r="AF59" s="47" t="e">
        <f t="shared" si="33"/>
        <v>#DIV/0!</v>
      </c>
      <c r="AG59" s="47" t="e">
        <f t="shared" si="33"/>
        <v>#DIV/0!</v>
      </c>
      <c r="AH59" s="47" t="e">
        <f t="shared" si="33"/>
        <v>#DIV/0!</v>
      </c>
      <c r="AI59" s="47" t="e">
        <f t="shared" si="33"/>
        <v>#DIV/0!</v>
      </c>
      <c r="AJ59" s="47" t="e">
        <f t="shared" si="33"/>
        <v>#DIV/0!</v>
      </c>
      <c r="AK59" s="47" t="e">
        <f t="shared" si="33"/>
        <v>#DIV/0!</v>
      </c>
      <c r="AL59" s="47" t="e">
        <f t="shared" si="33"/>
        <v>#DIV/0!</v>
      </c>
      <c r="AM59" s="47" t="e">
        <f t="shared" si="33"/>
        <v>#DIV/0!</v>
      </c>
      <c r="AN59" s="47" t="e">
        <f t="shared" si="33"/>
        <v>#DIV/0!</v>
      </c>
      <c r="AO59" s="47" t="e">
        <f t="shared" si="33"/>
        <v>#DIV/0!</v>
      </c>
      <c r="AP59" s="47" t="e">
        <f t="shared" si="33"/>
        <v>#DIV/0!</v>
      </c>
      <c r="AQ59" s="47" t="e">
        <f t="shared" si="33"/>
        <v>#DIV/0!</v>
      </c>
      <c r="AR59" s="47" t="e">
        <f t="shared" si="33"/>
        <v>#DIV/0!</v>
      </c>
      <c r="AS59" s="47" t="e">
        <f t="shared" si="33"/>
        <v>#DIV/0!</v>
      </c>
      <c r="AT59" s="47" t="e">
        <f t="shared" si="33"/>
        <v>#DIV/0!</v>
      </c>
    </row>
    <row r="60" spans="1:46" ht="12.75" customHeight="1" x14ac:dyDescent="0.2"/>
    <row r="61" spans="1:46" ht="12.75" customHeight="1" x14ac:dyDescent="0.2">
      <c r="A61" s="43" t="s">
        <v>289</v>
      </c>
    </row>
    <row r="62" spans="1:46" ht="12.75" customHeight="1" x14ac:dyDescent="0.2">
      <c r="A62" s="37" t="s">
        <v>290</v>
      </c>
      <c r="D62" s="20" t="s">
        <v>177</v>
      </c>
      <c r="E62" s="47" t="e">
        <f t="shared" ref="E62:AT62" si="34">(E46*$M$3)+(E50*$M$2)+((MAX(E47:E48)+E52)*$M$4)</f>
        <v>#DIV/0!</v>
      </c>
      <c r="F62" s="47" t="e">
        <f t="shared" si="34"/>
        <v>#DIV/0!</v>
      </c>
      <c r="G62" s="47" t="e">
        <f t="shared" si="34"/>
        <v>#DIV/0!</v>
      </c>
      <c r="H62" s="47" t="e">
        <f t="shared" si="34"/>
        <v>#DIV/0!</v>
      </c>
      <c r="I62" s="47" t="e">
        <f t="shared" si="34"/>
        <v>#DIV/0!</v>
      </c>
      <c r="J62" s="47" t="e">
        <f t="shared" si="34"/>
        <v>#DIV/0!</v>
      </c>
      <c r="K62" s="47" t="e">
        <f t="shared" si="34"/>
        <v>#DIV/0!</v>
      </c>
      <c r="L62" s="47" t="e">
        <f t="shared" si="34"/>
        <v>#DIV/0!</v>
      </c>
      <c r="M62" s="47" t="e">
        <f t="shared" si="34"/>
        <v>#DIV/0!</v>
      </c>
      <c r="N62" s="47" t="e">
        <f t="shared" si="34"/>
        <v>#DIV/0!</v>
      </c>
      <c r="O62" s="47" t="e">
        <f t="shared" si="34"/>
        <v>#DIV/0!</v>
      </c>
      <c r="P62" s="47" t="e">
        <f t="shared" si="34"/>
        <v>#DIV/0!</v>
      </c>
      <c r="Q62" s="47" t="e">
        <f t="shared" si="34"/>
        <v>#DIV/0!</v>
      </c>
      <c r="R62" s="47" t="e">
        <f t="shared" si="34"/>
        <v>#DIV/0!</v>
      </c>
      <c r="S62" s="47" t="e">
        <f t="shared" si="34"/>
        <v>#DIV/0!</v>
      </c>
      <c r="T62" s="47" t="e">
        <f t="shared" si="34"/>
        <v>#DIV/0!</v>
      </c>
      <c r="U62" s="47" t="e">
        <f t="shared" si="34"/>
        <v>#DIV/0!</v>
      </c>
      <c r="V62" s="47" t="e">
        <f t="shared" si="34"/>
        <v>#DIV/0!</v>
      </c>
      <c r="W62" s="47" t="e">
        <f t="shared" si="34"/>
        <v>#DIV/0!</v>
      </c>
      <c r="X62" s="47" t="e">
        <f t="shared" si="34"/>
        <v>#DIV/0!</v>
      </c>
      <c r="Y62" s="47" t="e">
        <f t="shared" si="34"/>
        <v>#DIV/0!</v>
      </c>
      <c r="Z62" s="47" t="e">
        <f t="shared" si="34"/>
        <v>#DIV/0!</v>
      </c>
      <c r="AA62" s="47" t="e">
        <f t="shared" si="34"/>
        <v>#DIV/0!</v>
      </c>
      <c r="AB62" s="47" t="e">
        <f t="shared" si="34"/>
        <v>#DIV/0!</v>
      </c>
      <c r="AC62" s="47" t="e">
        <f t="shared" si="34"/>
        <v>#DIV/0!</v>
      </c>
      <c r="AD62" s="47" t="e">
        <f t="shared" si="34"/>
        <v>#DIV/0!</v>
      </c>
      <c r="AE62" s="47" t="e">
        <f t="shared" si="34"/>
        <v>#DIV/0!</v>
      </c>
      <c r="AF62" s="47" t="e">
        <f t="shared" si="34"/>
        <v>#DIV/0!</v>
      </c>
      <c r="AG62" s="47" t="e">
        <f t="shared" si="34"/>
        <v>#DIV/0!</v>
      </c>
      <c r="AH62" s="47" t="e">
        <f t="shared" si="34"/>
        <v>#DIV/0!</v>
      </c>
      <c r="AI62" s="47" t="e">
        <f t="shared" si="34"/>
        <v>#DIV/0!</v>
      </c>
      <c r="AJ62" s="47" t="e">
        <f t="shared" si="34"/>
        <v>#DIV/0!</v>
      </c>
      <c r="AK62" s="47" t="e">
        <f t="shared" si="34"/>
        <v>#DIV/0!</v>
      </c>
      <c r="AL62" s="47" t="e">
        <f t="shared" si="34"/>
        <v>#DIV/0!</v>
      </c>
      <c r="AM62" s="47" t="e">
        <f t="shared" si="34"/>
        <v>#DIV/0!</v>
      </c>
      <c r="AN62" s="47" t="e">
        <f t="shared" si="34"/>
        <v>#DIV/0!</v>
      </c>
      <c r="AO62" s="47" t="e">
        <f t="shared" si="34"/>
        <v>#DIV/0!</v>
      </c>
      <c r="AP62" s="47" t="e">
        <f t="shared" si="34"/>
        <v>#DIV/0!</v>
      </c>
      <c r="AQ62" s="47" t="e">
        <f t="shared" si="34"/>
        <v>#DIV/0!</v>
      </c>
      <c r="AR62" s="47" t="e">
        <f t="shared" si="34"/>
        <v>#DIV/0!</v>
      </c>
      <c r="AS62" s="47" t="e">
        <f t="shared" si="34"/>
        <v>#DIV/0!</v>
      </c>
      <c r="AT62" s="47" t="e">
        <f t="shared" si="34"/>
        <v>#DIV/0!</v>
      </c>
    </row>
    <row r="63" spans="1:46" ht="12.75" customHeight="1" x14ac:dyDescent="0.2">
      <c r="A63" s="37" t="s">
        <v>291</v>
      </c>
      <c r="D63" s="20" t="s">
        <v>78</v>
      </c>
      <c r="E63" s="47">
        <f t="shared" ref="E63:AT63" si="35">(E54*$M$3)+((MAX(E55,E56*2)*$M$4))</f>
        <v>100</v>
      </c>
      <c r="F63" s="47">
        <f t="shared" si="35"/>
        <v>100</v>
      </c>
      <c r="G63" s="47">
        <f t="shared" si="35"/>
        <v>100</v>
      </c>
      <c r="H63" s="47">
        <f t="shared" si="35"/>
        <v>100</v>
      </c>
      <c r="I63" s="47">
        <f t="shared" si="35"/>
        <v>100</v>
      </c>
      <c r="J63" s="47">
        <f t="shared" si="35"/>
        <v>100</v>
      </c>
      <c r="K63" s="47">
        <f t="shared" si="35"/>
        <v>100</v>
      </c>
      <c r="L63" s="47">
        <f t="shared" si="35"/>
        <v>100</v>
      </c>
      <c r="M63" s="47">
        <f t="shared" si="35"/>
        <v>100</v>
      </c>
      <c r="N63" s="47">
        <f t="shared" si="35"/>
        <v>100</v>
      </c>
      <c r="O63" s="47">
        <f t="shared" si="35"/>
        <v>100</v>
      </c>
      <c r="P63" s="47">
        <f t="shared" si="35"/>
        <v>100</v>
      </c>
      <c r="Q63" s="47">
        <f t="shared" si="35"/>
        <v>100</v>
      </c>
      <c r="R63" s="47">
        <f t="shared" si="35"/>
        <v>100</v>
      </c>
      <c r="S63" s="47">
        <f t="shared" si="35"/>
        <v>100</v>
      </c>
      <c r="T63" s="47">
        <f t="shared" si="35"/>
        <v>100</v>
      </c>
      <c r="U63" s="47">
        <f t="shared" si="35"/>
        <v>100</v>
      </c>
      <c r="V63" s="47">
        <f t="shared" si="35"/>
        <v>100</v>
      </c>
      <c r="W63" s="47">
        <f t="shared" si="35"/>
        <v>100</v>
      </c>
      <c r="X63" s="47">
        <f t="shared" si="35"/>
        <v>100</v>
      </c>
      <c r="Y63" s="47">
        <f t="shared" si="35"/>
        <v>100</v>
      </c>
      <c r="Z63" s="47">
        <f t="shared" si="35"/>
        <v>100</v>
      </c>
      <c r="AA63" s="47">
        <f t="shared" si="35"/>
        <v>100</v>
      </c>
      <c r="AB63" s="47">
        <f t="shared" si="35"/>
        <v>100</v>
      </c>
      <c r="AC63" s="47">
        <f t="shared" si="35"/>
        <v>100</v>
      </c>
      <c r="AD63" s="47">
        <f t="shared" si="35"/>
        <v>100</v>
      </c>
      <c r="AE63" s="47">
        <f t="shared" si="35"/>
        <v>100</v>
      </c>
      <c r="AF63" s="47">
        <f t="shared" si="35"/>
        <v>100</v>
      </c>
      <c r="AG63" s="47">
        <f t="shared" si="35"/>
        <v>100</v>
      </c>
      <c r="AH63" s="47">
        <f t="shared" si="35"/>
        <v>100</v>
      </c>
      <c r="AI63" s="47">
        <f t="shared" si="35"/>
        <v>100</v>
      </c>
      <c r="AJ63" s="47">
        <f t="shared" si="35"/>
        <v>100</v>
      </c>
      <c r="AK63" s="47">
        <f t="shared" si="35"/>
        <v>100</v>
      </c>
      <c r="AL63" s="47">
        <f t="shared" si="35"/>
        <v>100</v>
      </c>
      <c r="AM63" s="47">
        <f t="shared" si="35"/>
        <v>100</v>
      </c>
      <c r="AN63" s="47">
        <f t="shared" si="35"/>
        <v>100</v>
      </c>
      <c r="AO63" s="47">
        <f t="shared" si="35"/>
        <v>100</v>
      </c>
      <c r="AP63" s="47">
        <f t="shared" si="35"/>
        <v>100</v>
      </c>
      <c r="AQ63" s="47">
        <f t="shared" si="35"/>
        <v>100</v>
      </c>
      <c r="AR63" s="47">
        <f t="shared" si="35"/>
        <v>100</v>
      </c>
      <c r="AS63" s="47">
        <f t="shared" si="35"/>
        <v>100</v>
      </c>
      <c r="AT63" s="47">
        <f t="shared" si="35"/>
        <v>100</v>
      </c>
    </row>
    <row r="64" spans="1:46" ht="12.75" customHeight="1" x14ac:dyDescent="0.2">
      <c r="A64" s="37" t="s">
        <v>292</v>
      </c>
      <c r="D64" s="20" t="s">
        <v>78</v>
      </c>
      <c r="E64" s="9">
        <f t="shared" ref="E64:AT64" si="36">E56*$M$4</f>
        <v>50</v>
      </c>
      <c r="F64" s="9">
        <f t="shared" si="36"/>
        <v>50</v>
      </c>
      <c r="G64" s="9">
        <f t="shared" si="36"/>
        <v>50</v>
      </c>
      <c r="H64" s="9">
        <f t="shared" si="36"/>
        <v>50</v>
      </c>
      <c r="I64" s="9">
        <f t="shared" si="36"/>
        <v>50</v>
      </c>
      <c r="J64" s="9">
        <f t="shared" si="36"/>
        <v>50</v>
      </c>
      <c r="K64" s="9">
        <f t="shared" si="36"/>
        <v>50</v>
      </c>
      <c r="L64" s="9">
        <f t="shared" si="36"/>
        <v>50</v>
      </c>
      <c r="M64" s="9">
        <f t="shared" si="36"/>
        <v>50</v>
      </c>
      <c r="N64" s="9">
        <f t="shared" si="36"/>
        <v>50</v>
      </c>
      <c r="O64" s="9">
        <f t="shared" si="36"/>
        <v>50</v>
      </c>
      <c r="P64" s="9">
        <f t="shared" si="36"/>
        <v>50</v>
      </c>
      <c r="Q64" s="9">
        <f t="shared" si="36"/>
        <v>50</v>
      </c>
      <c r="R64" s="9">
        <f t="shared" si="36"/>
        <v>50</v>
      </c>
      <c r="S64" s="9">
        <f t="shared" si="36"/>
        <v>50</v>
      </c>
      <c r="T64" s="9">
        <f t="shared" si="36"/>
        <v>50</v>
      </c>
      <c r="U64" s="9">
        <f t="shared" si="36"/>
        <v>50</v>
      </c>
      <c r="V64" s="9">
        <f t="shared" si="36"/>
        <v>50</v>
      </c>
      <c r="W64" s="9">
        <f t="shared" si="36"/>
        <v>50</v>
      </c>
      <c r="X64" s="9">
        <f t="shared" si="36"/>
        <v>50</v>
      </c>
      <c r="Y64" s="9">
        <f t="shared" si="36"/>
        <v>50</v>
      </c>
      <c r="Z64" s="9">
        <f t="shared" si="36"/>
        <v>50</v>
      </c>
      <c r="AA64" s="9">
        <f t="shared" si="36"/>
        <v>50</v>
      </c>
      <c r="AB64" s="9">
        <f t="shared" si="36"/>
        <v>50</v>
      </c>
      <c r="AC64" s="9">
        <f t="shared" si="36"/>
        <v>50</v>
      </c>
      <c r="AD64" s="9">
        <f t="shared" si="36"/>
        <v>50</v>
      </c>
      <c r="AE64" s="9">
        <f t="shared" si="36"/>
        <v>50</v>
      </c>
      <c r="AF64" s="9">
        <f t="shared" si="36"/>
        <v>50</v>
      </c>
      <c r="AG64" s="9">
        <f t="shared" si="36"/>
        <v>50</v>
      </c>
      <c r="AH64" s="9">
        <f t="shared" si="36"/>
        <v>50</v>
      </c>
      <c r="AI64" s="9">
        <f t="shared" si="36"/>
        <v>50</v>
      </c>
      <c r="AJ64" s="9">
        <f t="shared" si="36"/>
        <v>50</v>
      </c>
      <c r="AK64" s="9">
        <f t="shared" si="36"/>
        <v>50</v>
      </c>
      <c r="AL64" s="9">
        <f t="shared" si="36"/>
        <v>50</v>
      </c>
      <c r="AM64" s="9">
        <f t="shared" si="36"/>
        <v>50</v>
      </c>
      <c r="AN64" s="9">
        <f t="shared" si="36"/>
        <v>50</v>
      </c>
      <c r="AO64" s="9">
        <f t="shared" si="36"/>
        <v>50</v>
      </c>
      <c r="AP64" s="9">
        <f t="shared" si="36"/>
        <v>50</v>
      </c>
      <c r="AQ64" s="9">
        <f t="shared" si="36"/>
        <v>50</v>
      </c>
      <c r="AR64" s="9">
        <f t="shared" si="36"/>
        <v>50</v>
      </c>
      <c r="AS64" s="9">
        <f t="shared" si="36"/>
        <v>50</v>
      </c>
      <c r="AT64" s="9">
        <f t="shared" si="36"/>
        <v>50</v>
      </c>
    </row>
    <row r="65" spans="1:46" ht="12.75" customHeight="1" x14ac:dyDescent="0.2">
      <c r="A65" s="37" t="s">
        <v>293</v>
      </c>
      <c r="D65" s="20" t="s">
        <v>78</v>
      </c>
      <c r="E65" s="47" t="e">
        <f t="shared" ref="E65:AT65" si="37">(E58*$M$2)+(E59*$M$5)</f>
        <v>#DIV/0!</v>
      </c>
      <c r="F65" s="47" t="e">
        <f t="shared" si="37"/>
        <v>#DIV/0!</v>
      </c>
      <c r="G65" s="47" t="e">
        <f t="shared" si="37"/>
        <v>#DIV/0!</v>
      </c>
      <c r="H65" s="47" t="e">
        <f t="shared" si="37"/>
        <v>#DIV/0!</v>
      </c>
      <c r="I65" s="47" t="e">
        <f t="shared" si="37"/>
        <v>#DIV/0!</v>
      </c>
      <c r="J65" s="47" t="e">
        <f t="shared" si="37"/>
        <v>#DIV/0!</v>
      </c>
      <c r="K65" s="47" t="e">
        <f t="shared" si="37"/>
        <v>#DIV/0!</v>
      </c>
      <c r="L65" s="47" t="e">
        <f t="shared" si="37"/>
        <v>#DIV/0!</v>
      </c>
      <c r="M65" s="47" t="e">
        <f t="shared" si="37"/>
        <v>#DIV/0!</v>
      </c>
      <c r="N65" s="47" t="e">
        <f t="shared" si="37"/>
        <v>#DIV/0!</v>
      </c>
      <c r="O65" s="47" t="e">
        <f t="shared" si="37"/>
        <v>#DIV/0!</v>
      </c>
      <c r="P65" s="47" t="e">
        <f t="shared" si="37"/>
        <v>#DIV/0!</v>
      </c>
      <c r="Q65" s="47" t="e">
        <f t="shared" si="37"/>
        <v>#DIV/0!</v>
      </c>
      <c r="R65" s="47" t="e">
        <f t="shared" si="37"/>
        <v>#DIV/0!</v>
      </c>
      <c r="S65" s="47" t="e">
        <f t="shared" si="37"/>
        <v>#DIV/0!</v>
      </c>
      <c r="T65" s="47" t="e">
        <f t="shared" si="37"/>
        <v>#DIV/0!</v>
      </c>
      <c r="U65" s="47" t="e">
        <f t="shared" si="37"/>
        <v>#DIV/0!</v>
      </c>
      <c r="V65" s="47" t="e">
        <f t="shared" si="37"/>
        <v>#DIV/0!</v>
      </c>
      <c r="W65" s="47" t="e">
        <f t="shared" si="37"/>
        <v>#DIV/0!</v>
      </c>
      <c r="X65" s="47" t="e">
        <f t="shared" si="37"/>
        <v>#DIV/0!</v>
      </c>
      <c r="Y65" s="47" t="e">
        <f t="shared" si="37"/>
        <v>#DIV/0!</v>
      </c>
      <c r="Z65" s="47" t="e">
        <f t="shared" si="37"/>
        <v>#DIV/0!</v>
      </c>
      <c r="AA65" s="47" t="e">
        <f t="shared" si="37"/>
        <v>#DIV/0!</v>
      </c>
      <c r="AB65" s="47" t="e">
        <f t="shared" si="37"/>
        <v>#DIV/0!</v>
      </c>
      <c r="AC65" s="47" t="e">
        <f t="shared" si="37"/>
        <v>#DIV/0!</v>
      </c>
      <c r="AD65" s="47" t="e">
        <f t="shared" si="37"/>
        <v>#DIV/0!</v>
      </c>
      <c r="AE65" s="47" t="e">
        <f t="shared" si="37"/>
        <v>#DIV/0!</v>
      </c>
      <c r="AF65" s="47" t="e">
        <f t="shared" si="37"/>
        <v>#DIV/0!</v>
      </c>
      <c r="AG65" s="47" t="e">
        <f t="shared" si="37"/>
        <v>#DIV/0!</v>
      </c>
      <c r="AH65" s="47" t="e">
        <f t="shared" si="37"/>
        <v>#DIV/0!</v>
      </c>
      <c r="AI65" s="47" t="e">
        <f t="shared" si="37"/>
        <v>#DIV/0!</v>
      </c>
      <c r="AJ65" s="47" t="e">
        <f t="shared" si="37"/>
        <v>#DIV/0!</v>
      </c>
      <c r="AK65" s="47" t="e">
        <f t="shared" si="37"/>
        <v>#DIV/0!</v>
      </c>
      <c r="AL65" s="47" t="e">
        <f t="shared" si="37"/>
        <v>#DIV/0!</v>
      </c>
      <c r="AM65" s="47" t="e">
        <f t="shared" si="37"/>
        <v>#DIV/0!</v>
      </c>
      <c r="AN65" s="47" t="e">
        <f t="shared" si="37"/>
        <v>#DIV/0!</v>
      </c>
      <c r="AO65" s="47" t="e">
        <f t="shared" si="37"/>
        <v>#DIV/0!</v>
      </c>
      <c r="AP65" s="47" t="e">
        <f t="shared" si="37"/>
        <v>#DIV/0!</v>
      </c>
      <c r="AQ65" s="47" t="e">
        <f t="shared" si="37"/>
        <v>#DIV/0!</v>
      </c>
      <c r="AR65" s="47" t="e">
        <f t="shared" si="37"/>
        <v>#DIV/0!</v>
      </c>
      <c r="AS65" s="47" t="e">
        <f t="shared" si="37"/>
        <v>#DIV/0!</v>
      </c>
      <c r="AT65" s="47" t="e">
        <f t="shared" si="37"/>
        <v>#DIV/0!</v>
      </c>
    </row>
    <row r="66" spans="1:46" ht="12.75" customHeight="1" x14ac:dyDescent="0.2"/>
    <row r="67" spans="1:46" ht="12.75" customHeight="1" x14ac:dyDescent="0.2">
      <c r="A67" s="42" t="s">
        <v>294</v>
      </c>
    </row>
    <row r="68" spans="1:46" ht="12.75" customHeight="1" x14ac:dyDescent="0.2">
      <c r="A68" s="6" t="s">
        <v>295</v>
      </c>
      <c r="C68" s="64" t="s">
        <v>296</v>
      </c>
      <c r="D68" s="10" t="s">
        <v>113</v>
      </c>
      <c r="E68" s="53">
        <v>1</v>
      </c>
      <c r="F68" s="53">
        <v>1</v>
      </c>
      <c r="G68" s="53">
        <v>1</v>
      </c>
      <c r="H68" s="53">
        <v>1</v>
      </c>
      <c r="I68" s="53">
        <v>1</v>
      </c>
      <c r="J68" s="53">
        <v>1</v>
      </c>
      <c r="K68" s="53">
        <v>1</v>
      </c>
      <c r="L68" s="53">
        <v>1</v>
      </c>
      <c r="M68" s="53">
        <v>1</v>
      </c>
      <c r="N68" s="53">
        <v>1</v>
      </c>
      <c r="O68" s="53">
        <v>1</v>
      </c>
      <c r="P68" s="53">
        <v>1</v>
      </c>
      <c r="Q68" s="53">
        <v>1</v>
      </c>
      <c r="R68" s="53">
        <v>1</v>
      </c>
      <c r="S68" s="53">
        <v>1</v>
      </c>
      <c r="T68" s="53">
        <v>1</v>
      </c>
      <c r="U68" s="53">
        <v>1</v>
      </c>
      <c r="V68" s="53">
        <v>1</v>
      </c>
      <c r="W68" s="53">
        <v>1</v>
      </c>
      <c r="X68" s="53">
        <v>1</v>
      </c>
      <c r="Y68" s="53">
        <v>1</v>
      </c>
      <c r="Z68" s="53">
        <v>1</v>
      </c>
      <c r="AA68" s="53">
        <v>1</v>
      </c>
      <c r="AB68" s="53">
        <v>1</v>
      </c>
      <c r="AC68" s="53">
        <v>1</v>
      </c>
      <c r="AD68" s="53">
        <v>1</v>
      </c>
      <c r="AE68" s="53">
        <v>1</v>
      </c>
      <c r="AF68" s="53">
        <v>1</v>
      </c>
      <c r="AG68" s="53">
        <v>1</v>
      </c>
      <c r="AH68" s="53">
        <v>1</v>
      </c>
      <c r="AI68" s="53">
        <v>1</v>
      </c>
      <c r="AJ68" s="53">
        <v>1</v>
      </c>
      <c r="AK68" s="53">
        <v>1</v>
      </c>
      <c r="AL68" s="53">
        <v>1</v>
      </c>
      <c r="AM68" s="53">
        <v>1</v>
      </c>
      <c r="AN68" s="53">
        <v>1</v>
      </c>
      <c r="AO68" s="53">
        <v>1</v>
      </c>
      <c r="AP68" s="53">
        <v>1</v>
      </c>
      <c r="AQ68" s="53">
        <v>1</v>
      </c>
      <c r="AR68" s="53">
        <v>1</v>
      </c>
      <c r="AS68" s="53">
        <v>1</v>
      </c>
      <c r="AT68" s="53">
        <v>1</v>
      </c>
    </row>
    <row r="69" spans="1:46" ht="12.75" customHeight="1" x14ac:dyDescent="0.2">
      <c r="A69" s="6" t="s">
        <v>295</v>
      </c>
      <c r="C69" s="64" t="s">
        <v>297</v>
      </c>
      <c r="D69" s="10" t="s">
        <v>113</v>
      </c>
      <c r="E69" s="53">
        <v>1</v>
      </c>
      <c r="F69" s="53">
        <v>1</v>
      </c>
      <c r="G69" s="53">
        <v>1</v>
      </c>
      <c r="H69" s="53">
        <v>1</v>
      </c>
      <c r="I69" s="53">
        <v>1</v>
      </c>
      <c r="J69" s="53">
        <v>1</v>
      </c>
      <c r="K69" s="53">
        <v>1</v>
      </c>
      <c r="L69" s="53">
        <v>1</v>
      </c>
      <c r="M69" s="53">
        <v>1</v>
      </c>
      <c r="N69" s="53">
        <v>1</v>
      </c>
      <c r="O69" s="53">
        <v>1</v>
      </c>
      <c r="P69" s="53">
        <v>1</v>
      </c>
      <c r="Q69" s="53">
        <v>1</v>
      </c>
      <c r="R69" s="53">
        <v>1</v>
      </c>
      <c r="S69" s="53">
        <v>1</v>
      </c>
      <c r="T69" s="53">
        <v>1</v>
      </c>
      <c r="U69" s="53">
        <v>1</v>
      </c>
      <c r="V69" s="53">
        <v>1</v>
      </c>
      <c r="W69" s="53">
        <v>1</v>
      </c>
      <c r="X69" s="53">
        <v>1</v>
      </c>
      <c r="Y69" s="53">
        <v>1</v>
      </c>
      <c r="Z69" s="53">
        <v>1</v>
      </c>
      <c r="AA69" s="53">
        <v>1</v>
      </c>
      <c r="AB69" s="53">
        <v>1</v>
      </c>
      <c r="AC69" s="53">
        <v>1</v>
      </c>
      <c r="AD69" s="53">
        <v>1</v>
      </c>
      <c r="AE69" s="53">
        <v>1</v>
      </c>
      <c r="AF69" s="53">
        <v>1</v>
      </c>
      <c r="AG69" s="53">
        <v>1</v>
      </c>
      <c r="AH69" s="53">
        <v>1</v>
      </c>
      <c r="AI69" s="53">
        <v>1</v>
      </c>
      <c r="AJ69" s="53">
        <v>1</v>
      </c>
      <c r="AK69" s="53">
        <v>1</v>
      </c>
      <c r="AL69" s="53">
        <v>1</v>
      </c>
      <c r="AM69" s="53">
        <v>1</v>
      </c>
      <c r="AN69" s="53">
        <v>1</v>
      </c>
      <c r="AO69" s="53">
        <v>1</v>
      </c>
      <c r="AP69" s="53">
        <v>1</v>
      </c>
      <c r="AQ69" s="53">
        <v>1</v>
      </c>
      <c r="AR69" s="53">
        <v>1</v>
      </c>
      <c r="AS69" s="53">
        <v>1</v>
      </c>
      <c r="AT69" s="53">
        <v>1</v>
      </c>
    </row>
    <row r="70" spans="1:46" ht="12.75" customHeight="1" x14ac:dyDescent="0.2">
      <c r="A70" s="6"/>
    </row>
    <row r="71" spans="1:46" ht="12.75" customHeight="1" x14ac:dyDescent="0.2">
      <c r="A71" s="50" t="s">
        <v>298</v>
      </c>
      <c r="C71" s="57" t="s">
        <v>185</v>
      </c>
    </row>
    <row r="72" spans="1:46" ht="12.75" customHeight="1" x14ac:dyDescent="0.2">
      <c r="A72" s="6" t="s">
        <v>186</v>
      </c>
      <c r="C72" s="61" t="s">
        <v>187</v>
      </c>
      <c r="D72" s="56" t="s">
        <v>78</v>
      </c>
      <c r="E72" s="47" t="e">
        <f t="shared" ref="E72:AT72" si="38">E65</f>
        <v>#DIV/0!</v>
      </c>
      <c r="F72" s="47" t="e">
        <f t="shared" si="38"/>
        <v>#DIV/0!</v>
      </c>
      <c r="G72" s="47" t="e">
        <f t="shared" si="38"/>
        <v>#DIV/0!</v>
      </c>
      <c r="H72" s="47" t="e">
        <f t="shared" si="38"/>
        <v>#DIV/0!</v>
      </c>
      <c r="I72" s="47" t="e">
        <f t="shared" si="38"/>
        <v>#DIV/0!</v>
      </c>
      <c r="J72" s="47" t="e">
        <f t="shared" si="38"/>
        <v>#DIV/0!</v>
      </c>
      <c r="K72" s="47" t="e">
        <f t="shared" si="38"/>
        <v>#DIV/0!</v>
      </c>
      <c r="L72" s="47" t="e">
        <f t="shared" si="38"/>
        <v>#DIV/0!</v>
      </c>
      <c r="M72" s="47" t="e">
        <f t="shared" si="38"/>
        <v>#DIV/0!</v>
      </c>
      <c r="N72" s="47" t="e">
        <f t="shared" si="38"/>
        <v>#DIV/0!</v>
      </c>
      <c r="O72" s="47" t="e">
        <f t="shared" si="38"/>
        <v>#DIV/0!</v>
      </c>
      <c r="P72" s="47" t="e">
        <f t="shared" si="38"/>
        <v>#DIV/0!</v>
      </c>
      <c r="Q72" s="47" t="e">
        <f t="shared" si="38"/>
        <v>#DIV/0!</v>
      </c>
      <c r="R72" s="47" t="e">
        <f t="shared" si="38"/>
        <v>#DIV/0!</v>
      </c>
      <c r="S72" s="47" t="e">
        <f t="shared" si="38"/>
        <v>#DIV/0!</v>
      </c>
      <c r="T72" s="47" t="e">
        <f t="shared" si="38"/>
        <v>#DIV/0!</v>
      </c>
      <c r="U72" s="47" t="e">
        <f t="shared" si="38"/>
        <v>#DIV/0!</v>
      </c>
      <c r="V72" s="47" t="e">
        <f t="shared" si="38"/>
        <v>#DIV/0!</v>
      </c>
      <c r="W72" s="47" t="e">
        <f t="shared" si="38"/>
        <v>#DIV/0!</v>
      </c>
      <c r="X72" s="47" t="e">
        <f t="shared" si="38"/>
        <v>#DIV/0!</v>
      </c>
      <c r="Y72" s="47" t="e">
        <f t="shared" si="38"/>
        <v>#DIV/0!</v>
      </c>
      <c r="Z72" s="47" t="e">
        <f t="shared" si="38"/>
        <v>#DIV/0!</v>
      </c>
      <c r="AA72" s="47" t="e">
        <f t="shared" si="38"/>
        <v>#DIV/0!</v>
      </c>
      <c r="AB72" s="47" t="e">
        <f t="shared" si="38"/>
        <v>#DIV/0!</v>
      </c>
      <c r="AC72" s="47" t="e">
        <f t="shared" si="38"/>
        <v>#DIV/0!</v>
      </c>
      <c r="AD72" s="47" t="e">
        <f t="shared" si="38"/>
        <v>#DIV/0!</v>
      </c>
      <c r="AE72" s="47" t="e">
        <f t="shared" si="38"/>
        <v>#DIV/0!</v>
      </c>
      <c r="AF72" s="47" t="e">
        <f t="shared" si="38"/>
        <v>#DIV/0!</v>
      </c>
      <c r="AG72" s="47" t="e">
        <f t="shared" si="38"/>
        <v>#DIV/0!</v>
      </c>
      <c r="AH72" s="47" t="e">
        <f t="shared" si="38"/>
        <v>#DIV/0!</v>
      </c>
      <c r="AI72" s="47" t="e">
        <f t="shared" si="38"/>
        <v>#DIV/0!</v>
      </c>
      <c r="AJ72" s="47" t="e">
        <f t="shared" si="38"/>
        <v>#DIV/0!</v>
      </c>
      <c r="AK72" s="47" t="e">
        <f t="shared" si="38"/>
        <v>#DIV/0!</v>
      </c>
      <c r="AL72" s="47" t="e">
        <f t="shared" si="38"/>
        <v>#DIV/0!</v>
      </c>
      <c r="AM72" s="47" t="e">
        <f t="shared" si="38"/>
        <v>#DIV/0!</v>
      </c>
      <c r="AN72" s="47" t="e">
        <f t="shared" si="38"/>
        <v>#DIV/0!</v>
      </c>
      <c r="AO72" s="47" t="e">
        <f t="shared" si="38"/>
        <v>#DIV/0!</v>
      </c>
      <c r="AP72" s="47" t="e">
        <f t="shared" si="38"/>
        <v>#DIV/0!</v>
      </c>
      <c r="AQ72" s="47" t="e">
        <f t="shared" si="38"/>
        <v>#DIV/0!</v>
      </c>
      <c r="AR72" s="47" t="e">
        <f t="shared" si="38"/>
        <v>#DIV/0!</v>
      </c>
      <c r="AS72" s="47" t="e">
        <f t="shared" si="38"/>
        <v>#DIV/0!</v>
      </c>
      <c r="AT72" s="47" t="e">
        <f t="shared" si="38"/>
        <v>#DIV/0!</v>
      </c>
    </row>
    <row r="73" spans="1:46" ht="12.75" customHeight="1" x14ac:dyDescent="0.2">
      <c r="A73" s="6" t="s">
        <v>299</v>
      </c>
      <c r="C73" s="61" t="s">
        <v>300</v>
      </c>
      <c r="D73" s="56" t="s">
        <v>78</v>
      </c>
      <c r="E73" s="47">
        <f t="shared" ref="E73:AT73" si="39">E22*E12/E68/1000</f>
        <v>0</v>
      </c>
      <c r="F73" s="47">
        <f t="shared" si="39"/>
        <v>0</v>
      </c>
      <c r="G73" s="47">
        <f t="shared" si="39"/>
        <v>0</v>
      </c>
      <c r="H73" s="47">
        <f t="shared" si="39"/>
        <v>0</v>
      </c>
      <c r="I73" s="47">
        <f t="shared" si="39"/>
        <v>0</v>
      </c>
      <c r="J73" s="47">
        <f t="shared" si="39"/>
        <v>0</v>
      </c>
      <c r="K73" s="47">
        <f t="shared" si="39"/>
        <v>0</v>
      </c>
      <c r="L73" s="47">
        <f t="shared" si="39"/>
        <v>0</v>
      </c>
      <c r="M73" s="47">
        <f t="shared" si="39"/>
        <v>0</v>
      </c>
      <c r="N73" s="47">
        <f t="shared" si="39"/>
        <v>0</v>
      </c>
      <c r="O73" s="47">
        <f t="shared" si="39"/>
        <v>0</v>
      </c>
      <c r="P73" s="47">
        <f t="shared" si="39"/>
        <v>0</v>
      </c>
      <c r="Q73" s="47">
        <f t="shared" si="39"/>
        <v>0</v>
      </c>
      <c r="R73" s="47">
        <f t="shared" si="39"/>
        <v>0</v>
      </c>
      <c r="S73" s="47">
        <f t="shared" si="39"/>
        <v>0</v>
      </c>
      <c r="T73" s="47">
        <f t="shared" si="39"/>
        <v>0</v>
      </c>
      <c r="U73" s="47">
        <f t="shared" si="39"/>
        <v>0</v>
      </c>
      <c r="V73" s="47">
        <f t="shared" si="39"/>
        <v>0</v>
      </c>
      <c r="W73" s="47">
        <f t="shared" si="39"/>
        <v>0</v>
      </c>
      <c r="X73" s="47">
        <f t="shared" si="39"/>
        <v>0</v>
      </c>
      <c r="Y73" s="47">
        <f t="shared" si="39"/>
        <v>0</v>
      </c>
      <c r="Z73" s="47">
        <f t="shared" si="39"/>
        <v>0</v>
      </c>
      <c r="AA73" s="47">
        <f t="shared" si="39"/>
        <v>0</v>
      </c>
      <c r="AB73" s="47">
        <f t="shared" si="39"/>
        <v>0</v>
      </c>
      <c r="AC73" s="47">
        <f t="shared" si="39"/>
        <v>0</v>
      </c>
      <c r="AD73" s="47">
        <f t="shared" si="39"/>
        <v>0</v>
      </c>
      <c r="AE73" s="47">
        <f t="shared" si="39"/>
        <v>0</v>
      </c>
      <c r="AF73" s="47">
        <f t="shared" si="39"/>
        <v>0</v>
      </c>
      <c r="AG73" s="47">
        <f t="shared" si="39"/>
        <v>0</v>
      </c>
      <c r="AH73" s="47">
        <f t="shared" si="39"/>
        <v>0</v>
      </c>
      <c r="AI73" s="47">
        <f t="shared" si="39"/>
        <v>0</v>
      </c>
      <c r="AJ73" s="47">
        <f t="shared" si="39"/>
        <v>0</v>
      </c>
      <c r="AK73" s="47">
        <f t="shared" si="39"/>
        <v>0</v>
      </c>
      <c r="AL73" s="47">
        <f t="shared" si="39"/>
        <v>0</v>
      </c>
      <c r="AM73" s="47">
        <f t="shared" si="39"/>
        <v>0</v>
      </c>
      <c r="AN73" s="47">
        <f t="shared" si="39"/>
        <v>0</v>
      </c>
      <c r="AO73" s="47">
        <f t="shared" si="39"/>
        <v>0</v>
      </c>
      <c r="AP73" s="47">
        <f t="shared" si="39"/>
        <v>0</v>
      </c>
      <c r="AQ73" s="47">
        <f t="shared" si="39"/>
        <v>0</v>
      </c>
      <c r="AR73" s="47">
        <f t="shared" si="39"/>
        <v>0</v>
      </c>
      <c r="AS73" s="47">
        <f t="shared" si="39"/>
        <v>0</v>
      </c>
      <c r="AT73" s="47">
        <f t="shared" si="39"/>
        <v>0</v>
      </c>
    </row>
    <row r="74" spans="1:46" ht="12.75" customHeight="1" x14ac:dyDescent="0.2">
      <c r="A74" s="6" t="s">
        <v>181</v>
      </c>
      <c r="C74" s="61" t="s">
        <v>190</v>
      </c>
      <c r="D74" s="10" t="s">
        <v>113</v>
      </c>
      <c r="E74" s="59" t="e">
        <f t="shared" ref="E74:AT74" si="40">E72/E73</f>
        <v>#DIV/0!</v>
      </c>
      <c r="F74" s="59" t="e">
        <f t="shared" si="40"/>
        <v>#DIV/0!</v>
      </c>
      <c r="G74" s="59" t="e">
        <f t="shared" si="40"/>
        <v>#DIV/0!</v>
      </c>
      <c r="H74" s="59" t="e">
        <f t="shared" si="40"/>
        <v>#DIV/0!</v>
      </c>
      <c r="I74" s="59" t="e">
        <f t="shared" si="40"/>
        <v>#DIV/0!</v>
      </c>
      <c r="J74" s="59" t="e">
        <f t="shared" si="40"/>
        <v>#DIV/0!</v>
      </c>
      <c r="K74" s="59" t="e">
        <f t="shared" si="40"/>
        <v>#DIV/0!</v>
      </c>
      <c r="L74" s="59" t="e">
        <f t="shared" si="40"/>
        <v>#DIV/0!</v>
      </c>
      <c r="M74" s="59" t="e">
        <f t="shared" si="40"/>
        <v>#DIV/0!</v>
      </c>
      <c r="N74" s="59" t="e">
        <f t="shared" si="40"/>
        <v>#DIV/0!</v>
      </c>
      <c r="O74" s="59" t="e">
        <f t="shared" si="40"/>
        <v>#DIV/0!</v>
      </c>
      <c r="P74" s="59" t="e">
        <f t="shared" si="40"/>
        <v>#DIV/0!</v>
      </c>
      <c r="Q74" s="59" t="e">
        <f t="shared" si="40"/>
        <v>#DIV/0!</v>
      </c>
      <c r="R74" s="59" t="e">
        <f t="shared" si="40"/>
        <v>#DIV/0!</v>
      </c>
      <c r="S74" s="59" t="e">
        <f t="shared" si="40"/>
        <v>#DIV/0!</v>
      </c>
      <c r="T74" s="59" t="e">
        <f t="shared" si="40"/>
        <v>#DIV/0!</v>
      </c>
      <c r="U74" s="59" t="e">
        <f t="shared" si="40"/>
        <v>#DIV/0!</v>
      </c>
      <c r="V74" s="59" t="e">
        <f t="shared" si="40"/>
        <v>#DIV/0!</v>
      </c>
      <c r="W74" s="59" t="e">
        <f t="shared" si="40"/>
        <v>#DIV/0!</v>
      </c>
      <c r="X74" s="59" t="e">
        <f t="shared" si="40"/>
        <v>#DIV/0!</v>
      </c>
      <c r="Y74" s="59" t="e">
        <f t="shared" si="40"/>
        <v>#DIV/0!</v>
      </c>
      <c r="Z74" s="59" t="e">
        <f t="shared" si="40"/>
        <v>#DIV/0!</v>
      </c>
      <c r="AA74" s="59" t="e">
        <f t="shared" si="40"/>
        <v>#DIV/0!</v>
      </c>
      <c r="AB74" s="59" t="e">
        <f t="shared" si="40"/>
        <v>#DIV/0!</v>
      </c>
      <c r="AC74" s="59" t="e">
        <f t="shared" si="40"/>
        <v>#DIV/0!</v>
      </c>
      <c r="AD74" s="59" t="e">
        <f t="shared" si="40"/>
        <v>#DIV/0!</v>
      </c>
      <c r="AE74" s="59" t="e">
        <f t="shared" si="40"/>
        <v>#DIV/0!</v>
      </c>
      <c r="AF74" s="59" t="e">
        <f t="shared" si="40"/>
        <v>#DIV/0!</v>
      </c>
      <c r="AG74" s="59" t="e">
        <f t="shared" si="40"/>
        <v>#DIV/0!</v>
      </c>
      <c r="AH74" s="59" t="e">
        <f t="shared" si="40"/>
        <v>#DIV/0!</v>
      </c>
      <c r="AI74" s="59" t="e">
        <f t="shared" si="40"/>
        <v>#DIV/0!</v>
      </c>
      <c r="AJ74" s="59" t="e">
        <f t="shared" si="40"/>
        <v>#DIV/0!</v>
      </c>
      <c r="AK74" s="59" t="e">
        <f t="shared" si="40"/>
        <v>#DIV/0!</v>
      </c>
      <c r="AL74" s="59" t="e">
        <f t="shared" si="40"/>
        <v>#DIV/0!</v>
      </c>
      <c r="AM74" s="59" t="e">
        <f t="shared" si="40"/>
        <v>#DIV/0!</v>
      </c>
      <c r="AN74" s="59" t="e">
        <f t="shared" si="40"/>
        <v>#DIV/0!</v>
      </c>
      <c r="AO74" s="59" t="e">
        <f t="shared" si="40"/>
        <v>#DIV/0!</v>
      </c>
      <c r="AP74" s="59" t="e">
        <f t="shared" si="40"/>
        <v>#DIV/0!</v>
      </c>
      <c r="AQ74" s="59" t="e">
        <f t="shared" si="40"/>
        <v>#DIV/0!</v>
      </c>
      <c r="AR74" s="59" t="e">
        <f t="shared" si="40"/>
        <v>#DIV/0!</v>
      </c>
      <c r="AS74" s="59" t="e">
        <f t="shared" si="40"/>
        <v>#DIV/0!</v>
      </c>
      <c r="AT74" s="59" t="e">
        <f t="shared" si="40"/>
        <v>#DIV/0!</v>
      </c>
    </row>
    <row r="75" spans="1:46" ht="12.75" customHeight="1" x14ac:dyDescent="0.2">
      <c r="A75" s="6"/>
      <c r="C75" s="63"/>
    </row>
    <row r="76" spans="1:46" ht="12.75" customHeight="1" x14ac:dyDescent="0.2">
      <c r="A76" s="50" t="s">
        <v>191</v>
      </c>
      <c r="C76" s="57" t="s">
        <v>192</v>
      </c>
    </row>
    <row r="77" spans="1:46" ht="12.75" customHeight="1" x14ac:dyDescent="0.2">
      <c r="A77" s="6" t="s">
        <v>193</v>
      </c>
      <c r="C77" s="61" t="s">
        <v>194</v>
      </c>
      <c r="D77" s="20" t="s">
        <v>177</v>
      </c>
      <c r="E77" s="47" t="e">
        <f t="shared" ref="E77:AT77" si="41">E62</f>
        <v>#DIV/0!</v>
      </c>
      <c r="F77" s="47" t="e">
        <f t="shared" si="41"/>
        <v>#DIV/0!</v>
      </c>
      <c r="G77" s="47" t="e">
        <f t="shared" si="41"/>
        <v>#DIV/0!</v>
      </c>
      <c r="H77" s="47" t="e">
        <f t="shared" si="41"/>
        <v>#DIV/0!</v>
      </c>
      <c r="I77" s="47" t="e">
        <f t="shared" si="41"/>
        <v>#DIV/0!</v>
      </c>
      <c r="J77" s="47" t="e">
        <f t="shared" si="41"/>
        <v>#DIV/0!</v>
      </c>
      <c r="K77" s="47" t="e">
        <f t="shared" si="41"/>
        <v>#DIV/0!</v>
      </c>
      <c r="L77" s="47" t="e">
        <f t="shared" si="41"/>
        <v>#DIV/0!</v>
      </c>
      <c r="M77" s="47" t="e">
        <f t="shared" si="41"/>
        <v>#DIV/0!</v>
      </c>
      <c r="N77" s="47" t="e">
        <f t="shared" si="41"/>
        <v>#DIV/0!</v>
      </c>
      <c r="O77" s="47" t="e">
        <f t="shared" si="41"/>
        <v>#DIV/0!</v>
      </c>
      <c r="P77" s="47" t="e">
        <f t="shared" si="41"/>
        <v>#DIV/0!</v>
      </c>
      <c r="Q77" s="47" t="e">
        <f t="shared" si="41"/>
        <v>#DIV/0!</v>
      </c>
      <c r="R77" s="47" t="e">
        <f t="shared" si="41"/>
        <v>#DIV/0!</v>
      </c>
      <c r="S77" s="47" t="e">
        <f t="shared" si="41"/>
        <v>#DIV/0!</v>
      </c>
      <c r="T77" s="47" t="e">
        <f t="shared" si="41"/>
        <v>#DIV/0!</v>
      </c>
      <c r="U77" s="47" t="e">
        <f t="shared" si="41"/>
        <v>#DIV/0!</v>
      </c>
      <c r="V77" s="47" t="e">
        <f t="shared" si="41"/>
        <v>#DIV/0!</v>
      </c>
      <c r="W77" s="47" t="e">
        <f t="shared" si="41"/>
        <v>#DIV/0!</v>
      </c>
      <c r="X77" s="47" t="e">
        <f t="shared" si="41"/>
        <v>#DIV/0!</v>
      </c>
      <c r="Y77" s="47" t="e">
        <f t="shared" si="41"/>
        <v>#DIV/0!</v>
      </c>
      <c r="Z77" s="47" t="e">
        <f t="shared" si="41"/>
        <v>#DIV/0!</v>
      </c>
      <c r="AA77" s="47" t="e">
        <f t="shared" si="41"/>
        <v>#DIV/0!</v>
      </c>
      <c r="AB77" s="47" t="e">
        <f t="shared" si="41"/>
        <v>#DIV/0!</v>
      </c>
      <c r="AC77" s="47" t="e">
        <f t="shared" si="41"/>
        <v>#DIV/0!</v>
      </c>
      <c r="AD77" s="47" t="e">
        <f t="shared" si="41"/>
        <v>#DIV/0!</v>
      </c>
      <c r="AE77" s="47" t="e">
        <f t="shared" si="41"/>
        <v>#DIV/0!</v>
      </c>
      <c r="AF77" s="47" t="e">
        <f t="shared" si="41"/>
        <v>#DIV/0!</v>
      </c>
      <c r="AG77" s="47" t="e">
        <f t="shared" si="41"/>
        <v>#DIV/0!</v>
      </c>
      <c r="AH77" s="47" t="e">
        <f t="shared" si="41"/>
        <v>#DIV/0!</v>
      </c>
      <c r="AI77" s="47" t="e">
        <f t="shared" si="41"/>
        <v>#DIV/0!</v>
      </c>
      <c r="AJ77" s="47" t="e">
        <f t="shared" si="41"/>
        <v>#DIV/0!</v>
      </c>
      <c r="AK77" s="47" t="e">
        <f t="shared" si="41"/>
        <v>#DIV/0!</v>
      </c>
      <c r="AL77" s="47" t="e">
        <f t="shared" si="41"/>
        <v>#DIV/0!</v>
      </c>
      <c r="AM77" s="47" t="e">
        <f t="shared" si="41"/>
        <v>#DIV/0!</v>
      </c>
      <c r="AN77" s="47" t="e">
        <f t="shared" si="41"/>
        <v>#DIV/0!</v>
      </c>
      <c r="AO77" s="47" t="e">
        <f t="shared" si="41"/>
        <v>#DIV/0!</v>
      </c>
      <c r="AP77" s="47" t="e">
        <f t="shared" si="41"/>
        <v>#DIV/0!</v>
      </c>
      <c r="AQ77" s="47" t="e">
        <f t="shared" si="41"/>
        <v>#DIV/0!</v>
      </c>
      <c r="AR77" s="47" t="e">
        <f t="shared" si="41"/>
        <v>#DIV/0!</v>
      </c>
      <c r="AS77" s="47" t="e">
        <f t="shared" si="41"/>
        <v>#DIV/0!</v>
      </c>
      <c r="AT77" s="47" t="e">
        <f t="shared" si="41"/>
        <v>#DIV/0!</v>
      </c>
    </row>
    <row r="78" spans="1:46" ht="12.75" customHeight="1" x14ac:dyDescent="0.2">
      <c r="A78" s="6" t="s">
        <v>301</v>
      </c>
      <c r="C78" s="63"/>
      <c r="D78" s="10" t="s">
        <v>113</v>
      </c>
      <c r="E78" s="9" t="e">
        <f t="shared" ref="E78:AT78" si="42">E40</f>
        <v>#DIV/0!</v>
      </c>
      <c r="F78" s="9" t="e">
        <f t="shared" si="42"/>
        <v>#DIV/0!</v>
      </c>
      <c r="G78" s="9" t="e">
        <f t="shared" si="42"/>
        <v>#DIV/0!</v>
      </c>
      <c r="H78" s="9" t="e">
        <f t="shared" si="42"/>
        <v>#DIV/0!</v>
      </c>
      <c r="I78" s="9" t="e">
        <f t="shared" si="42"/>
        <v>#DIV/0!</v>
      </c>
      <c r="J78" s="9" t="e">
        <f t="shared" si="42"/>
        <v>#DIV/0!</v>
      </c>
      <c r="K78" s="9" t="e">
        <f t="shared" si="42"/>
        <v>#DIV/0!</v>
      </c>
      <c r="L78" s="9" t="e">
        <f t="shared" si="42"/>
        <v>#DIV/0!</v>
      </c>
      <c r="M78" s="9" t="e">
        <f t="shared" si="42"/>
        <v>#DIV/0!</v>
      </c>
      <c r="N78" s="9" t="e">
        <f t="shared" si="42"/>
        <v>#DIV/0!</v>
      </c>
      <c r="O78" s="9" t="e">
        <f t="shared" si="42"/>
        <v>#DIV/0!</v>
      </c>
      <c r="P78" s="9" t="e">
        <f t="shared" si="42"/>
        <v>#DIV/0!</v>
      </c>
      <c r="Q78" s="9" t="e">
        <f t="shared" si="42"/>
        <v>#DIV/0!</v>
      </c>
      <c r="R78" s="9" t="e">
        <f t="shared" si="42"/>
        <v>#DIV/0!</v>
      </c>
      <c r="S78" s="9" t="e">
        <f t="shared" si="42"/>
        <v>#DIV/0!</v>
      </c>
      <c r="T78" s="9" t="e">
        <f t="shared" si="42"/>
        <v>#DIV/0!</v>
      </c>
      <c r="U78" s="9" t="e">
        <f t="shared" si="42"/>
        <v>#DIV/0!</v>
      </c>
      <c r="V78" s="9" t="e">
        <f t="shared" si="42"/>
        <v>#DIV/0!</v>
      </c>
      <c r="W78" s="9" t="e">
        <f t="shared" si="42"/>
        <v>#DIV/0!</v>
      </c>
      <c r="X78" s="9" t="e">
        <f t="shared" si="42"/>
        <v>#DIV/0!</v>
      </c>
      <c r="Y78" s="9" t="e">
        <f t="shared" si="42"/>
        <v>#DIV/0!</v>
      </c>
      <c r="Z78" s="9" t="e">
        <f t="shared" si="42"/>
        <v>#DIV/0!</v>
      </c>
      <c r="AA78" s="9" t="e">
        <f t="shared" si="42"/>
        <v>#DIV/0!</v>
      </c>
      <c r="AB78" s="9" t="e">
        <f t="shared" si="42"/>
        <v>#DIV/0!</v>
      </c>
      <c r="AC78" s="9" t="e">
        <f t="shared" si="42"/>
        <v>#DIV/0!</v>
      </c>
      <c r="AD78" s="9" t="e">
        <f t="shared" si="42"/>
        <v>#DIV/0!</v>
      </c>
      <c r="AE78" s="9" t="e">
        <f t="shared" si="42"/>
        <v>#DIV/0!</v>
      </c>
      <c r="AF78" s="9" t="e">
        <f t="shared" si="42"/>
        <v>#DIV/0!</v>
      </c>
      <c r="AG78" s="9" t="e">
        <f t="shared" si="42"/>
        <v>#DIV/0!</v>
      </c>
      <c r="AH78" s="9" t="e">
        <f t="shared" si="42"/>
        <v>#DIV/0!</v>
      </c>
      <c r="AI78" s="9" t="e">
        <f t="shared" si="42"/>
        <v>#DIV/0!</v>
      </c>
      <c r="AJ78" s="9" t="e">
        <f t="shared" si="42"/>
        <v>#DIV/0!</v>
      </c>
      <c r="AK78" s="9" t="e">
        <f t="shared" si="42"/>
        <v>#DIV/0!</v>
      </c>
      <c r="AL78" s="9" t="e">
        <f t="shared" si="42"/>
        <v>#DIV/0!</v>
      </c>
      <c r="AM78" s="9" t="e">
        <f t="shared" si="42"/>
        <v>#DIV/0!</v>
      </c>
      <c r="AN78" s="9" t="e">
        <f t="shared" si="42"/>
        <v>#DIV/0!</v>
      </c>
      <c r="AO78" s="9" t="e">
        <f t="shared" si="42"/>
        <v>#DIV/0!</v>
      </c>
      <c r="AP78" s="9" t="e">
        <f t="shared" si="42"/>
        <v>#DIV/0!</v>
      </c>
      <c r="AQ78" s="9" t="e">
        <f t="shared" si="42"/>
        <v>#DIV/0!</v>
      </c>
      <c r="AR78" s="9" t="e">
        <f t="shared" si="42"/>
        <v>#DIV/0!</v>
      </c>
      <c r="AS78" s="9" t="e">
        <f t="shared" si="42"/>
        <v>#DIV/0!</v>
      </c>
      <c r="AT78" s="9" t="e">
        <f t="shared" si="42"/>
        <v>#DIV/0!</v>
      </c>
    </row>
    <row r="79" spans="1:46" ht="12.75" customHeight="1" x14ac:dyDescent="0.2">
      <c r="A79" s="6" t="s">
        <v>302</v>
      </c>
      <c r="C79" s="63"/>
      <c r="D79" s="10" t="s">
        <v>303</v>
      </c>
      <c r="E79" s="48" t="e">
        <f t="shared" ref="E79:AT79" si="43">IF(E78&lt;=2,E26,E25)</f>
        <v>#DIV/0!</v>
      </c>
      <c r="F79" s="48" t="e">
        <f t="shared" si="43"/>
        <v>#DIV/0!</v>
      </c>
      <c r="G79" s="48" t="e">
        <f t="shared" si="43"/>
        <v>#DIV/0!</v>
      </c>
      <c r="H79" s="48" t="e">
        <f t="shared" si="43"/>
        <v>#DIV/0!</v>
      </c>
      <c r="I79" s="48" t="e">
        <f t="shared" si="43"/>
        <v>#DIV/0!</v>
      </c>
      <c r="J79" s="48" t="e">
        <f t="shared" si="43"/>
        <v>#DIV/0!</v>
      </c>
      <c r="K79" s="48" t="e">
        <f t="shared" si="43"/>
        <v>#DIV/0!</v>
      </c>
      <c r="L79" s="48" t="e">
        <f t="shared" si="43"/>
        <v>#DIV/0!</v>
      </c>
      <c r="M79" s="48" t="e">
        <f t="shared" si="43"/>
        <v>#DIV/0!</v>
      </c>
      <c r="N79" s="48" t="e">
        <f t="shared" si="43"/>
        <v>#DIV/0!</v>
      </c>
      <c r="O79" s="48" t="e">
        <f t="shared" si="43"/>
        <v>#DIV/0!</v>
      </c>
      <c r="P79" s="48" t="e">
        <f t="shared" si="43"/>
        <v>#DIV/0!</v>
      </c>
      <c r="Q79" s="48" t="e">
        <f t="shared" si="43"/>
        <v>#DIV/0!</v>
      </c>
      <c r="R79" s="48" t="e">
        <f t="shared" si="43"/>
        <v>#DIV/0!</v>
      </c>
      <c r="S79" s="48" t="e">
        <f t="shared" si="43"/>
        <v>#DIV/0!</v>
      </c>
      <c r="T79" s="48" t="e">
        <f t="shared" si="43"/>
        <v>#DIV/0!</v>
      </c>
      <c r="U79" s="48" t="e">
        <f t="shared" si="43"/>
        <v>#DIV/0!</v>
      </c>
      <c r="V79" s="48" t="e">
        <f t="shared" si="43"/>
        <v>#DIV/0!</v>
      </c>
      <c r="W79" s="48" t="e">
        <f t="shared" si="43"/>
        <v>#DIV/0!</v>
      </c>
      <c r="X79" s="48" t="e">
        <f t="shared" si="43"/>
        <v>#DIV/0!</v>
      </c>
      <c r="Y79" s="48" t="e">
        <f t="shared" si="43"/>
        <v>#DIV/0!</v>
      </c>
      <c r="Z79" s="48" t="e">
        <f t="shared" si="43"/>
        <v>#DIV/0!</v>
      </c>
      <c r="AA79" s="48" t="e">
        <f t="shared" si="43"/>
        <v>#DIV/0!</v>
      </c>
      <c r="AB79" s="48" t="e">
        <f t="shared" si="43"/>
        <v>#DIV/0!</v>
      </c>
      <c r="AC79" s="48" t="e">
        <f t="shared" si="43"/>
        <v>#DIV/0!</v>
      </c>
      <c r="AD79" s="48" t="e">
        <f t="shared" si="43"/>
        <v>#DIV/0!</v>
      </c>
      <c r="AE79" s="48" t="e">
        <f t="shared" si="43"/>
        <v>#DIV/0!</v>
      </c>
      <c r="AF79" s="48" t="e">
        <f t="shared" si="43"/>
        <v>#DIV/0!</v>
      </c>
      <c r="AG79" s="48" t="e">
        <f t="shared" si="43"/>
        <v>#DIV/0!</v>
      </c>
      <c r="AH79" s="48" t="e">
        <f t="shared" si="43"/>
        <v>#DIV/0!</v>
      </c>
      <c r="AI79" s="48" t="e">
        <f t="shared" si="43"/>
        <v>#DIV/0!</v>
      </c>
      <c r="AJ79" s="48" t="e">
        <f t="shared" si="43"/>
        <v>#DIV/0!</v>
      </c>
      <c r="AK79" s="48" t="e">
        <f t="shared" si="43"/>
        <v>#DIV/0!</v>
      </c>
      <c r="AL79" s="48" t="e">
        <f t="shared" si="43"/>
        <v>#DIV/0!</v>
      </c>
      <c r="AM79" s="48" t="e">
        <f t="shared" si="43"/>
        <v>#DIV/0!</v>
      </c>
      <c r="AN79" s="48" t="e">
        <f t="shared" si="43"/>
        <v>#DIV/0!</v>
      </c>
      <c r="AO79" s="48" t="e">
        <f t="shared" si="43"/>
        <v>#DIV/0!</v>
      </c>
      <c r="AP79" s="48" t="e">
        <f t="shared" si="43"/>
        <v>#DIV/0!</v>
      </c>
      <c r="AQ79" s="48" t="e">
        <f t="shared" si="43"/>
        <v>#DIV/0!</v>
      </c>
      <c r="AR79" s="48" t="e">
        <f t="shared" si="43"/>
        <v>#DIV/0!</v>
      </c>
      <c r="AS79" s="48" t="e">
        <f t="shared" si="43"/>
        <v>#DIV/0!</v>
      </c>
      <c r="AT79" s="48" t="e">
        <f t="shared" si="43"/>
        <v>#DIV/0!</v>
      </c>
    </row>
    <row r="80" spans="1:46" ht="12.75" customHeight="1" x14ac:dyDescent="0.2">
      <c r="A80" s="6" t="s">
        <v>304</v>
      </c>
      <c r="C80" s="61" t="s">
        <v>197</v>
      </c>
      <c r="D80" s="20" t="s">
        <v>177</v>
      </c>
      <c r="E80" s="47" t="e">
        <f t="shared" ref="E80:AT80" si="44">E79*E12/1000000</f>
        <v>#DIV/0!</v>
      </c>
      <c r="F80" s="47" t="e">
        <f t="shared" si="44"/>
        <v>#DIV/0!</v>
      </c>
      <c r="G80" s="47" t="e">
        <f t="shared" si="44"/>
        <v>#DIV/0!</v>
      </c>
      <c r="H80" s="47" t="e">
        <f t="shared" si="44"/>
        <v>#DIV/0!</v>
      </c>
      <c r="I80" s="47" t="e">
        <f t="shared" si="44"/>
        <v>#DIV/0!</v>
      </c>
      <c r="J80" s="47" t="e">
        <f t="shared" si="44"/>
        <v>#DIV/0!</v>
      </c>
      <c r="K80" s="47" t="e">
        <f t="shared" si="44"/>
        <v>#DIV/0!</v>
      </c>
      <c r="L80" s="47" t="e">
        <f t="shared" si="44"/>
        <v>#DIV/0!</v>
      </c>
      <c r="M80" s="47" t="e">
        <f t="shared" si="44"/>
        <v>#DIV/0!</v>
      </c>
      <c r="N80" s="47" t="e">
        <f t="shared" si="44"/>
        <v>#DIV/0!</v>
      </c>
      <c r="O80" s="47" t="e">
        <f t="shared" si="44"/>
        <v>#DIV/0!</v>
      </c>
      <c r="P80" s="47" t="e">
        <f t="shared" si="44"/>
        <v>#DIV/0!</v>
      </c>
      <c r="Q80" s="47" t="e">
        <f t="shared" si="44"/>
        <v>#DIV/0!</v>
      </c>
      <c r="R80" s="47" t="e">
        <f t="shared" si="44"/>
        <v>#DIV/0!</v>
      </c>
      <c r="S80" s="47" t="e">
        <f t="shared" si="44"/>
        <v>#DIV/0!</v>
      </c>
      <c r="T80" s="47" t="e">
        <f t="shared" si="44"/>
        <v>#DIV/0!</v>
      </c>
      <c r="U80" s="47" t="e">
        <f t="shared" si="44"/>
        <v>#DIV/0!</v>
      </c>
      <c r="V80" s="47" t="e">
        <f t="shared" si="44"/>
        <v>#DIV/0!</v>
      </c>
      <c r="W80" s="47" t="e">
        <f t="shared" si="44"/>
        <v>#DIV/0!</v>
      </c>
      <c r="X80" s="47" t="e">
        <f t="shared" si="44"/>
        <v>#DIV/0!</v>
      </c>
      <c r="Y80" s="47" t="e">
        <f t="shared" si="44"/>
        <v>#DIV/0!</v>
      </c>
      <c r="Z80" s="47" t="e">
        <f t="shared" si="44"/>
        <v>#DIV/0!</v>
      </c>
      <c r="AA80" s="47" t="e">
        <f t="shared" si="44"/>
        <v>#DIV/0!</v>
      </c>
      <c r="AB80" s="47" t="e">
        <f t="shared" si="44"/>
        <v>#DIV/0!</v>
      </c>
      <c r="AC80" s="47" t="e">
        <f t="shared" si="44"/>
        <v>#DIV/0!</v>
      </c>
      <c r="AD80" s="47" t="e">
        <f t="shared" si="44"/>
        <v>#DIV/0!</v>
      </c>
      <c r="AE80" s="47" t="e">
        <f t="shared" si="44"/>
        <v>#DIV/0!</v>
      </c>
      <c r="AF80" s="47" t="e">
        <f t="shared" si="44"/>
        <v>#DIV/0!</v>
      </c>
      <c r="AG80" s="47" t="e">
        <f t="shared" si="44"/>
        <v>#DIV/0!</v>
      </c>
      <c r="AH80" s="47" t="e">
        <f t="shared" si="44"/>
        <v>#DIV/0!</v>
      </c>
      <c r="AI80" s="47" t="e">
        <f t="shared" si="44"/>
        <v>#DIV/0!</v>
      </c>
      <c r="AJ80" s="47" t="e">
        <f t="shared" si="44"/>
        <v>#DIV/0!</v>
      </c>
      <c r="AK80" s="47" t="e">
        <f t="shared" si="44"/>
        <v>#DIV/0!</v>
      </c>
      <c r="AL80" s="47" t="e">
        <f t="shared" si="44"/>
        <v>#DIV/0!</v>
      </c>
      <c r="AM80" s="47" t="e">
        <f t="shared" si="44"/>
        <v>#DIV/0!</v>
      </c>
      <c r="AN80" s="47" t="e">
        <f t="shared" si="44"/>
        <v>#DIV/0!</v>
      </c>
      <c r="AO80" s="47" t="e">
        <f t="shared" si="44"/>
        <v>#DIV/0!</v>
      </c>
      <c r="AP80" s="47" t="e">
        <f t="shared" si="44"/>
        <v>#DIV/0!</v>
      </c>
      <c r="AQ80" s="47" t="e">
        <f t="shared" si="44"/>
        <v>#DIV/0!</v>
      </c>
      <c r="AR80" s="47" t="e">
        <f t="shared" si="44"/>
        <v>#DIV/0!</v>
      </c>
      <c r="AS80" s="47" t="e">
        <f t="shared" si="44"/>
        <v>#DIV/0!</v>
      </c>
      <c r="AT80" s="47" t="e">
        <f t="shared" si="44"/>
        <v>#DIV/0!</v>
      </c>
    </row>
    <row r="81" spans="1:46" ht="12.75" customHeight="1" x14ac:dyDescent="0.2">
      <c r="A81" s="6" t="s">
        <v>181</v>
      </c>
      <c r="C81" s="61" t="s">
        <v>198</v>
      </c>
      <c r="D81" s="10" t="s">
        <v>113</v>
      </c>
      <c r="E81" s="59" t="e">
        <f t="shared" ref="E81:AT81" si="45">E77/E80</f>
        <v>#DIV/0!</v>
      </c>
      <c r="F81" s="59" t="e">
        <f t="shared" si="45"/>
        <v>#DIV/0!</v>
      </c>
      <c r="G81" s="59" t="e">
        <f t="shared" si="45"/>
        <v>#DIV/0!</v>
      </c>
      <c r="H81" s="59" t="e">
        <f t="shared" si="45"/>
        <v>#DIV/0!</v>
      </c>
      <c r="I81" s="59" t="e">
        <f t="shared" si="45"/>
        <v>#DIV/0!</v>
      </c>
      <c r="J81" s="59" t="e">
        <f t="shared" si="45"/>
        <v>#DIV/0!</v>
      </c>
      <c r="K81" s="59" t="e">
        <f t="shared" si="45"/>
        <v>#DIV/0!</v>
      </c>
      <c r="L81" s="59" t="e">
        <f t="shared" si="45"/>
        <v>#DIV/0!</v>
      </c>
      <c r="M81" s="59" t="e">
        <f t="shared" si="45"/>
        <v>#DIV/0!</v>
      </c>
      <c r="N81" s="59" t="e">
        <f t="shared" si="45"/>
        <v>#DIV/0!</v>
      </c>
      <c r="O81" s="59" t="e">
        <f t="shared" si="45"/>
        <v>#DIV/0!</v>
      </c>
      <c r="P81" s="59" t="e">
        <f t="shared" si="45"/>
        <v>#DIV/0!</v>
      </c>
      <c r="Q81" s="59" t="e">
        <f t="shared" si="45"/>
        <v>#DIV/0!</v>
      </c>
      <c r="R81" s="59" t="e">
        <f t="shared" si="45"/>
        <v>#DIV/0!</v>
      </c>
      <c r="S81" s="59" t="e">
        <f t="shared" si="45"/>
        <v>#DIV/0!</v>
      </c>
      <c r="T81" s="59" t="e">
        <f t="shared" si="45"/>
        <v>#DIV/0!</v>
      </c>
      <c r="U81" s="59" t="e">
        <f t="shared" si="45"/>
        <v>#DIV/0!</v>
      </c>
      <c r="V81" s="59" t="e">
        <f t="shared" si="45"/>
        <v>#DIV/0!</v>
      </c>
      <c r="W81" s="59" t="e">
        <f t="shared" si="45"/>
        <v>#DIV/0!</v>
      </c>
      <c r="X81" s="59" t="e">
        <f t="shared" si="45"/>
        <v>#DIV/0!</v>
      </c>
      <c r="Y81" s="59" t="e">
        <f t="shared" si="45"/>
        <v>#DIV/0!</v>
      </c>
      <c r="Z81" s="59" t="e">
        <f t="shared" si="45"/>
        <v>#DIV/0!</v>
      </c>
      <c r="AA81" s="59" t="e">
        <f t="shared" si="45"/>
        <v>#DIV/0!</v>
      </c>
      <c r="AB81" s="59" t="e">
        <f t="shared" si="45"/>
        <v>#DIV/0!</v>
      </c>
      <c r="AC81" s="59" t="e">
        <f t="shared" si="45"/>
        <v>#DIV/0!</v>
      </c>
      <c r="AD81" s="59" t="e">
        <f t="shared" si="45"/>
        <v>#DIV/0!</v>
      </c>
      <c r="AE81" s="59" t="e">
        <f t="shared" si="45"/>
        <v>#DIV/0!</v>
      </c>
      <c r="AF81" s="59" t="e">
        <f t="shared" si="45"/>
        <v>#DIV/0!</v>
      </c>
      <c r="AG81" s="59" t="e">
        <f t="shared" si="45"/>
        <v>#DIV/0!</v>
      </c>
      <c r="AH81" s="59" t="e">
        <f t="shared" si="45"/>
        <v>#DIV/0!</v>
      </c>
      <c r="AI81" s="59" t="e">
        <f t="shared" si="45"/>
        <v>#DIV/0!</v>
      </c>
      <c r="AJ81" s="59" t="e">
        <f t="shared" si="45"/>
        <v>#DIV/0!</v>
      </c>
      <c r="AK81" s="59" t="e">
        <f t="shared" si="45"/>
        <v>#DIV/0!</v>
      </c>
      <c r="AL81" s="59" t="e">
        <f t="shared" si="45"/>
        <v>#DIV/0!</v>
      </c>
      <c r="AM81" s="59" t="e">
        <f t="shared" si="45"/>
        <v>#DIV/0!</v>
      </c>
      <c r="AN81" s="59" t="e">
        <f t="shared" si="45"/>
        <v>#DIV/0!</v>
      </c>
      <c r="AO81" s="59" t="e">
        <f t="shared" si="45"/>
        <v>#DIV/0!</v>
      </c>
      <c r="AP81" s="59" t="e">
        <f t="shared" si="45"/>
        <v>#DIV/0!</v>
      </c>
      <c r="AQ81" s="59" t="e">
        <f t="shared" si="45"/>
        <v>#DIV/0!</v>
      </c>
      <c r="AR81" s="59" t="e">
        <f t="shared" si="45"/>
        <v>#DIV/0!</v>
      </c>
      <c r="AS81" s="59" t="e">
        <f t="shared" si="45"/>
        <v>#DIV/0!</v>
      </c>
      <c r="AT81" s="59" t="e">
        <f t="shared" si="45"/>
        <v>#DIV/0!</v>
      </c>
    </row>
    <row r="82" spans="1:46" ht="12.75" customHeight="1" x14ac:dyDescent="0.2">
      <c r="A82" s="6"/>
      <c r="C82" s="63"/>
    </row>
    <row r="83" spans="1:46" ht="12.75" customHeight="1" x14ac:dyDescent="0.2">
      <c r="A83" s="50" t="s">
        <v>199</v>
      </c>
      <c r="C83" s="5" t="s">
        <v>200</v>
      </c>
    </row>
    <row r="84" spans="1:46" ht="12.75" customHeight="1" x14ac:dyDescent="0.2">
      <c r="A84" s="6" t="s">
        <v>201</v>
      </c>
      <c r="C84" s="61" t="s">
        <v>202</v>
      </c>
      <c r="D84" s="56" t="s">
        <v>78</v>
      </c>
      <c r="E84" s="47">
        <f t="shared" ref="E84:AT84" si="46">E63</f>
        <v>100</v>
      </c>
      <c r="F84" s="47">
        <f t="shared" si="46"/>
        <v>100</v>
      </c>
      <c r="G84" s="47">
        <f t="shared" si="46"/>
        <v>100</v>
      </c>
      <c r="H84" s="47">
        <f t="shared" si="46"/>
        <v>100</v>
      </c>
      <c r="I84" s="47">
        <f t="shared" si="46"/>
        <v>100</v>
      </c>
      <c r="J84" s="47">
        <f t="shared" si="46"/>
        <v>100</v>
      </c>
      <c r="K84" s="47">
        <f t="shared" si="46"/>
        <v>100</v>
      </c>
      <c r="L84" s="47">
        <f t="shared" si="46"/>
        <v>100</v>
      </c>
      <c r="M84" s="47">
        <f t="shared" si="46"/>
        <v>100</v>
      </c>
      <c r="N84" s="47">
        <f t="shared" si="46"/>
        <v>100</v>
      </c>
      <c r="O84" s="47">
        <f t="shared" si="46"/>
        <v>100</v>
      </c>
      <c r="P84" s="47">
        <f t="shared" si="46"/>
        <v>100</v>
      </c>
      <c r="Q84" s="47">
        <f t="shared" si="46"/>
        <v>100</v>
      </c>
      <c r="R84" s="47">
        <f t="shared" si="46"/>
        <v>100</v>
      </c>
      <c r="S84" s="47">
        <f t="shared" si="46"/>
        <v>100</v>
      </c>
      <c r="T84" s="47">
        <f t="shared" si="46"/>
        <v>100</v>
      </c>
      <c r="U84" s="47">
        <f t="shared" si="46"/>
        <v>100</v>
      </c>
      <c r="V84" s="47">
        <f t="shared" si="46"/>
        <v>100</v>
      </c>
      <c r="W84" s="47">
        <f t="shared" si="46"/>
        <v>100</v>
      </c>
      <c r="X84" s="47">
        <f t="shared" si="46"/>
        <v>100</v>
      </c>
      <c r="Y84" s="47">
        <f t="shared" si="46"/>
        <v>100</v>
      </c>
      <c r="Z84" s="47">
        <f t="shared" si="46"/>
        <v>100</v>
      </c>
      <c r="AA84" s="47">
        <f t="shared" si="46"/>
        <v>100</v>
      </c>
      <c r="AB84" s="47">
        <f t="shared" si="46"/>
        <v>100</v>
      </c>
      <c r="AC84" s="47">
        <f t="shared" si="46"/>
        <v>100</v>
      </c>
      <c r="AD84" s="47">
        <f t="shared" si="46"/>
        <v>100</v>
      </c>
      <c r="AE84" s="47">
        <f t="shared" si="46"/>
        <v>100</v>
      </c>
      <c r="AF84" s="47">
        <f t="shared" si="46"/>
        <v>100</v>
      </c>
      <c r="AG84" s="47">
        <f t="shared" si="46"/>
        <v>100</v>
      </c>
      <c r="AH84" s="47">
        <f t="shared" si="46"/>
        <v>100</v>
      </c>
      <c r="AI84" s="47">
        <f t="shared" si="46"/>
        <v>100</v>
      </c>
      <c r="AJ84" s="47">
        <f t="shared" si="46"/>
        <v>100</v>
      </c>
      <c r="AK84" s="47">
        <f t="shared" si="46"/>
        <v>100</v>
      </c>
      <c r="AL84" s="47">
        <f t="shared" si="46"/>
        <v>100</v>
      </c>
      <c r="AM84" s="47">
        <f t="shared" si="46"/>
        <v>100</v>
      </c>
      <c r="AN84" s="47">
        <f t="shared" si="46"/>
        <v>100</v>
      </c>
      <c r="AO84" s="47">
        <f t="shared" si="46"/>
        <v>100</v>
      </c>
      <c r="AP84" s="47">
        <f t="shared" si="46"/>
        <v>100</v>
      </c>
      <c r="AQ84" s="47">
        <f t="shared" si="46"/>
        <v>100</v>
      </c>
      <c r="AR84" s="47">
        <f t="shared" si="46"/>
        <v>100</v>
      </c>
      <c r="AS84" s="47">
        <f t="shared" si="46"/>
        <v>100</v>
      </c>
      <c r="AT84" s="47">
        <f t="shared" si="46"/>
        <v>100</v>
      </c>
    </row>
    <row r="85" spans="1:46" ht="12.75" customHeight="1" x14ac:dyDescent="0.2">
      <c r="A85" s="6" t="s">
        <v>203</v>
      </c>
      <c r="C85" s="61" t="s">
        <v>204</v>
      </c>
      <c r="D85" s="56" t="s">
        <v>78</v>
      </c>
      <c r="E85" s="47">
        <f t="shared" ref="E85:AT85" si="47">(E23*(E12/SQRT(3)))/E69/1000</f>
        <v>0</v>
      </c>
      <c r="F85" s="47">
        <f t="shared" si="47"/>
        <v>0</v>
      </c>
      <c r="G85" s="47">
        <f t="shared" si="47"/>
        <v>0</v>
      </c>
      <c r="H85" s="47">
        <f t="shared" si="47"/>
        <v>0</v>
      </c>
      <c r="I85" s="47">
        <f t="shared" si="47"/>
        <v>0</v>
      </c>
      <c r="J85" s="47">
        <f t="shared" si="47"/>
        <v>0</v>
      </c>
      <c r="K85" s="47">
        <f t="shared" si="47"/>
        <v>0</v>
      </c>
      <c r="L85" s="47">
        <f t="shared" si="47"/>
        <v>0</v>
      </c>
      <c r="M85" s="47">
        <f t="shared" si="47"/>
        <v>0</v>
      </c>
      <c r="N85" s="47">
        <f t="shared" si="47"/>
        <v>0</v>
      </c>
      <c r="O85" s="47">
        <f t="shared" si="47"/>
        <v>0</v>
      </c>
      <c r="P85" s="47">
        <f t="shared" si="47"/>
        <v>0</v>
      </c>
      <c r="Q85" s="47">
        <f t="shared" si="47"/>
        <v>0</v>
      </c>
      <c r="R85" s="47">
        <f t="shared" si="47"/>
        <v>0</v>
      </c>
      <c r="S85" s="47">
        <f t="shared" si="47"/>
        <v>0</v>
      </c>
      <c r="T85" s="47">
        <f t="shared" si="47"/>
        <v>0</v>
      </c>
      <c r="U85" s="47">
        <f t="shared" si="47"/>
        <v>0</v>
      </c>
      <c r="V85" s="47">
        <f t="shared" si="47"/>
        <v>0</v>
      </c>
      <c r="W85" s="47">
        <f t="shared" si="47"/>
        <v>0</v>
      </c>
      <c r="X85" s="47">
        <f t="shared" si="47"/>
        <v>0</v>
      </c>
      <c r="Y85" s="47">
        <f t="shared" si="47"/>
        <v>0</v>
      </c>
      <c r="Z85" s="47">
        <f t="shared" si="47"/>
        <v>0</v>
      </c>
      <c r="AA85" s="47">
        <f t="shared" si="47"/>
        <v>0</v>
      </c>
      <c r="AB85" s="47">
        <f t="shared" si="47"/>
        <v>0</v>
      </c>
      <c r="AC85" s="47">
        <f t="shared" si="47"/>
        <v>0</v>
      </c>
      <c r="AD85" s="47">
        <f t="shared" si="47"/>
        <v>0</v>
      </c>
      <c r="AE85" s="47">
        <f t="shared" si="47"/>
        <v>0</v>
      </c>
      <c r="AF85" s="47">
        <f t="shared" si="47"/>
        <v>0</v>
      </c>
      <c r="AG85" s="47">
        <f t="shared" si="47"/>
        <v>0</v>
      </c>
      <c r="AH85" s="47">
        <f t="shared" si="47"/>
        <v>0</v>
      </c>
      <c r="AI85" s="47">
        <f t="shared" si="47"/>
        <v>0</v>
      </c>
      <c r="AJ85" s="47">
        <f t="shared" si="47"/>
        <v>0</v>
      </c>
      <c r="AK85" s="47">
        <f t="shared" si="47"/>
        <v>0</v>
      </c>
      <c r="AL85" s="47">
        <f t="shared" si="47"/>
        <v>0</v>
      </c>
      <c r="AM85" s="47">
        <f t="shared" si="47"/>
        <v>0</v>
      </c>
      <c r="AN85" s="47">
        <f t="shared" si="47"/>
        <v>0</v>
      </c>
      <c r="AO85" s="47">
        <f t="shared" si="47"/>
        <v>0</v>
      </c>
      <c r="AP85" s="47">
        <f t="shared" si="47"/>
        <v>0</v>
      </c>
      <c r="AQ85" s="47">
        <f t="shared" si="47"/>
        <v>0</v>
      </c>
      <c r="AR85" s="47">
        <f t="shared" si="47"/>
        <v>0</v>
      </c>
      <c r="AS85" s="47">
        <f t="shared" si="47"/>
        <v>0</v>
      </c>
      <c r="AT85" s="47">
        <f t="shared" si="47"/>
        <v>0</v>
      </c>
    </row>
    <row r="86" spans="1:46" ht="12.75" customHeight="1" x14ac:dyDescent="0.2">
      <c r="A86" s="6" t="s">
        <v>181</v>
      </c>
      <c r="C86" s="61" t="s">
        <v>205</v>
      </c>
      <c r="D86" s="10" t="s">
        <v>113</v>
      </c>
      <c r="E86" s="59" t="e">
        <f t="shared" ref="E86:AT86" si="48">E84/E85</f>
        <v>#DIV/0!</v>
      </c>
      <c r="F86" s="59" t="e">
        <f t="shared" si="48"/>
        <v>#DIV/0!</v>
      </c>
      <c r="G86" s="59" t="e">
        <f t="shared" si="48"/>
        <v>#DIV/0!</v>
      </c>
      <c r="H86" s="59" t="e">
        <f t="shared" si="48"/>
        <v>#DIV/0!</v>
      </c>
      <c r="I86" s="59" t="e">
        <f t="shared" si="48"/>
        <v>#DIV/0!</v>
      </c>
      <c r="J86" s="59" t="e">
        <f t="shared" si="48"/>
        <v>#DIV/0!</v>
      </c>
      <c r="K86" s="59" t="e">
        <f t="shared" si="48"/>
        <v>#DIV/0!</v>
      </c>
      <c r="L86" s="59" t="e">
        <f t="shared" si="48"/>
        <v>#DIV/0!</v>
      </c>
      <c r="M86" s="59" t="e">
        <f t="shared" si="48"/>
        <v>#DIV/0!</v>
      </c>
      <c r="N86" s="59" t="e">
        <f t="shared" si="48"/>
        <v>#DIV/0!</v>
      </c>
      <c r="O86" s="59" t="e">
        <f t="shared" si="48"/>
        <v>#DIV/0!</v>
      </c>
      <c r="P86" s="59" t="e">
        <f t="shared" si="48"/>
        <v>#DIV/0!</v>
      </c>
      <c r="Q86" s="59" t="e">
        <f t="shared" si="48"/>
        <v>#DIV/0!</v>
      </c>
      <c r="R86" s="59" t="e">
        <f t="shared" si="48"/>
        <v>#DIV/0!</v>
      </c>
      <c r="S86" s="59" t="e">
        <f t="shared" si="48"/>
        <v>#DIV/0!</v>
      </c>
      <c r="T86" s="59" t="e">
        <f t="shared" si="48"/>
        <v>#DIV/0!</v>
      </c>
      <c r="U86" s="59" t="e">
        <f t="shared" si="48"/>
        <v>#DIV/0!</v>
      </c>
      <c r="V86" s="59" t="e">
        <f t="shared" si="48"/>
        <v>#DIV/0!</v>
      </c>
      <c r="W86" s="59" t="e">
        <f t="shared" si="48"/>
        <v>#DIV/0!</v>
      </c>
      <c r="X86" s="59" t="e">
        <f t="shared" si="48"/>
        <v>#DIV/0!</v>
      </c>
      <c r="Y86" s="59" t="e">
        <f t="shared" si="48"/>
        <v>#DIV/0!</v>
      </c>
      <c r="Z86" s="59" t="e">
        <f t="shared" si="48"/>
        <v>#DIV/0!</v>
      </c>
      <c r="AA86" s="59" t="e">
        <f t="shared" si="48"/>
        <v>#DIV/0!</v>
      </c>
      <c r="AB86" s="59" t="e">
        <f t="shared" si="48"/>
        <v>#DIV/0!</v>
      </c>
      <c r="AC86" s="59" t="e">
        <f t="shared" si="48"/>
        <v>#DIV/0!</v>
      </c>
      <c r="AD86" s="59" t="e">
        <f t="shared" si="48"/>
        <v>#DIV/0!</v>
      </c>
      <c r="AE86" s="59" t="e">
        <f t="shared" si="48"/>
        <v>#DIV/0!</v>
      </c>
      <c r="AF86" s="59" t="e">
        <f t="shared" si="48"/>
        <v>#DIV/0!</v>
      </c>
      <c r="AG86" s="59" t="e">
        <f t="shared" si="48"/>
        <v>#DIV/0!</v>
      </c>
      <c r="AH86" s="59" t="e">
        <f t="shared" si="48"/>
        <v>#DIV/0!</v>
      </c>
      <c r="AI86" s="59" t="e">
        <f t="shared" si="48"/>
        <v>#DIV/0!</v>
      </c>
      <c r="AJ86" s="59" t="e">
        <f t="shared" si="48"/>
        <v>#DIV/0!</v>
      </c>
      <c r="AK86" s="59" t="e">
        <f t="shared" si="48"/>
        <v>#DIV/0!</v>
      </c>
      <c r="AL86" s="59" t="e">
        <f t="shared" si="48"/>
        <v>#DIV/0!</v>
      </c>
      <c r="AM86" s="59" t="e">
        <f t="shared" si="48"/>
        <v>#DIV/0!</v>
      </c>
      <c r="AN86" s="59" t="e">
        <f t="shared" si="48"/>
        <v>#DIV/0!</v>
      </c>
      <c r="AO86" s="59" t="e">
        <f t="shared" si="48"/>
        <v>#DIV/0!</v>
      </c>
      <c r="AP86" s="59" t="e">
        <f t="shared" si="48"/>
        <v>#DIV/0!</v>
      </c>
      <c r="AQ86" s="59" t="e">
        <f t="shared" si="48"/>
        <v>#DIV/0!</v>
      </c>
      <c r="AR86" s="59" t="e">
        <f t="shared" si="48"/>
        <v>#DIV/0!</v>
      </c>
      <c r="AS86" s="59" t="e">
        <f t="shared" si="48"/>
        <v>#DIV/0!</v>
      </c>
      <c r="AT86" s="59" t="e">
        <f t="shared" si="48"/>
        <v>#DIV/0!</v>
      </c>
    </row>
    <row r="87" spans="1:46" ht="12.75" customHeight="1" x14ac:dyDescent="0.2">
      <c r="A87" s="6"/>
      <c r="C87" s="63"/>
    </row>
    <row r="88" spans="1:46" ht="12.75" customHeight="1" x14ac:dyDescent="0.2">
      <c r="A88" s="50" t="s">
        <v>215</v>
      </c>
      <c r="C88" s="62" t="s">
        <v>216</v>
      </c>
    </row>
    <row r="89" spans="1:46" ht="12.75" customHeight="1" x14ac:dyDescent="0.2">
      <c r="A89" s="6" t="s">
        <v>181</v>
      </c>
      <c r="B89" s="58"/>
      <c r="C89" s="61" t="s">
        <v>305</v>
      </c>
      <c r="D89" s="10" t="s">
        <v>113</v>
      </c>
      <c r="E89" s="59" t="e">
        <f t="shared" ref="E89:AT89" si="49">(E77/(1.04*E80))+((E72/E73)^1.7)</f>
        <v>#DIV/0!</v>
      </c>
      <c r="F89" s="59" t="e">
        <f t="shared" si="49"/>
        <v>#DIV/0!</v>
      </c>
      <c r="G89" s="59" t="e">
        <f t="shared" si="49"/>
        <v>#DIV/0!</v>
      </c>
      <c r="H89" s="59" t="e">
        <f t="shared" si="49"/>
        <v>#DIV/0!</v>
      </c>
      <c r="I89" s="59" t="e">
        <f t="shared" si="49"/>
        <v>#DIV/0!</v>
      </c>
      <c r="J89" s="59" t="e">
        <f t="shared" si="49"/>
        <v>#DIV/0!</v>
      </c>
      <c r="K89" s="59" t="e">
        <f t="shared" si="49"/>
        <v>#DIV/0!</v>
      </c>
      <c r="L89" s="59" t="e">
        <f t="shared" si="49"/>
        <v>#DIV/0!</v>
      </c>
      <c r="M89" s="59" t="e">
        <f t="shared" si="49"/>
        <v>#DIV/0!</v>
      </c>
      <c r="N89" s="59" t="e">
        <f t="shared" si="49"/>
        <v>#DIV/0!</v>
      </c>
      <c r="O89" s="59" t="e">
        <f t="shared" si="49"/>
        <v>#DIV/0!</v>
      </c>
      <c r="P89" s="59" t="e">
        <f t="shared" si="49"/>
        <v>#DIV/0!</v>
      </c>
      <c r="Q89" s="59" t="e">
        <f t="shared" si="49"/>
        <v>#DIV/0!</v>
      </c>
      <c r="R89" s="59" t="e">
        <f t="shared" si="49"/>
        <v>#DIV/0!</v>
      </c>
      <c r="S89" s="59" t="e">
        <f t="shared" si="49"/>
        <v>#DIV/0!</v>
      </c>
      <c r="T89" s="59" t="e">
        <f t="shared" si="49"/>
        <v>#DIV/0!</v>
      </c>
      <c r="U89" s="59" t="e">
        <f t="shared" si="49"/>
        <v>#DIV/0!</v>
      </c>
      <c r="V89" s="59" t="e">
        <f t="shared" si="49"/>
        <v>#DIV/0!</v>
      </c>
      <c r="W89" s="59" t="e">
        <f t="shared" si="49"/>
        <v>#DIV/0!</v>
      </c>
      <c r="X89" s="59" t="e">
        <f t="shared" si="49"/>
        <v>#DIV/0!</v>
      </c>
      <c r="Y89" s="59" t="e">
        <f t="shared" si="49"/>
        <v>#DIV/0!</v>
      </c>
      <c r="Z89" s="59" t="e">
        <f t="shared" si="49"/>
        <v>#DIV/0!</v>
      </c>
      <c r="AA89" s="59" t="e">
        <f t="shared" si="49"/>
        <v>#DIV/0!</v>
      </c>
      <c r="AB89" s="59" t="e">
        <f t="shared" si="49"/>
        <v>#DIV/0!</v>
      </c>
      <c r="AC89" s="59" t="e">
        <f t="shared" si="49"/>
        <v>#DIV/0!</v>
      </c>
      <c r="AD89" s="59" t="e">
        <f t="shared" si="49"/>
        <v>#DIV/0!</v>
      </c>
      <c r="AE89" s="59" t="e">
        <f t="shared" si="49"/>
        <v>#DIV/0!</v>
      </c>
      <c r="AF89" s="59" t="e">
        <f t="shared" si="49"/>
        <v>#DIV/0!</v>
      </c>
      <c r="AG89" s="59" t="e">
        <f t="shared" si="49"/>
        <v>#DIV/0!</v>
      </c>
      <c r="AH89" s="59" t="e">
        <f t="shared" si="49"/>
        <v>#DIV/0!</v>
      </c>
      <c r="AI89" s="59" t="e">
        <f t="shared" si="49"/>
        <v>#DIV/0!</v>
      </c>
      <c r="AJ89" s="59" t="e">
        <f t="shared" si="49"/>
        <v>#DIV/0!</v>
      </c>
      <c r="AK89" s="59" t="e">
        <f t="shared" si="49"/>
        <v>#DIV/0!</v>
      </c>
      <c r="AL89" s="59" t="e">
        <f t="shared" si="49"/>
        <v>#DIV/0!</v>
      </c>
      <c r="AM89" s="59" t="e">
        <f t="shared" si="49"/>
        <v>#DIV/0!</v>
      </c>
      <c r="AN89" s="59" t="e">
        <f t="shared" si="49"/>
        <v>#DIV/0!</v>
      </c>
      <c r="AO89" s="59" t="e">
        <f t="shared" si="49"/>
        <v>#DIV/0!</v>
      </c>
      <c r="AP89" s="59" t="e">
        <f t="shared" si="49"/>
        <v>#DIV/0!</v>
      </c>
      <c r="AQ89" s="59" t="e">
        <f t="shared" si="49"/>
        <v>#DIV/0!</v>
      </c>
      <c r="AR89" s="59" t="e">
        <f t="shared" si="49"/>
        <v>#DIV/0!</v>
      </c>
      <c r="AS89" s="59" t="e">
        <f t="shared" si="49"/>
        <v>#DIV/0!</v>
      </c>
      <c r="AT89" s="59" t="e">
        <f t="shared" si="49"/>
        <v>#DIV/0!</v>
      </c>
    </row>
    <row r="90" spans="1:46" ht="12.75" customHeight="1" x14ac:dyDescent="0.2">
      <c r="A90" s="6" t="s">
        <v>181</v>
      </c>
      <c r="C90" s="61" t="s">
        <v>306</v>
      </c>
      <c r="D90" s="10" t="s">
        <v>113</v>
      </c>
      <c r="E90" s="59" t="e">
        <f t="shared" ref="E90:AT90" si="50">E81</f>
        <v>#DIV/0!</v>
      </c>
      <c r="F90" s="59" t="e">
        <f t="shared" si="50"/>
        <v>#DIV/0!</v>
      </c>
      <c r="G90" s="59" t="e">
        <f t="shared" si="50"/>
        <v>#DIV/0!</v>
      </c>
      <c r="H90" s="59" t="e">
        <f t="shared" si="50"/>
        <v>#DIV/0!</v>
      </c>
      <c r="I90" s="59" t="e">
        <f t="shared" si="50"/>
        <v>#DIV/0!</v>
      </c>
      <c r="J90" s="59" t="e">
        <f t="shared" si="50"/>
        <v>#DIV/0!</v>
      </c>
      <c r="K90" s="59" t="e">
        <f t="shared" si="50"/>
        <v>#DIV/0!</v>
      </c>
      <c r="L90" s="59" t="e">
        <f t="shared" si="50"/>
        <v>#DIV/0!</v>
      </c>
      <c r="M90" s="59" t="e">
        <f t="shared" si="50"/>
        <v>#DIV/0!</v>
      </c>
      <c r="N90" s="59" t="e">
        <f t="shared" si="50"/>
        <v>#DIV/0!</v>
      </c>
      <c r="O90" s="59" t="e">
        <f t="shared" si="50"/>
        <v>#DIV/0!</v>
      </c>
      <c r="P90" s="59" t="e">
        <f t="shared" si="50"/>
        <v>#DIV/0!</v>
      </c>
      <c r="Q90" s="59" t="e">
        <f t="shared" si="50"/>
        <v>#DIV/0!</v>
      </c>
      <c r="R90" s="59" t="e">
        <f t="shared" si="50"/>
        <v>#DIV/0!</v>
      </c>
      <c r="S90" s="59" t="e">
        <f t="shared" si="50"/>
        <v>#DIV/0!</v>
      </c>
      <c r="T90" s="59" t="e">
        <f t="shared" si="50"/>
        <v>#DIV/0!</v>
      </c>
      <c r="U90" s="59" t="e">
        <f t="shared" si="50"/>
        <v>#DIV/0!</v>
      </c>
      <c r="V90" s="59" t="e">
        <f t="shared" si="50"/>
        <v>#DIV/0!</v>
      </c>
      <c r="W90" s="59" t="e">
        <f t="shared" si="50"/>
        <v>#DIV/0!</v>
      </c>
      <c r="X90" s="59" t="e">
        <f t="shared" si="50"/>
        <v>#DIV/0!</v>
      </c>
      <c r="Y90" s="59" t="e">
        <f t="shared" si="50"/>
        <v>#DIV/0!</v>
      </c>
      <c r="Z90" s="59" t="e">
        <f t="shared" si="50"/>
        <v>#DIV/0!</v>
      </c>
      <c r="AA90" s="59" t="e">
        <f t="shared" si="50"/>
        <v>#DIV/0!</v>
      </c>
      <c r="AB90" s="59" t="e">
        <f t="shared" si="50"/>
        <v>#DIV/0!</v>
      </c>
      <c r="AC90" s="59" t="e">
        <f t="shared" si="50"/>
        <v>#DIV/0!</v>
      </c>
      <c r="AD90" s="59" t="e">
        <f t="shared" si="50"/>
        <v>#DIV/0!</v>
      </c>
      <c r="AE90" s="59" t="e">
        <f t="shared" si="50"/>
        <v>#DIV/0!</v>
      </c>
      <c r="AF90" s="59" t="e">
        <f t="shared" si="50"/>
        <v>#DIV/0!</v>
      </c>
      <c r="AG90" s="59" t="e">
        <f t="shared" si="50"/>
        <v>#DIV/0!</v>
      </c>
      <c r="AH90" s="59" t="e">
        <f t="shared" si="50"/>
        <v>#DIV/0!</v>
      </c>
      <c r="AI90" s="59" t="e">
        <f t="shared" si="50"/>
        <v>#DIV/0!</v>
      </c>
      <c r="AJ90" s="59" t="e">
        <f t="shared" si="50"/>
        <v>#DIV/0!</v>
      </c>
      <c r="AK90" s="59" t="e">
        <f t="shared" si="50"/>
        <v>#DIV/0!</v>
      </c>
      <c r="AL90" s="59" t="e">
        <f t="shared" si="50"/>
        <v>#DIV/0!</v>
      </c>
      <c r="AM90" s="59" t="e">
        <f t="shared" si="50"/>
        <v>#DIV/0!</v>
      </c>
      <c r="AN90" s="59" t="e">
        <f t="shared" si="50"/>
        <v>#DIV/0!</v>
      </c>
      <c r="AO90" s="59" t="e">
        <f t="shared" si="50"/>
        <v>#DIV/0!</v>
      </c>
      <c r="AP90" s="59" t="e">
        <f t="shared" si="50"/>
        <v>#DIV/0!</v>
      </c>
      <c r="AQ90" s="59" t="e">
        <f t="shared" si="50"/>
        <v>#DIV/0!</v>
      </c>
      <c r="AR90" s="59" t="e">
        <f t="shared" si="50"/>
        <v>#DIV/0!</v>
      </c>
      <c r="AS90" s="59" t="e">
        <f t="shared" si="50"/>
        <v>#DIV/0!</v>
      </c>
      <c r="AT90" s="59" t="e">
        <f t="shared" si="50"/>
        <v>#DIV/0!</v>
      </c>
    </row>
    <row r="91" spans="1:46" ht="12.75" customHeight="1" x14ac:dyDescent="0.2"/>
    <row r="92" spans="1:46" ht="12.75" customHeight="1" x14ac:dyDescent="0.2">
      <c r="A92" s="50" t="s">
        <v>242</v>
      </c>
      <c r="C92" s="62" t="s">
        <v>307</v>
      </c>
    </row>
    <row r="93" spans="1:46" ht="12.75" customHeight="1" x14ac:dyDescent="0.2">
      <c r="A93" s="50"/>
      <c r="C93" s="61" t="s">
        <v>205</v>
      </c>
      <c r="D93" s="10" t="s">
        <v>113</v>
      </c>
      <c r="E93" s="53" t="e">
        <f t="shared" ref="E93:AT93" si="51">E86</f>
        <v>#DIV/0!</v>
      </c>
      <c r="F93" s="53" t="e">
        <f t="shared" si="51"/>
        <v>#DIV/0!</v>
      </c>
      <c r="G93" s="53" t="e">
        <f t="shared" si="51"/>
        <v>#DIV/0!</v>
      </c>
      <c r="H93" s="53" t="e">
        <f t="shared" si="51"/>
        <v>#DIV/0!</v>
      </c>
      <c r="I93" s="53" t="e">
        <f t="shared" si="51"/>
        <v>#DIV/0!</v>
      </c>
      <c r="J93" s="53" t="e">
        <f t="shared" si="51"/>
        <v>#DIV/0!</v>
      </c>
      <c r="K93" s="53" t="e">
        <f t="shared" si="51"/>
        <v>#DIV/0!</v>
      </c>
      <c r="L93" s="53" t="e">
        <f t="shared" si="51"/>
        <v>#DIV/0!</v>
      </c>
      <c r="M93" s="53" t="e">
        <f t="shared" si="51"/>
        <v>#DIV/0!</v>
      </c>
      <c r="N93" s="53" t="e">
        <f t="shared" si="51"/>
        <v>#DIV/0!</v>
      </c>
      <c r="O93" s="53" t="e">
        <f t="shared" si="51"/>
        <v>#DIV/0!</v>
      </c>
      <c r="P93" s="53" t="e">
        <f t="shared" si="51"/>
        <v>#DIV/0!</v>
      </c>
      <c r="Q93" s="53" t="e">
        <f t="shared" si="51"/>
        <v>#DIV/0!</v>
      </c>
      <c r="R93" s="53" t="e">
        <f t="shared" si="51"/>
        <v>#DIV/0!</v>
      </c>
      <c r="S93" s="53" t="e">
        <f t="shared" si="51"/>
        <v>#DIV/0!</v>
      </c>
      <c r="T93" s="53" t="e">
        <f t="shared" si="51"/>
        <v>#DIV/0!</v>
      </c>
      <c r="U93" s="53" t="e">
        <f t="shared" si="51"/>
        <v>#DIV/0!</v>
      </c>
      <c r="V93" s="53" t="e">
        <f t="shared" si="51"/>
        <v>#DIV/0!</v>
      </c>
      <c r="W93" s="53" t="e">
        <f t="shared" si="51"/>
        <v>#DIV/0!</v>
      </c>
      <c r="X93" s="53" t="e">
        <f t="shared" si="51"/>
        <v>#DIV/0!</v>
      </c>
      <c r="Y93" s="53" t="e">
        <f t="shared" si="51"/>
        <v>#DIV/0!</v>
      </c>
      <c r="Z93" s="53" t="e">
        <f t="shared" si="51"/>
        <v>#DIV/0!</v>
      </c>
      <c r="AA93" s="53" t="e">
        <f t="shared" si="51"/>
        <v>#DIV/0!</v>
      </c>
      <c r="AB93" s="53" t="e">
        <f t="shared" si="51"/>
        <v>#DIV/0!</v>
      </c>
      <c r="AC93" s="53" t="e">
        <f t="shared" si="51"/>
        <v>#DIV/0!</v>
      </c>
      <c r="AD93" s="53" t="e">
        <f t="shared" si="51"/>
        <v>#DIV/0!</v>
      </c>
      <c r="AE93" s="53" t="e">
        <f t="shared" si="51"/>
        <v>#DIV/0!</v>
      </c>
      <c r="AF93" s="53" t="e">
        <f t="shared" si="51"/>
        <v>#DIV/0!</v>
      </c>
      <c r="AG93" s="53" t="e">
        <f t="shared" si="51"/>
        <v>#DIV/0!</v>
      </c>
      <c r="AH93" s="53" t="e">
        <f t="shared" si="51"/>
        <v>#DIV/0!</v>
      </c>
      <c r="AI93" s="53" t="e">
        <f t="shared" si="51"/>
        <v>#DIV/0!</v>
      </c>
      <c r="AJ93" s="53" t="e">
        <f t="shared" si="51"/>
        <v>#DIV/0!</v>
      </c>
      <c r="AK93" s="53" t="e">
        <f t="shared" si="51"/>
        <v>#DIV/0!</v>
      </c>
      <c r="AL93" s="53" t="e">
        <f t="shared" si="51"/>
        <v>#DIV/0!</v>
      </c>
      <c r="AM93" s="53" t="e">
        <f t="shared" si="51"/>
        <v>#DIV/0!</v>
      </c>
      <c r="AN93" s="53" t="e">
        <f t="shared" si="51"/>
        <v>#DIV/0!</v>
      </c>
      <c r="AO93" s="53" t="e">
        <f t="shared" si="51"/>
        <v>#DIV/0!</v>
      </c>
      <c r="AP93" s="53" t="e">
        <f t="shared" si="51"/>
        <v>#DIV/0!</v>
      </c>
      <c r="AQ93" s="53" t="e">
        <f t="shared" si="51"/>
        <v>#DIV/0!</v>
      </c>
      <c r="AR93" s="53" t="e">
        <f t="shared" si="51"/>
        <v>#DIV/0!</v>
      </c>
      <c r="AS93" s="53" t="e">
        <f t="shared" si="51"/>
        <v>#DIV/0!</v>
      </c>
      <c r="AT93" s="53" t="e">
        <f t="shared" si="51"/>
        <v>#DIV/0!</v>
      </c>
    </row>
    <row r="94" spans="1:46" ht="12.75" customHeight="1" x14ac:dyDescent="0.2">
      <c r="A94" s="6"/>
      <c r="C94" s="5" t="s">
        <v>308</v>
      </c>
      <c r="D94" s="10" t="s">
        <v>113</v>
      </c>
      <c r="E94" s="53" t="e">
        <f t="shared" ref="E94:AT94" si="52">IF(E93&lt;=0.5,1,(1.03*SQRT((1-(E84/E85)^2))))</f>
        <v>#DIV/0!</v>
      </c>
      <c r="F94" s="53" t="e">
        <f t="shared" si="52"/>
        <v>#DIV/0!</v>
      </c>
      <c r="G94" s="53" t="e">
        <f t="shared" si="52"/>
        <v>#DIV/0!</v>
      </c>
      <c r="H94" s="53" t="e">
        <f t="shared" si="52"/>
        <v>#DIV/0!</v>
      </c>
      <c r="I94" s="53" t="e">
        <f t="shared" si="52"/>
        <v>#DIV/0!</v>
      </c>
      <c r="J94" s="53" t="e">
        <f t="shared" si="52"/>
        <v>#DIV/0!</v>
      </c>
      <c r="K94" s="53" t="e">
        <f t="shared" si="52"/>
        <v>#DIV/0!</v>
      </c>
      <c r="L94" s="53" t="e">
        <f t="shared" si="52"/>
        <v>#DIV/0!</v>
      </c>
      <c r="M94" s="53" t="e">
        <f t="shared" si="52"/>
        <v>#DIV/0!</v>
      </c>
      <c r="N94" s="53" t="e">
        <f t="shared" si="52"/>
        <v>#DIV/0!</v>
      </c>
      <c r="O94" s="53" t="e">
        <f t="shared" si="52"/>
        <v>#DIV/0!</v>
      </c>
      <c r="P94" s="53" t="e">
        <f t="shared" si="52"/>
        <v>#DIV/0!</v>
      </c>
      <c r="Q94" s="53" t="e">
        <f t="shared" si="52"/>
        <v>#DIV/0!</v>
      </c>
      <c r="R94" s="53" t="e">
        <f t="shared" si="52"/>
        <v>#DIV/0!</v>
      </c>
      <c r="S94" s="53" t="e">
        <f t="shared" si="52"/>
        <v>#DIV/0!</v>
      </c>
      <c r="T94" s="53" t="e">
        <f t="shared" si="52"/>
        <v>#DIV/0!</v>
      </c>
      <c r="U94" s="53" t="e">
        <f t="shared" si="52"/>
        <v>#DIV/0!</v>
      </c>
      <c r="V94" s="53" t="e">
        <f t="shared" si="52"/>
        <v>#DIV/0!</v>
      </c>
      <c r="W94" s="53" t="e">
        <f t="shared" si="52"/>
        <v>#DIV/0!</v>
      </c>
      <c r="X94" s="53" t="e">
        <f t="shared" si="52"/>
        <v>#DIV/0!</v>
      </c>
      <c r="Y94" s="53" t="e">
        <f t="shared" si="52"/>
        <v>#DIV/0!</v>
      </c>
      <c r="Z94" s="53" t="e">
        <f t="shared" si="52"/>
        <v>#DIV/0!</v>
      </c>
      <c r="AA94" s="53" t="e">
        <f t="shared" si="52"/>
        <v>#DIV/0!</v>
      </c>
      <c r="AB94" s="53" t="e">
        <f t="shared" si="52"/>
        <v>#DIV/0!</v>
      </c>
      <c r="AC94" s="53" t="e">
        <f t="shared" si="52"/>
        <v>#DIV/0!</v>
      </c>
      <c r="AD94" s="53" t="e">
        <f t="shared" si="52"/>
        <v>#DIV/0!</v>
      </c>
      <c r="AE94" s="53" t="e">
        <f t="shared" si="52"/>
        <v>#DIV/0!</v>
      </c>
      <c r="AF94" s="53" t="e">
        <f t="shared" si="52"/>
        <v>#DIV/0!</v>
      </c>
      <c r="AG94" s="53" t="e">
        <f t="shared" si="52"/>
        <v>#DIV/0!</v>
      </c>
      <c r="AH94" s="53" t="e">
        <f t="shared" si="52"/>
        <v>#DIV/0!</v>
      </c>
      <c r="AI94" s="53" t="e">
        <f t="shared" si="52"/>
        <v>#DIV/0!</v>
      </c>
      <c r="AJ94" s="53" t="e">
        <f t="shared" si="52"/>
        <v>#DIV/0!</v>
      </c>
      <c r="AK94" s="53" t="e">
        <f t="shared" si="52"/>
        <v>#DIV/0!</v>
      </c>
      <c r="AL94" s="53" t="e">
        <f t="shared" si="52"/>
        <v>#DIV/0!</v>
      </c>
      <c r="AM94" s="53" t="e">
        <f t="shared" si="52"/>
        <v>#DIV/0!</v>
      </c>
      <c r="AN94" s="53" t="e">
        <f t="shared" si="52"/>
        <v>#DIV/0!</v>
      </c>
      <c r="AO94" s="53" t="e">
        <f t="shared" si="52"/>
        <v>#DIV/0!</v>
      </c>
      <c r="AP94" s="53" t="e">
        <f t="shared" si="52"/>
        <v>#DIV/0!</v>
      </c>
      <c r="AQ94" s="53" t="e">
        <f t="shared" si="52"/>
        <v>#DIV/0!</v>
      </c>
      <c r="AR94" s="53" t="e">
        <f t="shared" si="52"/>
        <v>#DIV/0!</v>
      </c>
      <c r="AS94" s="53" t="e">
        <f t="shared" si="52"/>
        <v>#DIV/0!</v>
      </c>
      <c r="AT94" s="53" t="e">
        <f t="shared" si="52"/>
        <v>#DIV/0!</v>
      </c>
    </row>
    <row r="95" spans="1:46" ht="12.75" customHeight="1" x14ac:dyDescent="0.2">
      <c r="A95" s="50"/>
      <c r="C95" s="61" t="s">
        <v>309</v>
      </c>
      <c r="D95" s="10" t="s">
        <v>78</v>
      </c>
      <c r="E95" s="47" t="e">
        <f t="shared" ref="E95:AT95" si="53">(E73*E94)/E68</f>
        <v>#DIV/0!</v>
      </c>
      <c r="F95" s="47" t="e">
        <f t="shared" si="53"/>
        <v>#DIV/0!</v>
      </c>
      <c r="G95" s="47" t="e">
        <f t="shared" si="53"/>
        <v>#DIV/0!</v>
      </c>
      <c r="H95" s="47" t="e">
        <f t="shared" si="53"/>
        <v>#DIV/0!</v>
      </c>
      <c r="I95" s="47" t="e">
        <f t="shared" si="53"/>
        <v>#DIV/0!</v>
      </c>
      <c r="J95" s="47" t="e">
        <f t="shared" si="53"/>
        <v>#DIV/0!</v>
      </c>
      <c r="K95" s="47" t="e">
        <f t="shared" si="53"/>
        <v>#DIV/0!</v>
      </c>
      <c r="L95" s="47" t="e">
        <f t="shared" si="53"/>
        <v>#DIV/0!</v>
      </c>
      <c r="M95" s="47" t="e">
        <f t="shared" si="53"/>
        <v>#DIV/0!</v>
      </c>
      <c r="N95" s="47" t="e">
        <f t="shared" si="53"/>
        <v>#DIV/0!</v>
      </c>
      <c r="O95" s="47" t="e">
        <f t="shared" si="53"/>
        <v>#DIV/0!</v>
      </c>
      <c r="P95" s="47" t="e">
        <f t="shared" si="53"/>
        <v>#DIV/0!</v>
      </c>
      <c r="Q95" s="47" t="e">
        <f t="shared" si="53"/>
        <v>#DIV/0!</v>
      </c>
      <c r="R95" s="47" t="e">
        <f t="shared" si="53"/>
        <v>#DIV/0!</v>
      </c>
      <c r="S95" s="47" t="e">
        <f t="shared" si="53"/>
        <v>#DIV/0!</v>
      </c>
      <c r="T95" s="47" t="e">
        <f t="shared" si="53"/>
        <v>#DIV/0!</v>
      </c>
      <c r="U95" s="47" t="e">
        <f t="shared" si="53"/>
        <v>#DIV/0!</v>
      </c>
      <c r="V95" s="47" t="e">
        <f t="shared" si="53"/>
        <v>#DIV/0!</v>
      </c>
      <c r="W95" s="47" t="e">
        <f t="shared" si="53"/>
        <v>#DIV/0!</v>
      </c>
      <c r="X95" s="47" t="e">
        <f t="shared" si="53"/>
        <v>#DIV/0!</v>
      </c>
      <c r="Y95" s="47" t="e">
        <f t="shared" si="53"/>
        <v>#DIV/0!</v>
      </c>
      <c r="Z95" s="47" t="e">
        <f t="shared" si="53"/>
        <v>#DIV/0!</v>
      </c>
      <c r="AA95" s="47" t="e">
        <f t="shared" si="53"/>
        <v>#DIV/0!</v>
      </c>
      <c r="AB95" s="47" t="e">
        <f t="shared" si="53"/>
        <v>#DIV/0!</v>
      </c>
      <c r="AC95" s="47" t="e">
        <f t="shared" si="53"/>
        <v>#DIV/0!</v>
      </c>
      <c r="AD95" s="47" t="e">
        <f t="shared" si="53"/>
        <v>#DIV/0!</v>
      </c>
      <c r="AE95" s="47" t="e">
        <f t="shared" si="53"/>
        <v>#DIV/0!</v>
      </c>
      <c r="AF95" s="47" t="e">
        <f t="shared" si="53"/>
        <v>#DIV/0!</v>
      </c>
      <c r="AG95" s="47" t="e">
        <f t="shared" si="53"/>
        <v>#DIV/0!</v>
      </c>
      <c r="AH95" s="47" t="e">
        <f t="shared" si="53"/>
        <v>#DIV/0!</v>
      </c>
      <c r="AI95" s="47" t="e">
        <f t="shared" si="53"/>
        <v>#DIV/0!</v>
      </c>
      <c r="AJ95" s="47" t="e">
        <f t="shared" si="53"/>
        <v>#DIV/0!</v>
      </c>
      <c r="AK95" s="47" t="e">
        <f t="shared" si="53"/>
        <v>#DIV/0!</v>
      </c>
      <c r="AL95" s="47" t="e">
        <f t="shared" si="53"/>
        <v>#DIV/0!</v>
      </c>
      <c r="AM95" s="47" t="e">
        <f t="shared" si="53"/>
        <v>#DIV/0!</v>
      </c>
      <c r="AN95" s="47" t="e">
        <f t="shared" si="53"/>
        <v>#DIV/0!</v>
      </c>
      <c r="AO95" s="47" t="e">
        <f t="shared" si="53"/>
        <v>#DIV/0!</v>
      </c>
      <c r="AP95" s="47" t="e">
        <f t="shared" si="53"/>
        <v>#DIV/0!</v>
      </c>
      <c r="AQ95" s="47" t="e">
        <f t="shared" si="53"/>
        <v>#DIV/0!</v>
      </c>
      <c r="AR95" s="47" t="e">
        <f t="shared" si="53"/>
        <v>#DIV/0!</v>
      </c>
      <c r="AS95" s="47" t="e">
        <f t="shared" si="53"/>
        <v>#DIV/0!</v>
      </c>
      <c r="AT95" s="47" t="e">
        <f t="shared" si="53"/>
        <v>#DIV/0!</v>
      </c>
    </row>
    <row r="96" spans="1:46" ht="12.75" customHeight="1" x14ac:dyDescent="0.2">
      <c r="A96" s="50"/>
      <c r="C96" s="61" t="s">
        <v>310</v>
      </c>
      <c r="D96" s="10" t="s">
        <v>177</v>
      </c>
      <c r="E96" s="47" t="e">
        <f t="shared" ref="E96:AT96" si="54">(E80*E94)/E69</f>
        <v>#DIV/0!</v>
      </c>
      <c r="F96" s="47" t="e">
        <f t="shared" si="54"/>
        <v>#DIV/0!</v>
      </c>
      <c r="G96" s="47" t="e">
        <f t="shared" si="54"/>
        <v>#DIV/0!</v>
      </c>
      <c r="H96" s="47" t="e">
        <f t="shared" si="54"/>
        <v>#DIV/0!</v>
      </c>
      <c r="I96" s="47" t="e">
        <f t="shared" si="54"/>
        <v>#DIV/0!</v>
      </c>
      <c r="J96" s="47" t="e">
        <f t="shared" si="54"/>
        <v>#DIV/0!</v>
      </c>
      <c r="K96" s="47" t="e">
        <f t="shared" si="54"/>
        <v>#DIV/0!</v>
      </c>
      <c r="L96" s="47" t="e">
        <f t="shared" si="54"/>
        <v>#DIV/0!</v>
      </c>
      <c r="M96" s="47" t="e">
        <f t="shared" si="54"/>
        <v>#DIV/0!</v>
      </c>
      <c r="N96" s="47" t="e">
        <f t="shared" si="54"/>
        <v>#DIV/0!</v>
      </c>
      <c r="O96" s="47" t="e">
        <f t="shared" si="54"/>
        <v>#DIV/0!</v>
      </c>
      <c r="P96" s="47" t="e">
        <f t="shared" si="54"/>
        <v>#DIV/0!</v>
      </c>
      <c r="Q96" s="47" t="e">
        <f t="shared" si="54"/>
        <v>#DIV/0!</v>
      </c>
      <c r="R96" s="47" t="e">
        <f t="shared" si="54"/>
        <v>#DIV/0!</v>
      </c>
      <c r="S96" s="47" t="e">
        <f t="shared" si="54"/>
        <v>#DIV/0!</v>
      </c>
      <c r="T96" s="47" t="e">
        <f t="shared" si="54"/>
        <v>#DIV/0!</v>
      </c>
      <c r="U96" s="47" t="e">
        <f t="shared" si="54"/>
        <v>#DIV/0!</v>
      </c>
      <c r="V96" s="47" t="e">
        <f t="shared" si="54"/>
        <v>#DIV/0!</v>
      </c>
      <c r="W96" s="47" t="e">
        <f t="shared" si="54"/>
        <v>#DIV/0!</v>
      </c>
      <c r="X96" s="47" t="e">
        <f t="shared" si="54"/>
        <v>#DIV/0!</v>
      </c>
      <c r="Y96" s="47" t="e">
        <f t="shared" si="54"/>
        <v>#DIV/0!</v>
      </c>
      <c r="Z96" s="47" t="e">
        <f t="shared" si="54"/>
        <v>#DIV/0!</v>
      </c>
      <c r="AA96" s="47" t="e">
        <f t="shared" si="54"/>
        <v>#DIV/0!</v>
      </c>
      <c r="AB96" s="47" t="e">
        <f t="shared" si="54"/>
        <v>#DIV/0!</v>
      </c>
      <c r="AC96" s="47" t="e">
        <f t="shared" si="54"/>
        <v>#DIV/0!</v>
      </c>
      <c r="AD96" s="47" t="e">
        <f t="shared" si="54"/>
        <v>#DIV/0!</v>
      </c>
      <c r="AE96" s="47" t="e">
        <f t="shared" si="54"/>
        <v>#DIV/0!</v>
      </c>
      <c r="AF96" s="47" t="e">
        <f t="shared" si="54"/>
        <v>#DIV/0!</v>
      </c>
      <c r="AG96" s="47" t="e">
        <f t="shared" si="54"/>
        <v>#DIV/0!</v>
      </c>
      <c r="AH96" s="47" t="e">
        <f t="shared" si="54"/>
        <v>#DIV/0!</v>
      </c>
      <c r="AI96" s="47" t="e">
        <f t="shared" si="54"/>
        <v>#DIV/0!</v>
      </c>
      <c r="AJ96" s="47" t="e">
        <f t="shared" si="54"/>
        <v>#DIV/0!</v>
      </c>
      <c r="AK96" s="47" t="e">
        <f t="shared" si="54"/>
        <v>#DIV/0!</v>
      </c>
      <c r="AL96" s="47" t="e">
        <f t="shared" si="54"/>
        <v>#DIV/0!</v>
      </c>
      <c r="AM96" s="47" t="e">
        <f t="shared" si="54"/>
        <v>#DIV/0!</v>
      </c>
      <c r="AN96" s="47" t="e">
        <f t="shared" si="54"/>
        <v>#DIV/0!</v>
      </c>
      <c r="AO96" s="47" t="e">
        <f t="shared" si="54"/>
        <v>#DIV/0!</v>
      </c>
      <c r="AP96" s="47" t="e">
        <f t="shared" si="54"/>
        <v>#DIV/0!</v>
      </c>
      <c r="AQ96" s="47" t="e">
        <f t="shared" si="54"/>
        <v>#DIV/0!</v>
      </c>
      <c r="AR96" s="47" t="e">
        <f t="shared" si="54"/>
        <v>#DIV/0!</v>
      </c>
      <c r="AS96" s="47" t="e">
        <f t="shared" si="54"/>
        <v>#DIV/0!</v>
      </c>
      <c r="AT96" s="47" t="e">
        <f t="shared" si="54"/>
        <v>#DIV/0!</v>
      </c>
    </row>
    <row r="97" spans="1:46" ht="12.75" customHeight="1" x14ac:dyDescent="0.2">
      <c r="A97" s="6" t="s">
        <v>181</v>
      </c>
      <c r="C97" s="61" t="s">
        <v>311</v>
      </c>
      <c r="D97" s="10" t="s">
        <v>113</v>
      </c>
      <c r="E97" s="59" t="e">
        <f t="shared" ref="E97:AT97" si="55">E77/E96</f>
        <v>#DIV/0!</v>
      </c>
      <c r="F97" s="59" t="e">
        <f t="shared" si="55"/>
        <v>#DIV/0!</v>
      </c>
      <c r="G97" s="59" t="e">
        <f t="shared" si="55"/>
        <v>#DIV/0!</v>
      </c>
      <c r="H97" s="59" t="e">
        <f t="shared" si="55"/>
        <v>#DIV/0!</v>
      </c>
      <c r="I97" s="59" t="e">
        <f t="shared" si="55"/>
        <v>#DIV/0!</v>
      </c>
      <c r="J97" s="59" t="e">
        <f t="shared" si="55"/>
        <v>#DIV/0!</v>
      </c>
      <c r="K97" s="59" t="e">
        <f t="shared" si="55"/>
        <v>#DIV/0!</v>
      </c>
      <c r="L97" s="59" t="e">
        <f t="shared" si="55"/>
        <v>#DIV/0!</v>
      </c>
      <c r="M97" s="59" t="e">
        <f t="shared" si="55"/>
        <v>#DIV/0!</v>
      </c>
      <c r="N97" s="59" t="e">
        <f t="shared" si="55"/>
        <v>#DIV/0!</v>
      </c>
      <c r="O97" s="59" t="e">
        <f t="shared" si="55"/>
        <v>#DIV/0!</v>
      </c>
      <c r="P97" s="59" t="e">
        <f t="shared" si="55"/>
        <v>#DIV/0!</v>
      </c>
      <c r="Q97" s="59" t="e">
        <f t="shared" si="55"/>
        <v>#DIV/0!</v>
      </c>
      <c r="R97" s="59" t="e">
        <f t="shared" si="55"/>
        <v>#DIV/0!</v>
      </c>
      <c r="S97" s="59" t="e">
        <f t="shared" si="55"/>
        <v>#DIV/0!</v>
      </c>
      <c r="T97" s="59" t="e">
        <f t="shared" si="55"/>
        <v>#DIV/0!</v>
      </c>
      <c r="U97" s="59" t="e">
        <f t="shared" si="55"/>
        <v>#DIV/0!</v>
      </c>
      <c r="V97" s="59" t="e">
        <f t="shared" si="55"/>
        <v>#DIV/0!</v>
      </c>
      <c r="W97" s="59" t="e">
        <f t="shared" si="55"/>
        <v>#DIV/0!</v>
      </c>
      <c r="X97" s="59" t="e">
        <f t="shared" si="55"/>
        <v>#DIV/0!</v>
      </c>
      <c r="Y97" s="59" t="e">
        <f t="shared" si="55"/>
        <v>#DIV/0!</v>
      </c>
      <c r="Z97" s="59" t="e">
        <f t="shared" si="55"/>
        <v>#DIV/0!</v>
      </c>
      <c r="AA97" s="59" t="e">
        <f t="shared" si="55"/>
        <v>#DIV/0!</v>
      </c>
      <c r="AB97" s="59" t="e">
        <f t="shared" si="55"/>
        <v>#DIV/0!</v>
      </c>
      <c r="AC97" s="59" t="e">
        <f t="shared" si="55"/>
        <v>#DIV/0!</v>
      </c>
      <c r="AD97" s="59" t="e">
        <f t="shared" si="55"/>
        <v>#DIV/0!</v>
      </c>
      <c r="AE97" s="59" t="e">
        <f t="shared" si="55"/>
        <v>#DIV/0!</v>
      </c>
      <c r="AF97" s="59" t="e">
        <f t="shared" si="55"/>
        <v>#DIV/0!</v>
      </c>
      <c r="AG97" s="59" t="e">
        <f t="shared" si="55"/>
        <v>#DIV/0!</v>
      </c>
      <c r="AH97" s="59" t="e">
        <f t="shared" si="55"/>
        <v>#DIV/0!</v>
      </c>
      <c r="AI97" s="59" t="e">
        <f t="shared" si="55"/>
        <v>#DIV/0!</v>
      </c>
      <c r="AJ97" s="59" t="e">
        <f t="shared" si="55"/>
        <v>#DIV/0!</v>
      </c>
      <c r="AK97" s="59" t="e">
        <f t="shared" si="55"/>
        <v>#DIV/0!</v>
      </c>
      <c r="AL97" s="59" t="e">
        <f t="shared" si="55"/>
        <v>#DIV/0!</v>
      </c>
      <c r="AM97" s="59" t="e">
        <f t="shared" si="55"/>
        <v>#DIV/0!</v>
      </c>
      <c r="AN97" s="59" t="e">
        <f t="shared" si="55"/>
        <v>#DIV/0!</v>
      </c>
      <c r="AO97" s="59" t="e">
        <f t="shared" si="55"/>
        <v>#DIV/0!</v>
      </c>
      <c r="AP97" s="59" t="e">
        <f t="shared" si="55"/>
        <v>#DIV/0!</v>
      </c>
      <c r="AQ97" s="59" t="e">
        <f t="shared" si="55"/>
        <v>#DIV/0!</v>
      </c>
      <c r="AR97" s="59" t="e">
        <f t="shared" si="55"/>
        <v>#DIV/0!</v>
      </c>
      <c r="AS97" s="59" t="e">
        <f t="shared" si="55"/>
        <v>#DIV/0!</v>
      </c>
      <c r="AT97" s="59" t="e">
        <f t="shared" si="55"/>
        <v>#DIV/0!</v>
      </c>
    </row>
    <row r="98" spans="1:46" ht="12.75" customHeight="1" x14ac:dyDescent="0.2">
      <c r="A98" s="6" t="s">
        <v>181</v>
      </c>
      <c r="C98" s="61" t="s">
        <v>312</v>
      </c>
      <c r="D98" s="10" t="s">
        <v>113</v>
      </c>
      <c r="E98" s="59" t="e">
        <f t="shared" ref="E98:AT98" si="56">(E77/(1.04*E96))+((E72/E95)^1.7)</f>
        <v>#DIV/0!</v>
      </c>
      <c r="F98" s="59" t="e">
        <f t="shared" si="56"/>
        <v>#DIV/0!</v>
      </c>
      <c r="G98" s="59" t="e">
        <f t="shared" si="56"/>
        <v>#DIV/0!</v>
      </c>
      <c r="H98" s="59" t="e">
        <f t="shared" si="56"/>
        <v>#DIV/0!</v>
      </c>
      <c r="I98" s="59" t="e">
        <f t="shared" si="56"/>
        <v>#DIV/0!</v>
      </c>
      <c r="J98" s="59" t="e">
        <f t="shared" si="56"/>
        <v>#DIV/0!</v>
      </c>
      <c r="K98" s="59" t="e">
        <f t="shared" si="56"/>
        <v>#DIV/0!</v>
      </c>
      <c r="L98" s="59" t="e">
        <f t="shared" si="56"/>
        <v>#DIV/0!</v>
      </c>
      <c r="M98" s="59" t="e">
        <f t="shared" si="56"/>
        <v>#DIV/0!</v>
      </c>
      <c r="N98" s="59" t="e">
        <f t="shared" si="56"/>
        <v>#DIV/0!</v>
      </c>
      <c r="O98" s="59" t="e">
        <f t="shared" si="56"/>
        <v>#DIV/0!</v>
      </c>
      <c r="P98" s="59" t="e">
        <f t="shared" si="56"/>
        <v>#DIV/0!</v>
      </c>
      <c r="Q98" s="59" t="e">
        <f t="shared" si="56"/>
        <v>#DIV/0!</v>
      </c>
      <c r="R98" s="59" t="e">
        <f t="shared" si="56"/>
        <v>#DIV/0!</v>
      </c>
      <c r="S98" s="59" t="e">
        <f t="shared" si="56"/>
        <v>#DIV/0!</v>
      </c>
      <c r="T98" s="59" t="e">
        <f t="shared" si="56"/>
        <v>#DIV/0!</v>
      </c>
      <c r="U98" s="59" t="e">
        <f t="shared" si="56"/>
        <v>#DIV/0!</v>
      </c>
      <c r="V98" s="59" t="e">
        <f t="shared" si="56"/>
        <v>#DIV/0!</v>
      </c>
      <c r="W98" s="59" t="e">
        <f t="shared" si="56"/>
        <v>#DIV/0!</v>
      </c>
      <c r="X98" s="59" t="e">
        <f t="shared" si="56"/>
        <v>#DIV/0!</v>
      </c>
      <c r="Y98" s="59" t="e">
        <f t="shared" si="56"/>
        <v>#DIV/0!</v>
      </c>
      <c r="Z98" s="59" t="e">
        <f t="shared" si="56"/>
        <v>#DIV/0!</v>
      </c>
      <c r="AA98" s="59" t="e">
        <f t="shared" si="56"/>
        <v>#DIV/0!</v>
      </c>
      <c r="AB98" s="59" t="e">
        <f t="shared" si="56"/>
        <v>#DIV/0!</v>
      </c>
      <c r="AC98" s="59" t="e">
        <f t="shared" si="56"/>
        <v>#DIV/0!</v>
      </c>
      <c r="AD98" s="59" t="e">
        <f t="shared" si="56"/>
        <v>#DIV/0!</v>
      </c>
      <c r="AE98" s="59" t="e">
        <f t="shared" si="56"/>
        <v>#DIV/0!</v>
      </c>
      <c r="AF98" s="59" t="e">
        <f t="shared" si="56"/>
        <v>#DIV/0!</v>
      </c>
      <c r="AG98" s="59" t="e">
        <f t="shared" si="56"/>
        <v>#DIV/0!</v>
      </c>
      <c r="AH98" s="59" t="e">
        <f t="shared" si="56"/>
        <v>#DIV/0!</v>
      </c>
      <c r="AI98" s="59" t="e">
        <f t="shared" si="56"/>
        <v>#DIV/0!</v>
      </c>
      <c r="AJ98" s="59" t="e">
        <f t="shared" si="56"/>
        <v>#DIV/0!</v>
      </c>
      <c r="AK98" s="59" t="e">
        <f t="shared" si="56"/>
        <v>#DIV/0!</v>
      </c>
      <c r="AL98" s="59" t="e">
        <f t="shared" si="56"/>
        <v>#DIV/0!</v>
      </c>
      <c r="AM98" s="59" t="e">
        <f t="shared" si="56"/>
        <v>#DIV/0!</v>
      </c>
      <c r="AN98" s="59" t="e">
        <f t="shared" si="56"/>
        <v>#DIV/0!</v>
      </c>
      <c r="AO98" s="59" t="e">
        <f t="shared" si="56"/>
        <v>#DIV/0!</v>
      </c>
      <c r="AP98" s="59" t="e">
        <f t="shared" si="56"/>
        <v>#DIV/0!</v>
      </c>
      <c r="AQ98" s="59" t="e">
        <f t="shared" si="56"/>
        <v>#DIV/0!</v>
      </c>
      <c r="AR98" s="59" t="e">
        <f t="shared" si="56"/>
        <v>#DIV/0!</v>
      </c>
      <c r="AS98" s="59" t="e">
        <f t="shared" si="56"/>
        <v>#DIV/0!</v>
      </c>
      <c r="AT98" s="59" t="e">
        <f t="shared" si="56"/>
        <v>#DIV/0!</v>
      </c>
    </row>
    <row r="99" spans="1:46" ht="12.75" customHeight="1" x14ac:dyDescent="0.2">
      <c r="A99" s="50"/>
      <c r="C99" s="63"/>
    </row>
    <row r="100" spans="1:46" ht="12.75" customHeight="1" x14ac:dyDescent="0.2">
      <c r="A100" s="42" t="s">
        <v>313</v>
      </c>
      <c r="C100" s="63"/>
    </row>
    <row r="101" spans="1:46" ht="12.75" customHeight="1" x14ac:dyDescent="0.2">
      <c r="A101" s="50" t="s">
        <v>314</v>
      </c>
      <c r="C101" s="62" t="s">
        <v>315</v>
      </c>
    </row>
    <row r="102" spans="1:46" ht="12.75" customHeight="1" x14ac:dyDescent="0.2">
      <c r="A102" s="6"/>
      <c r="C102" s="5" t="s">
        <v>316</v>
      </c>
      <c r="D102" s="10" t="s">
        <v>78</v>
      </c>
      <c r="E102" s="47" t="e">
        <f t="shared" ref="E102:AT102" si="57">PI()^2*E14*E24/(E28*1000)^2/1000</f>
        <v>#DIV/0!</v>
      </c>
      <c r="F102" s="47" t="e">
        <f t="shared" si="57"/>
        <v>#DIV/0!</v>
      </c>
      <c r="G102" s="47" t="e">
        <f t="shared" si="57"/>
        <v>#DIV/0!</v>
      </c>
      <c r="H102" s="47" t="e">
        <f t="shared" si="57"/>
        <v>#DIV/0!</v>
      </c>
      <c r="I102" s="47" t="e">
        <f t="shared" si="57"/>
        <v>#DIV/0!</v>
      </c>
      <c r="J102" s="47" t="e">
        <f t="shared" si="57"/>
        <v>#DIV/0!</v>
      </c>
      <c r="K102" s="47" t="e">
        <f t="shared" si="57"/>
        <v>#DIV/0!</v>
      </c>
      <c r="L102" s="47" t="e">
        <f t="shared" si="57"/>
        <v>#DIV/0!</v>
      </c>
      <c r="M102" s="47" t="e">
        <f t="shared" si="57"/>
        <v>#DIV/0!</v>
      </c>
      <c r="N102" s="47" t="e">
        <f t="shared" si="57"/>
        <v>#DIV/0!</v>
      </c>
      <c r="O102" s="47" t="e">
        <f t="shared" si="57"/>
        <v>#DIV/0!</v>
      </c>
      <c r="P102" s="47" t="e">
        <f t="shared" si="57"/>
        <v>#DIV/0!</v>
      </c>
      <c r="Q102" s="47" t="e">
        <f t="shared" si="57"/>
        <v>#DIV/0!</v>
      </c>
      <c r="R102" s="47" t="e">
        <f t="shared" si="57"/>
        <v>#DIV/0!</v>
      </c>
      <c r="S102" s="47" t="e">
        <f t="shared" si="57"/>
        <v>#DIV/0!</v>
      </c>
      <c r="T102" s="47" t="e">
        <f t="shared" si="57"/>
        <v>#DIV/0!</v>
      </c>
      <c r="U102" s="47" t="e">
        <f t="shared" si="57"/>
        <v>#DIV/0!</v>
      </c>
      <c r="V102" s="47" t="e">
        <f t="shared" si="57"/>
        <v>#DIV/0!</v>
      </c>
      <c r="W102" s="47" t="e">
        <f t="shared" si="57"/>
        <v>#DIV/0!</v>
      </c>
      <c r="X102" s="47" t="e">
        <f t="shared" si="57"/>
        <v>#DIV/0!</v>
      </c>
      <c r="Y102" s="47" t="e">
        <f t="shared" si="57"/>
        <v>#DIV/0!</v>
      </c>
      <c r="Z102" s="47" t="e">
        <f t="shared" si="57"/>
        <v>#DIV/0!</v>
      </c>
      <c r="AA102" s="47" t="e">
        <f t="shared" si="57"/>
        <v>#DIV/0!</v>
      </c>
      <c r="AB102" s="47" t="e">
        <f t="shared" si="57"/>
        <v>#DIV/0!</v>
      </c>
      <c r="AC102" s="47" t="e">
        <f t="shared" si="57"/>
        <v>#DIV/0!</v>
      </c>
      <c r="AD102" s="47" t="e">
        <f t="shared" si="57"/>
        <v>#DIV/0!</v>
      </c>
      <c r="AE102" s="47" t="e">
        <f t="shared" si="57"/>
        <v>#DIV/0!</v>
      </c>
      <c r="AF102" s="47" t="e">
        <f t="shared" si="57"/>
        <v>#DIV/0!</v>
      </c>
      <c r="AG102" s="47" t="e">
        <f t="shared" si="57"/>
        <v>#DIV/0!</v>
      </c>
      <c r="AH102" s="47" t="e">
        <f t="shared" si="57"/>
        <v>#DIV/0!</v>
      </c>
      <c r="AI102" s="47" t="e">
        <f t="shared" si="57"/>
        <v>#DIV/0!</v>
      </c>
      <c r="AJ102" s="47" t="e">
        <f t="shared" si="57"/>
        <v>#DIV/0!</v>
      </c>
      <c r="AK102" s="47" t="e">
        <f t="shared" si="57"/>
        <v>#DIV/0!</v>
      </c>
      <c r="AL102" s="47" t="e">
        <f t="shared" si="57"/>
        <v>#DIV/0!</v>
      </c>
      <c r="AM102" s="47" t="e">
        <f t="shared" si="57"/>
        <v>#DIV/0!</v>
      </c>
      <c r="AN102" s="47" t="e">
        <f t="shared" si="57"/>
        <v>#DIV/0!</v>
      </c>
      <c r="AO102" s="47" t="e">
        <f t="shared" si="57"/>
        <v>#DIV/0!</v>
      </c>
      <c r="AP102" s="47" t="e">
        <f t="shared" si="57"/>
        <v>#DIV/0!</v>
      </c>
      <c r="AQ102" s="47" t="e">
        <f t="shared" si="57"/>
        <v>#DIV/0!</v>
      </c>
      <c r="AR102" s="47" t="e">
        <f t="shared" si="57"/>
        <v>#DIV/0!</v>
      </c>
      <c r="AS102" s="47" t="e">
        <f t="shared" si="57"/>
        <v>#DIV/0!</v>
      </c>
      <c r="AT102" s="47" t="e">
        <f t="shared" si="57"/>
        <v>#DIV/0!</v>
      </c>
    </row>
    <row r="103" spans="1:46" ht="12.75" customHeight="1" x14ac:dyDescent="0.2">
      <c r="A103" s="6"/>
      <c r="C103" s="7" t="s">
        <v>317</v>
      </c>
      <c r="D103" s="10" t="s">
        <v>113</v>
      </c>
      <c r="E103" s="53" t="e">
        <f t="shared" ref="E103:AT103" si="58">SQRT((E22*E12)/(E102*1000))</f>
        <v>#DIV/0!</v>
      </c>
      <c r="F103" s="53" t="e">
        <f t="shared" si="58"/>
        <v>#DIV/0!</v>
      </c>
      <c r="G103" s="53" t="e">
        <f t="shared" si="58"/>
        <v>#DIV/0!</v>
      </c>
      <c r="H103" s="53" t="e">
        <f t="shared" si="58"/>
        <v>#DIV/0!</v>
      </c>
      <c r="I103" s="53" t="e">
        <f t="shared" si="58"/>
        <v>#DIV/0!</v>
      </c>
      <c r="J103" s="53" t="e">
        <f t="shared" si="58"/>
        <v>#DIV/0!</v>
      </c>
      <c r="K103" s="53" t="e">
        <f t="shared" si="58"/>
        <v>#DIV/0!</v>
      </c>
      <c r="L103" s="53" t="e">
        <f t="shared" si="58"/>
        <v>#DIV/0!</v>
      </c>
      <c r="M103" s="53" t="e">
        <f t="shared" si="58"/>
        <v>#DIV/0!</v>
      </c>
      <c r="N103" s="53" t="e">
        <f t="shared" si="58"/>
        <v>#DIV/0!</v>
      </c>
      <c r="O103" s="53" t="e">
        <f t="shared" si="58"/>
        <v>#DIV/0!</v>
      </c>
      <c r="P103" s="53" t="e">
        <f t="shared" si="58"/>
        <v>#DIV/0!</v>
      </c>
      <c r="Q103" s="53" t="e">
        <f t="shared" si="58"/>
        <v>#DIV/0!</v>
      </c>
      <c r="R103" s="53" t="e">
        <f t="shared" si="58"/>
        <v>#DIV/0!</v>
      </c>
      <c r="S103" s="53" t="e">
        <f t="shared" si="58"/>
        <v>#DIV/0!</v>
      </c>
      <c r="T103" s="53" t="e">
        <f t="shared" si="58"/>
        <v>#DIV/0!</v>
      </c>
      <c r="U103" s="53" t="e">
        <f t="shared" si="58"/>
        <v>#DIV/0!</v>
      </c>
      <c r="V103" s="53" t="e">
        <f t="shared" si="58"/>
        <v>#DIV/0!</v>
      </c>
      <c r="W103" s="53" t="e">
        <f t="shared" si="58"/>
        <v>#DIV/0!</v>
      </c>
      <c r="X103" s="53" t="e">
        <f t="shared" si="58"/>
        <v>#DIV/0!</v>
      </c>
      <c r="Y103" s="53" t="e">
        <f t="shared" si="58"/>
        <v>#DIV/0!</v>
      </c>
      <c r="Z103" s="53" t="e">
        <f t="shared" si="58"/>
        <v>#DIV/0!</v>
      </c>
      <c r="AA103" s="53" t="e">
        <f t="shared" si="58"/>
        <v>#DIV/0!</v>
      </c>
      <c r="AB103" s="53" t="e">
        <f t="shared" si="58"/>
        <v>#DIV/0!</v>
      </c>
      <c r="AC103" s="53" t="e">
        <f t="shared" si="58"/>
        <v>#DIV/0!</v>
      </c>
      <c r="AD103" s="53" t="e">
        <f t="shared" si="58"/>
        <v>#DIV/0!</v>
      </c>
      <c r="AE103" s="53" t="e">
        <f t="shared" si="58"/>
        <v>#DIV/0!</v>
      </c>
      <c r="AF103" s="53" t="e">
        <f t="shared" si="58"/>
        <v>#DIV/0!</v>
      </c>
      <c r="AG103" s="53" t="e">
        <f t="shared" si="58"/>
        <v>#DIV/0!</v>
      </c>
      <c r="AH103" s="53" t="e">
        <f t="shared" si="58"/>
        <v>#DIV/0!</v>
      </c>
      <c r="AI103" s="53" t="e">
        <f t="shared" si="58"/>
        <v>#DIV/0!</v>
      </c>
      <c r="AJ103" s="53" t="e">
        <f t="shared" si="58"/>
        <v>#DIV/0!</v>
      </c>
      <c r="AK103" s="53" t="e">
        <f t="shared" si="58"/>
        <v>#DIV/0!</v>
      </c>
      <c r="AL103" s="53" t="e">
        <f t="shared" si="58"/>
        <v>#DIV/0!</v>
      </c>
      <c r="AM103" s="53" t="e">
        <f t="shared" si="58"/>
        <v>#DIV/0!</v>
      </c>
      <c r="AN103" s="53" t="e">
        <f t="shared" si="58"/>
        <v>#DIV/0!</v>
      </c>
      <c r="AO103" s="53" t="e">
        <f t="shared" si="58"/>
        <v>#DIV/0!</v>
      </c>
      <c r="AP103" s="53" t="e">
        <f t="shared" si="58"/>
        <v>#DIV/0!</v>
      </c>
      <c r="AQ103" s="53" t="e">
        <f t="shared" si="58"/>
        <v>#DIV/0!</v>
      </c>
      <c r="AR103" s="53" t="e">
        <f t="shared" si="58"/>
        <v>#DIV/0!</v>
      </c>
      <c r="AS103" s="53" t="e">
        <f t="shared" si="58"/>
        <v>#DIV/0!</v>
      </c>
      <c r="AT103" s="53" t="e">
        <f t="shared" si="58"/>
        <v>#DIV/0!</v>
      </c>
    </row>
    <row r="104" spans="1:46" ht="12.75" customHeight="1" x14ac:dyDescent="0.2">
      <c r="A104" s="6"/>
      <c r="C104" s="5" t="s">
        <v>318</v>
      </c>
      <c r="D104" s="10" t="s">
        <v>113</v>
      </c>
      <c r="E104" s="59" t="e">
        <f t="shared" ref="E104:AT104" si="59">E72/E102</f>
        <v>#DIV/0!</v>
      </c>
      <c r="F104" s="59" t="e">
        <f t="shared" si="59"/>
        <v>#DIV/0!</v>
      </c>
      <c r="G104" s="59" t="e">
        <f t="shared" si="59"/>
        <v>#DIV/0!</v>
      </c>
      <c r="H104" s="59" t="e">
        <f t="shared" si="59"/>
        <v>#DIV/0!</v>
      </c>
      <c r="I104" s="59" t="e">
        <f t="shared" si="59"/>
        <v>#DIV/0!</v>
      </c>
      <c r="J104" s="59" t="e">
        <f t="shared" si="59"/>
        <v>#DIV/0!</v>
      </c>
      <c r="K104" s="59" t="e">
        <f t="shared" si="59"/>
        <v>#DIV/0!</v>
      </c>
      <c r="L104" s="59" t="e">
        <f t="shared" si="59"/>
        <v>#DIV/0!</v>
      </c>
      <c r="M104" s="59" t="e">
        <f t="shared" si="59"/>
        <v>#DIV/0!</v>
      </c>
      <c r="N104" s="59" t="e">
        <f t="shared" si="59"/>
        <v>#DIV/0!</v>
      </c>
      <c r="O104" s="59" t="e">
        <f t="shared" si="59"/>
        <v>#DIV/0!</v>
      </c>
      <c r="P104" s="59" t="e">
        <f t="shared" si="59"/>
        <v>#DIV/0!</v>
      </c>
      <c r="Q104" s="59" t="e">
        <f t="shared" si="59"/>
        <v>#DIV/0!</v>
      </c>
      <c r="R104" s="59" t="e">
        <f t="shared" si="59"/>
        <v>#DIV/0!</v>
      </c>
      <c r="S104" s="59" t="e">
        <f t="shared" si="59"/>
        <v>#DIV/0!</v>
      </c>
      <c r="T104" s="59" t="e">
        <f t="shared" si="59"/>
        <v>#DIV/0!</v>
      </c>
      <c r="U104" s="59" t="e">
        <f t="shared" si="59"/>
        <v>#DIV/0!</v>
      </c>
      <c r="V104" s="59" t="e">
        <f t="shared" si="59"/>
        <v>#DIV/0!</v>
      </c>
      <c r="W104" s="59" t="e">
        <f t="shared" si="59"/>
        <v>#DIV/0!</v>
      </c>
      <c r="X104" s="59" t="e">
        <f t="shared" si="59"/>
        <v>#DIV/0!</v>
      </c>
      <c r="Y104" s="59" t="e">
        <f t="shared" si="59"/>
        <v>#DIV/0!</v>
      </c>
      <c r="Z104" s="59" t="e">
        <f t="shared" si="59"/>
        <v>#DIV/0!</v>
      </c>
      <c r="AA104" s="59" t="e">
        <f t="shared" si="59"/>
        <v>#DIV/0!</v>
      </c>
      <c r="AB104" s="59" t="e">
        <f t="shared" si="59"/>
        <v>#DIV/0!</v>
      </c>
      <c r="AC104" s="59" t="e">
        <f t="shared" si="59"/>
        <v>#DIV/0!</v>
      </c>
      <c r="AD104" s="59" t="e">
        <f t="shared" si="59"/>
        <v>#DIV/0!</v>
      </c>
      <c r="AE104" s="59" t="e">
        <f t="shared" si="59"/>
        <v>#DIV/0!</v>
      </c>
      <c r="AF104" s="59" t="e">
        <f t="shared" si="59"/>
        <v>#DIV/0!</v>
      </c>
      <c r="AG104" s="59" t="e">
        <f t="shared" si="59"/>
        <v>#DIV/0!</v>
      </c>
      <c r="AH104" s="59" t="e">
        <f t="shared" si="59"/>
        <v>#DIV/0!</v>
      </c>
      <c r="AI104" s="59" t="e">
        <f t="shared" si="59"/>
        <v>#DIV/0!</v>
      </c>
      <c r="AJ104" s="59" t="e">
        <f t="shared" si="59"/>
        <v>#DIV/0!</v>
      </c>
      <c r="AK104" s="59" t="e">
        <f t="shared" si="59"/>
        <v>#DIV/0!</v>
      </c>
      <c r="AL104" s="59" t="e">
        <f t="shared" si="59"/>
        <v>#DIV/0!</v>
      </c>
      <c r="AM104" s="59" t="e">
        <f t="shared" si="59"/>
        <v>#DIV/0!</v>
      </c>
      <c r="AN104" s="59" t="e">
        <f t="shared" si="59"/>
        <v>#DIV/0!</v>
      </c>
      <c r="AO104" s="59" t="e">
        <f t="shared" si="59"/>
        <v>#DIV/0!</v>
      </c>
      <c r="AP104" s="59" t="e">
        <f t="shared" si="59"/>
        <v>#DIV/0!</v>
      </c>
      <c r="AQ104" s="59" t="e">
        <f t="shared" si="59"/>
        <v>#DIV/0!</v>
      </c>
      <c r="AR104" s="59" t="e">
        <f t="shared" si="59"/>
        <v>#DIV/0!</v>
      </c>
      <c r="AS104" s="59" t="e">
        <f t="shared" si="59"/>
        <v>#DIV/0!</v>
      </c>
      <c r="AT104" s="59" t="e">
        <f t="shared" si="59"/>
        <v>#DIV/0!</v>
      </c>
    </row>
    <row r="105" spans="1:46" ht="12.75" customHeight="1" x14ac:dyDescent="0.2">
      <c r="A105" s="6"/>
      <c r="C105" s="63"/>
    </row>
    <row r="106" spans="1:46" ht="12.75" customHeight="1" x14ac:dyDescent="0.2">
      <c r="A106" s="6"/>
      <c r="C106" s="5" t="s">
        <v>319</v>
      </c>
      <c r="D106" s="56" t="s">
        <v>113</v>
      </c>
      <c r="E106" s="9" t="str">
        <f t="shared" ref="E106:AT106" si="60">E33</f>
        <v>a</v>
      </c>
      <c r="F106" s="9" t="str">
        <f t="shared" si="60"/>
        <v>a</v>
      </c>
      <c r="G106" s="9" t="str">
        <f t="shared" si="60"/>
        <v>a</v>
      </c>
      <c r="H106" s="9" t="str">
        <f t="shared" si="60"/>
        <v>a</v>
      </c>
      <c r="I106" s="9" t="str">
        <f t="shared" si="60"/>
        <v>a</v>
      </c>
      <c r="J106" s="9" t="str">
        <f t="shared" si="60"/>
        <v>a</v>
      </c>
      <c r="K106" s="9" t="str">
        <f t="shared" si="60"/>
        <v>a</v>
      </c>
      <c r="L106" s="9" t="str">
        <f t="shared" si="60"/>
        <v>a</v>
      </c>
      <c r="M106" s="9" t="str">
        <f t="shared" si="60"/>
        <v>a</v>
      </c>
      <c r="N106" s="9" t="str">
        <f t="shared" si="60"/>
        <v>a</v>
      </c>
      <c r="O106" s="9" t="str">
        <f t="shared" si="60"/>
        <v>a</v>
      </c>
      <c r="P106" s="9" t="str">
        <f t="shared" si="60"/>
        <v>a</v>
      </c>
      <c r="Q106" s="9" t="str">
        <f t="shared" si="60"/>
        <v>a</v>
      </c>
      <c r="R106" s="9" t="str">
        <f t="shared" si="60"/>
        <v>a</v>
      </c>
      <c r="S106" s="9" t="str">
        <f t="shared" si="60"/>
        <v>a</v>
      </c>
      <c r="T106" s="9" t="str">
        <f t="shared" si="60"/>
        <v>a</v>
      </c>
      <c r="U106" s="9" t="str">
        <f t="shared" si="60"/>
        <v>a</v>
      </c>
      <c r="V106" s="9" t="str">
        <f t="shared" si="60"/>
        <v>a</v>
      </c>
      <c r="W106" s="9" t="str">
        <f t="shared" si="60"/>
        <v>a</v>
      </c>
      <c r="X106" s="9" t="str">
        <f t="shared" si="60"/>
        <v>a</v>
      </c>
      <c r="Y106" s="9" t="str">
        <f t="shared" si="60"/>
        <v>a</v>
      </c>
      <c r="Z106" s="9" t="str">
        <f t="shared" si="60"/>
        <v>a</v>
      </c>
      <c r="AA106" s="9" t="str">
        <f t="shared" si="60"/>
        <v>a</v>
      </c>
      <c r="AB106" s="9" t="str">
        <f t="shared" si="60"/>
        <v>a</v>
      </c>
      <c r="AC106" s="9" t="str">
        <f t="shared" si="60"/>
        <v>a</v>
      </c>
      <c r="AD106" s="9" t="str">
        <f t="shared" si="60"/>
        <v>a</v>
      </c>
      <c r="AE106" s="9" t="str">
        <f t="shared" si="60"/>
        <v>a</v>
      </c>
      <c r="AF106" s="9" t="str">
        <f t="shared" si="60"/>
        <v>a</v>
      </c>
      <c r="AG106" s="9" t="str">
        <f t="shared" si="60"/>
        <v>a</v>
      </c>
      <c r="AH106" s="9" t="str">
        <f t="shared" si="60"/>
        <v>a</v>
      </c>
      <c r="AI106" s="9" t="str">
        <f t="shared" si="60"/>
        <v>a</v>
      </c>
      <c r="AJ106" s="9" t="str">
        <f t="shared" si="60"/>
        <v>a</v>
      </c>
      <c r="AK106" s="9" t="str">
        <f t="shared" si="60"/>
        <v>a</v>
      </c>
      <c r="AL106" s="9" t="str">
        <f t="shared" si="60"/>
        <v>a</v>
      </c>
      <c r="AM106" s="9" t="str">
        <f t="shared" si="60"/>
        <v>a</v>
      </c>
      <c r="AN106" s="9" t="str">
        <f t="shared" si="60"/>
        <v>a</v>
      </c>
      <c r="AO106" s="9" t="str">
        <f t="shared" si="60"/>
        <v>a</v>
      </c>
      <c r="AP106" s="9" t="str">
        <f t="shared" si="60"/>
        <v>a</v>
      </c>
      <c r="AQ106" s="9" t="str">
        <f t="shared" si="60"/>
        <v>a</v>
      </c>
      <c r="AR106" s="9" t="str">
        <f t="shared" si="60"/>
        <v>a</v>
      </c>
      <c r="AS106" s="9" t="str">
        <f t="shared" si="60"/>
        <v>a</v>
      </c>
      <c r="AT106" s="9" t="str">
        <f t="shared" si="60"/>
        <v>a</v>
      </c>
    </row>
    <row r="107" spans="1:46" ht="12.75" customHeight="1" x14ac:dyDescent="0.2">
      <c r="A107" s="6"/>
      <c r="C107" s="5" t="s">
        <v>272</v>
      </c>
      <c r="D107" s="56" t="s">
        <v>113</v>
      </c>
      <c r="E107" s="53">
        <f t="shared" ref="E107:AT107" si="61">E34</f>
        <v>0.21</v>
      </c>
      <c r="F107" s="53">
        <f t="shared" si="61"/>
        <v>0.21</v>
      </c>
      <c r="G107" s="53">
        <f t="shared" si="61"/>
        <v>0.21</v>
      </c>
      <c r="H107" s="53">
        <f t="shared" si="61"/>
        <v>0.21</v>
      </c>
      <c r="I107" s="53">
        <f t="shared" si="61"/>
        <v>0.21</v>
      </c>
      <c r="J107" s="53">
        <f t="shared" si="61"/>
        <v>0.21</v>
      </c>
      <c r="K107" s="53">
        <f t="shared" si="61"/>
        <v>0.21</v>
      </c>
      <c r="L107" s="53">
        <f t="shared" si="61"/>
        <v>0.21</v>
      </c>
      <c r="M107" s="53">
        <f t="shared" si="61"/>
        <v>0.21</v>
      </c>
      <c r="N107" s="53">
        <f t="shared" si="61"/>
        <v>0.21</v>
      </c>
      <c r="O107" s="53">
        <f t="shared" si="61"/>
        <v>0.21</v>
      </c>
      <c r="P107" s="53">
        <f t="shared" si="61"/>
        <v>0.21</v>
      </c>
      <c r="Q107" s="53">
        <f t="shared" si="61"/>
        <v>0.21</v>
      </c>
      <c r="R107" s="53">
        <f t="shared" si="61"/>
        <v>0.21</v>
      </c>
      <c r="S107" s="53">
        <f t="shared" si="61"/>
        <v>0.21</v>
      </c>
      <c r="T107" s="53">
        <f t="shared" si="61"/>
        <v>0.21</v>
      </c>
      <c r="U107" s="53">
        <f t="shared" si="61"/>
        <v>0.21</v>
      </c>
      <c r="V107" s="53">
        <f t="shared" si="61"/>
        <v>0.21</v>
      </c>
      <c r="W107" s="53">
        <f t="shared" si="61"/>
        <v>0.21</v>
      </c>
      <c r="X107" s="53">
        <f t="shared" si="61"/>
        <v>0.21</v>
      </c>
      <c r="Y107" s="53">
        <f t="shared" si="61"/>
        <v>0.21</v>
      </c>
      <c r="Z107" s="53">
        <f t="shared" si="61"/>
        <v>0.21</v>
      </c>
      <c r="AA107" s="53">
        <f t="shared" si="61"/>
        <v>0.21</v>
      </c>
      <c r="AB107" s="53">
        <f t="shared" si="61"/>
        <v>0.21</v>
      </c>
      <c r="AC107" s="53">
        <f t="shared" si="61"/>
        <v>0.21</v>
      </c>
      <c r="AD107" s="53">
        <f t="shared" si="61"/>
        <v>0.21</v>
      </c>
      <c r="AE107" s="53">
        <f t="shared" si="61"/>
        <v>0.21</v>
      </c>
      <c r="AF107" s="53">
        <f t="shared" si="61"/>
        <v>0.21</v>
      </c>
      <c r="AG107" s="53">
        <f t="shared" si="61"/>
        <v>0.21</v>
      </c>
      <c r="AH107" s="53">
        <f t="shared" si="61"/>
        <v>0.21</v>
      </c>
      <c r="AI107" s="53">
        <f t="shared" si="61"/>
        <v>0.21</v>
      </c>
      <c r="AJ107" s="53">
        <f t="shared" si="61"/>
        <v>0.21</v>
      </c>
      <c r="AK107" s="53">
        <f t="shared" si="61"/>
        <v>0.21</v>
      </c>
      <c r="AL107" s="53">
        <f t="shared" si="61"/>
        <v>0.21</v>
      </c>
      <c r="AM107" s="53">
        <f t="shared" si="61"/>
        <v>0.21</v>
      </c>
      <c r="AN107" s="53">
        <f t="shared" si="61"/>
        <v>0.21</v>
      </c>
      <c r="AO107" s="53">
        <f t="shared" si="61"/>
        <v>0.21</v>
      </c>
      <c r="AP107" s="53">
        <f t="shared" si="61"/>
        <v>0.21</v>
      </c>
      <c r="AQ107" s="53">
        <f t="shared" si="61"/>
        <v>0.21</v>
      </c>
      <c r="AR107" s="53">
        <f t="shared" si="61"/>
        <v>0.21</v>
      </c>
      <c r="AS107" s="53">
        <f t="shared" si="61"/>
        <v>0.21</v>
      </c>
      <c r="AT107" s="53">
        <f t="shared" si="61"/>
        <v>0.21</v>
      </c>
    </row>
    <row r="108" spans="1:46" ht="12.75" customHeight="1" x14ac:dyDescent="0.2">
      <c r="A108" s="6"/>
      <c r="C108" s="7" t="s">
        <v>16</v>
      </c>
      <c r="D108" s="56" t="s">
        <v>113</v>
      </c>
      <c r="E108" s="53" t="e">
        <f t="shared" ref="E108:AT108" si="62">0.5*(1+(E107*(E103-0.2))+E103^2)</f>
        <v>#DIV/0!</v>
      </c>
      <c r="F108" s="53" t="e">
        <f t="shared" si="62"/>
        <v>#DIV/0!</v>
      </c>
      <c r="G108" s="53" t="e">
        <f t="shared" si="62"/>
        <v>#DIV/0!</v>
      </c>
      <c r="H108" s="53" t="e">
        <f t="shared" si="62"/>
        <v>#DIV/0!</v>
      </c>
      <c r="I108" s="53" t="e">
        <f t="shared" si="62"/>
        <v>#DIV/0!</v>
      </c>
      <c r="J108" s="53" t="e">
        <f t="shared" si="62"/>
        <v>#DIV/0!</v>
      </c>
      <c r="K108" s="53" t="e">
        <f t="shared" si="62"/>
        <v>#DIV/0!</v>
      </c>
      <c r="L108" s="53" t="e">
        <f t="shared" si="62"/>
        <v>#DIV/0!</v>
      </c>
      <c r="M108" s="53" t="e">
        <f t="shared" si="62"/>
        <v>#DIV/0!</v>
      </c>
      <c r="N108" s="53" t="e">
        <f t="shared" si="62"/>
        <v>#DIV/0!</v>
      </c>
      <c r="O108" s="53" t="e">
        <f t="shared" si="62"/>
        <v>#DIV/0!</v>
      </c>
      <c r="P108" s="53" t="e">
        <f t="shared" si="62"/>
        <v>#DIV/0!</v>
      </c>
      <c r="Q108" s="53" t="e">
        <f t="shared" si="62"/>
        <v>#DIV/0!</v>
      </c>
      <c r="R108" s="53" t="e">
        <f t="shared" si="62"/>
        <v>#DIV/0!</v>
      </c>
      <c r="S108" s="53" t="e">
        <f t="shared" si="62"/>
        <v>#DIV/0!</v>
      </c>
      <c r="T108" s="53" t="e">
        <f t="shared" si="62"/>
        <v>#DIV/0!</v>
      </c>
      <c r="U108" s="53" t="e">
        <f t="shared" si="62"/>
        <v>#DIV/0!</v>
      </c>
      <c r="V108" s="53" t="e">
        <f t="shared" si="62"/>
        <v>#DIV/0!</v>
      </c>
      <c r="W108" s="53" t="e">
        <f t="shared" si="62"/>
        <v>#DIV/0!</v>
      </c>
      <c r="X108" s="53" t="e">
        <f t="shared" si="62"/>
        <v>#DIV/0!</v>
      </c>
      <c r="Y108" s="53" t="e">
        <f t="shared" si="62"/>
        <v>#DIV/0!</v>
      </c>
      <c r="Z108" s="53" t="e">
        <f t="shared" si="62"/>
        <v>#DIV/0!</v>
      </c>
      <c r="AA108" s="53" t="e">
        <f t="shared" si="62"/>
        <v>#DIV/0!</v>
      </c>
      <c r="AB108" s="53" t="e">
        <f t="shared" si="62"/>
        <v>#DIV/0!</v>
      </c>
      <c r="AC108" s="53" t="e">
        <f t="shared" si="62"/>
        <v>#DIV/0!</v>
      </c>
      <c r="AD108" s="53" t="e">
        <f t="shared" si="62"/>
        <v>#DIV/0!</v>
      </c>
      <c r="AE108" s="53" t="e">
        <f t="shared" si="62"/>
        <v>#DIV/0!</v>
      </c>
      <c r="AF108" s="53" t="e">
        <f t="shared" si="62"/>
        <v>#DIV/0!</v>
      </c>
      <c r="AG108" s="53" t="e">
        <f t="shared" si="62"/>
        <v>#DIV/0!</v>
      </c>
      <c r="AH108" s="53" t="e">
        <f t="shared" si="62"/>
        <v>#DIV/0!</v>
      </c>
      <c r="AI108" s="53" t="e">
        <f t="shared" si="62"/>
        <v>#DIV/0!</v>
      </c>
      <c r="AJ108" s="53" t="e">
        <f t="shared" si="62"/>
        <v>#DIV/0!</v>
      </c>
      <c r="AK108" s="53" t="e">
        <f t="shared" si="62"/>
        <v>#DIV/0!</v>
      </c>
      <c r="AL108" s="53" t="e">
        <f t="shared" si="62"/>
        <v>#DIV/0!</v>
      </c>
      <c r="AM108" s="53" t="e">
        <f t="shared" si="62"/>
        <v>#DIV/0!</v>
      </c>
      <c r="AN108" s="53" t="e">
        <f t="shared" si="62"/>
        <v>#DIV/0!</v>
      </c>
      <c r="AO108" s="53" t="e">
        <f t="shared" si="62"/>
        <v>#DIV/0!</v>
      </c>
      <c r="AP108" s="53" t="e">
        <f t="shared" si="62"/>
        <v>#DIV/0!</v>
      </c>
      <c r="AQ108" s="53" t="e">
        <f t="shared" si="62"/>
        <v>#DIV/0!</v>
      </c>
      <c r="AR108" s="53" t="e">
        <f t="shared" si="62"/>
        <v>#DIV/0!</v>
      </c>
      <c r="AS108" s="53" t="e">
        <f t="shared" si="62"/>
        <v>#DIV/0!</v>
      </c>
      <c r="AT108" s="53" t="e">
        <f t="shared" si="62"/>
        <v>#DIV/0!</v>
      </c>
    </row>
    <row r="109" spans="1:46" ht="12.75" customHeight="1" x14ac:dyDescent="0.2">
      <c r="A109" s="50"/>
      <c r="C109" s="7" t="s">
        <v>320</v>
      </c>
      <c r="D109" s="56" t="s">
        <v>113</v>
      </c>
      <c r="E109" s="53" t="e">
        <f t="shared" ref="E109:AT109" si="63">1/(E108+SQRT(E108^2-E103^2))</f>
        <v>#DIV/0!</v>
      </c>
      <c r="F109" s="53" t="e">
        <f t="shared" si="63"/>
        <v>#DIV/0!</v>
      </c>
      <c r="G109" s="53" t="e">
        <f t="shared" si="63"/>
        <v>#DIV/0!</v>
      </c>
      <c r="H109" s="53" t="e">
        <f t="shared" si="63"/>
        <v>#DIV/0!</v>
      </c>
      <c r="I109" s="53" t="e">
        <f t="shared" si="63"/>
        <v>#DIV/0!</v>
      </c>
      <c r="J109" s="53" t="e">
        <f t="shared" si="63"/>
        <v>#DIV/0!</v>
      </c>
      <c r="K109" s="53" t="e">
        <f t="shared" si="63"/>
        <v>#DIV/0!</v>
      </c>
      <c r="L109" s="53" t="e">
        <f t="shared" si="63"/>
        <v>#DIV/0!</v>
      </c>
      <c r="M109" s="53" t="e">
        <f t="shared" si="63"/>
        <v>#DIV/0!</v>
      </c>
      <c r="N109" s="53" t="e">
        <f t="shared" si="63"/>
        <v>#DIV/0!</v>
      </c>
      <c r="O109" s="53" t="e">
        <f t="shared" si="63"/>
        <v>#DIV/0!</v>
      </c>
      <c r="P109" s="53" t="e">
        <f t="shared" si="63"/>
        <v>#DIV/0!</v>
      </c>
      <c r="Q109" s="53" t="e">
        <f t="shared" si="63"/>
        <v>#DIV/0!</v>
      </c>
      <c r="R109" s="53" t="e">
        <f t="shared" si="63"/>
        <v>#DIV/0!</v>
      </c>
      <c r="S109" s="53" t="e">
        <f t="shared" si="63"/>
        <v>#DIV/0!</v>
      </c>
      <c r="T109" s="53" t="e">
        <f t="shared" si="63"/>
        <v>#DIV/0!</v>
      </c>
      <c r="U109" s="53" t="e">
        <f t="shared" si="63"/>
        <v>#DIV/0!</v>
      </c>
      <c r="V109" s="53" t="e">
        <f t="shared" si="63"/>
        <v>#DIV/0!</v>
      </c>
      <c r="W109" s="53" t="e">
        <f t="shared" si="63"/>
        <v>#DIV/0!</v>
      </c>
      <c r="X109" s="53" t="e">
        <f t="shared" si="63"/>
        <v>#DIV/0!</v>
      </c>
      <c r="Y109" s="53" t="e">
        <f t="shared" si="63"/>
        <v>#DIV/0!</v>
      </c>
      <c r="Z109" s="53" t="e">
        <f t="shared" si="63"/>
        <v>#DIV/0!</v>
      </c>
      <c r="AA109" s="53" t="e">
        <f t="shared" si="63"/>
        <v>#DIV/0!</v>
      </c>
      <c r="AB109" s="53" t="e">
        <f t="shared" si="63"/>
        <v>#DIV/0!</v>
      </c>
      <c r="AC109" s="53" t="e">
        <f t="shared" si="63"/>
        <v>#DIV/0!</v>
      </c>
      <c r="AD109" s="53" t="e">
        <f t="shared" si="63"/>
        <v>#DIV/0!</v>
      </c>
      <c r="AE109" s="53" t="e">
        <f t="shared" si="63"/>
        <v>#DIV/0!</v>
      </c>
      <c r="AF109" s="53" t="e">
        <f t="shared" si="63"/>
        <v>#DIV/0!</v>
      </c>
      <c r="AG109" s="53" t="e">
        <f t="shared" si="63"/>
        <v>#DIV/0!</v>
      </c>
      <c r="AH109" s="53" t="e">
        <f t="shared" si="63"/>
        <v>#DIV/0!</v>
      </c>
      <c r="AI109" s="53" t="e">
        <f t="shared" si="63"/>
        <v>#DIV/0!</v>
      </c>
      <c r="AJ109" s="53" t="e">
        <f t="shared" si="63"/>
        <v>#DIV/0!</v>
      </c>
      <c r="AK109" s="53" t="e">
        <f t="shared" si="63"/>
        <v>#DIV/0!</v>
      </c>
      <c r="AL109" s="53" t="e">
        <f t="shared" si="63"/>
        <v>#DIV/0!</v>
      </c>
      <c r="AM109" s="53" t="e">
        <f t="shared" si="63"/>
        <v>#DIV/0!</v>
      </c>
      <c r="AN109" s="53" t="e">
        <f t="shared" si="63"/>
        <v>#DIV/0!</v>
      </c>
      <c r="AO109" s="53" t="e">
        <f t="shared" si="63"/>
        <v>#DIV/0!</v>
      </c>
      <c r="AP109" s="53" t="e">
        <f t="shared" si="63"/>
        <v>#DIV/0!</v>
      </c>
      <c r="AQ109" s="53" t="e">
        <f t="shared" si="63"/>
        <v>#DIV/0!</v>
      </c>
      <c r="AR109" s="53" t="e">
        <f t="shared" si="63"/>
        <v>#DIV/0!</v>
      </c>
      <c r="AS109" s="53" t="e">
        <f t="shared" si="63"/>
        <v>#DIV/0!</v>
      </c>
      <c r="AT109" s="53" t="e">
        <f t="shared" si="63"/>
        <v>#DIV/0!</v>
      </c>
    </row>
    <row r="110" spans="1:46" ht="12.75" customHeight="1" x14ac:dyDescent="0.2">
      <c r="A110" s="50"/>
      <c r="C110" s="5" t="s">
        <v>321</v>
      </c>
      <c r="D110" s="56" t="s">
        <v>78</v>
      </c>
      <c r="E110" s="47" t="e">
        <f t="shared" ref="E110:AT110" si="64">(E109*E22*E12)/E69/1000</f>
        <v>#DIV/0!</v>
      </c>
      <c r="F110" s="47" t="e">
        <f t="shared" si="64"/>
        <v>#DIV/0!</v>
      </c>
      <c r="G110" s="47" t="e">
        <f t="shared" si="64"/>
        <v>#DIV/0!</v>
      </c>
      <c r="H110" s="47" t="e">
        <f t="shared" si="64"/>
        <v>#DIV/0!</v>
      </c>
      <c r="I110" s="47" t="e">
        <f t="shared" si="64"/>
        <v>#DIV/0!</v>
      </c>
      <c r="J110" s="47" t="e">
        <f t="shared" si="64"/>
        <v>#DIV/0!</v>
      </c>
      <c r="K110" s="47" t="e">
        <f t="shared" si="64"/>
        <v>#DIV/0!</v>
      </c>
      <c r="L110" s="47" t="e">
        <f t="shared" si="64"/>
        <v>#DIV/0!</v>
      </c>
      <c r="M110" s="47" t="e">
        <f t="shared" si="64"/>
        <v>#DIV/0!</v>
      </c>
      <c r="N110" s="47" t="e">
        <f t="shared" si="64"/>
        <v>#DIV/0!</v>
      </c>
      <c r="O110" s="47" t="e">
        <f t="shared" si="64"/>
        <v>#DIV/0!</v>
      </c>
      <c r="P110" s="47" t="e">
        <f t="shared" si="64"/>
        <v>#DIV/0!</v>
      </c>
      <c r="Q110" s="47" t="e">
        <f t="shared" si="64"/>
        <v>#DIV/0!</v>
      </c>
      <c r="R110" s="47" t="e">
        <f t="shared" si="64"/>
        <v>#DIV/0!</v>
      </c>
      <c r="S110" s="47" t="e">
        <f t="shared" si="64"/>
        <v>#DIV/0!</v>
      </c>
      <c r="T110" s="47" t="e">
        <f t="shared" si="64"/>
        <v>#DIV/0!</v>
      </c>
      <c r="U110" s="47" t="e">
        <f t="shared" si="64"/>
        <v>#DIV/0!</v>
      </c>
      <c r="V110" s="47" t="e">
        <f t="shared" si="64"/>
        <v>#DIV/0!</v>
      </c>
      <c r="W110" s="47" t="e">
        <f t="shared" si="64"/>
        <v>#DIV/0!</v>
      </c>
      <c r="X110" s="47" t="e">
        <f t="shared" si="64"/>
        <v>#DIV/0!</v>
      </c>
      <c r="Y110" s="47" t="e">
        <f t="shared" si="64"/>
        <v>#DIV/0!</v>
      </c>
      <c r="Z110" s="47" t="e">
        <f t="shared" si="64"/>
        <v>#DIV/0!</v>
      </c>
      <c r="AA110" s="47" t="e">
        <f t="shared" si="64"/>
        <v>#DIV/0!</v>
      </c>
      <c r="AB110" s="47" t="e">
        <f t="shared" si="64"/>
        <v>#DIV/0!</v>
      </c>
      <c r="AC110" s="47" t="e">
        <f t="shared" si="64"/>
        <v>#DIV/0!</v>
      </c>
      <c r="AD110" s="47" t="e">
        <f t="shared" si="64"/>
        <v>#DIV/0!</v>
      </c>
      <c r="AE110" s="47" t="e">
        <f t="shared" si="64"/>
        <v>#DIV/0!</v>
      </c>
      <c r="AF110" s="47" t="e">
        <f t="shared" si="64"/>
        <v>#DIV/0!</v>
      </c>
      <c r="AG110" s="47" t="e">
        <f t="shared" si="64"/>
        <v>#DIV/0!</v>
      </c>
      <c r="AH110" s="47" t="e">
        <f t="shared" si="64"/>
        <v>#DIV/0!</v>
      </c>
      <c r="AI110" s="47" t="e">
        <f t="shared" si="64"/>
        <v>#DIV/0!</v>
      </c>
      <c r="AJ110" s="47" t="e">
        <f t="shared" si="64"/>
        <v>#DIV/0!</v>
      </c>
      <c r="AK110" s="47" t="e">
        <f t="shared" si="64"/>
        <v>#DIV/0!</v>
      </c>
      <c r="AL110" s="47" t="e">
        <f t="shared" si="64"/>
        <v>#DIV/0!</v>
      </c>
      <c r="AM110" s="47" t="e">
        <f t="shared" si="64"/>
        <v>#DIV/0!</v>
      </c>
      <c r="AN110" s="47" t="e">
        <f t="shared" si="64"/>
        <v>#DIV/0!</v>
      </c>
      <c r="AO110" s="47" t="e">
        <f t="shared" si="64"/>
        <v>#DIV/0!</v>
      </c>
      <c r="AP110" s="47" t="e">
        <f t="shared" si="64"/>
        <v>#DIV/0!</v>
      </c>
      <c r="AQ110" s="47" t="e">
        <f t="shared" si="64"/>
        <v>#DIV/0!</v>
      </c>
      <c r="AR110" s="47" t="e">
        <f t="shared" si="64"/>
        <v>#DIV/0!</v>
      </c>
      <c r="AS110" s="47" t="e">
        <f t="shared" si="64"/>
        <v>#DIV/0!</v>
      </c>
      <c r="AT110" s="47" t="e">
        <f t="shared" si="64"/>
        <v>#DIV/0!</v>
      </c>
    </row>
    <row r="111" spans="1:46" ht="12.75" customHeight="1" x14ac:dyDescent="0.2">
      <c r="A111" s="6" t="s">
        <v>181</v>
      </c>
      <c r="C111" s="5" t="s">
        <v>322</v>
      </c>
      <c r="D111" s="56" t="s">
        <v>113</v>
      </c>
      <c r="E111" s="59" t="e">
        <f t="shared" ref="E111:AT111" si="65">E72/E110</f>
        <v>#DIV/0!</v>
      </c>
      <c r="F111" s="59" t="e">
        <f t="shared" si="65"/>
        <v>#DIV/0!</v>
      </c>
      <c r="G111" s="59" t="e">
        <f t="shared" si="65"/>
        <v>#DIV/0!</v>
      </c>
      <c r="H111" s="59" t="e">
        <f t="shared" si="65"/>
        <v>#DIV/0!</v>
      </c>
      <c r="I111" s="59" t="e">
        <f t="shared" si="65"/>
        <v>#DIV/0!</v>
      </c>
      <c r="J111" s="59" t="e">
        <f t="shared" si="65"/>
        <v>#DIV/0!</v>
      </c>
      <c r="K111" s="59" t="e">
        <f t="shared" si="65"/>
        <v>#DIV/0!</v>
      </c>
      <c r="L111" s="59" t="e">
        <f t="shared" si="65"/>
        <v>#DIV/0!</v>
      </c>
      <c r="M111" s="59" t="e">
        <f t="shared" si="65"/>
        <v>#DIV/0!</v>
      </c>
      <c r="N111" s="59" t="e">
        <f t="shared" si="65"/>
        <v>#DIV/0!</v>
      </c>
      <c r="O111" s="59" t="e">
        <f t="shared" si="65"/>
        <v>#DIV/0!</v>
      </c>
      <c r="P111" s="59" t="e">
        <f t="shared" si="65"/>
        <v>#DIV/0!</v>
      </c>
      <c r="Q111" s="59" t="e">
        <f t="shared" si="65"/>
        <v>#DIV/0!</v>
      </c>
      <c r="R111" s="59" t="e">
        <f t="shared" si="65"/>
        <v>#DIV/0!</v>
      </c>
      <c r="S111" s="59" t="e">
        <f t="shared" si="65"/>
        <v>#DIV/0!</v>
      </c>
      <c r="T111" s="59" t="e">
        <f t="shared" si="65"/>
        <v>#DIV/0!</v>
      </c>
      <c r="U111" s="59" t="e">
        <f t="shared" si="65"/>
        <v>#DIV/0!</v>
      </c>
      <c r="V111" s="59" t="e">
        <f t="shared" si="65"/>
        <v>#DIV/0!</v>
      </c>
      <c r="W111" s="59" t="e">
        <f t="shared" si="65"/>
        <v>#DIV/0!</v>
      </c>
      <c r="X111" s="59" t="e">
        <f t="shared" si="65"/>
        <v>#DIV/0!</v>
      </c>
      <c r="Y111" s="59" t="e">
        <f t="shared" si="65"/>
        <v>#DIV/0!</v>
      </c>
      <c r="Z111" s="59" t="e">
        <f t="shared" si="65"/>
        <v>#DIV/0!</v>
      </c>
      <c r="AA111" s="59" t="e">
        <f t="shared" si="65"/>
        <v>#DIV/0!</v>
      </c>
      <c r="AB111" s="59" t="e">
        <f t="shared" si="65"/>
        <v>#DIV/0!</v>
      </c>
      <c r="AC111" s="59" t="e">
        <f t="shared" si="65"/>
        <v>#DIV/0!</v>
      </c>
      <c r="AD111" s="59" t="e">
        <f t="shared" si="65"/>
        <v>#DIV/0!</v>
      </c>
      <c r="AE111" s="59" t="e">
        <f t="shared" si="65"/>
        <v>#DIV/0!</v>
      </c>
      <c r="AF111" s="59" t="e">
        <f t="shared" si="65"/>
        <v>#DIV/0!</v>
      </c>
      <c r="AG111" s="59" t="e">
        <f t="shared" si="65"/>
        <v>#DIV/0!</v>
      </c>
      <c r="AH111" s="59" t="e">
        <f t="shared" si="65"/>
        <v>#DIV/0!</v>
      </c>
      <c r="AI111" s="59" t="e">
        <f t="shared" si="65"/>
        <v>#DIV/0!</v>
      </c>
      <c r="AJ111" s="59" t="e">
        <f t="shared" si="65"/>
        <v>#DIV/0!</v>
      </c>
      <c r="AK111" s="59" t="e">
        <f t="shared" si="65"/>
        <v>#DIV/0!</v>
      </c>
      <c r="AL111" s="59" t="e">
        <f t="shared" si="65"/>
        <v>#DIV/0!</v>
      </c>
      <c r="AM111" s="59" t="e">
        <f t="shared" si="65"/>
        <v>#DIV/0!</v>
      </c>
      <c r="AN111" s="59" t="e">
        <f t="shared" si="65"/>
        <v>#DIV/0!</v>
      </c>
      <c r="AO111" s="59" t="e">
        <f t="shared" si="65"/>
        <v>#DIV/0!</v>
      </c>
      <c r="AP111" s="59" t="e">
        <f t="shared" si="65"/>
        <v>#DIV/0!</v>
      </c>
      <c r="AQ111" s="59" t="e">
        <f t="shared" si="65"/>
        <v>#DIV/0!</v>
      </c>
      <c r="AR111" s="59" t="e">
        <f t="shared" si="65"/>
        <v>#DIV/0!</v>
      </c>
      <c r="AS111" s="59" t="e">
        <f t="shared" si="65"/>
        <v>#DIV/0!</v>
      </c>
      <c r="AT111" s="59" t="e">
        <f t="shared" si="65"/>
        <v>#DIV/0!</v>
      </c>
    </row>
    <row r="112" spans="1:46" ht="12.75" customHeight="1" x14ac:dyDescent="0.2">
      <c r="A112" s="50"/>
      <c r="C112" s="63"/>
    </row>
    <row r="113" spans="1:46" ht="12.75" customHeight="1" x14ac:dyDescent="0.2">
      <c r="A113" s="50" t="s">
        <v>323</v>
      </c>
      <c r="C113" s="62" t="s">
        <v>324</v>
      </c>
    </row>
    <row r="114" spans="1:46" ht="12.75" customHeight="1" x14ac:dyDescent="0.2">
      <c r="A114" s="50"/>
      <c r="C114" s="7" t="s">
        <v>320</v>
      </c>
      <c r="D114" s="56" t="s">
        <v>113</v>
      </c>
      <c r="E114" s="53" t="e">
        <f t="shared" ref="E114:AT114" si="66">E109</f>
        <v>#DIV/0!</v>
      </c>
      <c r="F114" s="53" t="e">
        <f t="shared" si="66"/>
        <v>#DIV/0!</v>
      </c>
      <c r="G114" s="53" t="e">
        <f t="shared" si="66"/>
        <v>#DIV/0!</v>
      </c>
      <c r="H114" s="53" t="e">
        <f t="shared" si="66"/>
        <v>#DIV/0!</v>
      </c>
      <c r="I114" s="53" t="e">
        <f t="shared" si="66"/>
        <v>#DIV/0!</v>
      </c>
      <c r="J114" s="53" t="e">
        <f t="shared" si="66"/>
        <v>#DIV/0!</v>
      </c>
      <c r="K114" s="53" t="e">
        <f t="shared" si="66"/>
        <v>#DIV/0!</v>
      </c>
      <c r="L114" s="53" t="e">
        <f t="shared" si="66"/>
        <v>#DIV/0!</v>
      </c>
      <c r="M114" s="53" t="e">
        <f t="shared" si="66"/>
        <v>#DIV/0!</v>
      </c>
      <c r="N114" s="53" t="e">
        <f t="shared" si="66"/>
        <v>#DIV/0!</v>
      </c>
      <c r="O114" s="53" t="e">
        <f t="shared" si="66"/>
        <v>#DIV/0!</v>
      </c>
      <c r="P114" s="53" t="e">
        <f t="shared" si="66"/>
        <v>#DIV/0!</v>
      </c>
      <c r="Q114" s="53" t="e">
        <f t="shared" si="66"/>
        <v>#DIV/0!</v>
      </c>
      <c r="R114" s="53" t="e">
        <f t="shared" si="66"/>
        <v>#DIV/0!</v>
      </c>
      <c r="S114" s="53" t="e">
        <f t="shared" si="66"/>
        <v>#DIV/0!</v>
      </c>
      <c r="T114" s="53" t="e">
        <f t="shared" si="66"/>
        <v>#DIV/0!</v>
      </c>
      <c r="U114" s="53" t="e">
        <f t="shared" si="66"/>
        <v>#DIV/0!</v>
      </c>
      <c r="V114" s="53" t="e">
        <f t="shared" si="66"/>
        <v>#DIV/0!</v>
      </c>
      <c r="W114" s="53" t="e">
        <f t="shared" si="66"/>
        <v>#DIV/0!</v>
      </c>
      <c r="X114" s="53" t="e">
        <f t="shared" si="66"/>
        <v>#DIV/0!</v>
      </c>
      <c r="Y114" s="53" t="e">
        <f t="shared" si="66"/>
        <v>#DIV/0!</v>
      </c>
      <c r="Z114" s="53" t="e">
        <f t="shared" si="66"/>
        <v>#DIV/0!</v>
      </c>
      <c r="AA114" s="53" t="e">
        <f t="shared" si="66"/>
        <v>#DIV/0!</v>
      </c>
      <c r="AB114" s="53" t="e">
        <f t="shared" si="66"/>
        <v>#DIV/0!</v>
      </c>
      <c r="AC114" s="53" t="e">
        <f t="shared" si="66"/>
        <v>#DIV/0!</v>
      </c>
      <c r="AD114" s="53" t="e">
        <f t="shared" si="66"/>
        <v>#DIV/0!</v>
      </c>
      <c r="AE114" s="53" t="e">
        <f t="shared" si="66"/>
        <v>#DIV/0!</v>
      </c>
      <c r="AF114" s="53" t="e">
        <f t="shared" si="66"/>
        <v>#DIV/0!</v>
      </c>
      <c r="AG114" s="53" t="e">
        <f t="shared" si="66"/>
        <v>#DIV/0!</v>
      </c>
      <c r="AH114" s="53" t="e">
        <f t="shared" si="66"/>
        <v>#DIV/0!</v>
      </c>
      <c r="AI114" s="53" t="e">
        <f t="shared" si="66"/>
        <v>#DIV/0!</v>
      </c>
      <c r="AJ114" s="53" t="e">
        <f t="shared" si="66"/>
        <v>#DIV/0!</v>
      </c>
      <c r="AK114" s="53" t="e">
        <f t="shared" si="66"/>
        <v>#DIV/0!</v>
      </c>
      <c r="AL114" s="53" t="e">
        <f t="shared" si="66"/>
        <v>#DIV/0!</v>
      </c>
      <c r="AM114" s="53" t="e">
        <f t="shared" si="66"/>
        <v>#DIV/0!</v>
      </c>
      <c r="AN114" s="53" t="e">
        <f t="shared" si="66"/>
        <v>#DIV/0!</v>
      </c>
      <c r="AO114" s="53" t="e">
        <f t="shared" si="66"/>
        <v>#DIV/0!</v>
      </c>
      <c r="AP114" s="53" t="e">
        <f t="shared" si="66"/>
        <v>#DIV/0!</v>
      </c>
      <c r="AQ114" s="53" t="e">
        <f t="shared" si="66"/>
        <v>#DIV/0!</v>
      </c>
      <c r="AR114" s="53" t="e">
        <f t="shared" si="66"/>
        <v>#DIV/0!</v>
      </c>
      <c r="AS114" s="53" t="e">
        <f t="shared" si="66"/>
        <v>#DIV/0!</v>
      </c>
      <c r="AT114" s="53" t="e">
        <f t="shared" si="66"/>
        <v>#DIV/0!</v>
      </c>
    </row>
    <row r="115" spans="1:46" ht="12.75" customHeight="1" x14ac:dyDescent="0.2">
      <c r="A115" s="50"/>
      <c r="C115" s="7" t="s">
        <v>325</v>
      </c>
      <c r="D115" s="56" t="s">
        <v>113</v>
      </c>
      <c r="E115" s="53">
        <v>1</v>
      </c>
      <c r="F115" s="53">
        <v>1</v>
      </c>
      <c r="G115" s="53">
        <v>1</v>
      </c>
      <c r="H115" s="53">
        <v>1</v>
      </c>
      <c r="I115" s="53">
        <v>1</v>
      </c>
      <c r="J115" s="53">
        <v>1</v>
      </c>
      <c r="K115" s="53">
        <v>1</v>
      </c>
      <c r="L115" s="53">
        <v>1</v>
      </c>
      <c r="M115" s="53">
        <v>1</v>
      </c>
      <c r="N115" s="53">
        <v>1</v>
      </c>
      <c r="O115" s="53">
        <v>1</v>
      </c>
      <c r="P115" s="53">
        <v>1</v>
      </c>
      <c r="Q115" s="53">
        <v>1</v>
      </c>
      <c r="R115" s="53">
        <v>1</v>
      </c>
      <c r="S115" s="53">
        <v>1</v>
      </c>
      <c r="T115" s="53">
        <v>1</v>
      </c>
      <c r="U115" s="53">
        <v>1</v>
      </c>
      <c r="V115" s="53">
        <v>1</v>
      </c>
      <c r="W115" s="53">
        <v>1</v>
      </c>
      <c r="X115" s="53">
        <v>1</v>
      </c>
      <c r="Y115" s="53">
        <v>1</v>
      </c>
      <c r="Z115" s="53">
        <v>1</v>
      </c>
      <c r="AA115" s="53">
        <v>1</v>
      </c>
      <c r="AB115" s="53">
        <v>1</v>
      </c>
      <c r="AC115" s="53">
        <v>1</v>
      </c>
      <c r="AD115" s="53">
        <v>1</v>
      </c>
      <c r="AE115" s="53">
        <v>1</v>
      </c>
      <c r="AF115" s="53">
        <v>1</v>
      </c>
      <c r="AG115" s="53">
        <v>1</v>
      </c>
      <c r="AH115" s="53">
        <v>1</v>
      </c>
      <c r="AI115" s="53">
        <v>1</v>
      </c>
      <c r="AJ115" s="53">
        <v>1</v>
      </c>
      <c r="AK115" s="53">
        <v>1</v>
      </c>
      <c r="AL115" s="53">
        <v>1</v>
      </c>
      <c r="AM115" s="53">
        <v>1</v>
      </c>
      <c r="AN115" s="53">
        <v>1</v>
      </c>
      <c r="AO115" s="53">
        <v>1</v>
      </c>
      <c r="AP115" s="53">
        <v>1</v>
      </c>
      <c r="AQ115" s="53">
        <v>1</v>
      </c>
      <c r="AR115" s="53">
        <v>1</v>
      </c>
      <c r="AS115" s="53">
        <v>1</v>
      </c>
      <c r="AT115" s="53">
        <v>1</v>
      </c>
    </row>
    <row r="116" spans="1:46" ht="12.75" customHeight="1" x14ac:dyDescent="0.2">
      <c r="A116" s="50"/>
      <c r="C116" s="5" t="s">
        <v>326</v>
      </c>
      <c r="D116" s="56" t="s">
        <v>78</v>
      </c>
      <c r="E116" s="47">
        <f t="shared" ref="E116:AT116" si="67">E73</f>
        <v>0</v>
      </c>
      <c r="F116" s="47">
        <f t="shared" si="67"/>
        <v>0</v>
      </c>
      <c r="G116" s="47">
        <f t="shared" si="67"/>
        <v>0</v>
      </c>
      <c r="H116" s="47">
        <f t="shared" si="67"/>
        <v>0</v>
      </c>
      <c r="I116" s="47">
        <f t="shared" si="67"/>
        <v>0</v>
      </c>
      <c r="J116" s="47">
        <f t="shared" si="67"/>
        <v>0</v>
      </c>
      <c r="K116" s="47">
        <f t="shared" si="67"/>
        <v>0</v>
      </c>
      <c r="L116" s="47">
        <f t="shared" si="67"/>
        <v>0</v>
      </c>
      <c r="M116" s="47">
        <f t="shared" si="67"/>
        <v>0</v>
      </c>
      <c r="N116" s="47">
        <f t="shared" si="67"/>
        <v>0</v>
      </c>
      <c r="O116" s="47">
        <f t="shared" si="67"/>
        <v>0</v>
      </c>
      <c r="P116" s="47">
        <f t="shared" si="67"/>
        <v>0</v>
      </c>
      <c r="Q116" s="47">
        <f t="shared" si="67"/>
        <v>0</v>
      </c>
      <c r="R116" s="47">
        <f t="shared" si="67"/>
        <v>0</v>
      </c>
      <c r="S116" s="47">
        <f t="shared" si="67"/>
        <v>0</v>
      </c>
      <c r="T116" s="47">
        <f t="shared" si="67"/>
        <v>0</v>
      </c>
      <c r="U116" s="47">
        <f t="shared" si="67"/>
        <v>0</v>
      </c>
      <c r="V116" s="47">
        <f t="shared" si="67"/>
        <v>0</v>
      </c>
      <c r="W116" s="47">
        <f t="shared" si="67"/>
        <v>0</v>
      </c>
      <c r="X116" s="47">
        <f t="shared" si="67"/>
        <v>0</v>
      </c>
      <c r="Y116" s="47">
        <f t="shared" si="67"/>
        <v>0</v>
      </c>
      <c r="Z116" s="47">
        <f t="shared" si="67"/>
        <v>0</v>
      </c>
      <c r="AA116" s="47">
        <f t="shared" si="67"/>
        <v>0</v>
      </c>
      <c r="AB116" s="47">
        <f t="shared" si="67"/>
        <v>0</v>
      </c>
      <c r="AC116" s="47">
        <f t="shared" si="67"/>
        <v>0</v>
      </c>
      <c r="AD116" s="47">
        <f t="shared" si="67"/>
        <v>0</v>
      </c>
      <c r="AE116" s="47">
        <f t="shared" si="67"/>
        <v>0</v>
      </c>
      <c r="AF116" s="47">
        <f t="shared" si="67"/>
        <v>0</v>
      </c>
      <c r="AG116" s="47">
        <f t="shared" si="67"/>
        <v>0</v>
      </c>
      <c r="AH116" s="47">
        <f t="shared" si="67"/>
        <v>0</v>
      </c>
      <c r="AI116" s="47">
        <f t="shared" si="67"/>
        <v>0</v>
      </c>
      <c r="AJ116" s="47">
        <f t="shared" si="67"/>
        <v>0</v>
      </c>
      <c r="AK116" s="47">
        <f t="shared" si="67"/>
        <v>0</v>
      </c>
      <c r="AL116" s="47">
        <f t="shared" si="67"/>
        <v>0</v>
      </c>
      <c r="AM116" s="47">
        <f t="shared" si="67"/>
        <v>0</v>
      </c>
      <c r="AN116" s="47">
        <f t="shared" si="67"/>
        <v>0</v>
      </c>
      <c r="AO116" s="47">
        <f t="shared" si="67"/>
        <v>0</v>
      </c>
      <c r="AP116" s="47">
        <f t="shared" si="67"/>
        <v>0</v>
      </c>
      <c r="AQ116" s="47">
        <f t="shared" si="67"/>
        <v>0</v>
      </c>
      <c r="AR116" s="47">
        <f t="shared" si="67"/>
        <v>0</v>
      </c>
      <c r="AS116" s="47">
        <f t="shared" si="67"/>
        <v>0</v>
      </c>
      <c r="AT116" s="47">
        <f t="shared" si="67"/>
        <v>0</v>
      </c>
    </row>
    <row r="117" spans="1:46" ht="12.75" customHeight="1" x14ac:dyDescent="0.2">
      <c r="A117" s="50"/>
      <c r="C117" s="5" t="s">
        <v>327</v>
      </c>
      <c r="D117" s="56" t="s">
        <v>78</v>
      </c>
      <c r="E117" s="47" t="e">
        <f t="shared" ref="E117:AT117" si="68">E80</f>
        <v>#DIV/0!</v>
      </c>
      <c r="F117" s="47" t="e">
        <f t="shared" si="68"/>
        <v>#DIV/0!</v>
      </c>
      <c r="G117" s="47" t="e">
        <f t="shared" si="68"/>
        <v>#DIV/0!</v>
      </c>
      <c r="H117" s="47" t="e">
        <f t="shared" si="68"/>
        <v>#DIV/0!</v>
      </c>
      <c r="I117" s="47" t="e">
        <f t="shared" si="68"/>
        <v>#DIV/0!</v>
      </c>
      <c r="J117" s="47" t="e">
        <f t="shared" si="68"/>
        <v>#DIV/0!</v>
      </c>
      <c r="K117" s="47" t="e">
        <f t="shared" si="68"/>
        <v>#DIV/0!</v>
      </c>
      <c r="L117" s="47" t="e">
        <f t="shared" si="68"/>
        <v>#DIV/0!</v>
      </c>
      <c r="M117" s="47" t="e">
        <f t="shared" si="68"/>
        <v>#DIV/0!</v>
      </c>
      <c r="N117" s="47" t="e">
        <f t="shared" si="68"/>
        <v>#DIV/0!</v>
      </c>
      <c r="O117" s="47" t="e">
        <f t="shared" si="68"/>
        <v>#DIV/0!</v>
      </c>
      <c r="P117" s="47" t="e">
        <f t="shared" si="68"/>
        <v>#DIV/0!</v>
      </c>
      <c r="Q117" s="47" t="e">
        <f t="shared" si="68"/>
        <v>#DIV/0!</v>
      </c>
      <c r="R117" s="47" t="e">
        <f t="shared" si="68"/>
        <v>#DIV/0!</v>
      </c>
      <c r="S117" s="47" t="e">
        <f t="shared" si="68"/>
        <v>#DIV/0!</v>
      </c>
      <c r="T117" s="47" t="e">
        <f t="shared" si="68"/>
        <v>#DIV/0!</v>
      </c>
      <c r="U117" s="47" t="e">
        <f t="shared" si="68"/>
        <v>#DIV/0!</v>
      </c>
      <c r="V117" s="47" t="e">
        <f t="shared" si="68"/>
        <v>#DIV/0!</v>
      </c>
      <c r="W117" s="47" t="e">
        <f t="shared" si="68"/>
        <v>#DIV/0!</v>
      </c>
      <c r="X117" s="47" t="e">
        <f t="shared" si="68"/>
        <v>#DIV/0!</v>
      </c>
      <c r="Y117" s="47" t="e">
        <f t="shared" si="68"/>
        <v>#DIV/0!</v>
      </c>
      <c r="Z117" s="47" t="e">
        <f t="shared" si="68"/>
        <v>#DIV/0!</v>
      </c>
      <c r="AA117" s="47" t="e">
        <f t="shared" si="68"/>
        <v>#DIV/0!</v>
      </c>
      <c r="AB117" s="47" t="e">
        <f t="shared" si="68"/>
        <v>#DIV/0!</v>
      </c>
      <c r="AC117" s="47" t="e">
        <f t="shared" si="68"/>
        <v>#DIV/0!</v>
      </c>
      <c r="AD117" s="47" t="e">
        <f t="shared" si="68"/>
        <v>#DIV/0!</v>
      </c>
      <c r="AE117" s="47" t="e">
        <f t="shared" si="68"/>
        <v>#DIV/0!</v>
      </c>
      <c r="AF117" s="47" t="e">
        <f t="shared" si="68"/>
        <v>#DIV/0!</v>
      </c>
      <c r="AG117" s="47" t="e">
        <f t="shared" si="68"/>
        <v>#DIV/0!</v>
      </c>
      <c r="AH117" s="47" t="e">
        <f t="shared" si="68"/>
        <v>#DIV/0!</v>
      </c>
      <c r="AI117" s="47" t="e">
        <f t="shared" si="68"/>
        <v>#DIV/0!</v>
      </c>
      <c r="AJ117" s="47" t="e">
        <f t="shared" si="68"/>
        <v>#DIV/0!</v>
      </c>
      <c r="AK117" s="47" t="e">
        <f t="shared" si="68"/>
        <v>#DIV/0!</v>
      </c>
      <c r="AL117" s="47" t="e">
        <f t="shared" si="68"/>
        <v>#DIV/0!</v>
      </c>
      <c r="AM117" s="47" t="e">
        <f t="shared" si="68"/>
        <v>#DIV/0!</v>
      </c>
      <c r="AN117" s="47" t="e">
        <f t="shared" si="68"/>
        <v>#DIV/0!</v>
      </c>
      <c r="AO117" s="47" t="e">
        <f t="shared" si="68"/>
        <v>#DIV/0!</v>
      </c>
      <c r="AP117" s="47" t="e">
        <f t="shared" si="68"/>
        <v>#DIV/0!</v>
      </c>
      <c r="AQ117" s="47" t="e">
        <f t="shared" si="68"/>
        <v>#DIV/0!</v>
      </c>
      <c r="AR117" s="47" t="e">
        <f t="shared" si="68"/>
        <v>#DIV/0!</v>
      </c>
      <c r="AS117" s="47" t="e">
        <f t="shared" si="68"/>
        <v>#DIV/0!</v>
      </c>
      <c r="AT117" s="47" t="e">
        <f t="shared" si="68"/>
        <v>#DIV/0!</v>
      </c>
    </row>
    <row r="118" spans="1:46" ht="12.75" customHeight="1" x14ac:dyDescent="0.2">
      <c r="A118" s="50"/>
    </row>
    <row r="119" spans="1:46" ht="12.75" customHeight="1" x14ac:dyDescent="0.2">
      <c r="A119" s="6" t="s">
        <v>328</v>
      </c>
      <c r="C119" s="5" t="s">
        <v>329</v>
      </c>
      <c r="D119" s="56" t="s">
        <v>177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</row>
    <row r="120" spans="1:46" ht="12.75" customHeight="1" x14ac:dyDescent="0.2">
      <c r="A120" s="50"/>
      <c r="C120" s="5" t="s">
        <v>330</v>
      </c>
      <c r="D120" s="56" t="s">
        <v>177</v>
      </c>
      <c r="E120" s="47" t="e">
        <f t="shared" ref="E120:AT120" si="69">E62</f>
        <v>#DIV/0!</v>
      </c>
      <c r="F120" s="47" t="e">
        <f t="shared" si="69"/>
        <v>#DIV/0!</v>
      </c>
      <c r="G120" s="47" t="e">
        <f t="shared" si="69"/>
        <v>#DIV/0!</v>
      </c>
      <c r="H120" s="47" t="e">
        <f t="shared" si="69"/>
        <v>#DIV/0!</v>
      </c>
      <c r="I120" s="47" t="e">
        <f t="shared" si="69"/>
        <v>#DIV/0!</v>
      </c>
      <c r="J120" s="47" t="e">
        <f t="shared" si="69"/>
        <v>#DIV/0!</v>
      </c>
      <c r="K120" s="47" t="e">
        <f t="shared" si="69"/>
        <v>#DIV/0!</v>
      </c>
      <c r="L120" s="47" t="e">
        <f t="shared" si="69"/>
        <v>#DIV/0!</v>
      </c>
      <c r="M120" s="47" t="e">
        <f t="shared" si="69"/>
        <v>#DIV/0!</v>
      </c>
      <c r="N120" s="47" t="e">
        <f t="shared" si="69"/>
        <v>#DIV/0!</v>
      </c>
      <c r="O120" s="47" t="e">
        <f t="shared" si="69"/>
        <v>#DIV/0!</v>
      </c>
      <c r="P120" s="47" t="e">
        <f t="shared" si="69"/>
        <v>#DIV/0!</v>
      </c>
      <c r="Q120" s="47" t="e">
        <f t="shared" si="69"/>
        <v>#DIV/0!</v>
      </c>
      <c r="R120" s="47" t="e">
        <f t="shared" si="69"/>
        <v>#DIV/0!</v>
      </c>
      <c r="S120" s="47" t="e">
        <f t="shared" si="69"/>
        <v>#DIV/0!</v>
      </c>
      <c r="T120" s="47" t="e">
        <f t="shared" si="69"/>
        <v>#DIV/0!</v>
      </c>
      <c r="U120" s="47" t="e">
        <f t="shared" si="69"/>
        <v>#DIV/0!</v>
      </c>
      <c r="V120" s="47" t="e">
        <f t="shared" si="69"/>
        <v>#DIV/0!</v>
      </c>
      <c r="W120" s="47" t="e">
        <f t="shared" si="69"/>
        <v>#DIV/0!</v>
      </c>
      <c r="X120" s="47" t="e">
        <f t="shared" si="69"/>
        <v>#DIV/0!</v>
      </c>
      <c r="Y120" s="47" t="e">
        <f t="shared" si="69"/>
        <v>#DIV/0!</v>
      </c>
      <c r="Z120" s="47" t="e">
        <f t="shared" si="69"/>
        <v>#DIV/0!</v>
      </c>
      <c r="AA120" s="47" t="e">
        <f t="shared" si="69"/>
        <v>#DIV/0!</v>
      </c>
      <c r="AB120" s="47" t="e">
        <f t="shared" si="69"/>
        <v>#DIV/0!</v>
      </c>
      <c r="AC120" s="47" t="e">
        <f t="shared" si="69"/>
        <v>#DIV/0!</v>
      </c>
      <c r="AD120" s="47" t="e">
        <f t="shared" si="69"/>
        <v>#DIV/0!</v>
      </c>
      <c r="AE120" s="47" t="e">
        <f t="shared" si="69"/>
        <v>#DIV/0!</v>
      </c>
      <c r="AF120" s="47" t="e">
        <f t="shared" si="69"/>
        <v>#DIV/0!</v>
      </c>
      <c r="AG120" s="47" t="e">
        <f t="shared" si="69"/>
        <v>#DIV/0!</v>
      </c>
      <c r="AH120" s="47" t="e">
        <f t="shared" si="69"/>
        <v>#DIV/0!</v>
      </c>
      <c r="AI120" s="47" t="e">
        <f t="shared" si="69"/>
        <v>#DIV/0!</v>
      </c>
      <c r="AJ120" s="47" t="e">
        <f t="shared" si="69"/>
        <v>#DIV/0!</v>
      </c>
      <c r="AK120" s="47" t="e">
        <f t="shared" si="69"/>
        <v>#DIV/0!</v>
      </c>
      <c r="AL120" s="47" t="e">
        <f t="shared" si="69"/>
        <v>#DIV/0!</v>
      </c>
      <c r="AM120" s="47" t="e">
        <f t="shared" si="69"/>
        <v>#DIV/0!</v>
      </c>
      <c r="AN120" s="47" t="e">
        <f t="shared" si="69"/>
        <v>#DIV/0!</v>
      </c>
      <c r="AO120" s="47" t="e">
        <f t="shared" si="69"/>
        <v>#DIV/0!</v>
      </c>
      <c r="AP120" s="47" t="e">
        <f t="shared" si="69"/>
        <v>#DIV/0!</v>
      </c>
      <c r="AQ120" s="47" t="e">
        <f t="shared" si="69"/>
        <v>#DIV/0!</v>
      </c>
      <c r="AR120" s="47" t="e">
        <f t="shared" si="69"/>
        <v>#DIV/0!</v>
      </c>
      <c r="AS120" s="47" t="e">
        <f t="shared" si="69"/>
        <v>#DIV/0!</v>
      </c>
      <c r="AT120" s="47" t="e">
        <f t="shared" si="69"/>
        <v>#DIV/0!</v>
      </c>
    </row>
    <row r="121" spans="1:46" ht="12.75" customHeight="1" x14ac:dyDescent="0.2">
      <c r="A121" s="50"/>
      <c r="C121" s="7" t="s">
        <v>331</v>
      </c>
      <c r="D121" s="56" t="s">
        <v>113</v>
      </c>
      <c r="E121" s="9" t="e">
        <f t="shared" ref="E121:AT121" si="70">E119/E120</f>
        <v>#DIV/0!</v>
      </c>
      <c r="F121" s="9" t="e">
        <f t="shared" si="70"/>
        <v>#DIV/0!</v>
      </c>
      <c r="G121" s="9" t="e">
        <f t="shared" si="70"/>
        <v>#DIV/0!</v>
      </c>
      <c r="H121" s="9" t="e">
        <f t="shared" si="70"/>
        <v>#DIV/0!</v>
      </c>
      <c r="I121" s="9" t="e">
        <f t="shared" si="70"/>
        <v>#DIV/0!</v>
      </c>
      <c r="J121" s="9" t="e">
        <f t="shared" si="70"/>
        <v>#DIV/0!</v>
      </c>
      <c r="K121" s="9" t="e">
        <f t="shared" si="70"/>
        <v>#DIV/0!</v>
      </c>
      <c r="L121" s="9" t="e">
        <f t="shared" si="70"/>
        <v>#DIV/0!</v>
      </c>
      <c r="M121" s="9" t="e">
        <f t="shared" si="70"/>
        <v>#DIV/0!</v>
      </c>
      <c r="N121" s="9" t="e">
        <f t="shared" si="70"/>
        <v>#DIV/0!</v>
      </c>
      <c r="O121" s="9" t="e">
        <f t="shared" si="70"/>
        <v>#DIV/0!</v>
      </c>
      <c r="P121" s="9" t="e">
        <f t="shared" si="70"/>
        <v>#DIV/0!</v>
      </c>
      <c r="Q121" s="9" t="e">
        <f t="shared" si="70"/>
        <v>#DIV/0!</v>
      </c>
      <c r="R121" s="9" t="e">
        <f t="shared" si="70"/>
        <v>#DIV/0!</v>
      </c>
      <c r="S121" s="9" t="e">
        <f t="shared" si="70"/>
        <v>#DIV/0!</v>
      </c>
      <c r="T121" s="9" t="e">
        <f t="shared" si="70"/>
        <v>#DIV/0!</v>
      </c>
      <c r="U121" s="9" t="e">
        <f t="shared" si="70"/>
        <v>#DIV/0!</v>
      </c>
      <c r="V121" s="9" t="e">
        <f t="shared" si="70"/>
        <v>#DIV/0!</v>
      </c>
      <c r="W121" s="9" t="e">
        <f t="shared" si="70"/>
        <v>#DIV/0!</v>
      </c>
      <c r="X121" s="9" t="e">
        <f t="shared" si="70"/>
        <v>#DIV/0!</v>
      </c>
      <c r="Y121" s="9" t="e">
        <f t="shared" si="70"/>
        <v>#DIV/0!</v>
      </c>
      <c r="Z121" s="9" t="e">
        <f t="shared" si="70"/>
        <v>#DIV/0!</v>
      </c>
      <c r="AA121" s="9" t="e">
        <f t="shared" si="70"/>
        <v>#DIV/0!</v>
      </c>
      <c r="AB121" s="9" t="e">
        <f t="shared" si="70"/>
        <v>#DIV/0!</v>
      </c>
      <c r="AC121" s="9" t="e">
        <f t="shared" si="70"/>
        <v>#DIV/0!</v>
      </c>
      <c r="AD121" s="9" t="e">
        <f t="shared" si="70"/>
        <v>#DIV/0!</v>
      </c>
      <c r="AE121" s="9" t="e">
        <f t="shared" si="70"/>
        <v>#DIV/0!</v>
      </c>
      <c r="AF121" s="9" t="e">
        <f t="shared" si="70"/>
        <v>#DIV/0!</v>
      </c>
      <c r="AG121" s="9" t="e">
        <f t="shared" si="70"/>
        <v>#DIV/0!</v>
      </c>
      <c r="AH121" s="9" t="e">
        <f t="shared" si="70"/>
        <v>#DIV/0!</v>
      </c>
      <c r="AI121" s="9" t="e">
        <f t="shared" si="70"/>
        <v>#DIV/0!</v>
      </c>
      <c r="AJ121" s="9" t="e">
        <f t="shared" si="70"/>
        <v>#DIV/0!</v>
      </c>
      <c r="AK121" s="9" t="e">
        <f t="shared" si="70"/>
        <v>#DIV/0!</v>
      </c>
      <c r="AL121" s="9" t="e">
        <f t="shared" si="70"/>
        <v>#DIV/0!</v>
      </c>
      <c r="AM121" s="9" t="e">
        <f t="shared" si="70"/>
        <v>#DIV/0!</v>
      </c>
      <c r="AN121" s="9" t="e">
        <f t="shared" si="70"/>
        <v>#DIV/0!</v>
      </c>
      <c r="AO121" s="9" t="e">
        <f t="shared" si="70"/>
        <v>#DIV/0!</v>
      </c>
      <c r="AP121" s="9" t="e">
        <f t="shared" si="70"/>
        <v>#DIV/0!</v>
      </c>
      <c r="AQ121" s="9" t="e">
        <f t="shared" si="70"/>
        <v>#DIV/0!</v>
      </c>
      <c r="AR121" s="9" t="e">
        <f t="shared" si="70"/>
        <v>#DIV/0!</v>
      </c>
      <c r="AS121" s="9" t="e">
        <f t="shared" si="70"/>
        <v>#DIV/0!</v>
      </c>
      <c r="AT121" s="9" t="e">
        <f t="shared" si="70"/>
        <v>#DIV/0!</v>
      </c>
    </row>
    <row r="122" spans="1:46" ht="12.75" customHeight="1" x14ac:dyDescent="0.2">
      <c r="A122" s="50"/>
      <c r="C122" s="7" t="s">
        <v>332</v>
      </c>
      <c r="D122" s="56" t="s">
        <v>113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1</v>
      </c>
      <c r="X122" s="9">
        <v>1</v>
      </c>
      <c r="Y122" s="9">
        <v>1</v>
      </c>
      <c r="Z122" s="9">
        <v>1</v>
      </c>
      <c r="AA122" s="9">
        <v>1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1</v>
      </c>
      <c r="AK122" s="9">
        <v>1</v>
      </c>
      <c r="AL122" s="9">
        <v>1</v>
      </c>
      <c r="AM122" s="9">
        <v>1</v>
      </c>
      <c r="AN122" s="9">
        <v>1</v>
      </c>
      <c r="AO122" s="9">
        <v>1</v>
      </c>
      <c r="AP122" s="9">
        <v>1</v>
      </c>
      <c r="AQ122" s="9">
        <v>1</v>
      </c>
      <c r="AR122" s="9">
        <v>1</v>
      </c>
      <c r="AS122" s="9">
        <v>1</v>
      </c>
      <c r="AT122" s="9">
        <v>1</v>
      </c>
    </row>
    <row r="123" spans="1:46" ht="12.75" customHeight="1" x14ac:dyDescent="0.2">
      <c r="A123" s="50"/>
      <c r="C123" s="5" t="s">
        <v>333</v>
      </c>
      <c r="D123" s="56" t="s">
        <v>113</v>
      </c>
      <c r="E123" s="9">
        <v>0.95</v>
      </c>
      <c r="F123" s="9">
        <v>0.95</v>
      </c>
      <c r="G123" s="9">
        <v>0.95</v>
      </c>
      <c r="H123" s="9">
        <v>0.95</v>
      </c>
      <c r="I123" s="9">
        <v>0.95</v>
      </c>
      <c r="J123" s="9">
        <v>0.95</v>
      </c>
      <c r="K123" s="9">
        <v>0.95</v>
      </c>
      <c r="L123" s="9">
        <v>0.95</v>
      </c>
      <c r="M123" s="9">
        <v>0.95</v>
      </c>
      <c r="N123" s="9">
        <v>0.95</v>
      </c>
      <c r="O123" s="9">
        <v>0.95</v>
      </c>
      <c r="P123" s="9">
        <v>0.95</v>
      </c>
      <c r="Q123" s="9">
        <v>0.95</v>
      </c>
      <c r="R123" s="9">
        <v>0.95</v>
      </c>
      <c r="S123" s="9">
        <v>0.95</v>
      </c>
      <c r="T123" s="9">
        <v>0.95</v>
      </c>
      <c r="U123" s="9">
        <v>0.95</v>
      </c>
      <c r="V123" s="9">
        <v>0.95</v>
      </c>
      <c r="W123" s="9">
        <v>0.95</v>
      </c>
      <c r="X123" s="9">
        <v>0.95</v>
      </c>
      <c r="Y123" s="9">
        <v>0.95</v>
      </c>
      <c r="Z123" s="9">
        <v>0.95</v>
      </c>
      <c r="AA123" s="9">
        <v>0.95</v>
      </c>
      <c r="AB123" s="9">
        <v>0.95</v>
      </c>
      <c r="AC123" s="9">
        <v>0.95</v>
      </c>
      <c r="AD123" s="9">
        <v>0.95</v>
      </c>
      <c r="AE123" s="9">
        <v>0.95</v>
      </c>
      <c r="AF123" s="9">
        <v>0.95</v>
      </c>
      <c r="AG123" s="9">
        <v>0.95</v>
      </c>
      <c r="AH123" s="9">
        <v>0.95</v>
      </c>
      <c r="AI123" s="9">
        <v>0.95</v>
      </c>
      <c r="AJ123" s="9">
        <v>0.95</v>
      </c>
      <c r="AK123" s="9">
        <v>0.95</v>
      </c>
      <c r="AL123" s="9">
        <v>0.95</v>
      </c>
      <c r="AM123" s="9">
        <v>0.95</v>
      </c>
      <c r="AN123" s="9">
        <v>0.95</v>
      </c>
      <c r="AO123" s="9">
        <v>0.95</v>
      </c>
      <c r="AP123" s="9">
        <v>0.95</v>
      </c>
      <c r="AQ123" s="9">
        <v>0.95</v>
      </c>
      <c r="AR123" s="9">
        <v>0.95</v>
      </c>
      <c r="AS123" s="9">
        <v>0.95</v>
      </c>
      <c r="AT123" s="9">
        <v>0.95</v>
      </c>
    </row>
    <row r="124" spans="1:46" ht="12.75" customHeight="1" x14ac:dyDescent="0.2">
      <c r="A124" s="6" t="s">
        <v>334</v>
      </c>
      <c r="C124" s="5" t="s">
        <v>335</v>
      </c>
      <c r="D124" s="56"/>
      <c r="E124" s="53" t="e">
        <f t="shared" ref="E124:AT124" si="71">E123*(1+(0.6*E103*(E65/(E114*E116/E69))))</f>
        <v>#DIV/0!</v>
      </c>
      <c r="F124" s="53" t="e">
        <f t="shared" si="71"/>
        <v>#DIV/0!</v>
      </c>
      <c r="G124" s="53" t="e">
        <f t="shared" si="71"/>
        <v>#DIV/0!</v>
      </c>
      <c r="H124" s="53" t="e">
        <f t="shared" si="71"/>
        <v>#DIV/0!</v>
      </c>
      <c r="I124" s="53" t="e">
        <f t="shared" si="71"/>
        <v>#DIV/0!</v>
      </c>
      <c r="J124" s="53" t="e">
        <f t="shared" si="71"/>
        <v>#DIV/0!</v>
      </c>
      <c r="K124" s="53" t="e">
        <f t="shared" si="71"/>
        <v>#DIV/0!</v>
      </c>
      <c r="L124" s="53" t="e">
        <f t="shared" si="71"/>
        <v>#DIV/0!</v>
      </c>
      <c r="M124" s="53" t="e">
        <f t="shared" si="71"/>
        <v>#DIV/0!</v>
      </c>
      <c r="N124" s="53" t="e">
        <f t="shared" si="71"/>
        <v>#DIV/0!</v>
      </c>
      <c r="O124" s="53" t="e">
        <f t="shared" si="71"/>
        <v>#DIV/0!</v>
      </c>
      <c r="P124" s="53" t="e">
        <f t="shared" si="71"/>
        <v>#DIV/0!</v>
      </c>
      <c r="Q124" s="53" t="e">
        <f t="shared" si="71"/>
        <v>#DIV/0!</v>
      </c>
      <c r="R124" s="53" t="e">
        <f t="shared" si="71"/>
        <v>#DIV/0!</v>
      </c>
      <c r="S124" s="53" t="e">
        <f t="shared" si="71"/>
        <v>#DIV/0!</v>
      </c>
      <c r="T124" s="53" t="e">
        <f t="shared" si="71"/>
        <v>#DIV/0!</v>
      </c>
      <c r="U124" s="53" t="e">
        <f t="shared" si="71"/>
        <v>#DIV/0!</v>
      </c>
      <c r="V124" s="53" t="e">
        <f t="shared" si="71"/>
        <v>#DIV/0!</v>
      </c>
      <c r="W124" s="53" t="e">
        <f t="shared" si="71"/>
        <v>#DIV/0!</v>
      </c>
      <c r="X124" s="53" t="e">
        <f t="shared" si="71"/>
        <v>#DIV/0!</v>
      </c>
      <c r="Y124" s="53" t="e">
        <f t="shared" si="71"/>
        <v>#DIV/0!</v>
      </c>
      <c r="Z124" s="53" t="e">
        <f t="shared" si="71"/>
        <v>#DIV/0!</v>
      </c>
      <c r="AA124" s="53" t="e">
        <f t="shared" si="71"/>
        <v>#DIV/0!</v>
      </c>
      <c r="AB124" s="53" t="e">
        <f t="shared" si="71"/>
        <v>#DIV/0!</v>
      </c>
      <c r="AC124" s="53" t="e">
        <f t="shared" si="71"/>
        <v>#DIV/0!</v>
      </c>
      <c r="AD124" s="53" t="e">
        <f t="shared" si="71"/>
        <v>#DIV/0!</v>
      </c>
      <c r="AE124" s="53" t="e">
        <f t="shared" si="71"/>
        <v>#DIV/0!</v>
      </c>
      <c r="AF124" s="53" t="e">
        <f t="shared" si="71"/>
        <v>#DIV/0!</v>
      </c>
      <c r="AG124" s="53" t="e">
        <f t="shared" si="71"/>
        <v>#DIV/0!</v>
      </c>
      <c r="AH124" s="53" t="e">
        <f t="shared" si="71"/>
        <v>#DIV/0!</v>
      </c>
      <c r="AI124" s="53" t="e">
        <f t="shared" si="71"/>
        <v>#DIV/0!</v>
      </c>
      <c r="AJ124" s="53" t="e">
        <f t="shared" si="71"/>
        <v>#DIV/0!</v>
      </c>
      <c r="AK124" s="53" t="e">
        <f t="shared" si="71"/>
        <v>#DIV/0!</v>
      </c>
      <c r="AL124" s="53" t="e">
        <f t="shared" si="71"/>
        <v>#DIV/0!</v>
      </c>
      <c r="AM124" s="53" t="e">
        <f t="shared" si="71"/>
        <v>#DIV/0!</v>
      </c>
      <c r="AN124" s="53" t="e">
        <f t="shared" si="71"/>
        <v>#DIV/0!</v>
      </c>
      <c r="AO124" s="53" t="e">
        <f t="shared" si="71"/>
        <v>#DIV/0!</v>
      </c>
      <c r="AP124" s="53" t="e">
        <f t="shared" si="71"/>
        <v>#DIV/0!</v>
      </c>
      <c r="AQ124" s="53" t="e">
        <f t="shared" si="71"/>
        <v>#DIV/0!</v>
      </c>
      <c r="AR124" s="53" t="e">
        <f t="shared" si="71"/>
        <v>#DIV/0!</v>
      </c>
      <c r="AS124" s="53" t="e">
        <f t="shared" si="71"/>
        <v>#DIV/0!</v>
      </c>
      <c r="AT124" s="53" t="e">
        <f t="shared" si="71"/>
        <v>#DIV/0!</v>
      </c>
    </row>
    <row r="125" spans="1:46" ht="12.75" customHeight="1" x14ac:dyDescent="0.2">
      <c r="A125" s="6" t="s">
        <v>334</v>
      </c>
      <c r="C125" s="5" t="s">
        <v>336</v>
      </c>
      <c r="D125" s="56"/>
      <c r="E125" s="53" t="e">
        <f t="shared" ref="E125:AT125" si="72">E123*(1+(0.6*(E72/(E114*E116/E69))))</f>
        <v>#DIV/0!</v>
      </c>
      <c r="F125" s="53" t="e">
        <f t="shared" si="72"/>
        <v>#DIV/0!</v>
      </c>
      <c r="G125" s="53" t="e">
        <f t="shared" si="72"/>
        <v>#DIV/0!</v>
      </c>
      <c r="H125" s="53" t="e">
        <f t="shared" si="72"/>
        <v>#DIV/0!</v>
      </c>
      <c r="I125" s="53" t="e">
        <f t="shared" si="72"/>
        <v>#DIV/0!</v>
      </c>
      <c r="J125" s="53" t="e">
        <f t="shared" si="72"/>
        <v>#DIV/0!</v>
      </c>
      <c r="K125" s="53" t="e">
        <f t="shared" si="72"/>
        <v>#DIV/0!</v>
      </c>
      <c r="L125" s="53" t="e">
        <f t="shared" si="72"/>
        <v>#DIV/0!</v>
      </c>
      <c r="M125" s="53" t="e">
        <f t="shared" si="72"/>
        <v>#DIV/0!</v>
      </c>
      <c r="N125" s="53" t="e">
        <f t="shared" si="72"/>
        <v>#DIV/0!</v>
      </c>
      <c r="O125" s="53" t="e">
        <f t="shared" si="72"/>
        <v>#DIV/0!</v>
      </c>
      <c r="P125" s="53" t="e">
        <f t="shared" si="72"/>
        <v>#DIV/0!</v>
      </c>
      <c r="Q125" s="53" t="e">
        <f t="shared" si="72"/>
        <v>#DIV/0!</v>
      </c>
      <c r="R125" s="53" t="e">
        <f t="shared" si="72"/>
        <v>#DIV/0!</v>
      </c>
      <c r="S125" s="53" t="e">
        <f t="shared" si="72"/>
        <v>#DIV/0!</v>
      </c>
      <c r="T125" s="53" t="e">
        <f t="shared" si="72"/>
        <v>#DIV/0!</v>
      </c>
      <c r="U125" s="53" t="e">
        <f t="shared" si="72"/>
        <v>#DIV/0!</v>
      </c>
      <c r="V125" s="53" t="e">
        <f t="shared" si="72"/>
        <v>#DIV/0!</v>
      </c>
      <c r="W125" s="53" t="e">
        <f t="shared" si="72"/>
        <v>#DIV/0!</v>
      </c>
      <c r="X125" s="53" t="e">
        <f t="shared" si="72"/>
        <v>#DIV/0!</v>
      </c>
      <c r="Y125" s="53" t="e">
        <f t="shared" si="72"/>
        <v>#DIV/0!</v>
      </c>
      <c r="Z125" s="53" t="e">
        <f t="shared" si="72"/>
        <v>#DIV/0!</v>
      </c>
      <c r="AA125" s="53" t="e">
        <f t="shared" si="72"/>
        <v>#DIV/0!</v>
      </c>
      <c r="AB125" s="53" t="e">
        <f t="shared" si="72"/>
        <v>#DIV/0!</v>
      </c>
      <c r="AC125" s="53" t="e">
        <f t="shared" si="72"/>
        <v>#DIV/0!</v>
      </c>
      <c r="AD125" s="53" t="e">
        <f t="shared" si="72"/>
        <v>#DIV/0!</v>
      </c>
      <c r="AE125" s="53" t="e">
        <f t="shared" si="72"/>
        <v>#DIV/0!</v>
      </c>
      <c r="AF125" s="53" t="e">
        <f t="shared" si="72"/>
        <v>#DIV/0!</v>
      </c>
      <c r="AG125" s="53" t="e">
        <f t="shared" si="72"/>
        <v>#DIV/0!</v>
      </c>
      <c r="AH125" s="53" t="e">
        <f t="shared" si="72"/>
        <v>#DIV/0!</v>
      </c>
      <c r="AI125" s="53" t="e">
        <f t="shared" si="72"/>
        <v>#DIV/0!</v>
      </c>
      <c r="AJ125" s="53" t="e">
        <f t="shared" si="72"/>
        <v>#DIV/0!</v>
      </c>
      <c r="AK125" s="53" t="e">
        <f t="shared" si="72"/>
        <v>#DIV/0!</v>
      </c>
      <c r="AL125" s="53" t="e">
        <f t="shared" si="72"/>
        <v>#DIV/0!</v>
      </c>
      <c r="AM125" s="53" t="e">
        <f t="shared" si="72"/>
        <v>#DIV/0!</v>
      </c>
      <c r="AN125" s="53" t="e">
        <f t="shared" si="72"/>
        <v>#DIV/0!</v>
      </c>
      <c r="AO125" s="53" t="e">
        <f t="shared" si="72"/>
        <v>#DIV/0!</v>
      </c>
      <c r="AP125" s="53" t="e">
        <f t="shared" si="72"/>
        <v>#DIV/0!</v>
      </c>
      <c r="AQ125" s="53" t="e">
        <f t="shared" si="72"/>
        <v>#DIV/0!</v>
      </c>
      <c r="AR125" s="53" t="e">
        <f t="shared" si="72"/>
        <v>#DIV/0!</v>
      </c>
      <c r="AS125" s="53" t="e">
        <f t="shared" si="72"/>
        <v>#DIV/0!</v>
      </c>
      <c r="AT125" s="53" t="e">
        <f t="shared" si="72"/>
        <v>#DIV/0!</v>
      </c>
    </row>
    <row r="126" spans="1:46" ht="12.75" customHeight="1" x14ac:dyDescent="0.2">
      <c r="A126" s="6" t="s">
        <v>334</v>
      </c>
      <c r="C126" s="5" t="s">
        <v>337</v>
      </c>
      <c r="D126" s="56"/>
      <c r="E126" s="53" t="e">
        <f t="shared" ref="E126:AT126" si="73">0.8*E124</f>
        <v>#DIV/0!</v>
      </c>
      <c r="F126" s="53" t="e">
        <f t="shared" si="73"/>
        <v>#DIV/0!</v>
      </c>
      <c r="G126" s="53" t="e">
        <f t="shared" si="73"/>
        <v>#DIV/0!</v>
      </c>
      <c r="H126" s="53" t="e">
        <f t="shared" si="73"/>
        <v>#DIV/0!</v>
      </c>
      <c r="I126" s="53" t="e">
        <f t="shared" si="73"/>
        <v>#DIV/0!</v>
      </c>
      <c r="J126" s="53" t="e">
        <f t="shared" si="73"/>
        <v>#DIV/0!</v>
      </c>
      <c r="K126" s="53" t="e">
        <f t="shared" si="73"/>
        <v>#DIV/0!</v>
      </c>
      <c r="L126" s="53" t="e">
        <f t="shared" si="73"/>
        <v>#DIV/0!</v>
      </c>
      <c r="M126" s="53" t="e">
        <f t="shared" si="73"/>
        <v>#DIV/0!</v>
      </c>
      <c r="N126" s="53" t="e">
        <f t="shared" si="73"/>
        <v>#DIV/0!</v>
      </c>
      <c r="O126" s="53" t="e">
        <f t="shared" si="73"/>
        <v>#DIV/0!</v>
      </c>
      <c r="P126" s="53" t="e">
        <f t="shared" si="73"/>
        <v>#DIV/0!</v>
      </c>
      <c r="Q126" s="53" t="e">
        <f t="shared" si="73"/>
        <v>#DIV/0!</v>
      </c>
      <c r="R126" s="53" t="e">
        <f t="shared" si="73"/>
        <v>#DIV/0!</v>
      </c>
      <c r="S126" s="53" t="e">
        <f t="shared" si="73"/>
        <v>#DIV/0!</v>
      </c>
      <c r="T126" s="53" t="e">
        <f t="shared" si="73"/>
        <v>#DIV/0!</v>
      </c>
      <c r="U126" s="53" t="e">
        <f t="shared" si="73"/>
        <v>#DIV/0!</v>
      </c>
      <c r="V126" s="53" t="e">
        <f t="shared" si="73"/>
        <v>#DIV/0!</v>
      </c>
      <c r="W126" s="53" t="e">
        <f t="shared" si="73"/>
        <v>#DIV/0!</v>
      </c>
      <c r="X126" s="53" t="e">
        <f t="shared" si="73"/>
        <v>#DIV/0!</v>
      </c>
      <c r="Y126" s="53" t="e">
        <f t="shared" si="73"/>
        <v>#DIV/0!</v>
      </c>
      <c r="Z126" s="53" t="e">
        <f t="shared" si="73"/>
        <v>#DIV/0!</v>
      </c>
      <c r="AA126" s="53" t="e">
        <f t="shared" si="73"/>
        <v>#DIV/0!</v>
      </c>
      <c r="AB126" s="53" t="e">
        <f t="shared" si="73"/>
        <v>#DIV/0!</v>
      </c>
      <c r="AC126" s="53" t="e">
        <f t="shared" si="73"/>
        <v>#DIV/0!</v>
      </c>
      <c r="AD126" s="53" t="e">
        <f t="shared" si="73"/>
        <v>#DIV/0!</v>
      </c>
      <c r="AE126" s="53" t="e">
        <f t="shared" si="73"/>
        <v>#DIV/0!</v>
      </c>
      <c r="AF126" s="53" t="e">
        <f t="shared" si="73"/>
        <v>#DIV/0!</v>
      </c>
      <c r="AG126" s="53" t="e">
        <f t="shared" si="73"/>
        <v>#DIV/0!</v>
      </c>
      <c r="AH126" s="53" t="e">
        <f t="shared" si="73"/>
        <v>#DIV/0!</v>
      </c>
      <c r="AI126" s="53" t="e">
        <f t="shared" si="73"/>
        <v>#DIV/0!</v>
      </c>
      <c r="AJ126" s="53" t="e">
        <f t="shared" si="73"/>
        <v>#DIV/0!</v>
      </c>
      <c r="AK126" s="53" t="e">
        <f t="shared" si="73"/>
        <v>#DIV/0!</v>
      </c>
      <c r="AL126" s="53" t="e">
        <f t="shared" si="73"/>
        <v>#DIV/0!</v>
      </c>
      <c r="AM126" s="53" t="e">
        <f t="shared" si="73"/>
        <v>#DIV/0!</v>
      </c>
      <c r="AN126" s="53" t="e">
        <f t="shared" si="73"/>
        <v>#DIV/0!</v>
      </c>
      <c r="AO126" s="53" t="e">
        <f t="shared" si="73"/>
        <v>#DIV/0!</v>
      </c>
      <c r="AP126" s="53" t="e">
        <f t="shared" si="73"/>
        <v>#DIV/0!</v>
      </c>
      <c r="AQ126" s="53" t="e">
        <f t="shared" si="73"/>
        <v>#DIV/0!</v>
      </c>
      <c r="AR126" s="53" t="e">
        <f t="shared" si="73"/>
        <v>#DIV/0!</v>
      </c>
      <c r="AS126" s="53" t="e">
        <f t="shared" si="73"/>
        <v>#DIV/0!</v>
      </c>
      <c r="AT126" s="53" t="e">
        <f t="shared" si="73"/>
        <v>#DIV/0!</v>
      </c>
    </row>
    <row r="127" spans="1:46" ht="12.75" customHeight="1" x14ac:dyDescent="0.2">
      <c r="A127" s="6" t="s">
        <v>334</v>
      </c>
      <c r="C127" s="5" t="s">
        <v>338</v>
      </c>
      <c r="D127" s="56"/>
      <c r="E127" s="53" t="e">
        <f t="shared" ref="E127:AT127" si="74">0.8*E125</f>
        <v>#DIV/0!</v>
      </c>
      <c r="F127" s="53" t="e">
        <f t="shared" si="74"/>
        <v>#DIV/0!</v>
      </c>
      <c r="G127" s="53" t="e">
        <f t="shared" si="74"/>
        <v>#DIV/0!</v>
      </c>
      <c r="H127" s="53" t="e">
        <f t="shared" si="74"/>
        <v>#DIV/0!</v>
      </c>
      <c r="I127" s="53" t="e">
        <f t="shared" si="74"/>
        <v>#DIV/0!</v>
      </c>
      <c r="J127" s="53" t="e">
        <f t="shared" si="74"/>
        <v>#DIV/0!</v>
      </c>
      <c r="K127" s="53" t="e">
        <f t="shared" si="74"/>
        <v>#DIV/0!</v>
      </c>
      <c r="L127" s="53" t="e">
        <f t="shared" si="74"/>
        <v>#DIV/0!</v>
      </c>
      <c r="M127" s="53" t="e">
        <f t="shared" si="74"/>
        <v>#DIV/0!</v>
      </c>
      <c r="N127" s="53" t="e">
        <f t="shared" si="74"/>
        <v>#DIV/0!</v>
      </c>
      <c r="O127" s="53" t="e">
        <f t="shared" si="74"/>
        <v>#DIV/0!</v>
      </c>
      <c r="P127" s="53" t="e">
        <f t="shared" si="74"/>
        <v>#DIV/0!</v>
      </c>
      <c r="Q127" s="53" t="e">
        <f t="shared" si="74"/>
        <v>#DIV/0!</v>
      </c>
      <c r="R127" s="53" t="e">
        <f t="shared" si="74"/>
        <v>#DIV/0!</v>
      </c>
      <c r="S127" s="53" t="e">
        <f t="shared" si="74"/>
        <v>#DIV/0!</v>
      </c>
      <c r="T127" s="53" t="e">
        <f t="shared" si="74"/>
        <v>#DIV/0!</v>
      </c>
      <c r="U127" s="53" t="e">
        <f t="shared" si="74"/>
        <v>#DIV/0!</v>
      </c>
      <c r="V127" s="53" t="e">
        <f t="shared" si="74"/>
        <v>#DIV/0!</v>
      </c>
      <c r="W127" s="53" t="e">
        <f t="shared" si="74"/>
        <v>#DIV/0!</v>
      </c>
      <c r="X127" s="53" t="e">
        <f t="shared" si="74"/>
        <v>#DIV/0!</v>
      </c>
      <c r="Y127" s="53" t="e">
        <f t="shared" si="74"/>
        <v>#DIV/0!</v>
      </c>
      <c r="Z127" s="53" t="e">
        <f t="shared" si="74"/>
        <v>#DIV/0!</v>
      </c>
      <c r="AA127" s="53" t="e">
        <f t="shared" si="74"/>
        <v>#DIV/0!</v>
      </c>
      <c r="AB127" s="53" t="e">
        <f t="shared" si="74"/>
        <v>#DIV/0!</v>
      </c>
      <c r="AC127" s="53" t="e">
        <f t="shared" si="74"/>
        <v>#DIV/0!</v>
      </c>
      <c r="AD127" s="53" t="e">
        <f t="shared" si="74"/>
        <v>#DIV/0!</v>
      </c>
      <c r="AE127" s="53" t="e">
        <f t="shared" si="74"/>
        <v>#DIV/0!</v>
      </c>
      <c r="AF127" s="53" t="e">
        <f t="shared" si="74"/>
        <v>#DIV/0!</v>
      </c>
      <c r="AG127" s="53" t="e">
        <f t="shared" si="74"/>
        <v>#DIV/0!</v>
      </c>
      <c r="AH127" s="53" t="e">
        <f t="shared" si="74"/>
        <v>#DIV/0!</v>
      </c>
      <c r="AI127" s="53" t="e">
        <f t="shared" si="74"/>
        <v>#DIV/0!</v>
      </c>
      <c r="AJ127" s="53" t="e">
        <f t="shared" si="74"/>
        <v>#DIV/0!</v>
      </c>
      <c r="AK127" s="53" t="e">
        <f t="shared" si="74"/>
        <v>#DIV/0!</v>
      </c>
      <c r="AL127" s="53" t="e">
        <f t="shared" si="74"/>
        <v>#DIV/0!</v>
      </c>
      <c r="AM127" s="53" t="e">
        <f t="shared" si="74"/>
        <v>#DIV/0!</v>
      </c>
      <c r="AN127" s="53" t="e">
        <f t="shared" si="74"/>
        <v>#DIV/0!</v>
      </c>
      <c r="AO127" s="53" t="e">
        <f t="shared" si="74"/>
        <v>#DIV/0!</v>
      </c>
      <c r="AP127" s="53" t="e">
        <f t="shared" si="74"/>
        <v>#DIV/0!</v>
      </c>
      <c r="AQ127" s="53" t="e">
        <f t="shared" si="74"/>
        <v>#DIV/0!</v>
      </c>
      <c r="AR127" s="53" t="e">
        <f t="shared" si="74"/>
        <v>#DIV/0!</v>
      </c>
      <c r="AS127" s="53" t="e">
        <f t="shared" si="74"/>
        <v>#DIV/0!</v>
      </c>
      <c r="AT127" s="53" t="e">
        <f t="shared" si="74"/>
        <v>#DIV/0!</v>
      </c>
    </row>
    <row r="128" spans="1:46" ht="12.75" customHeight="1" x14ac:dyDescent="0.2">
      <c r="A128" s="6" t="s">
        <v>339</v>
      </c>
      <c r="C128" s="5" t="s">
        <v>335</v>
      </c>
      <c r="D128" s="56"/>
      <c r="E128" s="53" t="e">
        <f t="shared" ref="E128:AT128" si="75">E123*(1+((E103-0.2)*(E72/(E114*E116/E69))))</f>
        <v>#DIV/0!</v>
      </c>
      <c r="F128" s="53" t="e">
        <f t="shared" si="75"/>
        <v>#DIV/0!</v>
      </c>
      <c r="G128" s="53" t="e">
        <f t="shared" si="75"/>
        <v>#DIV/0!</v>
      </c>
      <c r="H128" s="53" t="e">
        <f t="shared" si="75"/>
        <v>#DIV/0!</v>
      </c>
      <c r="I128" s="53" t="e">
        <f t="shared" si="75"/>
        <v>#DIV/0!</v>
      </c>
      <c r="J128" s="53" t="e">
        <f t="shared" si="75"/>
        <v>#DIV/0!</v>
      </c>
      <c r="K128" s="53" t="e">
        <f t="shared" si="75"/>
        <v>#DIV/0!</v>
      </c>
      <c r="L128" s="53" t="e">
        <f t="shared" si="75"/>
        <v>#DIV/0!</v>
      </c>
      <c r="M128" s="53" t="e">
        <f t="shared" si="75"/>
        <v>#DIV/0!</v>
      </c>
      <c r="N128" s="53" t="e">
        <f t="shared" si="75"/>
        <v>#DIV/0!</v>
      </c>
      <c r="O128" s="53" t="e">
        <f t="shared" si="75"/>
        <v>#DIV/0!</v>
      </c>
      <c r="P128" s="53" t="e">
        <f t="shared" si="75"/>
        <v>#DIV/0!</v>
      </c>
      <c r="Q128" s="53" t="e">
        <f t="shared" si="75"/>
        <v>#DIV/0!</v>
      </c>
      <c r="R128" s="53" t="e">
        <f t="shared" si="75"/>
        <v>#DIV/0!</v>
      </c>
      <c r="S128" s="53" t="e">
        <f t="shared" si="75"/>
        <v>#DIV/0!</v>
      </c>
      <c r="T128" s="53" t="e">
        <f t="shared" si="75"/>
        <v>#DIV/0!</v>
      </c>
      <c r="U128" s="53" t="e">
        <f t="shared" si="75"/>
        <v>#DIV/0!</v>
      </c>
      <c r="V128" s="53" t="e">
        <f t="shared" si="75"/>
        <v>#DIV/0!</v>
      </c>
      <c r="W128" s="53" t="e">
        <f t="shared" si="75"/>
        <v>#DIV/0!</v>
      </c>
      <c r="X128" s="53" t="e">
        <f t="shared" si="75"/>
        <v>#DIV/0!</v>
      </c>
      <c r="Y128" s="53" t="e">
        <f t="shared" si="75"/>
        <v>#DIV/0!</v>
      </c>
      <c r="Z128" s="53" t="e">
        <f t="shared" si="75"/>
        <v>#DIV/0!</v>
      </c>
      <c r="AA128" s="53" t="e">
        <f t="shared" si="75"/>
        <v>#DIV/0!</v>
      </c>
      <c r="AB128" s="53" t="e">
        <f t="shared" si="75"/>
        <v>#DIV/0!</v>
      </c>
      <c r="AC128" s="53" t="e">
        <f t="shared" si="75"/>
        <v>#DIV/0!</v>
      </c>
      <c r="AD128" s="53" t="e">
        <f t="shared" si="75"/>
        <v>#DIV/0!</v>
      </c>
      <c r="AE128" s="53" t="e">
        <f t="shared" si="75"/>
        <v>#DIV/0!</v>
      </c>
      <c r="AF128" s="53" t="e">
        <f t="shared" si="75"/>
        <v>#DIV/0!</v>
      </c>
      <c r="AG128" s="53" t="e">
        <f t="shared" si="75"/>
        <v>#DIV/0!</v>
      </c>
      <c r="AH128" s="53" t="e">
        <f t="shared" si="75"/>
        <v>#DIV/0!</v>
      </c>
      <c r="AI128" s="53" t="e">
        <f t="shared" si="75"/>
        <v>#DIV/0!</v>
      </c>
      <c r="AJ128" s="53" t="e">
        <f t="shared" si="75"/>
        <v>#DIV/0!</v>
      </c>
      <c r="AK128" s="53" t="e">
        <f t="shared" si="75"/>
        <v>#DIV/0!</v>
      </c>
      <c r="AL128" s="53" t="e">
        <f t="shared" si="75"/>
        <v>#DIV/0!</v>
      </c>
      <c r="AM128" s="53" t="e">
        <f t="shared" si="75"/>
        <v>#DIV/0!</v>
      </c>
      <c r="AN128" s="53" t="e">
        <f t="shared" si="75"/>
        <v>#DIV/0!</v>
      </c>
      <c r="AO128" s="53" t="e">
        <f t="shared" si="75"/>
        <v>#DIV/0!</v>
      </c>
      <c r="AP128" s="53" t="e">
        <f t="shared" si="75"/>
        <v>#DIV/0!</v>
      </c>
      <c r="AQ128" s="53" t="e">
        <f t="shared" si="75"/>
        <v>#DIV/0!</v>
      </c>
      <c r="AR128" s="53" t="e">
        <f t="shared" si="75"/>
        <v>#DIV/0!</v>
      </c>
      <c r="AS128" s="53" t="e">
        <f t="shared" si="75"/>
        <v>#DIV/0!</v>
      </c>
      <c r="AT128" s="53" t="e">
        <f t="shared" si="75"/>
        <v>#DIV/0!</v>
      </c>
    </row>
    <row r="129" spans="1:46" ht="12.75" customHeight="1" x14ac:dyDescent="0.2">
      <c r="A129" s="6" t="s">
        <v>339</v>
      </c>
      <c r="C129" s="5" t="s">
        <v>336</v>
      </c>
      <c r="D129" s="56"/>
      <c r="E129" s="53" t="e">
        <f t="shared" ref="E129:AT129" si="76">E123*(1+(0.8*(E72/(E114*E116/E69))))</f>
        <v>#DIV/0!</v>
      </c>
      <c r="F129" s="53" t="e">
        <f t="shared" si="76"/>
        <v>#DIV/0!</v>
      </c>
      <c r="G129" s="53" t="e">
        <f t="shared" si="76"/>
        <v>#DIV/0!</v>
      </c>
      <c r="H129" s="53" t="e">
        <f t="shared" si="76"/>
        <v>#DIV/0!</v>
      </c>
      <c r="I129" s="53" t="e">
        <f t="shared" si="76"/>
        <v>#DIV/0!</v>
      </c>
      <c r="J129" s="53" t="e">
        <f t="shared" si="76"/>
        <v>#DIV/0!</v>
      </c>
      <c r="K129" s="53" t="e">
        <f t="shared" si="76"/>
        <v>#DIV/0!</v>
      </c>
      <c r="L129" s="53" t="e">
        <f t="shared" si="76"/>
        <v>#DIV/0!</v>
      </c>
      <c r="M129" s="53" t="e">
        <f t="shared" si="76"/>
        <v>#DIV/0!</v>
      </c>
      <c r="N129" s="53" t="e">
        <f t="shared" si="76"/>
        <v>#DIV/0!</v>
      </c>
      <c r="O129" s="53" t="e">
        <f t="shared" si="76"/>
        <v>#DIV/0!</v>
      </c>
      <c r="P129" s="53" t="e">
        <f t="shared" si="76"/>
        <v>#DIV/0!</v>
      </c>
      <c r="Q129" s="53" t="e">
        <f t="shared" si="76"/>
        <v>#DIV/0!</v>
      </c>
      <c r="R129" s="53" t="e">
        <f t="shared" si="76"/>
        <v>#DIV/0!</v>
      </c>
      <c r="S129" s="53" t="e">
        <f t="shared" si="76"/>
        <v>#DIV/0!</v>
      </c>
      <c r="T129" s="53" t="e">
        <f t="shared" si="76"/>
        <v>#DIV/0!</v>
      </c>
      <c r="U129" s="53" t="e">
        <f t="shared" si="76"/>
        <v>#DIV/0!</v>
      </c>
      <c r="V129" s="53" t="e">
        <f t="shared" si="76"/>
        <v>#DIV/0!</v>
      </c>
      <c r="W129" s="53" t="e">
        <f t="shared" si="76"/>
        <v>#DIV/0!</v>
      </c>
      <c r="X129" s="53" t="e">
        <f t="shared" si="76"/>
        <v>#DIV/0!</v>
      </c>
      <c r="Y129" s="53" t="e">
        <f t="shared" si="76"/>
        <v>#DIV/0!</v>
      </c>
      <c r="Z129" s="53" t="e">
        <f t="shared" si="76"/>
        <v>#DIV/0!</v>
      </c>
      <c r="AA129" s="53" t="e">
        <f t="shared" si="76"/>
        <v>#DIV/0!</v>
      </c>
      <c r="AB129" s="53" t="e">
        <f t="shared" si="76"/>
        <v>#DIV/0!</v>
      </c>
      <c r="AC129" s="53" t="e">
        <f t="shared" si="76"/>
        <v>#DIV/0!</v>
      </c>
      <c r="AD129" s="53" t="e">
        <f t="shared" si="76"/>
        <v>#DIV/0!</v>
      </c>
      <c r="AE129" s="53" t="e">
        <f t="shared" si="76"/>
        <v>#DIV/0!</v>
      </c>
      <c r="AF129" s="53" t="e">
        <f t="shared" si="76"/>
        <v>#DIV/0!</v>
      </c>
      <c r="AG129" s="53" t="e">
        <f t="shared" si="76"/>
        <v>#DIV/0!</v>
      </c>
      <c r="AH129" s="53" t="e">
        <f t="shared" si="76"/>
        <v>#DIV/0!</v>
      </c>
      <c r="AI129" s="53" t="e">
        <f t="shared" si="76"/>
        <v>#DIV/0!</v>
      </c>
      <c r="AJ129" s="53" t="e">
        <f t="shared" si="76"/>
        <v>#DIV/0!</v>
      </c>
      <c r="AK129" s="53" t="e">
        <f t="shared" si="76"/>
        <v>#DIV/0!</v>
      </c>
      <c r="AL129" s="53" t="e">
        <f t="shared" si="76"/>
        <v>#DIV/0!</v>
      </c>
      <c r="AM129" s="53" t="e">
        <f t="shared" si="76"/>
        <v>#DIV/0!</v>
      </c>
      <c r="AN129" s="53" t="e">
        <f t="shared" si="76"/>
        <v>#DIV/0!</v>
      </c>
      <c r="AO129" s="53" t="e">
        <f t="shared" si="76"/>
        <v>#DIV/0!</v>
      </c>
      <c r="AP129" s="53" t="e">
        <f t="shared" si="76"/>
        <v>#DIV/0!</v>
      </c>
      <c r="AQ129" s="53" t="e">
        <f t="shared" si="76"/>
        <v>#DIV/0!</v>
      </c>
      <c r="AR129" s="53" t="e">
        <f t="shared" si="76"/>
        <v>#DIV/0!</v>
      </c>
      <c r="AS129" s="53" t="e">
        <f t="shared" si="76"/>
        <v>#DIV/0!</v>
      </c>
      <c r="AT129" s="53" t="e">
        <f t="shared" si="76"/>
        <v>#DIV/0!</v>
      </c>
    </row>
    <row r="130" spans="1:46" ht="12.75" customHeight="1" x14ac:dyDescent="0.2">
      <c r="A130" s="6" t="s">
        <v>339</v>
      </c>
      <c r="C130" s="5" t="s">
        <v>337</v>
      </c>
      <c r="D130" s="56"/>
      <c r="E130" s="53" t="e">
        <f t="shared" ref="E130:AT130" si="77">0.6*E128</f>
        <v>#DIV/0!</v>
      </c>
      <c r="F130" s="53" t="e">
        <f t="shared" si="77"/>
        <v>#DIV/0!</v>
      </c>
      <c r="G130" s="53" t="e">
        <f t="shared" si="77"/>
        <v>#DIV/0!</v>
      </c>
      <c r="H130" s="53" t="e">
        <f t="shared" si="77"/>
        <v>#DIV/0!</v>
      </c>
      <c r="I130" s="53" t="e">
        <f t="shared" si="77"/>
        <v>#DIV/0!</v>
      </c>
      <c r="J130" s="53" t="e">
        <f t="shared" si="77"/>
        <v>#DIV/0!</v>
      </c>
      <c r="K130" s="53" t="e">
        <f t="shared" si="77"/>
        <v>#DIV/0!</v>
      </c>
      <c r="L130" s="53" t="e">
        <f t="shared" si="77"/>
        <v>#DIV/0!</v>
      </c>
      <c r="M130" s="53" t="e">
        <f t="shared" si="77"/>
        <v>#DIV/0!</v>
      </c>
      <c r="N130" s="53" t="e">
        <f t="shared" si="77"/>
        <v>#DIV/0!</v>
      </c>
      <c r="O130" s="53" t="e">
        <f t="shared" si="77"/>
        <v>#DIV/0!</v>
      </c>
      <c r="P130" s="53" t="e">
        <f t="shared" si="77"/>
        <v>#DIV/0!</v>
      </c>
      <c r="Q130" s="53" t="e">
        <f t="shared" si="77"/>
        <v>#DIV/0!</v>
      </c>
      <c r="R130" s="53" t="e">
        <f t="shared" si="77"/>
        <v>#DIV/0!</v>
      </c>
      <c r="S130" s="53" t="e">
        <f t="shared" si="77"/>
        <v>#DIV/0!</v>
      </c>
      <c r="T130" s="53" t="e">
        <f t="shared" si="77"/>
        <v>#DIV/0!</v>
      </c>
      <c r="U130" s="53" t="e">
        <f t="shared" si="77"/>
        <v>#DIV/0!</v>
      </c>
      <c r="V130" s="53" t="e">
        <f t="shared" si="77"/>
        <v>#DIV/0!</v>
      </c>
      <c r="W130" s="53" t="e">
        <f t="shared" si="77"/>
        <v>#DIV/0!</v>
      </c>
      <c r="X130" s="53" t="e">
        <f t="shared" si="77"/>
        <v>#DIV/0!</v>
      </c>
      <c r="Y130" s="53" t="e">
        <f t="shared" si="77"/>
        <v>#DIV/0!</v>
      </c>
      <c r="Z130" s="53" t="e">
        <f t="shared" si="77"/>
        <v>#DIV/0!</v>
      </c>
      <c r="AA130" s="53" t="e">
        <f t="shared" si="77"/>
        <v>#DIV/0!</v>
      </c>
      <c r="AB130" s="53" t="e">
        <f t="shared" si="77"/>
        <v>#DIV/0!</v>
      </c>
      <c r="AC130" s="53" t="e">
        <f t="shared" si="77"/>
        <v>#DIV/0!</v>
      </c>
      <c r="AD130" s="53" t="e">
        <f t="shared" si="77"/>
        <v>#DIV/0!</v>
      </c>
      <c r="AE130" s="53" t="e">
        <f t="shared" si="77"/>
        <v>#DIV/0!</v>
      </c>
      <c r="AF130" s="53" t="e">
        <f t="shared" si="77"/>
        <v>#DIV/0!</v>
      </c>
      <c r="AG130" s="53" t="e">
        <f t="shared" si="77"/>
        <v>#DIV/0!</v>
      </c>
      <c r="AH130" s="53" t="e">
        <f t="shared" si="77"/>
        <v>#DIV/0!</v>
      </c>
      <c r="AI130" s="53" t="e">
        <f t="shared" si="77"/>
        <v>#DIV/0!</v>
      </c>
      <c r="AJ130" s="53" t="e">
        <f t="shared" si="77"/>
        <v>#DIV/0!</v>
      </c>
      <c r="AK130" s="53" t="e">
        <f t="shared" si="77"/>
        <v>#DIV/0!</v>
      </c>
      <c r="AL130" s="53" t="e">
        <f t="shared" si="77"/>
        <v>#DIV/0!</v>
      </c>
      <c r="AM130" s="53" t="e">
        <f t="shared" si="77"/>
        <v>#DIV/0!</v>
      </c>
      <c r="AN130" s="53" t="e">
        <f t="shared" si="77"/>
        <v>#DIV/0!</v>
      </c>
      <c r="AO130" s="53" t="e">
        <f t="shared" si="77"/>
        <v>#DIV/0!</v>
      </c>
      <c r="AP130" s="53" t="e">
        <f t="shared" si="77"/>
        <v>#DIV/0!</v>
      </c>
      <c r="AQ130" s="53" t="e">
        <f t="shared" si="77"/>
        <v>#DIV/0!</v>
      </c>
      <c r="AR130" s="53" t="e">
        <f t="shared" si="77"/>
        <v>#DIV/0!</v>
      </c>
      <c r="AS130" s="53" t="e">
        <f t="shared" si="77"/>
        <v>#DIV/0!</v>
      </c>
      <c r="AT130" s="53" t="e">
        <f t="shared" si="77"/>
        <v>#DIV/0!</v>
      </c>
    </row>
    <row r="131" spans="1:46" ht="12.75" customHeight="1" x14ac:dyDescent="0.2">
      <c r="A131" s="6" t="s">
        <v>339</v>
      </c>
      <c r="C131" s="5" t="s">
        <v>338</v>
      </c>
      <c r="D131" s="56"/>
      <c r="E131" s="53" t="e">
        <f t="shared" ref="E131:AT131" si="78">0.6*E129</f>
        <v>#DIV/0!</v>
      </c>
      <c r="F131" s="53" t="e">
        <f t="shared" si="78"/>
        <v>#DIV/0!</v>
      </c>
      <c r="G131" s="53" t="e">
        <f t="shared" si="78"/>
        <v>#DIV/0!</v>
      </c>
      <c r="H131" s="53" t="e">
        <f t="shared" si="78"/>
        <v>#DIV/0!</v>
      </c>
      <c r="I131" s="53" t="e">
        <f t="shared" si="78"/>
        <v>#DIV/0!</v>
      </c>
      <c r="J131" s="53" t="e">
        <f t="shared" si="78"/>
        <v>#DIV/0!</v>
      </c>
      <c r="K131" s="53" t="e">
        <f t="shared" si="78"/>
        <v>#DIV/0!</v>
      </c>
      <c r="L131" s="53" t="e">
        <f t="shared" si="78"/>
        <v>#DIV/0!</v>
      </c>
      <c r="M131" s="53" t="e">
        <f t="shared" si="78"/>
        <v>#DIV/0!</v>
      </c>
      <c r="N131" s="53" t="e">
        <f t="shared" si="78"/>
        <v>#DIV/0!</v>
      </c>
      <c r="O131" s="53" t="e">
        <f t="shared" si="78"/>
        <v>#DIV/0!</v>
      </c>
      <c r="P131" s="53" t="e">
        <f t="shared" si="78"/>
        <v>#DIV/0!</v>
      </c>
      <c r="Q131" s="53" t="e">
        <f t="shared" si="78"/>
        <v>#DIV/0!</v>
      </c>
      <c r="R131" s="53" t="e">
        <f t="shared" si="78"/>
        <v>#DIV/0!</v>
      </c>
      <c r="S131" s="53" t="e">
        <f t="shared" si="78"/>
        <v>#DIV/0!</v>
      </c>
      <c r="T131" s="53" t="e">
        <f t="shared" si="78"/>
        <v>#DIV/0!</v>
      </c>
      <c r="U131" s="53" t="e">
        <f t="shared" si="78"/>
        <v>#DIV/0!</v>
      </c>
      <c r="V131" s="53" t="e">
        <f t="shared" si="78"/>
        <v>#DIV/0!</v>
      </c>
      <c r="W131" s="53" t="e">
        <f t="shared" si="78"/>
        <v>#DIV/0!</v>
      </c>
      <c r="X131" s="53" t="e">
        <f t="shared" si="78"/>
        <v>#DIV/0!</v>
      </c>
      <c r="Y131" s="53" t="e">
        <f t="shared" si="78"/>
        <v>#DIV/0!</v>
      </c>
      <c r="Z131" s="53" t="e">
        <f t="shared" si="78"/>
        <v>#DIV/0!</v>
      </c>
      <c r="AA131" s="53" t="e">
        <f t="shared" si="78"/>
        <v>#DIV/0!</v>
      </c>
      <c r="AB131" s="53" t="e">
        <f t="shared" si="78"/>
        <v>#DIV/0!</v>
      </c>
      <c r="AC131" s="53" t="e">
        <f t="shared" si="78"/>
        <v>#DIV/0!</v>
      </c>
      <c r="AD131" s="53" t="e">
        <f t="shared" si="78"/>
        <v>#DIV/0!</v>
      </c>
      <c r="AE131" s="53" t="e">
        <f t="shared" si="78"/>
        <v>#DIV/0!</v>
      </c>
      <c r="AF131" s="53" t="e">
        <f t="shared" si="78"/>
        <v>#DIV/0!</v>
      </c>
      <c r="AG131" s="53" t="e">
        <f t="shared" si="78"/>
        <v>#DIV/0!</v>
      </c>
      <c r="AH131" s="53" t="e">
        <f t="shared" si="78"/>
        <v>#DIV/0!</v>
      </c>
      <c r="AI131" s="53" t="e">
        <f t="shared" si="78"/>
        <v>#DIV/0!</v>
      </c>
      <c r="AJ131" s="53" t="e">
        <f t="shared" si="78"/>
        <v>#DIV/0!</v>
      </c>
      <c r="AK131" s="53" t="e">
        <f t="shared" si="78"/>
        <v>#DIV/0!</v>
      </c>
      <c r="AL131" s="53" t="e">
        <f t="shared" si="78"/>
        <v>#DIV/0!</v>
      </c>
      <c r="AM131" s="53" t="e">
        <f t="shared" si="78"/>
        <v>#DIV/0!</v>
      </c>
      <c r="AN131" s="53" t="e">
        <f t="shared" si="78"/>
        <v>#DIV/0!</v>
      </c>
      <c r="AO131" s="53" t="e">
        <f t="shared" si="78"/>
        <v>#DIV/0!</v>
      </c>
      <c r="AP131" s="53" t="e">
        <f t="shared" si="78"/>
        <v>#DIV/0!</v>
      </c>
      <c r="AQ131" s="53" t="e">
        <f t="shared" si="78"/>
        <v>#DIV/0!</v>
      </c>
      <c r="AR131" s="53" t="e">
        <f t="shared" si="78"/>
        <v>#DIV/0!</v>
      </c>
      <c r="AS131" s="53" t="e">
        <f t="shared" si="78"/>
        <v>#DIV/0!</v>
      </c>
      <c r="AT131" s="53" t="e">
        <f t="shared" si="78"/>
        <v>#DIV/0!</v>
      </c>
    </row>
    <row r="132" spans="1:46" ht="12.75" customHeight="1" x14ac:dyDescent="0.2">
      <c r="A132" s="50"/>
      <c r="C132" s="5"/>
      <c r="D132" s="5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</row>
    <row r="133" spans="1:46" ht="12.75" customHeight="1" x14ac:dyDescent="0.2">
      <c r="A133" s="50"/>
      <c r="C133" s="4" t="s">
        <v>340</v>
      </c>
      <c r="D133" s="56" t="s">
        <v>113</v>
      </c>
      <c r="E133" s="53" t="e">
        <f t="shared" ref="E133:AT133" si="79">IF(E78&lt;3,MIN(E128,E129),MIN(E124,E125))</f>
        <v>#DIV/0!</v>
      </c>
      <c r="F133" s="53" t="e">
        <f t="shared" si="79"/>
        <v>#DIV/0!</v>
      </c>
      <c r="G133" s="53" t="e">
        <f t="shared" si="79"/>
        <v>#DIV/0!</v>
      </c>
      <c r="H133" s="53" t="e">
        <f t="shared" si="79"/>
        <v>#DIV/0!</v>
      </c>
      <c r="I133" s="53" t="e">
        <f t="shared" si="79"/>
        <v>#DIV/0!</v>
      </c>
      <c r="J133" s="53" t="e">
        <f t="shared" si="79"/>
        <v>#DIV/0!</v>
      </c>
      <c r="K133" s="53" t="e">
        <f t="shared" si="79"/>
        <v>#DIV/0!</v>
      </c>
      <c r="L133" s="53" t="e">
        <f t="shared" si="79"/>
        <v>#DIV/0!</v>
      </c>
      <c r="M133" s="53" t="e">
        <f t="shared" si="79"/>
        <v>#DIV/0!</v>
      </c>
      <c r="N133" s="53" t="e">
        <f t="shared" si="79"/>
        <v>#DIV/0!</v>
      </c>
      <c r="O133" s="53" t="e">
        <f t="shared" si="79"/>
        <v>#DIV/0!</v>
      </c>
      <c r="P133" s="53" t="e">
        <f t="shared" si="79"/>
        <v>#DIV/0!</v>
      </c>
      <c r="Q133" s="53" t="e">
        <f t="shared" si="79"/>
        <v>#DIV/0!</v>
      </c>
      <c r="R133" s="53" t="e">
        <f t="shared" si="79"/>
        <v>#DIV/0!</v>
      </c>
      <c r="S133" s="53" t="e">
        <f t="shared" si="79"/>
        <v>#DIV/0!</v>
      </c>
      <c r="T133" s="53" t="e">
        <f t="shared" si="79"/>
        <v>#DIV/0!</v>
      </c>
      <c r="U133" s="53" t="e">
        <f t="shared" si="79"/>
        <v>#DIV/0!</v>
      </c>
      <c r="V133" s="53" t="e">
        <f t="shared" si="79"/>
        <v>#DIV/0!</v>
      </c>
      <c r="W133" s="53" t="e">
        <f t="shared" si="79"/>
        <v>#DIV/0!</v>
      </c>
      <c r="X133" s="53" t="e">
        <f t="shared" si="79"/>
        <v>#DIV/0!</v>
      </c>
      <c r="Y133" s="53" t="e">
        <f t="shared" si="79"/>
        <v>#DIV/0!</v>
      </c>
      <c r="Z133" s="53" t="e">
        <f t="shared" si="79"/>
        <v>#DIV/0!</v>
      </c>
      <c r="AA133" s="53" t="e">
        <f t="shared" si="79"/>
        <v>#DIV/0!</v>
      </c>
      <c r="AB133" s="53" t="e">
        <f t="shared" si="79"/>
        <v>#DIV/0!</v>
      </c>
      <c r="AC133" s="53" t="e">
        <f t="shared" si="79"/>
        <v>#DIV/0!</v>
      </c>
      <c r="AD133" s="53" t="e">
        <f t="shared" si="79"/>
        <v>#DIV/0!</v>
      </c>
      <c r="AE133" s="53" t="e">
        <f t="shared" si="79"/>
        <v>#DIV/0!</v>
      </c>
      <c r="AF133" s="53" t="e">
        <f t="shared" si="79"/>
        <v>#DIV/0!</v>
      </c>
      <c r="AG133" s="53" t="e">
        <f t="shared" si="79"/>
        <v>#DIV/0!</v>
      </c>
      <c r="AH133" s="53" t="e">
        <f t="shared" si="79"/>
        <v>#DIV/0!</v>
      </c>
      <c r="AI133" s="53" t="e">
        <f t="shared" si="79"/>
        <v>#DIV/0!</v>
      </c>
      <c r="AJ133" s="53" t="e">
        <f t="shared" si="79"/>
        <v>#DIV/0!</v>
      </c>
      <c r="AK133" s="53" t="e">
        <f t="shared" si="79"/>
        <v>#DIV/0!</v>
      </c>
      <c r="AL133" s="53" t="e">
        <f t="shared" si="79"/>
        <v>#DIV/0!</v>
      </c>
      <c r="AM133" s="53" t="e">
        <f t="shared" si="79"/>
        <v>#DIV/0!</v>
      </c>
      <c r="AN133" s="53" t="e">
        <f t="shared" si="79"/>
        <v>#DIV/0!</v>
      </c>
      <c r="AO133" s="53" t="e">
        <f t="shared" si="79"/>
        <v>#DIV/0!</v>
      </c>
      <c r="AP133" s="53" t="e">
        <f t="shared" si="79"/>
        <v>#DIV/0!</v>
      </c>
      <c r="AQ133" s="53" t="e">
        <f t="shared" si="79"/>
        <v>#DIV/0!</v>
      </c>
      <c r="AR133" s="53" t="e">
        <f t="shared" si="79"/>
        <v>#DIV/0!</v>
      </c>
      <c r="AS133" s="53" t="e">
        <f t="shared" si="79"/>
        <v>#DIV/0!</v>
      </c>
      <c r="AT133" s="53" t="e">
        <f t="shared" si="79"/>
        <v>#DIV/0!</v>
      </c>
    </row>
    <row r="134" spans="1:46" ht="12.75" customHeight="1" x14ac:dyDescent="0.2">
      <c r="A134" s="50"/>
      <c r="C134" s="4" t="s">
        <v>341</v>
      </c>
      <c r="D134" s="56" t="s">
        <v>113</v>
      </c>
      <c r="E134" s="53" t="e">
        <f t="shared" ref="E134:AT134" si="80">IF(E78&lt;3,MIN(E130,E131),MIN(E126,E127))</f>
        <v>#DIV/0!</v>
      </c>
      <c r="F134" s="53" t="e">
        <f t="shared" si="80"/>
        <v>#DIV/0!</v>
      </c>
      <c r="G134" s="53" t="e">
        <f t="shared" si="80"/>
        <v>#DIV/0!</v>
      </c>
      <c r="H134" s="53" t="e">
        <f t="shared" si="80"/>
        <v>#DIV/0!</v>
      </c>
      <c r="I134" s="53" t="e">
        <f t="shared" si="80"/>
        <v>#DIV/0!</v>
      </c>
      <c r="J134" s="53" t="e">
        <f t="shared" si="80"/>
        <v>#DIV/0!</v>
      </c>
      <c r="K134" s="53" t="e">
        <f t="shared" si="80"/>
        <v>#DIV/0!</v>
      </c>
      <c r="L134" s="53" t="e">
        <f t="shared" si="80"/>
        <v>#DIV/0!</v>
      </c>
      <c r="M134" s="53" t="e">
        <f t="shared" si="80"/>
        <v>#DIV/0!</v>
      </c>
      <c r="N134" s="53" t="e">
        <f t="shared" si="80"/>
        <v>#DIV/0!</v>
      </c>
      <c r="O134" s="53" t="e">
        <f t="shared" si="80"/>
        <v>#DIV/0!</v>
      </c>
      <c r="P134" s="53" t="e">
        <f t="shared" si="80"/>
        <v>#DIV/0!</v>
      </c>
      <c r="Q134" s="53" t="e">
        <f t="shared" si="80"/>
        <v>#DIV/0!</v>
      </c>
      <c r="R134" s="53" t="e">
        <f t="shared" si="80"/>
        <v>#DIV/0!</v>
      </c>
      <c r="S134" s="53" t="e">
        <f t="shared" si="80"/>
        <v>#DIV/0!</v>
      </c>
      <c r="T134" s="53" t="e">
        <f t="shared" si="80"/>
        <v>#DIV/0!</v>
      </c>
      <c r="U134" s="53" t="e">
        <f t="shared" si="80"/>
        <v>#DIV/0!</v>
      </c>
      <c r="V134" s="53" t="e">
        <f t="shared" si="80"/>
        <v>#DIV/0!</v>
      </c>
      <c r="W134" s="53" t="e">
        <f t="shared" si="80"/>
        <v>#DIV/0!</v>
      </c>
      <c r="X134" s="53" t="e">
        <f t="shared" si="80"/>
        <v>#DIV/0!</v>
      </c>
      <c r="Y134" s="53" t="e">
        <f t="shared" si="80"/>
        <v>#DIV/0!</v>
      </c>
      <c r="Z134" s="53" t="e">
        <f t="shared" si="80"/>
        <v>#DIV/0!</v>
      </c>
      <c r="AA134" s="53" t="e">
        <f t="shared" si="80"/>
        <v>#DIV/0!</v>
      </c>
      <c r="AB134" s="53" t="e">
        <f t="shared" si="80"/>
        <v>#DIV/0!</v>
      </c>
      <c r="AC134" s="53" t="e">
        <f t="shared" si="80"/>
        <v>#DIV/0!</v>
      </c>
      <c r="AD134" s="53" t="e">
        <f t="shared" si="80"/>
        <v>#DIV/0!</v>
      </c>
      <c r="AE134" s="53" t="e">
        <f t="shared" si="80"/>
        <v>#DIV/0!</v>
      </c>
      <c r="AF134" s="53" t="e">
        <f t="shared" si="80"/>
        <v>#DIV/0!</v>
      </c>
      <c r="AG134" s="53" t="e">
        <f t="shared" si="80"/>
        <v>#DIV/0!</v>
      </c>
      <c r="AH134" s="53" t="e">
        <f t="shared" si="80"/>
        <v>#DIV/0!</v>
      </c>
      <c r="AI134" s="53" t="e">
        <f t="shared" si="80"/>
        <v>#DIV/0!</v>
      </c>
      <c r="AJ134" s="53" t="e">
        <f t="shared" si="80"/>
        <v>#DIV/0!</v>
      </c>
      <c r="AK134" s="53" t="e">
        <f t="shared" si="80"/>
        <v>#DIV/0!</v>
      </c>
      <c r="AL134" s="53" t="e">
        <f t="shared" si="80"/>
        <v>#DIV/0!</v>
      </c>
      <c r="AM134" s="53" t="e">
        <f t="shared" si="80"/>
        <v>#DIV/0!</v>
      </c>
      <c r="AN134" s="53" t="e">
        <f t="shared" si="80"/>
        <v>#DIV/0!</v>
      </c>
      <c r="AO134" s="53" t="e">
        <f t="shared" si="80"/>
        <v>#DIV/0!</v>
      </c>
      <c r="AP134" s="53" t="e">
        <f t="shared" si="80"/>
        <v>#DIV/0!</v>
      </c>
      <c r="AQ134" s="53" t="e">
        <f t="shared" si="80"/>
        <v>#DIV/0!</v>
      </c>
      <c r="AR134" s="53" t="e">
        <f t="shared" si="80"/>
        <v>#DIV/0!</v>
      </c>
      <c r="AS134" s="53" t="e">
        <f t="shared" si="80"/>
        <v>#DIV/0!</v>
      </c>
      <c r="AT134" s="53" t="e">
        <f t="shared" si="80"/>
        <v>#DIV/0!</v>
      </c>
    </row>
    <row r="135" spans="1:46" ht="12.75" customHeight="1" x14ac:dyDescent="0.2">
      <c r="A135" s="6" t="s">
        <v>181</v>
      </c>
      <c r="C135" s="5" t="s">
        <v>342</v>
      </c>
      <c r="D135" s="56" t="s">
        <v>113</v>
      </c>
      <c r="E135" s="53" t="e">
        <f t="shared" ref="E135:AT135" si="81">E72/(E114*E116)+E133*E77/(E115*E117)</f>
        <v>#DIV/0!</v>
      </c>
      <c r="F135" s="53" t="e">
        <f t="shared" si="81"/>
        <v>#DIV/0!</v>
      </c>
      <c r="G135" s="53" t="e">
        <f t="shared" si="81"/>
        <v>#DIV/0!</v>
      </c>
      <c r="H135" s="53" t="e">
        <f t="shared" si="81"/>
        <v>#DIV/0!</v>
      </c>
      <c r="I135" s="53" t="e">
        <f t="shared" si="81"/>
        <v>#DIV/0!</v>
      </c>
      <c r="J135" s="53" t="e">
        <f t="shared" si="81"/>
        <v>#DIV/0!</v>
      </c>
      <c r="K135" s="53" t="e">
        <f t="shared" si="81"/>
        <v>#DIV/0!</v>
      </c>
      <c r="L135" s="53" t="e">
        <f t="shared" si="81"/>
        <v>#DIV/0!</v>
      </c>
      <c r="M135" s="53" t="e">
        <f t="shared" si="81"/>
        <v>#DIV/0!</v>
      </c>
      <c r="N135" s="53" t="e">
        <f t="shared" si="81"/>
        <v>#DIV/0!</v>
      </c>
      <c r="O135" s="53" t="e">
        <f t="shared" si="81"/>
        <v>#DIV/0!</v>
      </c>
      <c r="P135" s="53" t="e">
        <f t="shared" si="81"/>
        <v>#DIV/0!</v>
      </c>
      <c r="Q135" s="53" t="e">
        <f t="shared" si="81"/>
        <v>#DIV/0!</v>
      </c>
      <c r="R135" s="53" t="e">
        <f t="shared" si="81"/>
        <v>#DIV/0!</v>
      </c>
      <c r="S135" s="53" t="e">
        <f t="shared" si="81"/>
        <v>#DIV/0!</v>
      </c>
      <c r="T135" s="53" t="e">
        <f t="shared" si="81"/>
        <v>#DIV/0!</v>
      </c>
      <c r="U135" s="53" t="e">
        <f t="shared" si="81"/>
        <v>#DIV/0!</v>
      </c>
      <c r="V135" s="53" t="e">
        <f t="shared" si="81"/>
        <v>#DIV/0!</v>
      </c>
      <c r="W135" s="53" t="e">
        <f t="shared" si="81"/>
        <v>#DIV/0!</v>
      </c>
      <c r="X135" s="53" t="e">
        <f t="shared" si="81"/>
        <v>#DIV/0!</v>
      </c>
      <c r="Y135" s="53" t="e">
        <f t="shared" si="81"/>
        <v>#DIV/0!</v>
      </c>
      <c r="Z135" s="53" t="e">
        <f t="shared" si="81"/>
        <v>#DIV/0!</v>
      </c>
      <c r="AA135" s="53" t="e">
        <f t="shared" si="81"/>
        <v>#DIV/0!</v>
      </c>
      <c r="AB135" s="53" t="e">
        <f t="shared" si="81"/>
        <v>#DIV/0!</v>
      </c>
      <c r="AC135" s="53" t="e">
        <f t="shared" si="81"/>
        <v>#DIV/0!</v>
      </c>
      <c r="AD135" s="53" t="e">
        <f t="shared" si="81"/>
        <v>#DIV/0!</v>
      </c>
      <c r="AE135" s="53" t="e">
        <f t="shared" si="81"/>
        <v>#DIV/0!</v>
      </c>
      <c r="AF135" s="53" t="e">
        <f t="shared" si="81"/>
        <v>#DIV/0!</v>
      </c>
      <c r="AG135" s="53" t="e">
        <f t="shared" si="81"/>
        <v>#DIV/0!</v>
      </c>
      <c r="AH135" s="53" t="e">
        <f t="shared" si="81"/>
        <v>#DIV/0!</v>
      </c>
      <c r="AI135" s="53" t="e">
        <f t="shared" si="81"/>
        <v>#DIV/0!</v>
      </c>
      <c r="AJ135" s="53" t="e">
        <f t="shared" si="81"/>
        <v>#DIV/0!</v>
      </c>
      <c r="AK135" s="53" t="e">
        <f t="shared" si="81"/>
        <v>#DIV/0!</v>
      </c>
      <c r="AL135" s="53" t="e">
        <f t="shared" si="81"/>
        <v>#DIV/0!</v>
      </c>
      <c r="AM135" s="53" t="e">
        <f t="shared" si="81"/>
        <v>#DIV/0!</v>
      </c>
      <c r="AN135" s="53" t="e">
        <f t="shared" si="81"/>
        <v>#DIV/0!</v>
      </c>
      <c r="AO135" s="53" t="e">
        <f t="shared" si="81"/>
        <v>#DIV/0!</v>
      </c>
      <c r="AP135" s="53" t="e">
        <f t="shared" si="81"/>
        <v>#DIV/0!</v>
      </c>
      <c r="AQ135" s="53" t="e">
        <f t="shared" si="81"/>
        <v>#DIV/0!</v>
      </c>
      <c r="AR135" s="53" t="e">
        <f t="shared" si="81"/>
        <v>#DIV/0!</v>
      </c>
      <c r="AS135" s="53" t="e">
        <f t="shared" si="81"/>
        <v>#DIV/0!</v>
      </c>
      <c r="AT135" s="53" t="e">
        <f t="shared" si="81"/>
        <v>#DIV/0!</v>
      </c>
    </row>
    <row r="136" spans="1:46" ht="12.75" customHeight="1" x14ac:dyDescent="0.2">
      <c r="A136" s="6" t="s">
        <v>181</v>
      </c>
      <c r="C136" s="5" t="s">
        <v>343</v>
      </c>
      <c r="D136" s="56" t="s">
        <v>113</v>
      </c>
      <c r="E136" s="53" t="e">
        <f t="shared" ref="E136:AT136" si="82">E72/(E114*E116)+E134*E77/(E115*E117)</f>
        <v>#DIV/0!</v>
      </c>
      <c r="F136" s="53" t="e">
        <f t="shared" si="82"/>
        <v>#DIV/0!</v>
      </c>
      <c r="G136" s="53" t="e">
        <f t="shared" si="82"/>
        <v>#DIV/0!</v>
      </c>
      <c r="H136" s="53" t="e">
        <f t="shared" si="82"/>
        <v>#DIV/0!</v>
      </c>
      <c r="I136" s="53" t="e">
        <f t="shared" si="82"/>
        <v>#DIV/0!</v>
      </c>
      <c r="J136" s="53" t="e">
        <f t="shared" si="82"/>
        <v>#DIV/0!</v>
      </c>
      <c r="K136" s="53" t="e">
        <f t="shared" si="82"/>
        <v>#DIV/0!</v>
      </c>
      <c r="L136" s="53" t="e">
        <f t="shared" si="82"/>
        <v>#DIV/0!</v>
      </c>
      <c r="M136" s="53" t="e">
        <f t="shared" si="82"/>
        <v>#DIV/0!</v>
      </c>
      <c r="N136" s="53" t="e">
        <f t="shared" si="82"/>
        <v>#DIV/0!</v>
      </c>
      <c r="O136" s="53" t="e">
        <f t="shared" si="82"/>
        <v>#DIV/0!</v>
      </c>
      <c r="P136" s="53" t="e">
        <f t="shared" si="82"/>
        <v>#DIV/0!</v>
      </c>
      <c r="Q136" s="53" t="e">
        <f t="shared" si="82"/>
        <v>#DIV/0!</v>
      </c>
      <c r="R136" s="53" t="e">
        <f t="shared" si="82"/>
        <v>#DIV/0!</v>
      </c>
      <c r="S136" s="53" t="e">
        <f t="shared" si="82"/>
        <v>#DIV/0!</v>
      </c>
      <c r="T136" s="53" t="e">
        <f t="shared" si="82"/>
        <v>#DIV/0!</v>
      </c>
      <c r="U136" s="53" t="e">
        <f t="shared" si="82"/>
        <v>#DIV/0!</v>
      </c>
      <c r="V136" s="53" t="e">
        <f t="shared" si="82"/>
        <v>#DIV/0!</v>
      </c>
      <c r="W136" s="53" t="e">
        <f t="shared" si="82"/>
        <v>#DIV/0!</v>
      </c>
      <c r="X136" s="53" t="e">
        <f t="shared" si="82"/>
        <v>#DIV/0!</v>
      </c>
      <c r="Y136" s="53" t="e">
        <f t="shared" si="82"/>
        <v>#DIV/0!</v>
      </c>
      <c r="Z136" s="53" t="e">
        <f t="shared" si="82"/>
        <v>#DIV/0!</v>
      </c>
      <c r="AA136" s="53" t="e">
        <f t="shared" si="82"/>
        <v>#DIV/0!</v>
      </c>
      <c r="AB136" s="53" t="e">
        <f t="shared" si="82"/>
        <v>#DIV/0!</v>
      </c>
      <c r="AC136" s="53" t="e">
        <f t="shared" si="82"/>
        <v>#DIV/0!</v>
      </c>
      <c r="AD136" s="53" t="e">
        <f t="shared" si="82"/>
        <v>#DIV/0!</v>
      </c>
      <c r="AE136" s="53" t="e">
        <f t="shared" si="82"/>
        <v>#DIV/0!</v>
      </c>
      <c r="AF136" s="53" t="e">
        <f t="shared" si="82"/>
        <v>#DIV/0!</v>
      </c>
      <c r="AG136" s="53" t="e">
        <f t="shared" si="82"/>
        <v>#DIV/0!</v>
      </c>
      <c r="AH136" s="53" t="e">
        <f t="shared" si="82"/>
        <v>#DIV/0!</v>
      </c>
      <c r="AI136" s="53" t="e">
        <f t="shared" si="82"/>
        <v>#DIV/0!</v>
      </c>
      <c r="AJ136" s="53" t="e">
        <f t="shared" si="82"/>
        <v>#DIV/0!</v>
      </c>
      <c r="AK136" s="53" t="e">
        <f t="shared" si="82"/>
        <v>#DIV/0!</v>
      </c>
      <c r="AL136" s="53" t="e">
        <f t="shared" si="82"/>
        <v>#DIV/0!</v>
      </c>
      <c r="AM136" s="53" t="e">
        <f t="shared" si="82"/>
        <v>#DIV/0!</v>
      </c>
      <c r="AN136" s="53" t="e">
        <f t="shared" si="82"/>
        <v>#DIV/0!</v>
      </c>
      <c r="AO136" s="53" t="e">
        <f t="shared" si="82"/>
        <v>#DIV/0!</v>
      </c>
      <c r="AP136" s="53" t="e">
        <f t="shared" si="82"/>
        <v>#DIV/0!</v>
      </c>
      <c r="AQ136" s="53" t="e">
        <f t="shared" si="82"/>
        <v>#DIV/0!</v>
      </c>
      <c r="AR136" s="53" t="e">
        <f t="shared" si="82"/>
        <v>#DIV/0!</v>
      </c>
      <c r="AS136" s="53" t="e">
        <f t="shared" si="82"/>
        <v>#DIV/0!</v>
      </c>
      <c r="AT136" s="53" t="e">
        <f t="shared" si="82"/>
        <v>#DIV/0!</v>
      </c>
    </row>
    <row r="137" spans="1:46" ht="12.75" customHeight="1" x14ac:dyDescent="0.2">
      <c r="A137" s="50"/>
      <c r="E137" s="9"/>
      <c r="G137" s="9"/>
      <c r="I137" s="9"/>
      <c r="K137" s="9"/>
      <c r="M137" s="9"/>
      <c r="O137" s="9"/>
      <c r="Q137" s="9"/>
      <c r="S137" s="9"/>
      <c r="U137" s="9"/>
      <c r="W137" s="9"/>
      <c r="Y137" s="9"/>
      <c r="AA137" s="9"/>
      <c r="AC137" s="9"/>
      <c r="AE137" s="9"/>
      <c r="AG137" s="9"/>
      <c r="AI137" s="9"/>
      <c r="AK137" s="9"/>
      <c r="AM137" s="9"/>
      <c r="AO137" s="9"/>
      <c r="AQ137" s="9"/>
      <c r="AS137" s="9"/>
    </row>
    <row r="138" spans="1:46" ht="12.75" customHeight="1" x14ac:dyDescent="0.2">
      <c r="A138" s="51" t="s">
        <v>240</v>
      </c>
      <c r="E138" s="9"/>
      <c r="G138" s="9"/>
      <c r="I138" s="9"/>
      <c r="K138" s="9"/>
      <c r="M138" s="9"/>
      <c r="O138" s="9"/>
      <c r="Q138" s="9"/>
      <c r="S138" s="9"/>
      <c r="U138" s="9"/>
      <c r="W138" s="9"/>
      <c r="Y138" s="9"/>
      <c r="AA138" s="9"/>
      <c r="AC138" s="9"/>
      <c r="AE138" s="9"/>
      <c r="AG138" s="9"/>
      <c r="AI138" s="9"/>
      <c r="AK138" s="9"/>
      <c r="AM138" s="9"/>
      <c r="AO138" s="9"/>
      <c r="AQ138" s="9"/>
      <c r="AS138" s="9"/>
    </row>
    <row r="139" spans="1:46" ht="12.75" customHeight="1" x14ac:dyDescent="0.2">
      <c r="A139" s="46" t="s">
        <v>344</v>
      </c>
      <c r="C139" s="38" t="s">
        <v>345</v>
      </c>
      <c r="D139" s="39" t="s">
        <v>181</v>
      </c>
      <c r="E139" s="53" t="e">
        <f t="shared" ref="E139:AT139" si="83">E74</f>
        <v>#DIV/0!</v>
      </c>
      <c r="F139" s="53" t="e">
        <f t="shared" si="83"/>
        <v>#DIV/0!</v>
      </c>
      <c r="G139" s="53" t="e">
        <f t="shared" si="83"/>
        <v>#DIV/0!</v>
      </c>
      <c r="H139" s="53" t="e">
        <f t="shared" si="83"/>
        <v>#DIV/0!</v>
      </c>
      <c r="I139" s="53" t="e">
        <f t="shared" si="83"/>
        <v>#DIV/0!</v>
      </c>
      <c r="J139" s="53" t="e">
        <f t="shared" si="83"/>
        <v>#DIV/0!</v>
      </c>
      <c r="K139" s="53" t="e">
        <f t="shared" si="83"/>
        <v>#DIV/0!</v>
      </c>
      <c r="L139" s="53" t="e">
        <f t="shared" si="83"/>
        <v>#DIV/0!</v>
      </c>
      <c r="M139" s="53" t="e">
        <f t="shared" si="83"/>
        <v>#DIV/0!</v>
      </c>
      <c r="N139" s="53" t="e">
        <f t="shared" si="83"/>
        <v>#DIV/0!</v>
      </c>
      <c r="O139" s="53" t="e">
        <f t="shared" si="83"/>
        <v>#DIV/0!</v>
      </c>
      <c r="P139" s="53" t="e">
        <f t="shared" si="83"/>
        <v>#DIV/0!</v>
      </c>
      <c r="Q139" s="53" t="e">
        <f t="shared" si="83"/>
        <v>#DIV/0!</v>
      </c>
      <c r="R139" s="53" t="e">
        <f t="shared" si="83"/>
        <v>#DIV/0!</v>
      </c>
      <c r="S139" s="53" t="e">
        <f t="shared" si="83"/>
        <v>#DIV/0!</v>
      </c>
      <c r="T139" s="53" t="e">
        <f t="shared" si="83"/>
        <v>#DIV/0!</v>
      </c>
      <c r="U139" s="53" t="e">
        <f t="shared" si="83"/>
        <v>#DIV/0!</v>
      </c>
      <c r="V139" s="53" t="e">
        <f t="shared" si="83"/>
        <v>#DIV/0!</v>
      </c>
      <c r="W139" s="53" t="e">
        <f t="shared" si="83"/>
        <v>#DIV/0!</v>
      </c>
      <c r="X139" s="53" t="e">
        <f t="shared" si="83"/>
        <v>#DIV/0!</v>
      </c>
      <c r="Y139" s="53" t="e">
        <f t="shared" si="83"/>
        <v>#DIV/0!</v>
      </c>
      <c r="Z139" s="53" t="e">
        <f t="shared" si="83"/>
        <v>#DIV/0!</v>
      </c>
      <c r="AA139" s="53" t="e">
        <f t="shared" si="83"/>
        <v>#DIV/0!</v>
      </c>
      <c r="AB139" s="53" t="e">
        <f t="shared" si="83"/>
        <v>#DIV/0!</v>
      </c>
      <c r="AC139" s="53" t="e">
        <f t="shared" si="83"/>
        <v>#DIV/0!</v>
      </c>
      <c r="AD139" s="53" t="e">
        <f t="shared" si="83"/>
        <v>#DIV/0!</v>
      </c>
      <c r="AE139" s="53" t="e">
        <f t="shared" si="83"/>
        <v>#DIV/0!</v>
      </c>
      <c r="AF139" s="53" t="e">
        <f t="shared" si="83"/>
        <v>#DIV/0!</v>
      </c>
      <c r="AG139" s="53" t="e">
        <f t="shared" si="83"/>
        <v>#DIV/0!</v>
      </c>
      <c r="AH139" s="53" t="e">
        <f t="shared" si="83"/>
        <v>#DIV/0!</v>
      </c>
      <c r="AI139" s="53" t="e">
        <f t="shared" si="83"/>
        <v>#DIV/0!</v>
      </c>
      <c r="AJ139" s="53" t="e">
        <f t="shared" si="83"/>
        <v>#DIV/0!</v>
      </c>
      <c r="AK139" s="53" t="e">
        <f t="shared" si="83"/>
        <v>#DIV/0!</v>
      </c>
      <c r="AL139" s="53" t="e">
        <f t="shared" si="83"/>
        <v>#DIV/0!</v>
      </c>
      <c r="AM139" s="53" t="e">
        <f t="shared" si="83"/>
        <v>#DIV/0!</v>
      </c>
      <c r="AN139" s="53" t="e">
        <f t="shared" si="83"/>
        <v>#DIV/0!</v>
      </c>
      <c r="AO139" s="53" t="e">
        <f t="shared" si="83"/>
        <v>#DIV/0!</v>
      </c>
      <c r="AP139" s="53" t="e">
        <f t="shared" si="83"/>
        <v>#DIV/0!</v>
      </c>
      <c r="AQ139" s="53" t="e">
        <f t="shared" si="83"/>
        <v>#DIV/0!</v>
      </c>
      <c r="AR139" s="53" t="e">
        <f t="shared" si="83"/>
        <v>#DIV/0!</v>
      </c>
      <c r="AS139" s="53" t="e">
        <f t="shared" si="83"/>
        <v>#DIV/0!</v>
      </c>
      <c r="AT139" s="53" t="e">
        <f t="shared" si="83"/>
        <v>#DIV/0!</v>
      </c>
    </row>
    <row r="140" spans="1:46" ht="12.75" customHeight="1" x14ac:dyDescent="0.2">
      <c r="A140" s="37" t="s">
        <v>191</v>
      </c>
      <c r="C140" s="38" t="s">
        <v>192</v>
      </c>
      <c r="D140" s="39" t="s">
        <v>181</v>
      </c>
      <c r="E140" s="53" t="e">
        <f t="shared" ref="E140:AT140" si="84">E81</f>
        <v>#DIV/0!</v>
      </c>
      <c r="F140" s="53" t="e">
        <f t="shared" si="84"/>
        <v>#DIV/0!</v>
      </c>
      <c r="G140" s="53" t="e">
        <f t="shared" si="84"/>
        <v>#DIV/0!</v>
      </c>
      <c r="H140" s="53" t="e">
        <f t="shared" si="84"/>
        <v>#DIV/0!</v>
      </c>
      <c r="I140" s="53" t="e">
        <f t="shared" si="84"/>
        <v>#DIV/0!</v>
      </c>
      <c r="J140" s="53" t="e">
        <f t="shared" si="84"/>
        <v>#DIV/0!</v>
      </c>
      <c r="K140" s="53" t="e">
        <f t="shared" si="84"/>
        <v>#DIV/0!</v>
      </c>
      <c r="L140" s="53" t="e">
        <f t="shared" si="84"/>
        <v>#DIV/0!</v>
      </c>
      <c r="M140" s="53" t="e">
        <f t="shared" si="84"/>
        <v>#DIV/0!</v>
      </c>
      <c r="N140" s="53" t="e">
        <f t="shared" si="84"/>
        <v>#DIV/0!</v>
      </c>
      <c r="O140" s="53" t="e">
        <f t="shared" si="84"/>
        <v>#DIV/0!</v>
      </c>
      <c r="P140" s="53" t="e">
        <f t="shared" si="84"/>
        <v>#DIV/0!</v>
      </c>
      <c r="Q140" s="53" t="e">
        <f t="shared" si="84"/>
        <v>#DIV/0!</v>
      </c>
      <c r="R140" s="53" t="e">
        <f t="shared" si="84"/>
        <v>#DIV/0!</v>
      </c>
      <c r="S140" s="53" t="e">
        <f t="shared" si="84"/>
        <v>#DIV/0!</v>
      </c>
      <c r="T140" s="53" t="e">
        <f t="shared" si="84"/>
        <v>#DIV/0!</v>
      </c>
      <c r="U140" s="53" t="e">
        <f t="shared" si="84"/>
        <v>#DIV/0!</v>
      </c>
      <c r="V140" s="53" t="e">
        <f t="shared" si="84"/>
        <v>#DIV/0!</v>
      </c>
      <c r="W140" s="53" t="e">
        <f t="shared" si="84"/>
        <v>#DIV/0!</v>
      </c>
      <c r="X140" s="53" t="e">
        <f t="shared" si="84"/>
        <v>#DIV/0!</v>
      </c>
      <c r="Y140" s="53" t="e">
        <f t="shared" si="84"/>
        <v>#DIV/0!</v>
      </c>
      <c r="Z140" s="53" t="e">
        <f t="shared" si="84"/>
        <v>#DIV/0!</v>
      </c>
      <c r="AA140" s="53" t="e">
        <f t="shared" si="84"/>
        <v>#DIV/0!</v>
      </c>
      <c r="AB140" s="53" t="e">
        <f t="shared" si="84"/>
        <v>#DIV/0!</v>
      </c>
      <c r="AC140" s="53" t="e">
        <f t="shared" si="84"/>
        <v>#DIV/0!</v>
      </c>
      <c r="AD140" s="53" t="e">
        <f t="shared" si="84"/>
        <v>#DIV/0!</v>
      </c>
      <c r="AE140" s="53" t="e">
        <f t="shared" si="84"/>
        <v>#DIV/0!</v>
      </c>
      <c r="AF140" s="53" t="e">
        <f t="shared" si="84"/>
        <v>#DIV/0!</v>
      </c>
      <c r="AG140" s="53" t="e">
        <f t="shared" si="84"/>
        <v>#DIV/0!</v>
      </c>
      <c r="AH140" s="53" t="e">
        <f t="shared" si="84"/>
        <v>#DIV/0!</v>
      </c>
      <c r="AI140" s="53" t="e">
        <f t="shared" si="84"/>
        <v>#DIV/0!</v>
      </c>
      <c r="AJ140" s="53" t="e">
        <f t="shared" si="84"/>
        <v>#DIV/0!</v>
      </c>
      <c r="AK140" s="53" t="e">
        <f t="shared" si="84"/>
        <v>#DIV/0!</v>
      </c>
      <c r="AL140" s="53" t="e">
        <f t="shared" si="84"/>
        <v>#DIV/0!</v>
      </c>
      <c r="AM140" s="53" t="e">
        <f t="shared" si="84"/>
        <v>#DIV/0!</v>
      </c>
      <c r="AN140" s="53" t="e">
        <f t="shared" si="84"/>
        <v>#DIV/0!</v>
      </c>
      <c r="AO140" s="53" t="e">
        <f t="shared" si="84"/>
        <v>#DIV/0!</v>
      </c>
      <c r="AP140" s="53" t="e">
        <f t="shared" si="84"/>
        <v>#DIV/0!</v>
      </c>
      <c r="AQ140" s="53" t="e">
        <f t="shared" si="84"/>
        <v>#DIV/0!</v>
      </c>
      <c r="AR140" s="53" t="e">
        <f t="shared" si="84"/>
        <v>#DIV/0!</v>
      </c>
      <c r="AS140" s="53" t="e">
        <f t="shared" si="84"/>
        <v>#DIV/0!</v>
      </c>
      <c r="AT140" s="53" t="e">
        <f t="shared" si="84"/>
        <v>#DIV/0!</v>
      </c>
    </row>
    <row r="141" spans="1:46" ht="12.75" customHeight="1" x14ac:dyDescent="0.2">
      <c r="A141" s="37" t="s">
        <v>199</v>
      </c>
      <c r="C141" s="38" t="s">
        <v>200</v>
      </c>
      <c r="D141" s="39" t="s">
        <v>181</v>
      </c>
      <c r="E141" s="53" t="e">
        <f t="shared" ref="E141:AT141" si="85">E86</f>
        <v>#DIV/0!</v>
      </c>
      <c r="F141" s="53" t="e">
        <f t="shared" si="85"/>
        <v>#DIV/0!</v>
      </c>
      <c r="G141" s="53" t="e">
        <f t="shared" si="85"/>
        <v>#DIV/0!</v>
      </c>
      <c r="H141" s="53" t="e">
        <f t="shared" si="85"/>
        <v>#DIV/0!</v>
      </c>
      <c r="I141" s="53" t="e">
        <f t="shared" si="85"/>
        <v>#DIV/0!</v>
      </c>
      <c r="J141" s="53" t="e">
        <f t="shared" si="85"/>
        <v>#DIV/0!</v>
      </c>
      <c r="K141" s="53" t="e">
        <f t="shared" si="85"/>
        <v>#DIV/0!</v>
      </c>
      <c r="L141" s="53" t="e">
        <f t="shared" si="85"/>
        <v>#DIV/0!</v>
      </c>
      <c r="M141" s="53" t="e">
        <f t="shared" si="85"/>
        <v>#DIV/0!</v>
      </c>
      <c r="N141" s="53" t="e">
        <f t="shared" si="85"/>
        <v>#DIV/0!</v>
      </c>
      <c r="O141" s="53" t="e">
        <f t="shared" si="85"/>
        <v>#DIV/0!</v>
      </c>
      <c r="P141" s="53" t="e">
        <f t="shared" si="85"/>
        <v>#DIV/0!</v>
      </c>
      <c r="Q141" s="53" t="e">
        <f t="shared" si="85"/>
        <v>#DIV/0!</v>
      </c>
      <c r="R141" s="53" t="e">
        <f t="shared" si="85"/>
        <v>#DIV/0!</v>
      </c>
      <c r="S141" s="53" t="e">
        <f t="shared" si="85"/>
        <v>#DIV/0!</v>
      </c>
      <c r="T141" s="53" t="e">
        <f t="shared" si="85"/>
        <v>#DIV/0!</v>
      </c>
      <c r="U141" s="53" t="e">
        <f t="shared" si="85"/>
        <v>#DIV/0!</v>
      </c>
      <c r="V141" s="53" t="e">
        <f t="shared" si="85"/>
        <v>#DIV/0!</v>
      </c>
      <c r="W141" s="53" t="e">
        <f t="shared" si="85"/>
        <v>#DIV/0!</v>
      </c>
      <c r="X141" s="53" t="e">
        <f t="shared" si="85"/>
        <v>#DIV/0!</v>
      </c>
      <c r="Y141" s="53" t="e">
        <f t="shared" si="85"/>
        <v>#DIV/0!</v>
      </c>
      <c r="Z141" s="53" t="e">
        <f t="shared" si="85"/>
        <v>#DIV/0!</v>
      </c>
      <c r="AA141" s="53" t="e">
        <f t="shared" si="85"/>
        <v>#DIV/0!</v>
      </c>
      <c r="AB141" s="53" t="e">
        <f t="shared" si="85"/>
        <v>#DIV/0!</v>
      </c>
      <c r="AC141" s="53" t="e">
        <f t="shared" si="85"/>
        <v>#DIV/0!</v>
      </c>
      <c r="AD141" s="53" t="e">
        <f t="shared" si="85"/>
        <v>#DIV/0!</v>
      </c>
      <c r="AE141" s="53" t="e">
        <f t="shared" si="85"/>
        <v>#DIV/0!</v>
      </c>
      <c r="AF141" s="53" t="e">
        <f t="shared" si="85"/>
        <v>#DIV/0!</v>
      </c>
      <c r="AG141" s="53" t="e">
        <f t="shared" si="85"/>
        <v>#DIV/0!</v>
      </c>
      <c r="AH141" s="53" t="e">
        <f t="shared" si="85"/>
        <v>#DIV/0!</v>
      </c>
      <c r="AI141" s="53" t="e">
        <f t="shared" si="85"/>
        <v>#DIV/0!</v>
      </c>
      <c r="AJ141" s="53" t="e">
        <f t="shared" si="85"/>
        <v>#DIV/0!</v>
      </c>
      <c r="AK141" s="53" t="e">
        <f t="shared" si="85"/>
        <v>#DIV/0!</v>
      </c>
      <c r="AL141" s="53" t="e">
        <f t="shared" si="85"/>
        <v>#DIV/0!</v>
      </c>
      <c r="AM141" s="53" t="e">
        <f t="shared" si="85"/>
        <v>#DIV/0!</v>
      </c>
      <c r="AN141" s="53" t="e">
        <f t="shared" si="85"/>
        <v>#DIV/0!</v>
      </c>
      <c r="AO141" s="53" t="e">
        <f t="shared" si="85"/>
        <v>#DIV/0!</v>
      </c>
      <c r="AP141" s="53" t="e">
        <f t="shared" si="85"/>
        <v>#DIV/0!</v>
      </c>
      <c r="AQ141" s="53" t="e">
        <f t="shared" si="85"/>
        <v>#DIV/0!</v>
      </c>
      <c r="AR141" s="53" t="e">
        <f t="shared" si="85"/>
        <v>#DIV/0!</v>
      </c>
      <c r="AS141" s="53" t="e">
        <f t="shared" si="85"/>
        <v>#DIV/0!</v>
      </c>
      <c r="AT141" s="53" t="e">
        <f t="shared" si="85"/>
        <v>#DIV/0!</v>
      </c>
    </row>
    <row r="142" spans="1:46" ht="12.75" customHeight="1" x14ac:dyDescent="0.2">
      <c r="A142" s="37" t="s">
        <v>215</v>
      </c>
      <c r="C142" s="38" t="s">
        <v>216</v>
      </c>
      <c r="D142" s="39" t="s">
        <v>181</v>
      </c>
      <c r="E142" s="53" t="e">
        <f t="shared" ref="E142:AT142" si="86">E89</f>
        <v>#DIV/0!</v>
      </c>
      <c r="F142" s="53" t="e">
        <f t="shared" si="86"/>
        <v>#DIV/0!</v>
      </c>
      <c r="G142" s="53" t="e">
        <f t="shared" si="86"/>
        <v>#DIV/0!</v>
      </c>
      <c r="H142" s="53" t="e">
        <f t="shared" si="86"/>
        <v>#DIV/0!</v>
      </c>
      <c r="I142" s="53" t="e">
        <f t="shared" si="86"/>
        <v>#DIV/0!</v>
      </c>
      <c r="J142" s="53" t="e">
        <f t="shared" si="86"/>
        <v>#DIV/0!</v>
      </c>
      <c r="K142" s="53" t="e">
        <f t="shared" si="86"/>
        <v>#DIV/0!</v>
      </c>
      <c r="L142" s="53" t="e">
        <f t="shared" si="86"/>
        <v>#DIV/0!</v>
      </c>
      <c r="M142" s="53" t="e">
        <f t="shared" si="86"/>
        <v>#DIV/0!</v>
      </c>
      <c r="N142" s="53" t="e">
        <f t="shared" si="86"/>
        <v>#DIV/0!</v>
      </c>
      <c r="O142" s="53" t="e">
        <f t="shared" si="86"/>
        <v>#DIV/0!</v>
      </c>
      <c r="P142" s="53" t="e">
        <f t="shared" si="86"/>
        <v>#DIV/0!</v>
      </c>
      <c r="Q142" s="53" t="e">
        <f t="shared" si="86"/>
        <v>#DIV/0!</v>
      </c>
      <c r="R142" s="53" t="e">
        <f t="shared" si="86"/>
        <v>#DIV/0!</v>
      </c>
      <c r="S142" s="53" t="e">
        <f t="shared" si="86"/>
        <v>#DIV/0!</v>
      </c>
      <c r="T142" s="53" t="e">
        <f t="shared" si="86"/>
        <v>#DIV/0!</v>
      </c>
      <c r="U142" s="53" t="e">
        <f t="shared" si="86"/>
        <v>#DIV/0!</v>
      </c>
      <c r="V142" s="53" t="e">
        <f t="shared" si="86"/>
        <v>#DIV/0!</v>
      </c>
      <c r="W142" s="53" t="e">
        <f t="shared" si="86"/>
        <v>#DIV/0!</v>
      </c>
      <c r="X142" s="53" t="e">
        <f t="shared" si="86"/>
        <v>#DIV/0!</v>
      </c>
      <c r="Y142" s="53" t="e">
        <f t="shared" si="86"/>
        <v>#DIV/0!</v>
      </c>
      <c r="Z142" s="53" t="e">
        <f t="shared" si="86"/>
        <v>#DIV/0!</v>
      </c>
      <c r="AA142" s="53" t="e">
        <f t="shared" si="86"/>
        <v>#DIV/0!</v>
      </c>
      <c r="AB142" s="53" t="e">
        <f t="shared" si="86"/>
        <v>#DIV/0!</v>
      </c>
      <c r="AC142" s="53" t="e">
        <f t="shared" si="86"/>
        <v>#DIV/0!</v>
      </c>
      <c r="AD142" s="53" t="e">
        <f t="shared" si="86"/>
        <v>#DIV/0!</v>
      </c>
      <c r="AE142" s="53" t="e">
        <f t="shared" si="86"/>
        <v>#DIV/0!</v>
      </c>
      <c r="AF142" s="53" t="e">
        <f t="shared" si="86"/>
        <v>#DIV/0!</v>
      </c>
      <c r="AG142" s="53" t="e">
        <f t="shared" si="86"/>
        <v>#DIV/0!</v>
      </c>
      <c r="AH142" s="53" t="e">
        <f t="shared" si="86"/>
        <v>#DIV/0!</v>
      </c>
      <c r="AI142" s="53" t="e">
        <f t="shared" si="86"/>
        <v>#DIV/0!</v>
      </c>
      <c r="AJ142" s="53" t="e">
        <f t="shared" si="86"/>
        <v>#DIV/0!</v>
      </c>
      <c r="AK142" s="53" t="e">
        <f t="shared" si="86"/>
        <v>#DIV/0!</v>
      </c>
      <c r="AL142" s="53" t="e">
        <f t="shared" si="86"/>
        <v>#DIV/0!</v>
      </c>
      <c r="AM142" s="53" t="e">
        <f t="shared" si="86"/>
        <v>#DIV/0!</v>
      </c>
      <c r="AN142" s="53" t="e">
        <f t="shared" si="86"/>
        <v>#DIV/0!</v>
      </c>
      <c r="AO142" s="53" t="e">
        <f t="shared" si="86"/>
        <v>#DIV/0!</v>
      </c>
      <c r="AP142" s="53" t="e">
        <f t="shared" si="86"/>
        <v>#DIV/0!</v>
      </c>
      <c r="AQ142" s="53" t="e">
        <f t="shared" si="86"/>
        <v>#DIV/0!</v>
      </c>
      <c r="AR142" s="53" t="e">
        <f t="shared" si="86"/>
        <v>#DIV/0!</v>
      </c>
      <c r="AS142" s="53" t="e">
        <f t="shared" si="86"/>
        <v>#DIV/0!</v>
      </c>
      <c r="AT142" s="53" t="e">
        <f t="shared" si="86"/>
        <v>#DIV/0!</v>
      </c>
    </row>
    <row r="143" spans="1:46" ht="12.75" customHeight="1" x14ac:dyDescent="0.2">
      <c r="C143" s="38"/>
      <c r="D143" s="39" t="s">
        <v>181</v>
      </c>
      <c r="E143" s="53" t="e">
        <f t="shared" ref="E143:AT143" si="87">E90</f>
        <v>#DIV/0!</v>
      </c>
      <c r="F143" s="53" t="e">
        <f t="shared" si="87"/>
        <v>#DIV/0!</v>
      </c>
      <c r="G143" s="53" t="e">
        <f t="shared" si="87"/>
        <v>#DIV/0!</v>
      </c>
      <c r="H143" s="53" t="e">
        <f t="shared" si="87"/>
        <v>#DIV/0!</v>
      </c>
      <c r="I143" s="53" t="e">
        <f t="shared" si="87"/>
        <v>#DIV/0!</v>
      </c>
      <c r="J143" s="53" t="e">
        <f t="shared" si="87"/>
        <v>#DIV/0!</v>
      </c>
      <c r="K143" s="53" t="e">
        <f t="shared" si="87"/>
        <v>#DIV/0!</v>
      </c>
      <c r="L143" s="53" t="e">
        <f t="shared" si="87"/>
        <v>#DIV/0!</v>
      </c>
      <c r="M143" s="53" t="e">
        <f t="shared" si="87"/>
        <v>#DIV/0!</v>
      </c>
      <c r="N143" s="53" t="e">
        <f t="shared" si="87"/>
        <v>#DIV/0!</v>
      </c>
      <c r="O143" s="53" t="e">
        <f t="shared" si="87"/>
        <v>#DIV/0!</v>
      </c>
      <c r="P143" s="53" t="e">
        <f t="shared" si="87"/>
        <v>#DIV/0!</v>
      </c>
      <c r="Q143" s="53" t="e">
        <f t="shared" si="87"/>
        <v>#DIV/0!</v>
      </c>
      <c r="R143" s="53" t="e">
        <f t="shared" si="87"/>
        <v>#DIV/0!</v>
      </c>
      <c r="S143" s="53" t="e">
        <f t="shared" si="87"/>
        <v>#DIV/0!</v>
      </c>
      <c r="T143" s="53" t="e">
        <f t="shared" si="87"/>
        <v>#DIV/0!</v>
      </c>
      <c r="U143" s="53" t="e">
        <f t="shared" si="87"/>
        <v>#DIV/0!</v>
      </c>
      <c r="V143" s="53" t="e">
        <f t="shared" si="87"/>
        <v>#DIV/0!</v>
      </c>
      <c r="W143" s="53" t="e">
        <f t="shared" si="87"/>
        <v>#DIV/0!</v>
      </c>
      <c r="X143" s="53" t="e">
        <f t="shared" si="87"/>
        <v>#DIV/0!</v>
      </c>
      <c r="Y143" s="53" t="e">
        <f t="shared" si="87"/>
        <v>#DIV/0!</v>
      </c>
      <c r="Z143" s="53" t="e">
        <f t="shared" si="87"/>
        <v>#DIV/0!</v>
      </c>
      <c r="AA143" s="53" t="e">
        <f t="shared" si="87"/>
        <v>#DIV/0!</v>
      </c>
      <c r="AB143" s="53" t="e">
        <f t="shared" si="87"/>
        <v>#DIV/0!</v>
      </c>
      <c r="AC143" s="53" t="e">
        <f t="shared" si="87"/>
        <v>#DIV/0!</v>
      </c>
      <c r="AD143" s="53" t="e">
        <f t="shared" si="87"/>
        <v>#DIV/0!</v>
      </c>
      <c r="AE143" s="53" t="e">
        <f t="shared" si="87"/>
        <v>#DIV/0!</v>
      </c>
      <c r="AF143" s="53" t="e">
        <f t="shared" si="87"/>
        <v>#DIV/0!</v>
      </c>
      <c r="AG143" s="53" t="e">
        <f t="shared" si="87"/>
        <v>#DIV/0!</v>
      </c>
      <c r="AH143" s="53" t="e">
        <f t="shared" si="87"/>
        <v>#DIV/0!</v>
      </c>
      <c r="AI143" s="53" t="e">
        <f t="shared" si="87"/>
        <v>#DIV/0!</v>
      </c>
      <c r="AJ143" s="53" t="e">
        <f t="shared" si="87"/>
        <v>#DIV/0!</v>
      </c>
      <c r="AK143" s="53" t="e">
        <f t="shared" si="87"/>
        <v>#DIV/0!</v>
      </c>
      <c r="AL143" s="53" t="e">
        <f t="shared" si="87"/>
        <v>#DIV/0!</v>
      </c>
      <c r="AM143" s="53" t="e">
        <f t="shared" si="87"/>
        <v>#DIV/0!</v>
      </c>
      <c r="AN143" s="53" t="e">
        <f t="shared" si="87"/>
        <v>#DIV/0!</v>
      </c>
      <c r="AO143" s="53" t="e">
        <f t="shared" si="87"/>
        <v>#DIV/0!</v>
      </c>
      <c r="AP143" s="53" t="e">
        <f t="shared" si="87"/>
        <v>#DIV/0!</v>
      </c>
      <c r="AQ143" s="53" t="e">
        <f t="shared" si="87"/>
        <v>#DIV/0!</v>
      </c>
      <c r="AR143" s="53" t="e">
        <f t="shared" si="87"/>
        <v>#DIV/0!</v>
      </c>
      <c r="AS143" s="53" t="e">
        <f t="shared" si="87"/>
        <v>#DIV/0!</v>
      </c>
      <c r="AT143" s="53" t="e">
        <f t="shared" si="87"/>
        <v>#DIV/0!</v>
      </c>
    </row>
    <row r="144" spans="1:46" ht="12.75" customHeight="1" x14ac:dyDescent="0.2">
      <c r="A144" s="37" t="s">
        <v>242</v>
      </c>
      <c r="C144" s="38" t="s">
        <v>307</v>
      </c>
      <c r="D144" s="39" t="s">
        <v>181</v>
      </c>
      <c r="E144" s="53" t="e">
        <f t="shared" ref="E144:AT144" si="88">E97</f>
        <v>#DIV/0!</v>
      </c>
      <c r="F144" s="53" t="e">
        <f t="shared" si="88"/>
        <v>#DIV/0!</v>
      </c>
      <c r="G144" s="53" t="e">
        <f t="shared" si="88"/>
        <v>#DIV/0!</v>
      </c>
      <c r="H144" s="53" t="e">
        <f t="shared" si="88"/>
        <v>#DIV/0!</v>
      </c>
      <c r="I144" s="53" t="e">
        <f t="shared" si="88"/>
        <v>#DIV/0!</v>
      </c>
      <c r="J144" s="53" t="e">
        <f t="shared" si="88"/>
        <v>#DIV/0!</v>
      </c>
      <c r="K144" s="53" t="e">
        <f t="shared" si="88"/>
        <v>#DIV/0!</v>
      </c>
      <c r="L144" s="53" t="e">
        <f t="shared" si="88"/>
        <v>#DIV/0!</v>
      </c>
      <c r="M144" s="53" t="e">
        <f t="shared" si="88"/>
        <v>#DIV/0!</v>
      </c>
      <c r="N144" s="53" t="e">
        <f t="shared" si="88"/>
        <v>#DIV/0!</v>
      </c>
      <c r="O144" s="53" t="e">
        <f t="shared" si="88"/>
        <v>#DIV/0!</v>
      </c>
      <c r="P144" s="53" t="e">
        <f t="shared" si="88"/>
        <v>#DIV/0!</v>
      </c>
      <c r="Q144" s="53" t="e">
        <f t="shared" si="88"/>
        <v>#DIV/0!</v>
      </c>
      <c r="R144" s="53" t="e">
        <f t="shared" si="88"/>
        <v>#DIV/0!</v>
      </c>
      <c r="S144" s="53" t="e">
        <f t="shared" si="88"/>
        <v>#DIV/0!</v>
      </c>
      <c r="T144" s="53" t="e">
        <f t="shared" si="88"/>
        <v>#DIV/0!</v>
      </c>
      <c r="U144" s="53" t="e">
        <f t="shared" si="88"/>
        <v>#DIV/0!</v>
      </c>
      <c r="V144" s="53" t="e">
        <f t="shared" si="88"/>
        <v>#DIV/0!</v>
      </c>
      <c r="W144" s="53" t="e">
        <f t="shared" si="88"/>
        <v>#DIV/0!</v>
      </c>
      <c r="X144" s="53" t="e">
        <f t="shared" si="88"/>
        <v>#DIV/0!</v>
      </c>
      <c r="Y144" s="53" t="e">
        <f t="shared" si="88"/>
        <v>#DIV/0!</v>
      </c>
      <c r="Z144" s="53" t="e">
        <f t="shared" si="88"/>
        <v>#DIV/0!</v>
      </c>
      <c r="AA144" s="53" t="e">
        <f t="shared" si="88"/>
        <v>#DIV/0!</v>
      </c>
      <c r="AB144" s="53" t="e">
        <f t="shared" si="88"/>
        <v>#DIV/0!</v>
      </c>
      <c r="AC144" s="53" t="e">
        <f t="shared" si="88"/>
        <v>#DIV/0!</v>
      </c>
      <c r="AD144" s="53" t="e">
        <f t="shared" si="88"/>
        <v>#DIV/0!</v>
      </c>
      <c r="AE144" s="53" t="e">
        <f t="shared" si="88"/>
        <v>#DIV/0!</v>
      </c>
      <c r="AF144" s="53" t="e">
        <f t="shared" si="88"/>
        <v>#DIV/0!</v>
      </c>
      <c r="AG144" s="53" t="e">
        <f t="shared" si="88"/>
        <v>#DIV/0!</v>
      </c>
      <c r="AH144" s="53" t="e">
        <f t="shared" si="88"/>
        <v>#DIV/0!</v>
      </c>
      <c r="AI144" s="53" t="e">
        <f t="shared" si="88"/>
        <v>#DIV/0!</v>
      </c>
      <c r="AJ144" s="53" t="e">
        <f t="shared" si="88"/>
        <v>#DIV/0!</v>
      </c>
      <c r="AK144" s="53" t="e">
        <f t="shared" si="88"/>
        <v>#DIV/0!</v>
      </c>
      <c r="AL144" s="53" t="e">
        <f t="shared" si="88"/>
        <v>#DIV/0!</v>
      </c>
      <c r="AM144" s="53" t="e">
        <f t="shared" si="88"/>
        <v>#DIV/0!</v>
      </c>
      <c r="AN144" s="53" t="e">
        <f t="shared" si="88"/>
        <v>#DIV/0!</v>
      </c>
      <c r="AO144" s="53" t="e">
        <f t="shared" si="88"/>
        <v>#DIV/0!</v>
      </c>
      <c r="AP144" s="53" t="e">
        <f t="shared" si="88"/>
        <v>#DIV/0!</v>
      </c>
      <c r="AQ144" s="53" t="e">
        <f t="shared" si="88"/>
        <v>#DIV/0!</v>
      </c>
      <c r="AR144" s="53" t="e">
        <f t="shared" si="88"/>
        <v>#DIV/0!</v>
      </c>
      <c r="AS144" s="53" t="e">
        <f t="shared" si="88"/>
        <v>#DIV/0!</v>
      </c>
      <c r="AT144" s="53" t="e">
        <f t="shared" si="88"/>
        <v>#DIV/0!</v>
      </c>
    </row>
    <row r="145" spans="1:46" ht="12.75" customHeight="1" x14ac:dyDescent="0.2">
      <c r="A145" s="6"/>
      <c r="C145" s="5"/>
      <c r="D145" s="39" t="s">
        <v>181</v>
      </c>
      <c r="E145" s="53" t="e">
        <f t="shared" ref="E145:AT145" si="89">E98</f>
        <v>#DIV/0!</v>
      </c>
      <c r="F145" s="53" t="e">
        <f t="shared" si="89"/>
        <v>#DIV/0!</v>
      </c>
      <c r="G145" s="53" t="e">
        <f t="shared" si="89"/>
        <v>#DIV/0!</v>
      </c>
      <c r="H145" s="53" t="e">
        <f t="shared" si="89"/>
        <v>#DIV/0!</v>
      </c>
      <c r="I145" s="53" t="e">
        <f t="shared" si="89"/>
        <v>#DIV/0!</v>
      </c>
      <c r="J145" s="53" t="e">
        <f t="shared" si="89"/>
        <v>#DIV/0!</v>
      </c>
      <c r="K145" s="53" t="e">
        <f t="shared" si="89"/>
        <v>#DIV/0!</v>
      </c>
      <c r="L145" s="53" t="e">
        <f t="shared" si="89"/>
        <v>#DIV/0!</v>
      </c>
      <c r="M145" s="53" t="e">
        <f t="shared" si="89"/>
        <v>#DIV/0!</v>
      </c>
      <c r="N145" s="53" t="e">
        <f t="shared" si="89"/>
        <v>#DIV/0!</v>
      </c>
      <c r="O145" s="53" t="e">
        <f t="shared" si="89"/>
        <v>#DIV/0!</v>
      </c>
      <c r="P145" s="53" t="e">
        <f t="shared" si="89"/>
        <v>#DIV/0!</v>
      </c>
      <c r="Q145" s="53" t="e">
        <f t="shared" si="89"/>
        <v>#DIV/0!</v>
      </c>
      <c r="R145" s="53" t="e">
        <f t="shared" si="89"/>
        <v>#DIV/0!</v>
      </c>
      <c r="S145" s="53" t="e">
        <f t="shared" si="89"/>
        <v>#DIV/0!</v>
      </c>
      <c r="T145" s="53" t="e">
        <f t="shared" si="89"/>
        <v>#DIV/0!</v>
      </c>
      <c r="U145" s="53" t="e">
        <f t="shared" si="89"/>
        <v>#DIV/0!</v>
      </c>
      <c r="V145" s="53" t="e">
        <f t="shared" si="89"/>
        <v>#DIV/0!</v>
      </c>
      <c r="W145" s="53" t="e">
        <f t="shared" si="89"/>
        <v>#DIV/0!</v>
      </c>
      <c r="X145" s="53" t="e">
        <f t="shared" si="89"/>
        <v>#DIV/0!</v>
      </c>
      <c r="Y145" s="53" t="e">
        <f t="shared" si="89"/>
        <v>#DIV/0!</v>
      </c>
      <c r="Z145" s="53" t="e">
        <f t="shared" si="89"/>
        <v>#DIV/0!</v>
      </c>
      <c r="AA145" s="53" t="e">
        <f t="shared" si="89"/>
        <v>#DIV/0!</v>
      </c>
      <c r="AB145" s="53" t="e">
        <f t="shared" si="89"/>
        <v>#DIV/0!</v>
      </c>
      <c r="AC145" s="53" t="e">
        <f t="shared" si="89"/>
        <v>#DIV/0!</v>
      </c>
      <c r="AD145" s="53" t="e">
        <f t="shared" si="89"/>
        <v>#DIV/0!</v>
      </c>
      <c r="AE145" s="53" t="e">
        <f t="shared" si="89"/>
        <v>#DIV/0!</v>
      </c>
      <c r="AF145" s="53" t="e">
        <f t="shared" si="89"/>
        <v>#DIV/0!</v>
      </c>
      <c r="AG145" s="53" t="e">
        <f t="shared" si="89"/>
        <v>#DIV/0!</v>
      </c>
      <c r="AH145" s="53" t="e">
        <f t="shared" si="89"/>
        <v>#DIV/0!</v>
      </c>
      <c r="AI145" s="53" t="e">
        <f t="shared" si="89"/>
        <v>#DIV/0!</v>
      </c>
      <c r="AJ145" s="53" t="e">
        <f t="shared" si="89"/>
        <v>#DIV/0!</v>
      </c>
      <c r="AK145" s="53" t="e">
        <f t="shared" si="89"/>
        <v>#DIV/0!</v>
      </c>
      <c r="AL145" s="53" t="e">
        <f t="shared" si="89"/>
        <v>#DIV/0!</v>
      </c>
      <c r="AM145" s="53" t="e">
        <f t="shared" si="89"/>
        <v>#DIV/0!</v>
      </c>
      <c r="AN145" s="53" t="e">
        <f t="shared" si="89"/>
        <v>#DIV/0!</v>
      </c>
      <c r="AO145" s="53" t="e">
        <f t="shared" si="89"/>
        <v>#DIV/0!</v>
      </c>
      <c r="AP145" s="53" t="e">
        <f t="shared" si="89"/>
        <v>#DIV/0!</v>
      </c>
      <c r="AQ145" s="53" t="e">
        <f t="shared" si="89"/>
        <v>#DIV/0!</v>
      </c>
      <c r="AR145" s="53" t="e">
        <f t="shared" si="89"/>
        <v>#DIV/0!</v>
      </c>
      <c r="AS145" s="53" t="e">
        <f t="shared" si="89"/>
        <v>#DIV/0!</v>
      </c>
      <c r="AT145" s="53" t="e">
        <f t="shared" si="89"/>
        <v>#DIV/0!</v>
      </c>
    </row>
    <row r="146" spans="1:46" ht="12.75" customHeight="1" x14ac:dyDescent="0.2">
      <c r="A146" s="6" t="s">
        <v>314</v>
      </c>
      <c r="C146" s="57" t="s">
        <v>315</v>
      </c>
      <c r="D146" s="39" t="s">
        <v>181</v>
      </c>
      <c r="E146" s="53" t="e">
        <f t="shared" ref="E146:AT146" si="90">MAX(E104,E111)</f>
        <v>#DIV/0!</v>
      </c>
      <c r="F146" s="53" t="e">
        <f t="shared" si="90"/>
        <v>#DIV/0!</v>
      </c>
      <c r="G146" s="53" t="e">
        <f t="shared" si="90"/>
        <v>#DIV/0!</v>
      </c>
      <c r="H146" s="53" t="e">
        <f t="shared" si="90"/>
        <v>#DIV/0!</v>
      </c>
      <c r="I146" s="53" t="e">
        <f t="shared" si="90"/>
        <v>#DIV/0!</v>
      </c>
      <c r="J146" s="53" t="e">
        <f t="shared" si="90"/>
        <v>#DIV/0!</v>
      </c>
      <c r="K146" s="53" t="e">
        <f t="shared" si="90"/>
        <v>#DIV/0!</v>
      </c>
      <c r="L146" s="53" t="e">
        <f t="shared" si="90"/>
        <v>#DIV/0!</v>
      </c>
      <c r="M146" s="53" t="e">
        <f t="shared" si="90"/>
        <v>#DIV/0!</v>
      </c>
      <c r="N146" s="53" t="e">
        <f t="shared" si="90"/>
        <v>#DIV/0!</v>
      </c>
      <c r="O146" s="53" t="e">
        <f t="shared" si="90"/>
        <v>#DIV/0!</v>
      </c>
      <c r="P146" s="53" t="e">
        <f t="shared" si="90"/>
        <v>#DIV/0!</v>
      </c>
      <c r="Q146" s="53" t="e">
        <f t="shared" si="90"/>
        <v>#DIV/0!</v>
      </c>
      <c r="R146" s="53" t="e">
        <f t="shared" si="90"/>
        <v>#DIV/0!</v>
      </c>
      <c r="S146" s="53" t="e">
        <f t="shared" si="90"/>
        <v>#DIV/0!</v>
      </c>
      <c r="T146" s="53" t="e">
        <f t="shared" si="90"/>
        <v>#DIV/0!</v>
      </c>
      <c r="U146" s="53" t="e">
        <f t="shared" si="90"/>
        <v>#DIV/0!</v>
      </c>
      <c r="V146" s="53" t="e">
        <f t="shared" si="90"/>
        <v>#DIV/0!</v>
      </c>
      <c r="W146" s="53" t="e">
        <f t="shared" si="90"/>
        <v>#DIV/0!</v>
      </c>
      <c r="X146" s="53" t="e">
        <f t="shared" si="90"/>
        <v>#DIV/0!</v>
      </c>
      <c r="Y146" s="53" t="e">
        <f t="shared" si="90"/>
        <v>#DIV/0!</v>
      </c>
      <c r="Z146" s="53" t="e">
        <f t="shared" si="90"/>
        <v>#DIV/0!</v>
      </c>
      <c r="AA146" s="53" t="e">
        <f t="shared" si="90"/>
        <v>#DIV/0!</v>
      </c>
      <c r="AB146" s="53" t="e">
        <f t="shared" si="90"/>
        <v>#DIV/0!</v>
      </c>
      <c r="AC146" s="53" t="e">
        <f t="shared" si="90"/>
        <v>#DIV/0!</v>
      </c>
      <c r="AD146" s="53" t="e">
        <f t="shared" si="90"/>
        <v>#DIV/0!</v>
      </c>
      <c r="AE146" s="53" t="e">
        <f t="shared" si="90"/>
        <v>#DIV/0!</v>
      </c>
      <c r="AF146" s="53" t="e">
        <f t="shared" si="90"/>
        <v>#DIV/0!</v>
      </c>
      <c r="AG146" s="53" t="e">
        <f t="shared" si="90"/>
        <v>#DIV/0!</v>
      </c>
      <c r="AH146" s="53" t="e">
        <f t="shared" si="90"/>
        <v>#DIV/0!</v>
      </c>
      <c r="AI146" s="53" t="e">
        <f t="shared" si="90"/>
        <v>#DIV/0!</v>
      </c>
      <c r="AJ146" s="53" t="e">
        <f t="shared" si="90"/>
        <v>#DIV/0!</v>
      </c>
      <c r="AK146" s="53" t="e">
        <f t="shared" si="90"/>
        <v>#DIV/0!</v>
      </c>
      <c r="AL146" s="53" t="e">
        <f t="shared" si="90"/>
        <v>#DIV/0!</v>
      </c>
      <c r="AM146" s="53" t="e">
        <f t="shared" si="90"/>
        <v>#DIV/0!</v>
      </c>
      <c r="AN146" s="53" t="e">
        <f t="shared" si="90"/>
        <v>#DIV/0!</v>
      </c>
      <c r="AO146" s="53" t="e">
        <f t="shared" si="90"/>
        <v>#DIV/0!</v>
      </c>
      <c r="AP146" s="53" t="e">
        <f t="shared" si="90"/>
        <v>#DIV/0!</v>
      </c>
      <c r="AQ146" s="53" t="e">
        <f t="shared" si="90"/>
        <v>#DIV/0!</v>
      </c>
      <c r="AR146" s="53" t="e">
        <f t="shared" si="90"/>
        <v>#DIV/0!</v>
      </c>
      <c r="AS146" s="53" t="e">
        <f t="shared" si="90"/>
        <v>#DIV/0!</v>
      </c>
      <c r="AT146" s="53" t="e">
        <f t="shared" si="90"/>
        <v>#DIV/0!</v>
      </c>
    </row>
    <row r="147" spans="1:46" ht="12.75" customHeight="1" x14ac:dyDescent="0.2">
      <c r="A147" s="6" t="s">
        <v>323</v>
      </c>
      <c r="C147" s="57" t="s">
        <v>324</v>
      </c>
      <c r="D147" s="39" t="s">
        <v>181</v>
      </c>
      <c r="E147" s="53" t="e">
        <f t="shared" ref="E147:AT147" si="91">E135</f>
        <v>#DIV/0!</v>
      </c>
      <c r="F147" s="53" t="e">
        <f t="shared" si="91"/>
        <v>#DIV/0!</v>
      </c>
      <c r="G147" s="53" t="e">
        <f t="shared" si="91"/>
        <v>#DIV/0!</v>
      </c>
      <c r="H147" s="53" t="e">
        <f t="shared" si="91"/>
        <v>#DIV/0!</v>
      </c>
      <c r="I147" s="53" t="e">
        <f t="shared" si="91"/>
        <v>#DIV/0!</v>
      </c>
      <c r="J147" s="53" t="e">
        <f t="shared" si="91"/>
        <v>#DIV/0!</v>
      </c>
      <c r="K147" s="53" t="e">
        <f t="shared" si="91"/>
        <v>#DIV/0!</v>
      </c>
      <c r="L147" s="53" t="e">
        <f t="shared" si="91"/>
        <v>#DIV/0!</v>
      </c>
      <c r="M147" s="53" t="e">
        <f t="shared" si="91"/>
        <v>#DIV/0!</v>
      </c>
      <c r="N147" s="53" t="e">
        <f t="shared" si="91"/>
        <v>#DIV/0!</v>
      </c>
      <c r="O147" s="53" t="e">
        <f t="shared" si="91"/>
        <v>#DIV/0!</v>
      </c>
      <c r="P147" s="53" t="e">
        <f t="shared" si="91"/>
        <v>#DIV/0!</v>
      </c>
      <c r="Q147" s="53" t="e">
        <f t="shared" si="91"/>
        <v>#DIV/0!</v>
      </c>
      <c r="R147" s="53" t="e">
        <f t="shared" si="91"/>
        <v>#DIV/0!</v>
      </c>
      <c r="S147" s="53" t="e">
        <f t="shared" si="91"/>
        <v>#DIV/0!</v>
      </c>
      <c r="T147" s="53" t="e">
        <f t="shared" si="91"/>
        <v>#DIV/0!</v>
      </c>
      <c r="U147" s="53" t="e">
        <f t="shared" si="91"/>
        <v>#DIV/0!</v>
      </c>
      <c r="V147" s="53" t="e">
        <f t="shared" si="91"/>
        <v>#DIV/0!</v>
      </c>
      <c r="W147" s="53" t="e">
        <f t="shared" si="91"/>
        <v>#DIV/0!</v>
      </c>
      <c r="X147" s="53" t="e">
        <f t="shared" si="91"/>
        <v>#DIV/0!</v>
      </c>
      <c r="Y147" s="53" t="e">
        <f t="shared" si="91"/>
        <v>#DIV/0!</v>
      </c>
      <c r="Z147" s="53" t="e">
        <f t="shared" si="91"/>
        <v>#DIV/0!</v>
      </c>
      <c r="AA147" s="53" t="e">
        <f t="shared" si="91"/>
        <v>#DIV/0!</v>
      </c>
      <c r="AB147" s="53" t="e">
        <f t="shared" si="91"/>
        <v>#DIV/0!</v>
      </c>
      <c r="AC147" s="53" t="e">
        <f t="shared" si="91"/>
        <v>#DIV/0!</v>
      </c>
      <c r="AD147" s="53" t="e">
        <f t="shared" si="91"/>
        <v>#DIV/0!</v>
      </c>
      <c r="AE147" s="53" t="e">
        <f t="shared" si="91"/>
        <v>#DIV/0!</v>
      </c>
      <c r="AF147" s="53" t="e">
        <f t="shared" si="91"/>
        <v>#DIV/0!</v>
      </c>
      <c r="AG147" s="53" t="e">
        <f t="shared" si="91"/>
        <v>#DIV/0!</v>
      </c>
      <c r="AH147" s="53" t="e">
        <f t="shared" si="91"/>
        <v>#DIV/0!</v>
      </c>
      <c r="AI147" s="53" t="e">
        <f t="shared" si="91"/>
        <v>#DIV/0!</v>
      </c>
      <c r="AJ147" s="53" t="e">
        <f t="shared" si="91"/>
        <v>#DIV/0!</v>
      </c>
      <c r="AK147" s="53" t="e">
        <f t="shared" si="91"/>
        <v>#DIV/0!</v>
      </c>
      <c r="AL147" s="53" t="e">
        <f t="shared" si="91"/>
        <v>#DIV/0!</v>
      </c>
      <c r="AM147" s="53" t="e">
        <f t="shared" si="91"/>
        <v>#DIV/0!</v>
      </c>
      <c r="AN147" s="53" t="e">
        <f t="shared" si="91"/>
        <v>#DIV/0!</v>
      </c>
      <c r="AO147" s="53" t="e">
        <f t="shared" si="91"/>
        <v>#DIV/0!</v>
      </c>
      <c r="AP147" s="53" t="e">
        <f t="shared" si="91"/>
        <v>#DIV/0!</v>
      </c>
      <c r="AQ147" s="53" t="e">
        <f t="shared" si="91"/>
        <v>#DIV/0!</v>
      </c>
      <c r="AR147" s="53" t="e">
        <f t="shared" si="91"/>
        <v>#DIV/0!</v>
      </c>
      <c r="AS147" s="53" t="e">
        <f t="shared" si="91"/>
        <v>#DIV/0!</v>
      </c>
      <c r="AT147" s="53" t="e">
        <f t="shared" si="91"/>
        <v>#DIV/0!</v>
      </c>
    </row>
    <row r="148" spans="1:46" ht="12.75" customHeight="1" x14ac:dyDescent="0.2">
      <c r="A148" s="50"/>
      <c r="D148" s="39" t="s">
        <v>181</v>
      </c>
      <c r="E148" s="53" t="e">
        <f t="shared" ref="E148:AT148" si="92">E136</f>
        <v>#DIV/0!</v>
      </c>
      <c r="F148" s="53" t="e">
        <f t="shared" si="92"/>
        <v>#DIV/0!</v>
      </c>
      <c r="G148" s="53" t="e">
        <f t="shared" si="92"/>
        <v>#DIV/0!</v>
      </c>
      <c r="H148" s="53" t="e">
        <f t="shared" si="92"/>
        <v>#DIV/0!</v>
      </c>
      <c r="I148" s="53" t="e">
        <f t="shared" si="92"/>
        <v>#DIV/0!</v>
      </c>
      <c r="J148" s="53" t="e">
        <f t="shared" si="92"/>
        <v>#DIV/0!</v>
      </c>
      <c r="K148" s="53" t="e">
        <f t="shared" si="92"/>
        <v>#DIV/0!</v>
      </c>
      <c r="L148" s="53" t="e">
        <f t="shared" si="92"/>
        <v>#DIV/0!</v>
      </c>
      <c r="M148" s="53" t="e">
        <f t="shared" si="92"/>
        <v>#DIV/0!</v>
      </c>
      <c r="N148" s="53" t="e">
        <f t="shared" si="92"/>
        <v>#DIV/0!</v>
      </c>
      <c r="O148" s="53" t="e">
        <f t="shared" si="92"/>
        <v>#DIV/0!</v>
      </c>
      <c r="P148" s="53" t="e">
        <f t="shared" si="92"/>
        <v>#DIV/0!</v>
      </c>
      <c r="Q148" s="53" t="e">
        <f t="shared" si="92"/>
        <v>#DIV/0!</v>
      </c>
      <c r="R148" s="53" t="e">
        <f t="shared" si="92"/>
        <v>#DIV/0!</v>
      </c>
      <c r="S148" s="53" t="e">
        <f t="shared" si="92"/>
        <v>#DIV/0!</v>
      </c>
      <c r="T148" s="53" t="e">
        <f t="shared" si="92"/>
        <v>#DIV/0!</v>
      </c>
      <c r="U148" s="53" t="e">
        <f t="shared" si="92"/>
        <v>#DIV/0!</v>
      </c>
      <c r="V148" s="53" t="e">
        <f t="shared" si="92"/>
        <v>#DIV/0!</v>
      </c>
      <c r="W148" s="53" t="e">
        <f t="shared" si="92"/>
        <v>#DIV/0!</v>
      </c>
      <c r="X148" s="53" t="e">
        <f t="shared" si="92"/>
        <v>#DIV/0!</v>
      </c>
      <c r="Y148" s="53" t="e">
        <f t="shared" si="92"/>
        <v>#DIV/0!</v>
      </c>
      <c r="Z148" s="53" t="e">
        <f t="shared" si="92"/>
        <v>#DIV/0!</v>
      </c>
      <c r="AA148" s="53" t="e">
        <f t="shared" si="92"/>
        <v>#DIV/0!</v>
      </c>
      <c r="AB148" s="53" t="e">
        <f t="shared" si="92"/>
        <v>#DIV/0!</v>
      </c>
      <c r="AC148" s="53" t="e">
        <f t="shared" si="92"/>
        <v>#DIV/0!</v>
      </c>
      <c r="AD148" s="53" t="e">
        <f t="shared" si="92"/>
        <v>#DIV/0!</v>
      </c>
      <c r="AE148" s="53" t="e">
        <f t="shared" si="92"/>
        <v>#DIV/0!</v>
      </c>
      <c r="AF148" s="53" t="e">
        <f t="shared" si="92"/>
        <v>#DIV/0!</v>
      </c>
      <c r="AG148" s="53" t="e">
        <f t="shared" si="92"/>
        <v>#DIV/0!</v>
      </c>
      <c r="AH148" s="53" t="e">
        <f t="shared" si="92"/>
        <v>#DIV/0!</v>
      </c>
      <c r="AI148" s="53" t="e">
        <f t="shared" si="92"/>
        <v>#DIV/0!</v>
      </c>
      <c r="AJ148" s="53" t="e">
        <f t="shared" si="92"/>
        <v>#DIV/0!</v>
      </c>
      <c r="AK148" s="53" t="e">
        <f t="shared" si="92"/>
        <v>#DIV/0!</v>
      </c>
      <c r="AL148" s="53" t="e">
        <f t="shared" si="92"/>
        <v>#DIV/0!</v>
      </c>
      <c r="AM148" s="53" t="e">
        <f t="shared" si="92"/>
        <v>#DIV/0!</v>
      </c>
      <c r="AN148" s="53" t="e">
        <f t="shared" si="92"/>
        <v>#DIV/0!</v>
      </c>
      <c r="AO148" s="53" t="e">
        <f t="shared" si="92"/>
        <v>#DIV/0!</v>
      </c>
      <c r="AP148" s="53" t="e">
        <f t="shared" si="92"/>
        <v>#DIV/0!</v>
      </c>
      <c r="AQ148" s="53" t="e">
        <f t="shared" si="92"/>
        <v>#DIV/0!</v>
      </c>
      <c r="AR148" s="53" t="e">
        <f t="shared" si="92"/>
        <v>#DIV/0!</v>
      </c>
      <c r="AS148" s="53" t="e">
        <f t="shared" si="92"/>
        <v>#DIV/0!</v>
      </c>
      <c r="AT148" s="53" t="e">
        <f t="shared" si="92"/>
        <v>#DIV/0!</v>
      </c>
    </row>
    <row r="149" spans="1:46" ht="12.75" customHeight="1" x14ac:dyDescent="0.2">
      <c r="D149" s="62" t="s">
        <v>243</v>
      </c>
      <c r="E149" s="59" t="e">
        <f t="shared" ref="E149:AT149" si="93">MAX(E139:E148)</f>
        <v>#DIV/0!</v>
      </c>
      <c r="F149" s="59" t="e">
        <f t="shared" si="93"/>
        <v>#DIV/0!</v>
      </c>
      <c r="G149" s="59" t="e">
        <f t="shared" si="93"/>
        <v>#DIV/0!</v>
      </c>
      <c r="H149" s="59" t="e">
        <f t="shared" si="93"/>
        <v>#DIV/0!</v>
      </c>
      <c r="I149" s="59" t="e">
        <f t="shared" si="93"/>
        <v>#DIV/0!</v>
      </c>
      <c r="J149" s="59" t="e">
        <f t="shared" si="93"/>
        <v>#DIV/0!</v>
      </c>
      <c r="K149" s="59" t="e">
        <f t="shared" si="93"/>
        <v>#DIV/0!</v>
      </c>
      <c r="L149" s="59" t="e">
        <f t="shared" si="93"/>
        <v>#DIV/0!</v>
      </c>
      <c r="M149" s="59" t="e">
        <f t="shared" si="93"/>
        <v>#DIV/0!</v>
      </c>
      <c r="N149" s="59" t="e">
        <f t="shared" si="93"/>
        <v>#DIV/0!</v>
      </c>
      <c r="O149" s="59" t="e">
        <f t="shared" si="93"/>
        <v>#DIV/0!</v>
      </c>
      <c r="P149" s="59" t="e">
        <f t="shared" si="93"/>
        <v>#DIV/0!</v>
      </c>
      <c r="Q149" s="59" t="e">
        <f t="shared" si="93"/>
        <v>#DIV/0!</v>
      </c>
      <c r="R149" s="59" t="e">
        <f t="shared" si="93"/>
        <v>#DIV/0!</v>
      </c>
      <c r="S149" s="59" t="e">
        <f t="shared" si="93"/>
        <v>#DIV/0!</v>
      </c>
      <c r="T149" s="59" t="e">
        <f t="shared" si="93"/>
        <v>#DIV/0!</v>
      </c>
      <c r="U149" s="59" t="e">
        <f t="shared" si="93"/>
        <v>#DIV/0!</v>
      </c>
      <c r="V149" s="59" t="e">
        <f t="shared" si="93"/>
        <v>#DIV/0!</v>
      </c>
      <c r="W149" s="59" t="e">
        <f t="shared" si="93"/>
        <v>#DIV/0!</v>
      </c>
      <c r="X149" s="59" t="e">
        <f t="shared" si="93"/>
        <v>#DIV/0!</v>
      </c>
      <c r="Y149" s="59" t="e">
        <f t="shared" si="93"/>
        <v>#DIV/0!</v>
      </c>
      <c r="Z149" s="59" t="e">
        <f t="shared" si="93"/>
        <v>#DIV/0!</v>
      </c>
      <c r="AA149" s="59" t="e">
        <f t="shared" si="93"/>
        <v>#DIV/0!</v>
      </c>
      <c r="AB149" s="59" t="e">
        <f t="shared" si="93"/>
        <v>#DIV/0!</v>
      </c>
      <c r="AC149" s="59" t="e">
        <f t="shared" si="93"/>
        <v>#DIV/0!</v>
      </c>
      <c r="AD149" s="59" t="e">
        <f t="shared" si="93"/>
        <v>#DIV/0!</v>
      </c>
      <c r="AE149" s="59" t="e">
        <f t="shared" si="93"/>
        <v>#DIV/0!</v>
      </c>
      <c r="AF149" s="59" t="e">
        <f t="shared" si="93"/>
        <v>#DIV/0!</v>
      </c>
      <c r="AG149" s="59" t="e">
        <f t="shared" si="93"/>
        <v>#DIV/0!</v>
      </c>
      <c r="AH149" s="59" t="e">
        <f t="shared" si="93"/>
        <v>#DIV/0!</v>
      </c>
      <c r="AI149" s="59" t="e">
        <f t="shared" si="93"/>
        <v>#DIV/0!</v>
      </c>
      <c r="AJ149" s="59" t="e">
        <f t="shared" si="93"/>
        <v>#DIV/0!</v>
      </c>
      <c r="AK149" s="59" t="e">
        <f t="shared" si="93"/>
        <v>#DIV/0!</v>
      </c>
      <c r="AL149" s="59" t="e">
        <f t="shared" si="93"/>
        <v>#DIV/0!</v>
      </c>
      <c r="AM149" s="59" t="e">
        <f t="shared" si="93"/>
        <v>#DIV/0!</v>
      </c>
      <c r="AN149" s="59" t="e">
        <f t="shared" si="93"/>
        <v>#DIV/0!</v>
      </c>
      <c r="AO149" s="59" t="e">
        <f t="shared" si="93"/>
        <v>#DIV/0!</v>
      </c>
      <c r="AP149" s="59" t="e">
        <f t="shared" si="93"/>
        <v>#DIV/0!</v>
      </c>
      <c r="AQ149" s="59" t="e">
        <f t="shared" si="93"/>
        <v>#DIV/0!</v>
      </c>
      <c r="AR149" s="59" t="e">
        <f t="shared" si="93"/>
        <v>#DIV/0!</v>
      </c>
      <c r="AS149" s="59" t="e">
        <f t="shared" si="93"/>
        <v>#DIV/0!</v>
      </c>
      <c r="AT149" s="59" t="e">
        <f t="shared" si="93"/>
        <v>#DIV/0!</v>
      </c>
    </row>
    <row r="150" spans="1:46" x14ac:dyDescent="0.2">
      <c r="E150" s="60" t="e">
        <f t="shared" ref="E150:AT150" si="94">IF(E149&lt;=1,"voldoet","voldoet niet")</f>
        <v>#DIV/0!</v>
      </c>
      <c r="F150" s="60" t="e">
        <f t="shared" si="94"/>
        <v>#DIV/0!</v>
      </c>
      <c r="G150" s="60" t="e">
        <f t="shared" si="94"/>
        <v>#DIV/0!</v>
      </c>
      <c r="H150" s="60" t="e">
        <f t="shared" si="94"/>
        <v>#DIV/0!</v>
      </c>
      <c r="I150" s="60" t="e">
        <f t="shared" si="94"/>
        <v>#DIV/0!</v>
      </c>
      <c r="J150" s="60" t="e">
        <f t="shared" si="94"/>
        <v>#DIV/0!</v>
      </c>
      <c r="K150" s="60" t="e">
        <f t="shared" si="94"/>
        <v>#DIV/0!</v>
      </c>
      <c r="L150" s="60" t="e">
        <f t="shared" si="94"/>
        <v>#DIV/0!</v>
      </c>
      <c r="M150" s="60" t="e">
        <f t="shared" si="94"/>
        <v>#DIV/0!</v>
      </c>
      <c r="N150" s="60" t="e">
        <f t="shared" si="94"/>
        <v>#DIV/0!</v>
      </c>
      <c r="O150" s="60" t="e">
        <f t="shared" si="94"/>
        <v>#DIV/0!</v>
      </c>
      <c r="P150" s="60" t="e">
        <f t="shared" si="94"/>
        <v>#DIV/0!</v>
      </c>
      <c r="Q150" s="60" t="e">
        <f t="shared" si="94"/>
        <v>#DIV/0!</v>
      </c>
      <c r="R150" s="60" t="e">
        <f t="shared" si="94"/>
        <v>#DIV/0!</v>
      </c>
      <c r="S150" s="60" t="e">
        <f t="shared" si="94"/>
        <v>#DIV/0!</v>
      </c>
      <c r="T150" s="60" t="e">
        <f t="shared" si="94"/>
        <v>#DIV/0!</v>
      </c>
      <c r="U150" s="60" t="e">
        <f t="shared" si="94"/>
        <v>#DIV/0!</v>
      </c>
      <c r="V150" s="60" t="e">
        <f t="shared" si="94"/>
        <v>#DIV/0!</v>
      </c>
      <c r="W150" s="60" t="e">
        <f t="shared" si="94"/>
        <v>#DIV/0!</v>
      </c>
      <c r="X150" s="60" t="e">
        <f t="shared" si="94"/>
        <v>#DIV/0!</v>
      </c>
      <c r="Y150" s="68" t="e">
        <f t="shared" si="94"/>
        <v>#DIV/0!</v>
      </c>
      <c r="Z150" s="60" t="e">
        <f t="shared" si="94"/>
        <v>#DIV/0!</v>
      </c>
      <c r="AA150" s="60" t="e">
        <f t="shared" si="94"/>
        <v>#DIV/0!</v>
      </c>
      <c r="AB150" s="60" t="e">
        <f t="shared" si="94"/>
        <v>#DIV/0!</v>
      </c>
      <c r="AC150" s="60" t="e">
        <f t="shared" si="94"/>
        <v>#DIV/0!</v>
      </c>
      <c r="AD150" s="60" t="e">
        <f t="shared" si="94"/>
        <v>#DIV/0!</v>
      </c>
      <c r="AE150" s="60" t="e">
        <f t="shared" si="94"/>
        <v>#DIV/0!</v>
      </c>
      <c r="AF150" s="60" t="e">
        <f t="shared" si="94"/>
        <v>#DIV/0!</v>
      </c>
      <c r="AG150" s="60" t="e">
        <f t="shared" si="94"/>
        <v>#DIV/0!</v>
      </c>
      <c r="AH150" s="60" t="e">
        <f t="shared" si="94"/>
        <v>#DIV/0!</v>
      </c>
      <c r="AI150" s="60" t="e">
        <f t="shared" si="94"/>
        <v>#DIV/0!</v>
      </c>
      <c r="AJ150" s="60" t="e">
        <f t="shared" si="94"/>
        <v>#DIV/0!</v>
      </c>
      <c r="AK150" s="60" t="e">
        <f t="shared" si="94"/>
        <v>#DIV/0!</v>
      </c>
      <c r="AL150" s="60" t="e">
        <f t="shared" si="94"/>
        <v>#DIV/0!</v>
      </c>
      <c r="AM150" s="60" t="e">
        <f t="shared" si="94"/>
        <v>#DIV/0!</v>
      </c>
      <c r="AN150" s="60" t="e">
        <f t="shared" si="94"/>
        <v>#DIV/0!</v>
      </c>
      <c r="AO150" s="60" t="e">
        <f t="shared" si="94"/>
        <v>#DIV/0!</v>
      </c>
      <c r="AP150" s="60" t="e">
        <f t="shared" si="94"/>
        <v>#DIV/0!</v>
      </c>
      <c r="AQ150" s="60" t="e">
        <f t="shared" si="94"/>
        <v>#DIV/0!</v>
      </c>
      <c r="AR150" s="60" t="e">
        <f t="shared" si="94"/>
        <v>#DIV/0!</v>
      </c>
      <c r="AS150" s="60" t="e">
        <f t="shared" si="94"/>
        <v>#DIV/0!</v>
      </c>
      <c r="AT150" s="60" t="e">
        <f t="shared" si="94"/>
        <v>#DIV/0!</v>
      </c>
    </row>
  </sheetData>
  <conditionalFormatting sqref="E149:AT149">
    <cfRule type="cellIs" dxfId="21" priority="1" operator="greaterThan">
      <formula>1</formula>
    </cfRule>
    <cfRule type="cellIs" dxfId="20" priority="2" operator="lessThan">
      <formula>1</formula>
    </cfRule>
  </conditionalFormatting>
  <pageMargins left="0.70866141732283472" right="0.70866141732283472" top="1.377952755905512" bottom="0.74803149606299213" header="0.31496062992125978" footer="0.31496062992125978"/>
  <pageSetup paperSize="8" scale="53" fitToWidth="0" orientation="portrait" r:id="rId1"/>
  <headerFooter>
    <oddHeader>&amp;C&amp;G
&amp;R
Pagina &amp;P van &amp;N</oddHeader>
    <oddFooter>&amp;L&amp;"-,Vet"&amp;8 &amp;K002C5FENGINEERING EN MONITORING VOOR
GWW EN GEOTECHNIEK &amp;R&amp;"-,Standaard"&amp;8 
Op al onze werkzaamheden is DNR 2011 van toepassing.</oddFooter>
  </headerFooter>
  <colBreaks count="2" manualBreakCount="2">
    <brk id="22" max="149" man="1"/>
    <brk id="40" max="14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166"/>
  <sheetViews>
    <sheetView zoomScaleNormal="100" zoomScaleSheetLayoutView="80" workbookViewId="0">
      <selection activeCell="M2" sqref="M2"/>
    </sheetView>
  </sheetViews>
  <sheetFormatPr defaultColWidth="9.140625" defaultRowHeight="12.75" x14ac:dyDescent="0.2"/>
  <cols>
    <col min="1" max="1" width="24.7109375" style="37" customWidth="1"/>
    <col min="2" max="2" width="21.7109375" style="37" bestFit="1" customWidth="1"/>
    <col min="3" max="3" width="3.42578125" style="37" bestFit="1" customWidth="1"/>
    <col min="4" max="4" width="7.7109375" style="9" bestFit="1" customWidth="1"/>
    <col min="5" max="36" width="9.7109375" style="37" customWidth="1"/>
    <col min="37" max="37" width="9.140625" style="37" customWidth="1"/>
    <col min="38" max="16384" width="9.140625" style="37"/>
  </cols>
  <sheetData>
    <row r="1" spans="1:36" ht="18.75" customHeight="1" x14ac:dyDescent="0.2">
      <c r="A1" s="41" t="s">
        <v>347</v>
      </c>
      <c r="G1" s="49"/>
      <c r="J1" s="9"/>
    </row>
    <row r="2" spans="1:36" ht="15" customHeight="1" x14ac:dyDescent="0.2">
      <c r="A2" s="86"/>
      <c r="L2" s="9"/>
    </row>
    <row r="3" spans="1:36" ht="15" customHeight="1" x14ac:dyDescent="0.2">
      <c r="A3" s="70" t="s">
        <v>111</v>
      </c>
      <c r="B3" s="72">
        <f>'C - overzicht'!E3</f>
        <v>0</v>
      </c>
      <c r="E3" s="37" t="s">
        <v>109</v>
      </c>
      <c r="H3" s="66" t="s">
        <v>247</v>
      </c>
      <c r="I3" s="44" t="s">
        <v>113</v>
      </c>
      <c r="J3" s="9">
        <v>1.25</v>
      </c>
      <c r="L3" s="9"/>
      <c r="P3" s="46" t="s">
        <v>109</v>
      </c>
      <c r="S3" s="66" t="s">
        <v>247</v>
      </c>
      <c r="T3" s="44" t="s">
        <v>113</v>
      </c>
      <c r="U3" s="9">
        <v>1.25</v>
      </c>
    </row>
    <row r="4" spans="1:36" ht="15" customHeight="1" x14ac:dyDescent="0.2">
      <c r="A4" s="70" t="s">
        <v>114</v>
      </c>
      <c r="B4" s="72">
        <f>'C - overzicht'!E4</f>
        <v>0</v>
      </c>
      <c r="H4" s="66" t="s">
        <v>348</v>
      </c>
      <c r="I4" s="44" t="s">
        <v>113</v>
      </c>
      <c r="J4" s="9">
        <v>1.1000000000000001</v>
      </c>
      <c r="K4" s="9"/>
      <c r="L4" s="9"/>
      <c r="S4" s="66" t="s">
        <v>348</v>
      </c>
      <c r="T4" s="44" t="s">
        <v>113</v>
      </c>
      <c r="U4" s="9">
        <v>1.1000000000000001</v>
      </c>
    </row>
    <row r="5" spans="1:36" ht="15" customHeight="1" x14ac:dyDescent="0.2">
      <c r="A5" s="70" t="s">
        <v>116</v>
      </c>
      <c r="B5" s="72">
        <f>'C - overzicht'!E5</f>
        <v>0</v>
      </c>
      <c r="G5" s="46"/>
      <c r="I5" s="66"/>
      <c r="J5" s="44"/>
      <c r="K5" s="9"/>
      <c r="L5" s="9"/>
      <c r="P5" s="66"/>
      <c r="Q5" s="44"/>
      <c r="R5" s="9"/>
    </row>
    <row r="6" spans="1:36" ht="15" customHeight="1" x14ac:dyDescent="0.2">
      <c r="A6" s="70" t="s">
        <v>118</v>
      </c>
      <c r="B6" s="104">
        <f>'C - overzicht'!E6</f>
        <v>0</v>
      </c>
      <c r="G6" s="46"/>
      <c r="I6" s="63"/>
      <c r="J6" s="10"/>
      <c r="K6" s="9"/>
      <c r="L6" s="9"/>
    </row>
    <row r="7" spans="1:36" x14ac:dyDescent="0.2">
      <c r="D7" s="62" t="s">
        <v>259</v>
      </c>
      <c r="E7" s="67">
        <f>'C - overzicht'!$B11</f>
        <v>0</v>
      </c>
      <c r="F7" s="67">
        <f>'C - overzicht'!$B12</f>
        <v>0</v>
      </c>
      <c r="G7" s="67">
        <f>'C - overzicht'!$B13</f>
        <v>0</v>
      </c>
      <c r="H7" s="67">
        <f>'C - overzicht'!$B14</f>
        <v>0</v>
      </c>
      <c r="I7" s="67">
        <f>'C - overzicht'!$B15</f>
        <v>0</v>
      </c>
      <c r="J7" s="67">
        <f>'C - overzicht'!$B16</f>
        <v>0</v>
      </c>
      <c r="K7" s="67">
        <f>'C - overzicht'!$B17</f>
        <v>0</v>
      </c>
      <c r="L7" s="67">
        <f>'C - overzicht'!$B18</f>
        <v>0</v>
      </c>
      <c r="M7" s="67">
        <f>'C - overzicht'!$B19</f>
        <v>0</v>
      </c>
      <c r="N7" s="67">
        <f>'C - overzicht'!$B20</f>
        <v>0</v>
      </c>
      <c r="O7" s="67">
        <f>'C - overzicht'!$B21</f>
        <v>0</v>
      </c>
      <c r="P7" s="67">
        <f>'C - overzicht'!$B22</f>
        <v>0</v>
      </c>
      <c r="Q7" s="67">
        <f>'C - overzicht'!$B23</f>
        <v>0</v>
      </c>
      <c r="R7" s="67">
        <f>'C - overzicht'!$B24</f>
        <v>0</v>
      </c>
      <c r="S7" s="67">
        <f>'C - overzicht'!$B25</f>
        <v>0</v>
      </c>
      <c r="T7" s="67">
        <f>'C - overzicht'!$B26</f>
        <v>0</v>
      </c>
      <c r="U7" s="67">
        <f>'C - overzicht'!$B27</f>
        <v>0</v>
      </c>
      <c r="V7" s="67">
        <f>'C - overzicht'!$B28</f>
        <v>0</v>
      </c>
      <c r="W7" s="67">
        <f>'C - overzicht'!$B29</f>
        <v>0</v>
      </c>
      <c r="X7" s="67">
        <f>'C - overzicht'!$B30</f>
        <v>0</v>
      </c>
      <c r="Y7" s="67">
        <f>'C - overzicht'!$B31</f>
        <v>0</v>
      </c>
      <c r="Z7" s="67">
        <f>'C - overzicht'!$B32</f>
        <v>0</v>
      </c>
      <c r="AA7" s="67">
        <f>'C - overzicht'!$B33</f>
        <v>0</v>
      </c>
      <c r="AB7" s="67">
        <f>'C - overzicht'!$B34</f>
        <v>0</v>
      </c>
      <c r="AC7" s="67">
        <f>'C - overzicht'!$B35</f>
        <v>0</v>
      </c>
      <c r="AD7" s="67">
        <f>'C - overzicht'!$B36</f>
        <v>0</v>
      </c>
      <c r="AE7" s="67">
        <f>'C - overzicht'!$B37</f>
        <v>0</v>
      </c>
      <c r="AF7" s="67">
        <f>'C - overzicht'!$B38</f>
        <v>0</v>
      </c>
      <c r="AG7" s="67">
        <f>'C - overzicht'!$B39</f>
        <v>0</v>
      </c>
      <c r="AH7" s="67">
        <f>'C - overzicht'!$B40</f>
        <v>0</v>
      </c>
      <c r="AI7" s="67">
        <f>'C - overzicht'!$B41</f>
        <v>0</v>
      </c>
      <c r="AJ7" s="67">
        <f>'C - overzicht'!$B42</f>
        <v>0</v>
      </c>
    </row>
    <row r="8" spans="1:36" x14ac:dyDescent="0.2">
      <c r="A8" s="42" t="s">
        <v>260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</row>
    <row r="9" spans="1:36" ht="12.75" customHeight="1" x14ac:dyDescent="0.2">
      <c r="A9" s="88" t="s">
        <v>121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ht="12.75" customHeight="1" x14ac:dyDescent="0.2">
      <c r="A10" s="37" t="s">
        <v>122</v>
      </c>
      <c r="C10" s="37" t="s">
        <v>123</v>
      </c>
      <c r="D10" s="44" t="s">
        <v>113</v>
      </c>
      <c r="E10" s="9">
        <f>VLOOKUP(E7,'C - overzicht'!$B$11:$M$53,5)</f>
        <v>355</v>
      </c>
      <c r="F10" s="9">
        <f>VLOOKUP(F7,'C - overzicht'!$B$11:$M$53,5)</f>
        <v>355</v>
      </c>
      <c r="G10" s="9">
        <f>VLOOKUP(G7,'C - overzicht'!$B$11:$M$53,5)</f>
        <v>355</v>
      </c>
      <c r="H10" s="9">
        <f>VLOOKUP(H7,'C - overzicht'!$B$11:$M$53,5)</f>
        <v>355</v>
      </c>
      <c r="I10" s="9">
        <f>VLOOKUP(I7,'C - overzicht'!$B$11:$M$53,5)</f>
        <v>355</v>
      </c>
      <c r="J10" s="9">
        <f>VLOOKUP(J7,'C - overzicht'!$B$11:$M$53,5)</f>
        <v>355</v>
      </c>
      <c r="K10" s="9">
        <f>VLOOKUP(K7,'C - overzicht'!$B$11:$M$53,5)</f>
        <v>355</v>
      </c>
      <c r="L10" s="9">
        <f>VLOOKUP(L7,'C - overzicht'!$B$11:$M$53,5)</f>
        <v>355</v>
      </c>
      <c r="M10" s="9">
        <f>VLOOKUP(M7,'C - overzicht'!$B$11:$M$53,5)</f>
        <v>355</v>
      </c>
      <c r="N10" s="9">
        <f>VLOOKUP(N7,'C - overzicht'!$B$11:$M$53,5)</f>
        <v>355</v>
      </c>
      <c r="O10" s="9">
        <f>VLOOKUP(O7,'C - overzicht'!$B$11:$M$53,5)</f>
        <v>355</v>
      </c>
      <c r="P10" s="9">
        <f>VLOOKUP(P7,'C - overzicht'!$B$11:$M$53,5)</f>
        <v>355</v>
      </c>
      <c r="Q10" s="9">
        <f>VLOOKUP(Q7,'C - overzicht'!$B$11:$M$53,5)</f>
        <v>355</v>
      </c>
      <c r="R10" s="9">
        <f>VLOOKUP(R7,'C - overzicht'!$B$11:$M$53,5)</f>
        <v>355</v>
      </c>
      <c r="S10" s="9">
        <f>VLOOKUP(S7,'C - overzicht'!$B$11:$M$53,5)</f>
        <v>355</v>
      </c>
      <c r="T10" s="9">
        <f>VLOOKUP(T7,'C - overzicht'!$B$11:$M$53,5)</f>
        <v>355</v>
      </c>
      <c r="U10" s="9">
        <f>VLOOKUP(U7,'C - overzicht'!$B$11:$M$53,5)</f>
        <v>355</v>
      </c>
      <c r="V10" s="9">
        <f>VLOOKUP(V7,'C - overzicht'!$B$11:$M$53,5)</f>
        <v>355</v>
      </c>
      <c r="W10" s="9">
        <f>VLOOKUP(W7,'C - overzicht'!$B$11:$M$53,5)</f>
        <v>355</v>
      </c>
      <c r="X10" s="9">
        <f>VLOOKUP(X7,'C - overzicht'!$B$11:$M$53,5)</f>
        <v>355</v>
      </c>
      <c r="Y10" s="9">
        <f>VLOOKUP(Y7,'C - overzicht'!$B$11:$M$53,5)</f>
        <v>355</v>
      </c>
      <c r="Z10" s="9">
        <f>VLOOKUP(Z7,'C - overzicht'!$B$11:$M$53,5)</f>
        <v>355</v>
      </c>
      <c r="AA10" s="9">
        <f>VLOOKUP(AA7,'C - overzicht'!$B$11:$M$53,5)</f>
        <v>355</v>
      </c>
      <c r="AB10" s="9">
        <f>VLOOKUP(AB7,'C - overzicht'!$B$11:$M$53,5)</f>
        <v>355</v>
      </c>
      <c r="AC10" s="9">
        <f>VLOOKUP(AC7,'C - overzicht'!$B$11:$M$53,5)</f>
        <v>355</v>
      </c>
      <c r="AD10" s="9">
        <f>VLOOKUP(AD7,'C - overzicht'!$B$11:$M$53,5)</f>
        <v>355</v>
      </c>
      <c r="AE10" s="9">
        <f>VLOOKUP(AE7,'C - overzicht'!$B$11:$M$53,5)</f>
        <v>355</v>
      </c>
      <c r="AF10" s="9">
        <f>VLOOKUP(AF7,'C - overzicht'!$B$11:$M$53,5)</f>
        <v>355</v>
      </c>
      <c r="AG10" s="9">
        <f>VLOOKUP(AG7,'C - overzicht'!$B$11:$M$53,5)</f>
        <v>355</v>
      </c>
      <c r="AH10" s="9">
        <f>VLOOKUP(AH7,'C - overzicht'!$B$11:$M$53,5)</f>
        <v>355</v>
      </c>
      <c r="AI10" s="9">
        <f>VLOOKUP(AI7,'C - overzicht'!$B$11:$M$53,5)</f>
        <v>355</v>
      </c>
      <c r="AJ10" s="9">
        <f>VLOOKUP(AJ7,'C - overzicht'!$B$11:$M$53,5)</f>
        <v>355</v>
      </c>
    </row>
    <row r="11" spans="1:36" ht="12.75" customHeight="1" x14ac:dyDescent="0.2">
      <c r="A11" s="37" t="s">
        <v>124</v>
      </c>
      <c r="B11" s="65" t="s">
        <v>125</v>
      </c>
      <c r="C11" s="37" t="s">
        <v>126</v>
      </c>
      <c r="D11" s="9" t="s">
        <v>127</v>
      </c>
      <c r="E11" s="9">
        <f t="shared" ref="E11:AJ11" si="0">E10</f>
        <v>355</v>
      </c>
      <c r="F11" s="9">
        <f t="shared" si="0"/>
        <v>355</v>
      </c>
      <c r="G11" s="9">
        <f t="shared" si="0"/>
        <v>355</v>
      </c>
      <c r="H11" s="9">
        <f t="shared" si="0"/>
        <v>355</v>
      </c>
      <c r="I11" s="9">
        <f t="shared" si="0"/>
        <v>355</v>
      </c>
      <c r="J11" s="9">
        <f t="shared" si="0"/>
        <v>355</v>
      </c>
      <c r="K11" s="9">
        <f t="shared" si="0"/>
        <v>355</v>
      </c>
      <c r="L11" s="9">
        <f t="shared" si="0"/>
        <v>355</v>
      </c>
      <c r="M11" s="9">
        <f t="shared" si="0"/>
        <v>355</v>
      </c>
      <c r="N11" s="9">
        <f t="shared" si="0"/>
        <v>355</v>
      </c>
      <c r="O11" s="9">
        <f t="shared" si="0"/>
        <v>355</v>
      </c>
      <c r="P11" s="9">
        <f t="shared" si="0"/>
        <v>355</v>
      </c>
      <c r="Q11" s="9">
        <f t="shared" si="0"/>
        <v>355</v>
      </c>
      <c r="R11" s="9">
        <f t="shared" si="0"/>
        <v>355</v>
      </c>
      <c r="S11" s="9">
        <f t="shared" si="0"/>
        <v>355</v>
      </c>
      <c r="T11" s="9">
        <f t="shared" si="0"/>
        <v>355</v>
      </c>
      <c r="U11" s="9">
        <f t="shared" si="0"/>
        <v>355</v>
      </c>
      <c r="V11" s="9">
        <f t="shared" si="0"/>
        <v>355</v>
      </c>
      <c r="W11" s="9">
        <f t="shared" si="0"/>
        <v>355</v>
      </c>
      <c r="X11" s="9">
        <f t="shared" si="0"/>
        <v>355</v>
      </c>
      <c r="Y11" s="9">
        <f t="shared" si="0"/>
        <v>355</v>
      </c>
      <c r="Z11" s="9">
        <f t="shared" si="0"/>
        <v>355</v>
      </c>
      <c r="AA11" s="9">
        <f t="shared" si="0"/>
        <v>355</v>
      </c>
      <c r="AB11" s="9">
        <f t="shared" si="0"/>
        <v>355</v>
      </c>
      <c r="AC11" s="9">
        <f t="shared" si="0"/>
        <v>355</v>
      </c>
      <c r="AD11" s="9">
        <f t="shared" si="0"/>
        <v>355</v>
      </c>
      <c r="AE11" s="9">
        <f t="shared" si="0"/>
        <v>355</v>
      </c>
      <c r="AF11" s="9">
        <f t="shared" si="0"/>
        <v>355</v>
      </c>
      <c r="AG11" s="9">
        <f t="shared" si="0"/>
        <v>355</v>
      </c>
      <c r="AH11" s="9">
        <f t="shared" si="0"/>
        <v>355</v>
      </c>
      <c r="AI11" s="9">
        <f t="shared" si="0"/>
        <v>355</v>
      </c>
      <c r="AJ11" s="9">
        <f t="shared" si="0"/>
        <v>355</v>
      </c>
    </row>
    <row r="12" spans="1:36" ht="12.75" customHeight="1" x14ac:dyDescent="0.2">
      <c r="A12" s="37" t="s">
        <v>128</v>
      </c>
      <c r="B12" s="65" t="s">
        <v>125</v>
      </c>
      <c r="C12" s="37" t="s">
        <v>129</v>
      </c>
      <c r="D12" s="9" t="s">
        <v>127</v>
      </c>
      <c r="E12" s="9">
        <f t="shared" ref="E12:AJ12" si="1">IF(E10=235,360,IF(E10=275,430,IF(E10=355,510,IF(E10=440,550))))</f>
        <v>510</v>
      </c>
      <c r="F12" s="9">
        <f t="shared" si="1"/>
        <v>510</v>
      </c>
      <c r="G12" s="9">
        <f t="shared" si="1"/>
        <v>510</v>
      </c>
      <c r="H12" s="9">
        <f t="shared" si="1"/>
        <v>510</v>
      </c>
      <c r="I12" s="9">
        <f t="shared" si="1"/>
        <v>510</v>
      </c>
      <c r="J12" s="9">
        <f t="shared" si="1"/>
        <v>510</v>
      </c>
      <c r="K12" s="9">
        <f t="shared" si="1"/>
        <v>510</v>
      </c>
      <c r="L12" s="9">
        <f t="shared" si="1"/>
        <v>510</v>
      </c>
      <c r="M12" s="9">
        <f t="shared" si="1"/>
        <v>510</v>
      </c>
      <c r="N12" s="9">
        <f t="shared" si="1"/>
        <v>510</v>
      </c>
      <c r="O12" s="9">
        <f t="shared" si="1"/>
        <v>510</v>
      </c>
      <c r="P12" s="9">
        <f t="shared" si="1"/>
        <v>510</v>
      </c>
      <c r="Q12" s="9">
        <f t="shared" si="1"/>
        <v>510</v>
      </c>
      <c r="R12" s="9">
        <f t="shared" si="1"/>
        <v>510</v>
      </c>
      <c r="S12" s="9">
        <f t="shared" si="1"/>
        <v>510</v>
      </c>
      <c r="T12" s="9">
        <f t="shared" si="1"/>
        <v>510</v>
      </c>
      <c r="U12" s="9">
        <f t="shared" si="1"/>
        <v>510</v>
      </c>
      <c r="V12" s="9">
        <f t="shared" si="1"/>
        <v>510</v>
      </c>
      <c r="W12" s="9">
        <f t="shared" si="1"/>
        <v>510</v>
      </c>
      <c r="X12" s="9">
        <f t="shared" si="1"/>
        <v>510</v>
      </c>
      <c r="Y12" s="9">
        <f t="shared" si="1"/>
        <v>510</v>
      </c>
      <c r="Z12" s="9">
        <f t="shared" si="1"/>
        <v>510</v>
      </c>
      <c r="AA12" s="9">
        <f t="shared" si="1"/>
        <v>510</v>
      </c>
      <c r="AB12" s="9">
        <f t="shared" si="1"/>
        <v>510</v>
      </c>
      <c r="AC12" s="9">
        <f t="shared" si="1"/>
        <v>510</v>
      </c>
      <c r="AD12" s="9">
        <f t="shared" si="1"/>
        <v>510</v>
      </c>
      <c r="AE12" s="9">
        <f t="shared" si="1"/>
        <v>510</v>
      </c>
      <c r="AF12" s="9">
        <f t="shared" si="1"/>
        <v>510</v>
      </c>
      <c r="AG12" s="9">
        <f t="shared" si="1"/>
        <v>510</v>
      </c>
      <c r="AH12" s="9">
        <f t="shared" si="1"/>
        <v>510</v>
      </c>
      <c r="AI12" s="9">
        <f t="shared" si="1"/>
        <v>510</v>
      </c>
      <c r="AJ12" s="9">
        <f t="shared" si="1"/>
        <v>510</v>
      </c>
    </row>
    <row r="13" spans="1:36" ht="12.75" customHeight="1" x14ac:dyDescent="0.2">
      <c r="A13" s="37" t="s">
        <v>130</v>
      </c>
      <c r="B13" s="65" t="s">
        <v>131</v>
      </c>
      <c r="C13" s="37" t="s">
        <v>132</v>
      </c>
      <c r="D13" s="9" t="s">
        <v>127</v>
      </c>
      <c r="E13" s="52">
        <f t="shared" ref="E13:AJ13" si="2">2.1*10^5</f>
        <v>210000</v>
      </c>
      <c r="F13" s="52">
        <f t="shared" si="2"/>
        <v>210000</v>
      </c>
      <c r="G13" s="52">
        <f t="shared" si="2"/>
        <v>210000</v>
      </c>
      <c r="H13" s="52">
        <f t="shared" si="2"/>
        <v>210000</v>
      </c>
      <c r="I13" s="52">
        <f t="shared" si="2"/>
        <v>210000</v>
      </c>
      <c r="J13" s="52">
        <f t="shared" si="2"/>
        <v>210000</v>
      </c>
      <c r="K13" s="52">
        <f t="shared" si="2"/>
        <v>210000</v>
      </c>
      <c r="L13" s="52">
        <f t="shared" si="2"/>
        <v>210000</v>
      </c>
      <c r="M13" s="52">
        <f t="shared" si="2"/>
        <v>210000</v>
      </c>
      <c r="N13" s="52">
        <f t="shared" si="2"/>
        <v>210000</v>
      </c>
      <c r="O13" s="52">
        <f t="shared" si="2"/>
        <v>210000</v>
      </c>
      <c r="P13" s="52">
        <f t="shared" si="2"/>
        <v>210000</v>
      </c>
      <c r="Q13" s="52">
        <f t="shared" si="2"/>
        <v>210000</v>
      </c>
      <c r="R13" s="52">
        <f t="shared" si="2"/>
        <v>210000</v>
      </c>
      <c r="S13" s="52">
        <f t="shared" si="2"/>
        <v>210000</v>
      </c>
      <c r="T13" s="52">
        <f t="shared" si="2"/>
        <v>210000</v>
      </c>
      <c r="U13" s="52">
        <f t="shared" si="2"/>
        <v>210000</v>
      </c>
      <c r="V13" s="52">
        <f t="shared" si="2"/>
        <v>210000</v>
      </c>
      <c r="W13" s="52">
        <f t="shared" si="2"/>
        <v>210000</v>
      </c>
      <c r="X13" s="52">
        <f t="shared" si="2"/>
        <v>210000</v>
      </c>
      <c r="Y13" s="52">
        <f t="shared" si="2"/>
        <v>210000</v>
      </c>
      <c r="Z13" s="52">
        <f t="shared" si="2"/>
        <v>210000</v>
      </c>
      <c r="AA13" s="52">
        <f t="shared" si="2"/>
        <v>210000</v>
      </c>
      <c r="AB13" s="52">
        <f t="shared" si="2"/>
        <v>210000</v>
      </c>
      <c r="AC13" s="52">
        <f t="shared" si="2"/>
        <v>210000</v>
      </c>
      <c r="AD13" s="52">
        <f t="shared" si="2"/>
        <v>210000</v>
      </c>
      <c r="AE13" s="52">
        <f t="shared" si="2"/>
        <v>210000</v>
      </c>
      <c r="AF13" s="52">
        <f t="shared" si="2"/>
        <v>210000</v>
      </c>
      <c r="AG13" s="52">
        <f t="shared" si="2"/>
        <v>210000</v>
      </c>
      <c r="AH13" s="52">
        <f t="shared" si="2"/>
        <v>210000</v>
      </c>
      <c r="AI13" s="52">
        <f t="shared" si="2"/>
        <v>210000</v>
      </c>
      <c r="AJ13" s="52">
        <f t="shared" si="2"/>
        <v>210000</v>
      </c>
    </row>
    <row r="14" spans="1:36" ht="12.75" customHeight="1" x14ac:dyDescent="0.2">
      <c r="A14" s="45" t="s">
        <v>349</v>
      </c>
      <c r="B14" s="65" t="s">
        <v>134</v>
      </c>
      <c r="D14" s="44" t="s">
        <v>113</v>
      </c>
      <c r="E14" s="47">
        <f t="shared" ref="E14:AJ14" si="3">SQRT(235/E11)</f>
        <v>0.81361651346682706</v>
      </c>
      <c r="F14" s="47">
        <f t="shared" si="3"/>
        <v>0.81361651346682706</v>
      </c>
      <c r="G14" s="47">
        <f t="shared" si="3"/>
        <v>0.81361651346682706</v>
      </c>
      <c r="H14" s="47">
        <f t="shared" si="3"/>
        <v>0.81361651346682706</v>
      </c>
      <c r="I14" s="47">
        <f t="shared" si="3"/>
        <v>0.81361651346682706</v>
      </c>
      <c r="J14" s="47">
        <f t="shared" si="3"/>
        <v>0.81361651346682706</v>
      </c>
      <c r="K14" s="47">
        <f t="shared" si="3"/>
        <v>0.81361651346682706</v>
      </c>
      <c r="L14" s="47">
        <f t="shared" si="3"/>
        <v>0.81361651346682706</v>
      </c>
      <c r="M14" s="47">
        <f t="shared" si="3"/>
        <v>0.81361651346682706</v>
      </c>
      <c r="N14" s="47">
        <f t="shared" si="3"/>
        <v>0.81361651346682706</v>
      </c>
      <c r="O14" s="47">
        <f t="shared" si="3"/>
        <v>0.81361651346682706</v>
      </c>
      <c r="P14" s="47">
        <f t="shared" si="3"/>
        <v>0.81361651346682706</v>
      </c>
      <c r="Q14" s="47">
        <f t="shared" si="3"/>
        <v>0.81361651346682706</v>
      </c>
      <c r="R14" s="47">
        <f t="shared" si="3"/>
        <v>0.81361651346682706</v>
      </c>
      <c r="S14" s="47">
        <f t="shared" si="3"/>
        <v>0.81361651346682706</v>
      </c>
      <c r="T14" s="47">
        <f t="shared" si="3"/>
        <v>0.81361651346682706</v>
      </c>
      <c r="U14" s="47">
        <f t="shared" si="3"/>
        <v>0.81361651346682706</v>
      </c>
      <c r="V14" s="47">
        <f t="shared" si="3"/>
        <v>0.81361651346682706</v>
      </c>
      <c r="W14" s="47">
        <f t="shared" si="3"/>
        <v>0.81361651346682706</v>
      </c>
      <c r="X14" s="47">
        <f t="shared" si="3"/>
        <v>0.81361651346682706</v>
      </c>
      <c r="Y14" s="47">
        <f t="shared" si="3"/>
        <v>0.81361651346682706</v>
      </c>
      <c r="Z14" s="47">
        <f t="shared" si="3"/>
        <v>0.81361651346682706</v>
      </c>
      <c r="AA14" s="47">
        <f t="shared" si="3"/>
        <v>0.81361651346682706</v>
      </c>
      <c r="AB14" s="47">
        <f t="shared" si="3"/>
        <v>0.81361651346682706</v>
      </c>
      <c r="AC14" s="47">
        <f t="shared" si="3"/>
        <v>0.81361651346682706</v>
      </c>
      <c r="AD14" s="47">
        <f t="shared" si="3"/>
        <v>0.81361651346682706</v>
      </c>
      <c r="AE14" s="47">
        <f t="shared" si="3"/>
        <v>0.81361651346682706</v>
      </c>
      <c r="AF14" s="47">
        <f t="shared" si="3"/>
        <v>0.81361651346682706</v>
      </c>
      <c r="AG14" s="47">
        <f t="shared" si="3"/>
        <v>0.81361651346682706</v>
      </c>
      <c r="AH14" s="47">
        <f t="shared" si="3"/>
        <v>0.81361651346682706</v>
      </c>
      <c r="AI14" s="47">
        <f t="shared" si="3"/>
        <v>0.81361651346682706</v>
      </c>
      <c r="AJ14" s="47">
        <f t="shared" si="3"/>
        <v>0.81361651346682706</v>
      </c>
    </row>
    <row r="15" spans="1:36" ht="12.75" customHeight="1" x14ac:dyDescent="0.2">
      <c r="A15" s="45" t="s">
        <v>135</v>
      </c>
      <c r="B15" s="65" t="s">
        <v>136</v>
      </c>
      <c r="D15" s="44" t="s">
        <v>113</v>
      </c>
      <c r="E15" s="47">
        <f t="shared" ref="E15:AJ15" si="4">PI()*SQRT((E13/E11))</f>
        <v>76.409145611234095</v>
      </c>
      <c r="F15" s="47">
        <f t="shared" si="4"/>
        <v>76.409145611234095</v>
      </c>
      <c r="G15" s="47">
        <f t="shared" si="4"/>
        <v>76.409145611234095</v>
      </c>
      <c r="H15" s="47">
        <f t="shared" si="4"/>
        <v>76.409145611234095</v>
      </c>
      <c r="I15" s="47">
        <f t="shared" si="4"/>
        <v>76.409145611234095</v>
      </c>
      <c r="J15" s="47">
        <f t="shared" si="4"/>
        <v>76.409145611234095</v>
      </c>
      <c r="K15" s="47">
        <f t="shared" si="4"/>
        <v>76.409145611234095</v>
      </c>
      <c r="L15" s="47">
        <f t="shared" si="4"/>
        <v>76.409145611234095</v>
      </c>
      <c r="M15" s="47">
        <f t="shared" si="4"/>
        <v>76.409145611234095</v>
      </c>
      <c r="N15" s="47">
        <f t="shared" si="4"/>
        <v>76.409145611234095</v>
      </c>
      <c r="O15" s="47">
        <f t="shared" si="4"/>
        <v>76.409145611234095</v>
      </c>
      <c r="P15" s="47">
        <f t="shared" si="4"/>
        <v>76.409145611234095</v>
      </c>
      <c r="Q15" s="47">
        <f t="shared" si="4"/>
        <v>76.409145611234095</v>
      </c>
      <c r="R15" s="47">
        <f t="shared" si="4"/>
        <v>76.409145611234095</v>
      </c>
      <c r="S15" s="47">
        <f t="shared" si="4"/>
        <v>76.409145611234095</v>
      </c>
      <c r="T15" s="47">
        <f t="shared" si="4"/>
        <v>76.409145611234095</v>
      </c>
      <c r="U15" s="47">
        <f t="shared" si="4"/>
        <v>76.409145611234095</v>
      </c>
      <c r="V15" s="47">
        <f t="shared" si="4"/>
        <v>76.409145611234095</v>
      </c>
      <c r="W15" s="47">
        <f t="shared" si="4"/>
        <v>76.409145611234095</v>
      </c>
      <c r="X15" s="47">
        <f t="shared" si="4"/>
        <v>76.409145611234095</v>
      </c>
      <c r="Y15" s="47">
        <f t="shared" si="4"/>
        <v>76.409145611234095</v>
      </c>
      <c r="Z15" s="47">
        <f t="shared" si="4"/>
        <v>76.409145611234095</v>
      </c>
      <c r="AA15" s="47">
        <f t="shared" si="4"/>
        <v>76.409145611234095</v>
      </c>
      <c r="AB15" s="47">
        <f t="shared" si="4"/>
        <v>76.409145611234095</v>
      </c>
      <c r="AC15" s="47">
        <f t="shared" si="4"/>
        <v>76.409145611234095</v>
      </c>
      <c r="AD15" s="47">
        <f t="shared" si="4"/>
        <v>76.409145611234095</v>
      </c>
      <c r="AE15" s="47">
        <f t="shared" si="4"/>
        <v>76.409145611234095</v>
      </c>
      <c r="AF15" s="47">
        <f t="shared" si="4"/>
        <v>76.409145611234095</v>
      </c>
      <c r="AG15" s="47">
        <f t="shared" si="4"/>
        <v>76.409145611234095</v>
      </c>
      <c r="AH15" s="47">
        <f t="shared" si="4"/>
        <v>76.409145611234095</v>
      </c>
      <c r="AI15" s="47">
        <f t="shared" si="4"/>
        <v>76.409145611234095</v>
      </c>
      <c r="AJ15" s="47">
        <f t="shared" si="4"/>
        <v>76.409145611234095</v>
      </c>
    </row>
    <row r="16" spans="1:36" ht="12.75" customHeight="1" x14ac:dyDescent="0.2">
      <c r="A16" s="45"/>
      <c r="B16" s="65"/>
      <c r="D16" s="44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</row>
    <row r="17" spans="1:36" ht="12.75" customHeight="1" x14ac:dyDescent="0.2">
      <c r="A17" s="46" t="s">
        <v>261</v>
      </c>
      <c r="B17" s="65"/>
      <c r="C17" s="63" t="s">
        <v>262</v>
      </c>
      <c r="D17" s="44" t="s">
        <v>141</v>
      </c>
      <c r="E17" s="9">
        <f>VLOOKUP(E$7,'C - overzicht'!$B$11:$P$53,3,0)</f>
        <v>0</v>
      </c>
      <c r="F17" s="9">
        <f>VLOOKUP(F$7,'C - overzicht'!$B$11:$P$53,3,0)</f>
        <v>0</v>
      </c>
      <c r="G17" s="9">
        <f>VLOOKUP(G$7,'C - overzicht'!$B$11:$P$53,3,0)</f>
        <v>0</v>
      </c>
      <c r="H17" s="9">
        <f>VLOOKUP(H$7,'C - overzicht'!$B$11:$P$53,3,0)</f>
        <v>0</v>
      </c>
      <c r="I17" s="9">
        <f>VLOOKUP(I$7,'C - overzicht'!$B$11:$P$53,3,0)</f>
        <v>0</v>
      </c>
      <c r="J17" s="9">
        <f>VLOOKUP(J$7,'C - overzicht'!$B$11:$P$53,3,0)</f>
        <v>0</v>
      </c>
      <c r="K17" s="9">
        <f>VLOOKUP(K$7,'C - overzicht'!$B$11:$P$53,3,0)</f>
        <v>0</v>
      </c>
      <c r="L17" s="9">
        <f>VLOOKUP(L$7,'C - overzicht'!$B$11:$P$53,3,0)</f>
        <v>0</v>
      </c>
      <c r="M17" s="9">
        <f>VLOOKUP(M$7,'C - overzicht'!$B$11:$P$53,3,0)</f>
        <v>0</v>
      </c>
      <c r="N17" s="9">
        <f>VLOOKUP(N$7,'C - overzicht'!$B$11:$P$53,3,0)</f>
        <v>0</v>
      </c>
      <c r="O17" s="9">
        <f>VLOOKUP(O$7,'C - overzicht'!$B$11:$P$53,3,0)</f>
        <v>0</v>
      </c>
      <c r="P17" s="9">
        <f>VLOOKUP(P$7,'C - overzicht'!$B$11:$P$53,3,0)</f>
        <v>0</v>
      </c>
      <c r="Q17" s="9">
        <f>VLOOKUP(Q$7,'C - overzicht'!$B$11:$P$53,3,0)</f>
        <v>0</v>
      </c>
      <c r="R17" s="9">
        <f>VLOOKUP(R$7,'C - overzicht'!$B$11:$P$53,3,0)</f>
        <v>0</v>
      </c>
      <c r="S17" s="9">
        <f>VLOOKUP(S$7,'C - overzicht'!$B$11:$P$53,3,0)</f>
        <v>0</v>
      </c>
      <c r="T17" s="9">
        <f>VLOOKUP(T$7,'C - overzicht'!$B$11:$P$53,3,0)</f>
        <v>0</v>
      </c>
      <c r="U17" s="9">
        <f>VLOOKUP(U$7,'C - overzicht'!$B$11:$P$53,3,0)</f>
        <v>0</v>
      </c>
      <c r="V17" s="9">
        <f>VLOOKUP(V$7,'C - overzicht'!$B$11:$P$53,3,0)</f>
        <v>0</v>
      </c>
      <c r="W17" s="9">
        <f>VLOOKUP(W$7,'C - overzicht'!$B$11:$P$53,3,0)</f>
        <v>0</v>
      </c>
      <c r="X17" s="9">
        <f>VLOOKUP(X$7,'C - overzicht'!$B$11:$P$53,3,0)</f>
        <v>0</v>
      </c>
      <c r="Y17" s="9">
        <f>VLOOKUP(Y$7,'C - overzicht'!$B$11:$P$53,3,0)</f>
        <v>0</v>
      </c>
      <c r="Z17" s="9">
        <f>VLOOKUP(Z$7,'C - overzicht'!$B$11:$P$53,3,0)</f>
        <v>0</v>
      </c>
      <c r="AA17" s="9">
        <f>VLOOKUP(AA$7,'C - overzicht'!$B$11:$P$53,3,0)</f>
        <v>0</v>
      </c>
      <c r="AB17" s="9">
        <f>VLOOKUP(AB$7,'C - overzicht'!$B$11:$P$53,3,0)</f>
        <v>0</v>
      </c>
      <c r="AC17" s="9">
        <f>VLOOKUP(AC$7,'C - overzicht'!$B$11:$P$53,3,0)</f>
        <v>0</v>
      </c>
      <c r="AD17" s="9">
        <f>VLOOKUP(AD$7,'C - overzicht'!$B$11:$P$53,3,0)</f>
        <v>0</v>
      </c>
      <c r="AE17" s="9">
        <f>VLOOKUP(AE$7,'C - overzicht'!$B$11:$P$53,3,0)</f>
        <v>0</v>
      </c>
      <c r="AF17" s="9">
        <f>VLOOKUP(AF$7,'C - overzicht'!$B$11:$P$53,3,0)</f>
        <v>0</v>
      </c>
      <c r="AG17" s="9">
        <f>VLOOKUP(AG$7,'C - overzicht'!$B$11:$P$53,3,0)</f>
        <v>0</v>
      </c>
      <c r="AH17" s="9">
        <f>VLOOKUP(AH$7,'C - overzicht'!$B$11:$P$53,3,0)</f>
        <v>0</v>
      </c>
      <c r="AI17" s="9">
        <f>VLOOKUP(AI$7,'C - overzicht'!$B$11:$P$53,3,0)</f>
        <v>0</v>
      </c>
      <c r="AJ17" s="9">
        <f>VLOOKUP(AJ$7,'C - overzicht'!$B$11:$P$53,3,0)</f>
        <v>0</v>
      </c>
    </row>
    <row r="18" spans="1:36" ht="12.75" customHeight="1" x14ac:dyDescent="0.2">
      <c r="A18" s="46" t="s">
        <v>263</v>
      </c>
      <c r="B18" s="65"/>
      <c r="C18" s="63" t="s">
        <v>264</v>
      </c>
      <c r="D18" s="44" t="s">
        <v>141</v>
      </c>
      <c r="E18" s="9">
        <f>VLOOKUP(E$7,'C - overzicht'!$B$11:$P$53,4,0)</f>
        <v>0</v>
      </c>
      <c r="F18" s="9">
        <f>VLOOKUP(F$7,'C - overzicht'!$B$11:$P$53,4,0)</f>
        <v>0</v>
      </c>
      <c r="G18" s="9">
        <f>VLOOKUP(G$7,'C - overzicht'!$B$11:$P$53,4,0)</f>
        <v>0</v>
      </c>
      <c r="H18" s="9">
        <f>VLOOKUP(H$7,'C - overzicht'!$B$11:$P$53,4,0)</f>
        <v>0</v>
      </c>
      <c r="I18" s="9">
        <f>VLOOKUP(I$7,'C - overzicht'!$B$11:$P$53,4,0)</f>
        <v>0</v>
      </c>
      <c r="J18" s="9">
        <f>VLOOKUP(J$7,'C - overzicht'!$B$11:$P$53,4,0)</f>
        <v>0</v>
      </c>
      <c r="K18" s="9">
        <f>VLOOKUP(K$7,'C - overzicht'!$B$11:$P$53,4,0)</f>
        <v>0</v>
      </c>
      <c r="L18" s="9">
        <f>VLOOKUP(L$7,'C - overzicht'!$B$11:$P$53,4,0)</f>
        <v>0</v>
      </c>
      <c r="M18" s="9">
        <f>VLOOKUP(M$7,'C - overzicht'!$B$11:$P$53,4,0)</f>
        <v>0</v>
      </c>
      <c r="N18" s="9">
        <f>VLOOKUP(N$7,'C - overzicht'!$B$11:$P$53,4,0)</f>
        <v>0</v>
      </c>
      <c r="O18" s="9">
        <f>VLOOKUP(O$7,'C - overzicht'!$B$11:$P$53,4,0)</f>
        <v>0</v>
      </c>
      <c r="P18" s="9">
        <f>VLOOKUP(P$7,'C - overzicht'!$B$11:$P$53,4,0)</f>
        <v>0</v>
      </c>
      <c r="Q18" s="9">
        <f>VLOOKUP(Q$7,'C - overzicht'!$B$11:$P$53,4,0)</f>
        <v>0</v>
      </c>
      <c r="R18" s="9">
        <f>VLOOKUP(R$7,'C - overzicht'!$B$11:$P$53,4,0)</f>
        <v>0</v>
      </c>
      <c r="S18" s="9">
        <f>VLOOKUP(S$7,'C - overzicht'!$B$11:$P$53,4,0)</f>
        <v>0</v>
      </c>
      <c r="T18" s="9">
        <f>VLOOKUP(T$7,'C - overzicht'!$B$11:$P$53,4,0)</f>
        <v>0</v>
      </c>
      <c r="U18" s="9">
        <f>VLOOKUP(U$7,'C - overzicht'!$B$11:$P$53,4,0)</f>
        <v>0</v>
      </c>
      <c r="V18" s="9">
        <f>VLOOKUP(V$7,'C - overzicht'!$B$11:$P$53,4,0)</f>
        <v>0</v>
      </c>
      <c r="W18" s="9">
        <f>VLOOKUP(W$7,'C - overzicht'!$B$11:$P$53,4,0)</f>
        <v>0</v>
      </c>
      <c r="X18" s="9">
        <f>VLOOKUP(X$7,'C - overzicht'!$B$11:$P$53,4,0)</f>
        <v>0</v>
      </c>
      <c r="Y18" s="9">
        <f>VLOOKUP(Y$7,'C - overzicht'!$B$11:$P$53,4,0)</f>
        <v>0</v>
      </c>
      <c r="Z18" s="9">
        <f>VLOOKUP(Z$7,'C - overzicht'!$B$11:$P$53,4,0)</f>
        <v>0</v>
      </c>
      <c r="AA18" s="9">
        <f>VLOOKUP(AA$7,'C - overzicht'!$B$11:$P$53,4,0)</f>
        <v>0</v>
      </c>
      <c r="AB18" s="9">
        <f>VLOOKUP(AB$7,'C - overzicht'!$B$11:$P$53,4,0)</f>
        <v>0</v>
      </c>
      <c r="AC18" s="9">
        <f>VLOOKUP(AC$7,'C - overzicht'!$B$11:$P$53,4,0)</f>
        <v>0</v>
      </c>
      <c r="AD18" s="9">
        <f>VLOOKUP(AD$7,'C - overzicht'!$B$11:$P$53,4,0)</f>
        <v>0</v>
      </c>
      <c r="AE18" s="9">
        <f>VLOOKUP(AE$7,'C - overzicht'!$B$11:$P$53,4,0)</f>
        <v>0</v>
      </c>
      <c r="AF18" s="9">
        <f>VLOOKUP(AF$7,'C - overzicht'!$B$11:$P$53,4,0)</f>
        <v>0</v>
      </c>
      <c r="AG18" s="9">
        <f>VLOOKUP(AG$7,'C - overzicht'!$B$11:$P$53,4,0)</f>
        <v>0</v>
      </c>
      <c r="AH18" s="9">
        <f>VLOOKUP(AH$7,'C - overzicht'!$B$11:$P$53,4,0)</f>
        <v>0</v>
      </c>
      <c r="AI18" s="9">
        <f>VLOOKUP(AI$7,'C - overzicht'!$B$11:$P$53,4,0)</f>
        <v>0</v>
      </c>
      <c r="AJ18" s="9">
        <f>VLOOKUP(AJ$7,'C - overzicht'!$B$11:$P$53,4,0)</f>
        <v>0</v>
      </c>
    </row>
    <row r="19" spans="1:36" ht="12.75" customHeight="1" x14ac:dyDescent="0.2">
      <c r="A19" s="46"/>
      <c r="B19" s="65"/>
      <c r="D19" s="55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ht="12.75" customHeight="1" x14ac:dyDescent="0.2">
      <c r="B20" s="65"/>
      <c r="C20" s="63" t="s">
        <v>265</v>
      </c>
      <c r="D20" s="44" t="s">
        <v>141</v>
      </c>
      <c r="E20" s="9">
        <f t="shared" ref="E20:AJ20" si="5">E17-E18-E18</f>
        <v>0</v>
      </c>
      <c r="F20" s="9">
        <f t="shared" si="5"/>
        <v>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>
        <f t="shared" si="5"/>
        <v>0</v>
      </c>
      <c r="M20" s="9">
        <f t="shared" si="5"/>
        <v>0</v>
      </c>
      <c r="N20" s="9">
        <f t="shared" si="5"/>
        <v>0</v>
      </c>
      <c r="O20" s="9">
        <f t="shared" si="5"/>
        <v>0</v>
      </c>
      <c r="P20" s="9">
        <f t="shared" si="5"/>
        <v>0</v>
      </c>
      <c r="Q20" s="9">
        <f t="shared" si="5"/>
        <v>0</v>
      </c>
      <c r="R20" s="9">
        <f t="shared" si="5"/>
        <v>0</v>
      </c>
      <c r="S20" s="9">
        <f t="shared" si="5"/>
        <v>0</v>
      </c>
      <c r="T20" s="9">
        <f t="shared" si="5"/>
        <v>0</v>
      </c>
      <c r="U20" s="9">
        <f t="shared" si="5"/>
        <v>0</v>
      </c>
      <c r="V20" s="9">
        <f t="shared" si="5"/>
        <v>0</v>
      </c>
      <c r="W20" s="9">
        <f t="shared" si="5"/>
        <v>0</v>
      </c>
      <c r="X20" s="9">
        <f t="shared" si="5"/>
        <v>0</v>
      </c>
      <c r="Y20" s="9">
        <f t="shared" si="5"/>
        <v>0</v>
      </c>
      <c r="Z20" s="9">
        <f t="shared" si="5"/>
        <v>0</v>
      </c>
      <c r="AA20" s="9">
        <f t="shared" si="5"/>
        <v>0</v>
      </c>
      <c r="AB20" s="9">
        <f t="shared" si="5"/>
        <v>0</v>
      </c>
      <c r="AC20" s="9">
        <f t="shared" si="5"/>
        <v>0</v>
      </c>
      <c r="AD20" s="9">
        <f t="shared" si="5"/>
        <v>0</v>
      </c>
      <c r="AE20" s="9">
        <f t="shared" si="5"/>
        <v>0</v>
      </c>
      <c r="AF20" s="9">
        <f t="shared" si="5"/>
        <v>0</v>
      </c>
      <c r="AG20" s="9">
        <f t="shared" si="5"/>
        <v>0</v>
      </c>
      <c r="AH20" s="9">
        <f t="shared" si="5"/>
        <v>0</v>
      </c>
      <c r="AI20" s="9">
        <f t="shared" si="5"/>
        <v>0</v>
      </c>
      <c r="AJ20" s="9">
        <f t="shared" si="5"/>
        <v>0</v>
      </c>
    </row>
    <row r="21" spans="1:36" ht="12.75" customHeight="1" x14ac:dyDescent="0.2">
      <c r="B21" s="65"/>
      <c r="C21" s="63" t="s">
        <v>266</v>
      </c>
      <c r="D21" s="44" t="s">
        <v>267</v>
      </c>
      <c r="E21" s="47">
        <f t="shared" ref="E21:AJ21" si="6">(0.25*PI()*E17^2)-(0.25*PI()*E20^2)</f>
        <v>0</v>
      </c>
      <c r="F21" s="47">
        <f t="shared" si="6"/>
        <v>0</v>
      </c>
      <c r="G21" s="47">
        <f t="shared" si="6"/>
        <v>0</v>
      </c>
      <c r="H21" s="47">
        <f t="shared" si="6"/>
        <v>0</v>
      </c>
      <c r="I21" s="47">
        <f t="shared" si="6"/>
        <v>0</v>
      </c>
      <c r="J21" s="47">
        <f t="shared" si="6"/>
        <v>0</v>
      </c>
      <c r="K21" s="47">
        <f t="shared" si="6"/>
        <v>0</v>
      </c>
      <c r="L21" s="47">
        <f t="shared" si="6"/>
        <v>0</v>
      </c>
      <c r="M21" s="47">
        <f t="shared" si="6"/>
        <v>0</v>
      </c>
      <c r="N21" s="47">
        <f t="shared" si="6"/>
        <v>0</v>
      </c>
      <c r="O21" s="47">
        <f t="shared" si="6"/>
        <v>0</v>
      </c>
      <c r="P21" s="47">
        <f t="shared" si="6"/>
        <v>0</v>
      </c>
      <c r="Q21" s="47">
        <f t="shared" si="6"/>
        <v>0</v>
      </c>
      <c r="R21" s="47">
        <f t="shared" si="6"/>
        <v>0</v>
      </c>
      <c r="S21" s="47">
        <f t="shared" si="6"/>
        <v>0</v>
      </c>
      <c r="T21" s="47">
        <f t="shared" si="6"/>
        <v>0</v>
      </c>
      <c r="U21" s="47">
        <f t="shared" si="6"/>
        <v>0</v>
      </c>
      <c r="V21" s="47">
        <f t="shared" si="6"/>
        <v>0</v>
      </c>
      <c r="W21" s="47">
        <f t="shared" si="6"/>
        <v>0</v>
      </c>
      <c r="X21" s="47">
        <f t="shared" si="6"/>
        <v>0</v>
      </c>
      <c r="Y21" s="47">
        <f t="shared" si="6"/>
        <v>0</v>
      </c>
      <c r="Z21" s="47">
        <f t="shared" si="6"/>
        <v>0</v>
      </c>
      <c r="AA21" s="47">
        <f t="shared" si="6"/>
        <v>0</v>
      </c>
      <c r="AB21" s="47">
        <f t="shared" si="6"/>
        <v>0</v>
      </c>
      <c r="AC21" s="47">
        <f t="shared" si="6"/>
        <v>0</v>
      </c>
      <c r="AD21" s="47">
        <f t="shared" si="6"/>
        <v>0</v>
      </c>
      <c r="AE21" s="47">
        <f t="shared" si="6"/>
        <v>0</v>
      </c>
      <c r="AF21" s="47">
        <f t="shared" si="6"/>
        <v>0</v>
      </c>
      <c r="AG21" s="47">
        <f t="shared" si="6"/>
        <v>0</v>
      </c>
      <c r="AH21" s="47">
        <f t="shared" si="6"/>
        <v>0</v>
      </c>
      <c r="AI21" s="47">
        <f t="shared" si="6"/>
        <v>0</v>
      </c>
      <c r="AJ21" s="47">
        <f t="shared" si="6"/>
        <v>0</v>
      </c>
    </row>
    <row r="22" spans="1:36" ht="12.75" customHeight="1" x14ac:dyDescent="0.2">
      <c r="B22" s="65"/>
      <c r="C22" s="63" t="s">
        <v>153</v>
      </c>
      <c r="D22" s="44" t="s">
        <v>267</v>
      </c>
      <c r="E22" s="9">
        <f t="shared" ref="E22:AJ22" si="7">2*E21/PI()</f>
        <v>0</v>
      </c>
      <c r="F22" s="9">
        <f t="shared" si="7"/>
        <v>0</v>
      </c>
      <c r="G22" s="9">
        <f t="shared" si="7"/>
        <v>0</v>
      </c>
      <c r="H22" s="9">
        <f t="shared" si="7"/>
        <v>0</v>
      </c>
      <c r="I22" s="9">
        <f t="shared" si="7"/>
        <v>0</v>
      </c>
      <c r="J22" s="9">
        <f t="shared" si="7"/>
        <v>0</v>
      </c>
      <c r="K22" s="9">
        <f t="shared" si="7"/>
        <v>0</v>
      </c>
      <c r="L22" s="9">
        <f t="shared" si="7"/>
        <v>0</v>
      </c>
      <c r="M22" s="9">
        <f t="shared" si="7"/>
        <v>0</v>
      </c>
      <c r="N22" s="9">
        <f t="shared" si="7"/>
        <v>0</v>
      </c>
      <c r="O22" s="9">
        <f t="shared" si="7"/>
        <v>0</v>
      </c>
      <c r="P22" s="9">
        <f t="shared" si="7"/>
        <v>0</v>
      </c>
      <c r="Q22" s="9">
        <f t="shared" si="7"/>
        <v>0</v>
      </c>
      <c r="R22" s="9">
        <f t="shared" si="7"/>
        <v>0</v>
      </c>
      <c r="S22" s="9">
        <f t="shared" si="7"/>
        <v>0</v>
      </c>
      <c r="T22" s="9">
        <f t="shared" si="7"/>
        <v>0</v>
      </c>
      <c r="U22" s="9">
        <f t="shared" si="7"/>
        <v>0</v>
      </c>
      <c r="V22" s="9">
        <f t="shared" si="7"/>
        <v>0</v>
      </c>
      <c r="W22" s="9">
        <f t="shared" si="7"/>
        <v>0</v>
      </c>
      <c r="X22" s="9">
        <f t="shared" si="7"/>
        <v>0</v>
      </c>
      <c r="Y22" s="9">
        <f t="shared" si="7"/>
        <v>0</v>
      </c>
      <c r="Z22" s="9">
        <f t="shared" si="7"/>
        <v>0</v>
      </c>
      <c r="AA22" s="9">
        <f t="shared" si="7"/>
        <v>0</v>
      </c>
      <c r="AB22" s="9">
        <f t="shared" si="7"/>
        <v>0</v>
      </c>
      <c r="AC22" s="9">
        <f t="shared" si="7"/>
        <v>0</v>
      </c>
      <c r="AD22" s="9">
        <f t="shared" si="7"/>
        <v>0</v>
      </c>
      <c r="AE22" s="9">
        <f t="shared" si="7"/>
        <v>0</v>
      </c>
      <c r="AF22" s="9">
        <f t="shared" si="7"/>
        <v>0</v>
      </c>
      <c r="AG22" s="9">
        <f t="shared" si="7"/>
        <v>0</v>
      </c>
      <c r="AH22" s="9">
        <f t="shared" si="7"/>
        <v>0</v>
      </c>
      <c r="AI22" s="9">
        <f t="shared" si="7"/>
        <v>0</v>
      </c>
      <c r="AJ22" s="9">
        <f t="shared" si="7"/>
        <v>0</v>
      </c>
    </row>
    <row r="23" spans="1:36" ht="12.75" customHeight="1" x14ac:dyDescent="0.2">
      <c r="B23" s="65"/>
      <c r="C23" s="63" t="s">
        <v>19</v>
      </c>
      <c r="D23" s="44" t="s">
        <v>150</v>
      </c>
      <c r="E23" s="48">
        <f t="shared" ref="E23:AJ23" si="8">(PI()*(E17^4-E20^4))/64</f>
        <v>0</v>
      </c>
      <c r="F23" s="48">
        <f t="shared" si="8"/>
        <v>0</v>
      </c>
      <c r="G23" s="48">
        <f t="shared" si="8"/>
        <v>0</v>
      </c>
      <c r="H23" s="48">
        <f t="shared" si="8"/>
        <v>0</v>
      </c>
      <c r="I23" s="48">
        <f t="shared" si="8"/>
        <v>0</v>
      </c>
      <c r="J23" s="48">
        <f t="shared" si="8"/>
        <v>0</v>
      </c>
      <c r="K23" s="48">
        <f t="shared" si="8"/>
        <v>0</v>
      </c>
      <c r="L23" s="48">
        <f t="shared" si="8"/>
        <v>0</v>
      </c>
      <c r="M23" s="48">
        <f t="shared" si="8"/>
        <v>0</v>
      </c>
      <c r="N23" s="48">
        <f t="shared" si="8"/>
        <v>0</v>
      </c>
      <c r="O23" s="48">
        <f t="shared" si="8"/>
        <v>0</v>
      </c>
      <c r="P23" s="48">
        <f t="shared" si="8"/>
        <v>0</v>
      </c>
      <c r="Q23" s="48">
        <f t="shared" si="8"/>
        <v>0</v>
      </c>
      <c r="R23" s="48">
        <f t="shared" si="8"/>
        <v>0</v>
      </c>
      <c r="S23" s="48">
        <f t="shared" si="8"/>
        <v>0</v>
      </c>
      <c r="T23" s="48">
        <f t="shared" si="8"/>
        <v>0</v>
      </c>
      <c r="U23" s="48">
        <f t="shared" si="8"/>
        <v>0</v>
      </c>
      <c r="V23" s="48">
        <f t="shared" si="8"/>
        <v>0</v>
      </c>
      <c r="W23" s="48">
        <f t="shared" si="8"/>
        <v>0</v>
      </c>
      <c r="X23" s="48">
        <f t="shared" si="8"/>
        <v>0</v>
      </c>
      <c r="Y23" s="48">
        <f t="shared" si="8"/>
        <v>0</v>
      </c>
      <c r="Z23" s="48">
        <f t="shared" si="8"/>
        <v>0</v>
      </c>
      <c r="AA23" s="48">
        <f t="shared" si="8"/>
        <v>0</v>
      </c>
      <c r="AB23" s="48">
        <f t="shared" si="8"/>
        <v>0</v>
      </c>
      <c r="AC23" s="48">
        <f t="shared" si="8"/>
        <v>0</v>
      </c>
      <c r="AD23" s="48">
        <f t="shared" si="8"/>
        <v>0</v>
      </c>
      <c r="AE23" s="48">
        <f t="shared" si="8"/>
        <v>0</v>
      </c>
      <c r="AF23" s="48">
        <f t="shared" si="8"/>
        <v>0</v>
      </c>
      <c r="AG23" s="48">
        <f t="shared" si="8"/>
        <v>0</v>
      </c>
      <c r="AH23" s="48">
        <f t="shared" si="8"/>
        <v>0</v>
      </c>
      <c r="AI23" s="48">
        <f t="shared" si="8"/>
        <v>0</v>
      </c>
      <c r="AJ23" s="48">
        <f t="shared" si="8"/>
        <v>0</v>
      </c>
    </row>
    <row r="24" spans="1:36" ht="12.75" customHeight="1" x14ac:dyDescent="0.2">
      <c r="B24" s="65"/>
      <c r="C24" s="63" t="s">
        <v>144</v>
      </c>
      <c r="D24" s="44" t="s">
        <v>145</v>
      </c>
      <c r="E24" s="48" t="e">
        <f t="shared" ref="E24:AJ24" si="9">PI()*(E17^4-E20^4)/(32*E17)</f>
        <v>#DIV/0!</v>
      </c>
      <c r="F24" s="48" t="e">
        <f t="shared" si="9"/>
        <v>#DIV/0!</v>
      </c>
      <c r="G24" s="48" t="e">
        <f t="shared" si="9"/>
        <v>#DIV/0!</v>
      </c>
      <c r="H24" s="48" t="e">
        <f t="shared" si="9"/>
        <v>#DIV/0!</v>
      </c>
      <c r="I24" s="48" t="e">
        <f t="shared" si="9"/>
        <v>#DIV/0!</v>
      </c>
      <c r="J24" s="48" t="e">
        <f t="shared" si="9"/>
        <v>#DIV/0!</v>
      </c>
      <c r="K24" s="48" t="e">
        <f t="shared" si="9"/>
        <v>#DIV/0!</v>
      </c>
      <c r="L24" s="48" t="e">
        <f t="shared" si="9"/>
        <v>#DIV/0!</v>
      </c>
      <c r="M24" s="48" t="e">
        <f t="shared" si="9"/>
        <v>#DIV/0!</v>
      </c>
      <c r="N24" s="48" t="e">
        <f t="shared" si="9"/>
        <v>#DIV/0!</v>
      </c>
      <c r="O24" s="48" t="e">
        <f t="shared" si="9"/>
        <v>#DIV/0!</v>
      </c>
      <c r="P24" s="48" t="e">
        <f t="shared" si="9"/>
        <v>#DIV/0!</v>
      </c>
      <c r="Q24" s="48" t="e">
        <f t="shared" si="9"/>
        <v>#DIV/0!</v>
      </c>
      <c r="R24" s="48" t="e">
        <f t="shared" si="9"/>
        <v>#DIV/0!</v>
      </c>
      <c r="S24" s="48" t="e">
        <f t="shared" si="9"/>
        <v>#DIV/0!</v>
      </c>
      <c r="T24" s="48" t="e">
        <f t="shared" si="9"/>
        <v>#DIV/0!</v>
      </c>
      <c r="U24" s="48" t="e">
        <f t="shared" si="9"/>
        <v>#DIV/0!</v>
      </c>
      <c r="V24" s="48" t="e">
        <f t="shared" si="9"/>
        <v>#DIV/0!</v>
      </c>
      <c r="W24" s="48" t="e">
        <f t="shared" si="9"/>
        <v>#DIV/0!</v>
      </c>
      <c r="X24" s="48" t="e">
        <f t="shared" si="9"/>
        <v>#DIV/0!</v>
      </c>
      <c r="Y24" s="48" t="e">
        <f t="shared" si="9"/>
        <v>#DIV/0!</v>
      </c>
      <c r="Z24" s="48" t="e">
        <f t="shared" si="9"/>
        <v>#DIV/0!</v>
      </c>
      <c r="AA24" s="48" t="e">
        <f t="shared" si="9"/>
        <v>#DIV/0!</v>
      </c>
      <c r="AB24" s="48" t="e">
        <f t="shared" si="9"/>
        <v>#DIV/0!</v>
      </c>
      <c r="AC24" s="48" t="e">
        <f t="shared" si="9"/>
        <v>#DIV/0!</v>
      </c>
      <c r="AD24" s="48" t="e">
        <f t="shared" si="9"/>
        <v>#DIV/0!</v>
      </c>
      <c r="AE24" s="48" t="e">
        <f t="shared" si="9"/>
        <v>#DIV/0!</v>
      </c>
      <c r="AF24" s="48" t="e">
        <f t="shared" si="9"/>
        <v>#DIV/0!</v>
      </c>
      <c r="AG24" s="48" t="e">
        <f t="shared" si="9"/>
        <v>#DIV/0!</v>
      </c>
      <c r="AH24" s="48" t="e">
        <f t="shared" si="9"/>
        <v>#DIV/0!</v>
      </c>
      <c r="AI24" s="48" t="e">
        <f t="shared" si="9"/>
        <v>#DIV/0!</v>
      </c>
      <c r="AJ24" s="48" t="e">
        <f t="shared" si="9"/>
        <v>#DIV/0!</v>
      </c>
    </row>
    <row r="25" spans="1:36" ht="12.75" customHeight="1" x14ac:dyDescent="0.2">
      <c r="B25" s="65"/>
      <c r="C25" s="63" t="s">
        <v>146</v>
      </c>
      <c r="D25" s="44" t="s">
        <v>145</v>
      </c>
      <c r="E25" s="48">
        <f t="shared" ref="E25:AJ25" si="10">(E17-E18)^2*E18</f>
        <v>0</v>
      </c>
      <c r="F25" s="48">
        <f t="shared" si="10"/>
        <v>0</v>
      </c>
      <c r="G25" s="48">
        <f t="shared" si="10"/>
        <v>0</v>
      </c>
      <c r="H25" s="48">
        <f t="shared" si="10"/>
        <v>0</v>
      </c>
      <c r="I25" s="48">
        <f t="shared" si="10"/>
        <v>0</v>
      </c>
      <c r="J25" s="48">
        <f t="shared" si="10"/>
        <v>0</v>
      </c>
      <c r="K25" s="48">
        <f t="shared" si="10"/>
        <v>0</v>
      </c>
      <c r="L25" s="48">
        <f t="shared" si="10"/>
        <v>0</v>
      </c>
      <c r="M25" s="48">
        <f t="shared" si="10"/>
        <v>0</v>
      </c>
      <c r="N25" s="48">
        <f t="shared" si="10"/>
        <v>0</v>
      </c>
      <c r="O25" s="48">
        <f t="shared" si="10"/>
        <v>0</v>
      </c>
      <c r="P25" s="48">
        <f t="shared" si="10"/>
        <v>0</v>
      </c>
      <c r="Q25" s="48">
        <f t="shared" si="10"/>
        <v>0</v>
      </c>
      <c r="R25" s="48">
        <f t="shared" si="10"/>
        <v>0</v>
      </c>
      <c r="S25" s="48">
        <f t="shared" si="10"/>
        <v>0</v>
      </c>
      <c r="T25" s="48">
        <f t="shared" si="10"/>
        <v>0</v>
      </c>
      <c r="U25" s="48">
        <f t="shared" si="10"/>
        <v>0</v>
      </c>
      <c r="V25" s="48">
        <f t="shared" si="10"/>
        <v>0</v>
      </c>
      <c r="W25" s="48">
        <f t="shared" si="10"/>
        <v>0</v>
      </c>
      <c r="X25" s="48">
        <f t="shared" si="10"/>
        <v>0</v>
      </c>
      <c r="Y25" s="48">
        <f t="shared" si="10"/>
        <v>0</v>
      </c>
      <c r="Z25" s="48">
        <f t="shared" si="10"/>
        <v>0</v>
      </c>
      <c r="AA25" s="48">
        <f t="shared" si="10"/>
        <v>0</v>
      </c>
      <c r="AB25" s="48">
        <f t="shared" si="10"/>
        <v>0</v>
      </c>
      <c r="AC25" s="48">
        <f t="shared" si="10"/>
        <v>0</v>
      </c>
      <c r="AD25" s="48">
        <f t="shared" si="10"/>
        <v>0</v>
      </c>
      <c r="AE25" s="48">
        <f t="shared" si="10"/>
        <v>0</v>
      </c>
      <c r="AF25" s="48">
        <f t="shared" si="10"/>
        <v>0</v>
      </c>
      <c r="AG25" s="48">
        <f t="shared" si="10"/>
        <v>0</v>
      </c>
      <c r="AH25" s="48">
        <f t="shared" si="10"/>
        <v>0</v>
      </c>
      <c r="AI25" s="48">
        <f t="shared" si="10"/>
        <v>0</v>
      </c>
      <c r="AJ25" s="48">
        <f t="shared" si="10"/>
        <v>0</v>
      </c>
    </row>
    <row r="26" spans="1:36" ht="12.75" customHeight="1" x14ac:dyDescent="0.2">
      <c r="B26" s="65"/>
      <c r="C26" s="63" t="s">
        <v>17</v>
      </c>
      <c r="D26" s="44" t="s">
        <v>249</v>
      </c>
      <c r="E26" s="53">
        <f t="shared" ref="E26:AJ26" si="11">E21*78.5/1000000</f>
        <v>0</v>
      </c>
      <c r="F26" s="53">
        <f t="shared" si="11"/>
        <v>0</v>
      </c>
      <c r="G26" s="53">
        <f t="shared" si="11"/>
        <v>0</v>
      </c>
      <c r="H26" s="53">
        <f t="shared" si="11"/>
        <v>0</v>
      </c>
      <c r="I26" s="53">
        <f t="shared" si="11"/>
        <v>0</v>
      </c>
      <c r="J26" s="53">
        <f t="shared" si="11"/>
        <v>0</v>
      </c>
      <c r="K26" s="53">
        <f t="shared" si="11"/>
        <v>0</v>
      </c>
      <c r="L26" s="53">
        <f t="shared" si="11"/>
        <v>0</v>
      </c>
      <c r="M26" s="53">
        <f t="shared" si="11"/>
        <v>0</v>
      </c>
      <c r="N26" s="53">
        <f t="shared" si="11"/>
        <v>0</v>
      </c>
      <c r="O26" s="53">
        <f t="shared" si="11"/>
        <v>0</v>
      </c>
      <c r="P26" s="53">
        <f t="shared" si="11"/>
        <v>0</v>
      </c>
      <c r="Q26" s="53">
        <f t="shared" si="11"/>
        <v>0</v>
      </c>
      <c r="R26" s="53">
        <f t="shared" si="11"/>
        <v>0</v>
      </c>
      <c r="S26" s="53">
        <f t="shared" si="11"/>
        <v>0</v>
      </c>
      <c r="T26" s="53">
        <f t="shared" si="11"/>
        <v>0</v>
      </c>
      <c r="U26" s="53">
        <f t="shared" si="11"/>
        <v>0</v>
      </c>
      <c r="V26" s="53">
        <f t="shared" si="11"/>
        <v>0</v>
      </c>
      <c r="W26" s="53">
        <f t="shared" si="11"/>
        <v>0</v>
      </c>
      <c r="X26" s="53">
        <f t="shared" si="11"/>
        <v>0</v>
      </c>
      <c r="Y26" s="53">
        <f t="shared" si="11"/>
        <v>0</v>
      </c>
      <c r="Z26" s="53">
        <f t="shared" si="11"/>
        <v>0</v>
      </c>
      <c r="AA26" s="53">
        <f t="shared" si="11"/>
        <v>0</v>
      </c>
      <c r="AB26" s="53">
        <f t="shared" si="11"/>
        <v>0</v>
      </c>
      <c r="AC26" s="53">
        <f t="shared" si="11"/>
        <v>0</v>
      </c>
      <c r="AD26" s="53">
        <f t="shared" si="11"/>
        <v>0</v>
      </c>
      <c r="AE26" s="53">
        <f t="shared" si="11"/>
        <v>0</v>
      </c>
      <c r="AF26" s="53">
        <f t="shared" si="11"/>
        <v>0</v>
      </c>
      <c r="AG26" s="53">
        <f t="shared" si="11"/>
        <v>0</v>
      </c>
      <c r="AH26" s="53">
        <f t="shared" si="11"/>
        <v>0</v>
      </c>
      <c r="AI26" s="53">
        <f t="shared" si="11"/>
        <v>0</v>
      </c>
      <c r="AJ26" s="53">
        <f t="shared" si="11"/>
        <v>0</v>
      </c>
    </row>
    <row r="27" spans="1:36" ht="12.75" customHeight="1" x14ac:dyDescent="0.2">
      <c r="B27" s="65"/>
      <c r="C27" s="63"/>
      <c r="D27" s="44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</row>
    <row r="28" spans="1:36" ht="12.75" customHeight="1" x14ac:dyDescent="0.2">
      <c r="A28" s="88" t="s">
        <v>350</v>
      </c>
      <c r="B28" s="65"/>
    </row>
    <row r="29" spans="1:36" s="97" customFormat="1" ht="12.75" customHeight="1" x14ac:dyDescent="0.2">
      <c r="A29" s="97" t="s">
        <v>351</v>
      </c>
      <c r="B29" s="103"/>
      <c r="D29" s="67"/>
      <c r="E29" s="67" t="str">
        <f>'D - Gording'!$E$20</f>
        <v>HEB 600</v>
      </c>
      <c r="F29" s="67" t="str">
        <f>'D - Gording'!$E$20</f>
        <v>HEB 600</v>
      </c>
      <c r="G29" s="67" t="str">
        <f>'D - Gording'!$E$20</f>
        <v>HEB 600</v>
      </c>
      <c r="H29" s="67" t="str">
        <f>'D - Gording'!$E$20</f>
        <v>HEB 600</v>
      </c>
      <c r="I29" s="67" t="str">
        <f>'D - Gording'!$E$20</f>
        <v>HEB 600</v>
      </c>
      <c r="J29" s="67" t="str">
        <f>'D - Gording'!$E$20</f>
        <v>HEB 600</v>
      </c>
      <c r="K29" s="67" t="str">
        <f>'D - Gording'!$E$20</f>
        <v>HEB 600</v>
      </c>
      <c r="L29" s="67" t="str">
        <f>'D - Gording'!$E$20</f>
        <v>HEB 600</v>
      </c>
      <c r="M29" s="67" t="str">
        <f>'D - Gording'!$E$20</f>
        <v>HEB 600</v>
      </c>
      <c r="N29" s="67" t="str">
        <f>'D - Gording'!$E$20</f>
        <v>HEB 600</v>
      </c>
      <c r="O29" s="67" t="str">
        <f>'D - Gording'!$E$20</f>
        <v>HEB 600</v>
      </c>
      <c r="P29" s="67" t="str">
        <f>'D - Gording'!$E$20</f>
        <v>HEB 600</v>
      </c>
      <c r="Q29" s="67" t="str">
        <f>'D - Gording'!$E$20</f>
        <v>HEB 600</v>
      </c>
      <c r="R29" s="67" t="str">
        <f>'D - Gording'!$E$20</f>
        <v>HEB 600</v>
      </c>
      <c r="S29" s="67" t="str">
        <f>'D - Gording'!$E$20</f>
        <v>HEB 600</v>
      </c>
      <c r="T29" s="67" t="str">
        <f>'D - Gording'!$E$20</f>
        <v>HEB 600</v>
      </c>
      <c r="U29" s="67" t="str">
        <f>'D - Gording'!$E$20</f>
        <v>HEB 600</v>
      </c>
      <c r="V29" s="67" t="str">
        <f>'D - Gording'!$E$20</f>
        <v>HEB 600</v>
      </c>
      <c r="W29" s="67" t="str">
        <f>'D - Gording'!$E$20</f>
        <v>HEB 600</v>
      </c>
      <c r="X29" s="67" t="str">
        <f>'D - Gording'!$E$20</f>
        <v>HEB 600</v>
      </c>
      <c r="Y29" s="67" t="str">
        <f>'D - Gording'!$E$20</f>
        <v>HEB 600</v>
      </c>
      <c r="Z29" s="67" t="str">
        <f>'D - Gording'!$E$20</f>
        <v>HEB 600</v>
      </c>
      <c r="AA29" s="67" t="str">
        <f>'D - Gording'!$E$20</f>
        <v>HEB 600</v>
      </c>
      <c r="AB29" s="67" t="str">
        <f>'D - Gording'!$E$20</f>
        <v>HEB 600</v>
      </c>
      <c r="AC29" s="67" t="str">
        <f>'D - Gording'!$E$20</f>
        <v>HEB 600</v>
      </c>
      <c r="AD29" s="67" t="str">
        <f>'D - Gording'!$E$20</f>
        <v>HEB 600</v>
      </c>
      <c r="AE29" s="67" t="str">
        <f>'D - Gording'!$E$20</f>
        <v>HEB 600</v>
      </c>
      <c r="AF29" s="67" t="str">
        <f>'D - Gording'!$E$20</f>
        <v>HEB 600</v>
      </c>
      <c r="AG29" s="67" t="str">
        <f>'D - Gording'!$E$20</f>
        <v>HEB 600</v>
      </c>
      <c r="AH29" s="67" t="str">
        <f>'D - Gording'!$E$20</f>
        <v>HEB 600</v>
      </c>
      <c r="AI29" s="67" t="str">
        <f>'D - Gording'!$E$20</f>
        <v>HEB 600</v>
      </c>
      <c r="AJ29" s="67" t="str">
        <f>'D - Gording'!$E$20</f>
        <v>HEB 600</v>
      </c>
    </row>
    <row r="30" spans="1:36" s="97" customFormat="1" ht="12.75" customHeight="1" x14ac:dyDescent="0.2">
      <c r="A30" s="97" t="s">
        <v>22</v>
      </c>
      <c r="B30" s="103"/>
      <c r="D30" s="67"/>
      <c r="E30" s="67">
        <f>'invoer gording'!$B$10</f>
        <v>1</v>
      </c>
      <c r="F30" s="67">
        <f>'invoer gording'!$B$10</f>
        <v>1</v>
      </c>
      <c r="G30" s="67">
        <f>'invoer gording'!$B$10</f>
        <v>1</v>
      </c>
      <c r="H30" s="67">
        <f>'invoer gording'!$B$10</f>
        <v>1</v>
      </c>
      <c r="I30" s="67">
        <f>'invoer gording'!$B$10</f>
        <v>1</v>
      </c>
      <c r="J30" s="67">
        <f>'invoer gording'!$B$10</f>
        <v>1</v>
      </c>
      <c r="K30" s="67">
        <f>'invoer gording'!$B$10</f>
        <v>1</v>
      </c>
      <c r="L30" s="67">
        <f>'invoer gording'!$B$10</f>
        <v>1</v>
      </c>
      <c r="M30" s="67">
        <f>'invoer gording'!$B$10</f>
        <v>1</v>
      </c>
      <c r="N30" s="67">
        <f>'invoer gording'!$B$10</f>
        <v>1</v>
      </c>
      <c r="O30" s="67">
        <f>'invoer gording'!$B$10</f>
        <v>1</v>
      </c>
      <c r="P30" s="67">
        <f>'invoer gording'!$B$10</f>
        <v>1</v>
      </c>
      <c r="Q30" s="67">
        <f>'invoer gording'!$B$10</f>
        <v>1</v>
      </c>
      <c r="R30" s="67">
        <f>'invoer gording'!$B$10</f>
        <v>1</v>
      </c>
      <c r="S30" s="67">
        <f>'invoer gording'!$B$10</f>
        <v>1</v>
      </c>
      <c r="T30" s="67">
        <f>'invoer gording'!$B$10</f>
        <v>1</v>
      </c>
      <c r="U30" s="67">
        <f>'invoer gording'!$B$10</f>
        <v>1</v>
      </c>
      <c r="V30" s="67">
        <f>'invoer gording'!$B$10</f>
        <v>1</v>
      </c>
      <c r="W30" s="67">
        <f>'invoer gording'!$B$10</f>
        <v>1</v>
      </c>
      <c r="X30" s="67">
        <f>'invoer gording'!$B$10</f>
        <v>1</v>
      </c>
      <c r="Y30" s="67">
        <f>'invoer gording'!$B$10</f>
        <v>1</v>
      </c>
      <c r="Z30" s="67">
        <f>'invoer gording'!$B$10</f>
        <v>1</v>
      </c>
      <c r="AA30" s="67">
        <f>'invoer gording'!$B$10</f>
        <v>1</v>
      </c>
      <c r="AB30" s="67">
        <f>'invoer gording'!$B$10</f>
        <v>1</v>
      </c>
      <c r="AC30" s="67">
        <f>'invoer gording'!$B$10</f>
        <v>1</v>
      </c>
      <c r="AD30" s="67">
        <f>'invoer gording'!$B$10</f>
        <v>1</v>
      </c>
      <c r="AE30" s="67">
        <f>'invoer gording'!$B$10</f>
        <v>1</v>
      </c>
      <c r="AF30" s="67">
        <f>'invoer gording'!$B$10</f>
        <v>1</v>
      </c>
      <c r="AG30" s="67">
        <f>'invoer gording'!$B$10</f>
        <v>1</v>
      </c>
      <c r="AH30" s="67">
        <f>'invoer gording'!$B$10</f>
        <v>1</v>
      </c>
      <c r="AI30" s="67">
        <f>'invoer gording'!$B$10</f>
        <v>1</v>
      </c>
      <c r="AJ30" s="67">
        <f>'invoer gording'!$B$10</f>
        <v>1</v>
      </c>
    </row>
    <row r="31" spans="1:36" ht="12.75" customHeight="1" x14ac:dyDescent="0.2">
      <c r="A31" s="37" t="s">
        <v>104</v>
      </c>
      <c r="B31" s="65"/>
      <c r="C31" s="63" t="s">
        <v>140</v>
      </c>
      <c r="D31" s="9" t="s">
        <v>141</v>
      </c>
      <c r="E31" s="9">
        <f>'D - Gording'!E22</f>
        <v>600</v>
      </c>
      <c r="F31" s="9" t="e">
        <f>VLOOKUP(#REF!,#REF!,3)</f>
        <v>#REF!</v>
      </c>
      <c r="G31" s="9" t="e">
        <f>VLOOKUP(#REF!,#REF!,3)</f>
        <v>#REF!</v>
      </c>
      <c r="H31" s="9" t="e">
        <f>VLOOKUP(#REF!,#REF!,3)</f>
        <v>#REF!</v>
      </c>
      <c r="I31" s="9" t="e">
        <f>VLOOKUP(#REF!,#REF!,3)</f>
        <v>#REF!</v>
      </c>
      <c r="J31" s="9" t="e">
        <f>VLOOKUP(#REF!,#REF!,3)</f>
        <v>#REF!</v>
      </c>
      <c r="K31" s="9" t="e">
        <f>VLOOKUP(#REF!,#REF!,3)</f>
        <v>#REF!</v>
      </c>
      <c r="L31" s="9" t="e">
        <f>VLOOKUP(#REF!,#REF!,3)</f>
        <v>#REF!</v>
      </c>
      <c r="M31" s="9" t="e">
        <f>VLOOKUP(#REF!,#REF!,3)</f>
        <v>#REF!</v>
      </c>
      <c r="N31" s="9" t="e">
        <f>VLOOKUP(#REF!,#REF!,3)</f>
        <v>#REF!</v>
      </c>
      <c r="O31" s="9" t="e">
        <f>VLOOKUP(#REF!,#REF!,3)</f>
        <v>#REF!</v>
      </c>
      <c r="P31" s="9" t="e">
        <f>VLOOKUP(#REF!,#REF!,3)</f>
        <v>#REF!</v>
      </c>
      <c r="Q31" s="9" t="e">
        <f>VLOOKUP(#REF!,#REF!,3)</f>
        <v>#REF!</v>
      </c>
      <c r="R31" s="9" t="e">
        <f>VLOOKUP(#REF!,#REF!,3)</f>
        <v>#REF!</v>
      </c>
      <c r="S31" s="9" t="e">
        <f>VLOOKUP(#REF!,#REF!,3)</f>
        <v>#REF!</v>
      </c>
      <c r="T31" s="9" t="e">
        <f>VLOOKUP(#REF!,#REF!,3)</f>
        <v>#REF!</v>
      </c>
      <c r="U31" s="9" t="e">
        <f>VLOOKUP(#REF!,#REF!,3)</f>
        <v>#REF!</v>
      </c>
      <c r="V31" s="9" t="e">
        <f>VLOOKUP(#REF!,#REF!,3)</f>
        <v>#REF!</v>
      </c>
      <c r="W31" s="9" t="e">
        <f>VLOOKUP(#REF!,#REF!,3)</f>
        <v>#REF!</v>
      </c>
      <c r="X31" s="9" t="e">
        <f>VLOOKUP(#REF!,#REF!,3)</f>
        <v>#REF!</v>
      </c>
      <c r="Y31" s="9" t="e">
        <f>VLOOKUP(#REF!,#REF!,3)</f>
        <v>#REF!</v>
      </c>
      <c r="Z31" s="9" t="e">
        <f>VLOOKUP(#REF!,#REF!,3)</f>
        <v>#REF!</v>
      </c>
      <c r="AA31" s="9" t="e">
        <f>VLOOKUP(#REF!,#REF!,3)</f>
        <v>#REF!</v>
      </c>
      <c r="AB31" s="9" t="e">
        <f>VLOOKUP(#REF!,#REF!,3)</f>
        <v>#REF!</v>
      </c>
      <c r="AC31" s="9" t="e">
        <f>VLOOKUP(#REF!,#REF!,3)</f>
        <v>#REF!</v>
      </c>
      <c r="AD31" s="9" t="e">
        <f>VLOOKUP(#REF!,#REF!,3)</f>
        <v>#REF!</v>
      </c>
      <c r="AE31" s="9" t="e">
        <f>VLOOKUP(#REF!,#REF!,3)</f>
        <v>#REF!</v>
      </c>
      <c r="AF31" s="9" t="e">
        <f>VLOOKUP(#REF!,#REF!,3)</f>
        <v>#REF!</v>
      </c>
      <c r="AG31" s="9" t="e">
        <f>VLOOKUP(#REF!,#REF!,3)</f>
        <v>#REF!</v>
      </c>
      <c r="AH31" s="9" t="e">
        <f>VLOOKUP(#REF!,#REF!,3)</f>
        <v>#REF!</v>
      </c>
      <c r="AI31" s="9" t="e">
        <f>VLOOKUP(#REF!,#REF!,3)</f>
        <v>#REF!</v>
      </c>
      <c r="AJ31" s="9" t="e">
        <f>VLOOKUP(#REF!,#REF!,3)</f>
        <v>#REF!</v>
      </c>
    </row>
    <row r="32" spans="1:36" ht="12.75" customHeight="1" x14ac:dyDescent="0.2">
      <c r="A32" s="37" t="s">
        <v>352</v>
      </c>
      <c r="B32" s="65"/>
      <c r="C32" s="63" t="s">
        <v>91</v>
      </c>
      <c r="D32" s="9" t="s">
        <v>141</v>
      </c>
      <c r="E32" s="9">
        <f>'D - Gording'!E23</f>
        <v>300</v>
      </c>
      <c r="F32" s="9" t="e">
        <f>VLOOKUP(#REF!,#REF!,4)</f>
        <v>#REF!</v>
      </c>
      <c r="G32" s="9" t="e">
        <f>VLOOKUP(#REF!,#REF!,4)</f>
        <v>#REF!</v>
      </c>
      <c r="H32" s="9" t="e">
        <f>VLOOKUP(#REF!,#REF!,4)</f>
        <v>#REF!</v>
      </c>
      <c r="I32" s="9" t="e">
        <f>VLOOKUP(#REF!,#REF!,4)</f>
        <v>#REF!</v>
      </c>
      <c r="J32" s="9" t="e">
        <f>VLOOKUP(#REF!,#REF!,4)</f>
        <v>#REF!</v>
      </c>
      <c r="K32" s="9" t="e">
        <f>VLOOKUP(#REF!,#REF!,4)</f>
        <v>#REF!</v>
      </c>
      <c r="L32" s="9" t="e">
        <f>VLOOKUP(#REF!,#REF!,4)</f>
        <v>#REF!</v>
      </c>
      <c r="M32" s="9" t="e">
        <f>VLOOKUP(#REF!,#REF!,4)</f>
        <v>#REF!</v>
      </c>
      <c r="N32" s="9" t="e">
        <f>VLOOKUP(#REF!,#REF!,4)</f>
        <v>#REF!</v>
      </c>
      <c r="O32" s="9" t="e">
        <f>VLOOKUP(#REF!,#REF!,4)</f>
        <v>#REF!</v>
      </c>
      <c r="P32" s="9" t="e">
        <f>VLOOKUP(#REF!,#REF!,4)</f>
        <v>#REF!</v>
      </c>
      <c r="Q32" s="9" t="e">
        <f>VLOOKUP(#REF!,#REF!,4)</f>
        <v>#REF!</v>
      </c>
      <c r="R32" s="9" t="e">
        <f>VLOOKUP(#REF!,#REF!,4)</f>
        <v>#REF!</v>
      </c>
      <c r="S32" s="9" t="e">
        <f>VLOOKUP(#REF!,#REF!,4)</f>
        <v>#REF!</v>
      </c>
      <c r="T32" s="9" t="e">
        <f>VLOOKUP(#REF!,#REF!,4)</f>
        <v>#REF!</v>
      </c>
      <c r="U32" s="9" t="e">
        <f>VLOOKUP(#REF!,#REF!,4)</f>
        <v>#REF!</v>
      </c>
      <c r="V32" s="9" t="e">
        <f>VLOOKUP(#REF!,#REF!,4)</f>
        <v>#REF!</v>
      </c>
      <c r="W32" s="9" t="e">
        <f>VLOOKUP(#REF!,#REF!,4)</f>
        <v>#REF!</v>
      </c>
      <c r="X32" s="9" t="e">
        <f>VLOOKUP(#REF!,#REF!,4)</f>
        <v>#REF!</v>
      </c>
      <c r="Y32" s="9" t="e">
        <f>VLOOKUP(#REF!,#REF!,4)</f>
        <v>#REF!</v>
      </c>
      <c r="Z32" s="9" t="e">
        <f>VLOOKUP(#REF!,#REF!,4)</f>
        <v>#REF!</v>
      </c>
      <c r="AA32" s="9" t="e">
        <f>VLOOKUP(#REF!,#REF!,4)</f>
        <v>#REF!</v>
      </c>
      <c r="AB32" s="9" t="e">
        <f>VLOOKUP(#REF!,#REF!,4)</f>
        <v>#REF!</v>
      </c>
      <c r="AC32" s="9" t="e">
        <f>VLOOKUP(#REF!,#REF!,4)</f>
        <v>#REF!</v>
      </c>
      <c r="AD32" s="9" t="e">
        <f>VLOOKUP(#REF!,#REF!,4)</f>
        <v>#REF!</v>
      </c>
      <c r="AE32" s="9" t="e">
        <f>VLOOKUP(#REF!,#REF!,4)</f>
        <v>#REF!</v>
      </c>
      <c r="AF32" s="9" t="e">
        <f>VLOOKUP(#REF!,#REF!,4)</f>
        <v>#REF!</v>
      </c>
      <c r="AG32" s="9" t="e">
        <f>VLOOKUP(#REF!,#REF!,4)</f>
        <v>#REF!</v>
      </c>
      <c r="AH32" s="9" t="e">
        <f>VLOOKUP(#REF!,#REF!,4)</f>
        <v>#REF!</v>
      </c>
      <c r="AI32" s="9" t="e">
        <f>VLOOKUP(#REF!,#REF!,4)</f>
        <v>#REF!</v>
      </c>
      <c r="AJ32" s="9" t="e">
        <f>VLOOKUP(#REF!,#REF!,4)</f>
        <v>#REF!</v>
      </c>
    </row>
    <row r="33" spans="1:36" ht="12.75" customHeight="1" x14ac:dyDescent="0.2">
      <c r="A33" s="37" t="s">
        <v>353</v>
      </c>
      <c r="B33" s="65"/>
      <c r="C33" s="63" t="s">
        <v>11</v>
      </c>
      <c r="D33" s="9" t="s">
        <v>147</v>
      </c>
      <c r="E33" s="9">
        <f>'D - Gording'!E28</f>
        <v>27000</v>
      </c>
      <c r="F33" s="9" t="e">
        <f>VLOOKUP(#REF!,#REF!,11)</f>
        <v>#REF!</v>
      </c>
      <c r="G33" s="9" t="e">
        <f>VLOOKUP(#REF!,#REF!,11)</f>
        <v>#REF!</v>
      </c>
      <c r="H33" s="9" t="e">
        <f>VLOOKUP(#REF!,#REF!,11)</f>
        <v>#REF!</v>
      </c>
      <c r="I33" s="9" t="e">
        <f>VLOOKUP(#REF!,#REF!,11)</f>
        <v>#REF!</v>
      </c>
      <c r="J33" s="9" t="e">
        <f>VLOOKUP(#REF!,#REF!,11)</f>
        <v>#REF!</v>
      </c>
      <c r="K33" s="9" t="e">
        <f>VLOOKUP(#REF!,#REF!,11)</f>
        <v>#REF!</v>
      </c>
      <c r="L33" s="9" t="e">
        <f>VLOOKUP(#REF!,#REF!,11)</f>
        <v>#REF!</v>
      </c>
      <c r="M33" s="9" t="e">
        <f>VLOOKUP(#REF!,#REF!,11)</f>
        <v>#REF!</v>
      </c>
      <c r="N33" s="9" t="e">
        <f>VLOOKUP(#REF!,#REF!,11)</f>
        <v>#REF!</v>
      </c>
      <c r="O33" s="9" t="e">
        <f>VLOOKUP(#REF!,#REF!,11)</f>
        <v>#REF!</v>
      </c>
      <c r="P33" s="9" t="e">
        <f>VLOOKUP(#REF!,#REF!,11)</f>
        <v>#REF!</v>
      </c>
      <c r="Q33" s="9" t="e">
        <f>VLOOKUP(#REF!,#REF!,11)</f>
        <v>#REF!</v>
      </c>
      <c r="R33" s="9" t="e">
        <f>VLOOKUP(#REF!,#REF!,11)</f>
        <v>#REF!</v>
      </c>
      <c r="S33" s="9" t="e">
        <f>VLOOKUP(#REF!,#REF!,11)</f>
        <v>#REF!</v>
      </c>
      <c r="T33" s="9" t="e">
        <f>VLOOKUP(#REF!,#REF!,11)</f>
        <v>#REF!</v>
      </c>
      <c r="U33" s="9" t="e">
        <f>VLOOKUP(#REF!,#REF!,11)</f>
        <v>#REF!</v>
      </c>
      <c r="V33" s="9" t="e">
        <f>VLOOKUP(#REF!,#REF!,11)</f>
        <v>#REF!</v>
      </c>
      <c r="W33" s="9" t="e">
        <f>VLOOKUP(#REF!,#REF!,11)</f>
        <v>#REF!</v>
      </c>
      <c r="X33" s="9" t="e">
        <f>VLOOKUP(#REF!,#REF!,11)</f>
        <v>#REF!</v>
      </c>
      <c r="Y33" s="9" t="e">
        <f>VLOOKUP(#REF!,#REF!,11)</f>
        <v>#REF!</v>
      </c>
      <c r="Z33" s="9" t="e">
        <f>VLOOKUP(#REF!,#REF!,11)</f>
        <v>#REF!</v>
      </c>
      <c r="AA33" s="9" t="e">
        <f>VLOOKUP(#REF!,#REF!,11)</f>
        <v>#REF!</v>
      </c>
      <c r="AB33" s="9" t="e">
        <f>VLOOKUP(#REF!,#REF!,11)</f>
        <v>#REF!</v>
      </c>
      <c r="AC33" s="9" t="e">
        <f>VLOOKUP(#REF!,#REF!,11)</f>
        <v>#REF!</v>
      </c>
      <c r="AD33" s="9" t="e">
        <f>VLOOKUP(#REF!,#REF!,11)</f>
        <v>#REF!</v>
      </c>
      <c r="AE33" s="9" t="e">
        <f>VLOOKUP(#REF!,#REF!,11)</f>
        <v>#REF!</v>
      </c>
      <c r="AF33" s="9" t="e">
        <f>VLOOKUP(#REF!,#REF!,11)</f>
        <v>#REF!</v>
      </c>
      <c r="AG33" s="9" t="e">
        <f>VLOOKUP(#REF!,#REF!,11)</f>
        <v>#REF!</v>
      </c>
      <c r="AH33" s="9" t="e">
        <f>VLOOKUP(#REF!,#REF!,11)</f>
        <v>#REF!</v>
      </c>
      <c r="AI33" s="9" t="e">
        <f>VLOOKUP(#REF!,#REF!,11)</f>
        <v>#REF!</v>
      </c>
      <c r="AJ33" s="9" t="e">
        <f>VLOOKUP(#REF!,#REF!,11)</f>
        <v>#REF!</v>
      </c>
    </row>
    <row r="34" spans="1:36" ht="12.75" customHeight="1" x14ac:dyDescent="0.2">
      <c r="C34" s="3" t="s">
        <v>152</v>
      </c>
      <c r="D34" s="9" t="s">
        <v>141</v>
      </c>
      <c r="E34" s="9">
        <f>'D - Gording'!E32</f>
        <v>540</v>
      </c>
      <c r="F34" s="9" t="e">
        <f t="shared" ref="F34:AJ34" si="12">F31-F36-F36</f>
        <v>#REF!</v>
      </c>
      <c r="G34" s="9" t="e">
        <f t="shared" si="12"/>
        <v>#REF!</v>
      </c>
      <c r="H34" s="9" t="e">
        <f t="shared" si="12"/>
        <v>#REF!</v>
      </c>
      <c r="I34" s="9" t="e">
        <f t="shared" si="12"/>
        <v>#REF!</v>
      </c>
      <c r="J34" s="9" t="e">
        <f t="shared" si="12"/>
        <v>#REF!</v>
      </c>
      <c r="K34" s="9" t="e">
        <f t="shared" si="12"/>
        <v>#REF!</v>
      </c>
      <c r="L34" s="9" t="e">
        <f t="shared" si="12"/>
        <v>#REF!</v>
      </c>
      <c r="M34" s="9" t="e">
        <f t="shared" si="12"/>
        <v>#REF!</v>
      </c>
      <c r="N34" s="9" t="e">
        <f t="shared" si="12"/>
        <v>#REF!</v>
      </c>
      <c r="O34" s="9" t="e">
        <f t="shared" si="12"/>
        <v>#REF!</v>
      </c>
      <c r="P34" s="9" t="e">
        <f t="shared" si="12"/>
        <v>#REF!</v>
      </c>
      <c r="Q34" s="9" t="e">
        <f t="shared" si="12"/>
        <v>#REF!</v>
      </c>
      <c r="R34" s="9" t="e">
        <f t="shared" si="12"/>
        <v>#REF!</v>
      </c>
      <c r="S34" s="9" t="e">
        <f t="shared" si="12"/>
        <v>#REF!</v>
      </c>
      <c r="T34" s="9" t="e">
        <f t="shared" si="12"/>
        <v>#REF!</v>
      </c>
      <c r="U34" s="9" t="e">
        <f t="shared" si="12"/>
        <v>#REF!</v>
      </c>
      <c r="V34" s="9" t="e">
        <f t="shared" si="12"/>
        <v>#REF!</v>
      </c>
      <c r="W34" s="9" t="e">
        <f t="shared" si="12"/>
        <v>#REF!</v>
      </c>
      <c r="X34" s="9" t="e">
        <f t="shared" si="12"/>
        <v>#REF!</v>
      </c>
      <c r="Y34" s="9" t="e">
        <f t="shared" si="12"/>
        <v>#REF!</v>
      </c>
      <c r="Z34" s="9" t="e">
        <f t="shared" si="12"/>
        <v>#REF!</v>
      </c>
      <c r="AA34" s="9" t="e">
        <f t="shared" si="12"/>
        <v>#REF!</v>
      </c>
      <c r="AB34" s="9" t="e">
        <f t="shared" si="12"/>
        <v>#REF!</v>
      </c>
      <c r="AC34" s="9" t="e">
        <f t="shared" si="12"/>
        <v>#REF!</v>
      </c>
      <c r="AD34" s="9" t="e">
        <f t="shared" si="12"/>
        <v>#REF!</v>
      </c>
      <c r="AE34" s="9" t="e">
        <f t="shared" si="12"/>
        <v>#REF!</v>
      </c>
      <c r="AF34" s="9" t="e">
        <f t="shared" si="12"/>
        <v>#REF!</v>
      </c>
      <c r="AG34" s="9" t="e">
        <f t="shared" si="12"/>
        <v>#REF!</v>
      </c>
      <c r="AH34" s="9" t="e">
        <f t="shared" si="12"/>
        <v>#REF!</v>
      </c>
      <c r="AI34" s="9" t="e">
        <f t="shared" si="12"/>
        <v>#REF!</v>
      </c>
      <c r="AJ34" s="9" t="e">
        <f t="shared" si="12"/>
        <v>#REF!</v>
      </c>
    </row>
    <row r="35" spans="1:36" ht="12.75" customHeight="1" x14ac:dyDescent="0.2">
      <c r="C35" s="3" t="s">
        <v>142</v>
      </c>
      <c r="D35" s="9" t="s">
        <v>141</v>
      </c>
      <c r="E35" s="9">
        <f>'D - Gording'!E24</f>
        <v>15.5</v>
      </c>
      <c r="F35" s="9" t="e">
        <f>VLOOKUP(#REF!,#REF!,5)</f>
        <v>#REF!</v>
      </c>
      <c r="G35" s="9" t="e">
        <f>VLOOKUP(#REF!,#REF!,5)</f>
        <v>#REF!</v>
      </c>
      <c r="H35" s="9" t="e">
        <f>VLOOKUP(#REF!,#REF!,5)</f>
        <v>#REF!</v>
      </c>
      <c r="I35" s="9" t="e">
        <f>VLOOKUP(#REF!,#REF!,5)</f>
        <v>#REF!</v>
      </c>
      <c r="J35" s="9" t="e">
        <f>VLOOKUP(#REF!,#REF!,5)</f>
        <v>#REF!</v>
      </c>
      <c r="K35" s="9" t="e">
        <f>VLOOKUP(#REF!,#REF!,5)</f>
        <v>#REF!</v>
      </c>
      <c r="L35" s="9" t="e">
        <f>VLOOKUP(#REF!,#REF!,5)</f>
        <v>#REF!</v>
      </c>
      <c r="M35" s="9" t="e">
        <f>VLOOKUP(#REF!,#REF!,5)</f>
        <v>#REF!</v>
      </c>
      <c r="N35" s="9" t="e">
        <f>VLOOKUP(#REF!,#REF!,5)</f>
        <v>#REF!</v>
      </c>
      <c r="O35" s="9" t="e">
        <f>VLOOKUP(#REF!,#REF!,5)</f>
        <v>#REF!</v>
      </c>
      <c r="P35" s="9" t="e">
        <f>VLOOKUP(#REF!,#REF!,5)</f>
        <v>#REF!</v>
      </c>
      <c r="Q35" s="9" t="e">
        <f>VLOOKUP(#REF!,#REF!,5)</f>
        <v>#REF!</v>
      </c>
      <c r="R35" s="9" t="e">
        <f>VLOOKUP(#REF!,#REF!,5)</f>
        <v>#REF!</v>
      </c>
      <c r="S35" s="9" t="e">
        <f>VLOOKUP(#REF!,#REF!,5)</f>
        <v>#REF!</v>
      </c>
      <c r="T35" s="9" t="e">
        <f>VLOOKUP(#REF!,#REF!,5)</f>
        <v>#REF!</v>
      </c>
      <c r="U35" s="9" t="e">
        <f>VLOOKUP(#REF!,#REF!,5)</f>
        <v>#REF!</v>
      </c>
      <c r="V35" s="9" t="e">
        <f>VLOOKUP(#REF!,#REF!,5)</f>
        <v>#REF!</v>
      </c>
      <c r="W35" s="9" t="e">
        <f>VLOOKUP(#REF!,#REF!,5)</f>
        <v>#REF!</v>
      </c>
      <c r="X35" s="9" t="e">
        <f>VLOOKUP(#REF!,#REF!,5)</f>
        <v>#REF!</v>
      </c>
      <c r="Y35" s="9" t="e">
        <f>VLOOKUP(#REF!,#REF!,5)</f>
        <v>#REF!</v>
      </c>
      <c r="Z35" s="9" t="e">
        <f>VLOOKUP(#REF!,#REF!,5)</f>
        <v>#REF!</v>
      </c>
      <c r="AA35" s="9" t="e">
        <f>VLOOKUP(#REF!,#REF!,5)</f>
        <v>#REF!</v>
      </c>
      <c r="AB35" s="9" t="e">
        <f>VLOOKUP(#REF!,#REF!,5)</f>
        <v>#REF!</v>
      </c>
      <c r="AC35" s="9" t="e">
        <f>VLOOKUP(#REF!,#REF!,5)</f>
        <v>#REF!</v>
      </c>
      <c r="AD35" s="9" t="e">
        <f>VLOOKUP(#REF!,#REF!,5)</f>
        <v>#REF!</v>
      </c>
      <c r="AE35" s="9" t="e">
        <f>VLOOKUP(#REF!,#REF!,5)</f>
        <v>#REF!</v>
      </c>
      <c r="AF35" s="9" t="e">
        <f>VLOOKUP(#REF!,#REF!,5)</f>
        <v>#REF!</v>
      </c>
      <c r="AG35" s="9" t="e">
        <f>VLOOKUP(#REF!,#REF!,5)</f>
        <v>#REF!</v>
      </c>
      <c r="AH35" s="9" t="e">
        <f>VLOOKUP(#REF!,#REF!,5)</f>
        <v>#REF!</v>
      </c>
      <c r="AI35" s="9" t="e">
        <f>VLOOKUP(#REF!,#REF!,5)</f>
        <v>#REF!</v>
      </c>
      <c r="AJ35" s="9" t="e">
        <f>VLOOKUP(#REF!,#REF!,5)</f>
        <v>#REF!</v>
      </c>
    </row>
    <row r="36" spans="1:36" ht="12.75" customHeight="1" x14ac:dyDescent="0.2">
      <c r="C36" s="3" t="s">
        <v>143</v>
      </c>
      <c r="D36" s="9" t="s">
        <v>141</v>
      </c>
      <c r="E36" s="9">
        <f>'D - Gording'!E25</f>
        <v>30</v>
      </c>
      <c r="F36" s="9" t="e">
        <f>VLOOKUP(#REF!,#REF!,6)</f>
        <v>#REF!</v>
      </c>
      <c r="G36" s="9" t="e">
        <f>VLOOKUP(#REF!,#REF!,6)</f>
        <v>#REF!</v>
      </c>
      <c r="H36" s="9" t="e">
        <f>VLOOKUP(#REF!,#REF!,6)</f>
        <v>#REF!</v>
      </c>
      <c r="I36" s="9" t="e">
        <f>VLOOKUP(#REF!,#REF!,6)</f>
        <v>#REF!</v>
      </c>
      <c r="J36" s="9" t="e">
        <f>VLOOKUP(#REF!,#REF!,6)</f>
        <v>#REF!</v>
      </c>
      <c r="K36" s="9" t="e">
        <f>VLOOKUP(#REF!,#REF!,6)</f>
        <v>#REF!</v>
      </c>
      <c r="L36" s="9" t="e">
        <f>VLOOKUP(#REF!,#REF!,6)</f>
        <v>#REF!</v>
      </c>
      <c r="M36" s="9" t="e">
        <f>VLOOKUP(#REF!,#REF!,6)</f>
        <v>#REF!</v>
      </c>
      <c r="N36" s="9" t="e">
        <f>VLOOKUP(#REF!,#REF!,6)</f>
        <v>#REF!</v>
      </c>
      <c r="O36" s="9" t="e">
        <f>VLOOKUP(#REF!,#REF!,6)</f>
        <v>#REF!</v>
      </c>
      <c r="P36" s="9" t="e">
        <f>VLOOKUP(#REF!,#REF!,6)</f>
        <v>#REF!</v>
      </c>
      <c r="Q36" s="9" t="e">
        <f>VLOOKUP(#REF!,#REF!,6)</f>
        <v>#REF!</v>
      </c>
      <c r="R36" s="9" t="e">
        <f>VLOOKUP(#REF!,#REF!,6)</f>
        <v>#REF!</v>
      </c>
      <c r="S36" s="9" t="e">
        <f>VLOOKUP(#REF!,#REF!,6)</f>
        <v>#REF!</v>
      </c>
      <c r="T36" s="9" t="e">
        <f>VLOOKUP(#REF!,#REF!,6)</f>
        <v>#REF!</v>
      </c>
      <c r="U36" s="9" t="e">
        <f>VLOOKUP(#REF!,#REF!,6)</f>
        <v>#REF!</v>
      </c>
      <c r="V36" s="9" t="e">
        <f>VLOOKUP(#REF!,#REF!,6)</f>
        <v>#REF!</v>
      </c>
      <c r="W36" s="9" t="e">
        <f>VLOOKUP(#REF!,#REF!,6)</f>
        <v>#REF!</v>
      </c>
      <c r="X36" s="9" t="e">
        <f>VLOOKUP(#REF!,#REF!,6)</f>
        <v>#REF!</v>
      </c>
      <c r="Y36" s="9" t="e">
        <f>VLOOKUP(#REF!,#REF!,6)</f>
        <v>#REF!</v>
      </c>
      <c r="Z36" s="9" t="e">
        <f>VLOOKUP(#REF!,#REF!,6)</f>
        <v>#REF!</v>
      </c>
      <c r="AA36" s="9" t="e">
        <f>VLOOKUP(#REF!,#REF!,6)</f>
        <v>#REF!</v>
      </c>
      <c r="AB36" s="9" t="e">
        <f>VLOOKUP(#REF!,#REF!,6)</f>
        <v>#REF!</v>
      </c>
      <c r="AC36" s="9" t="e">
        <f>VLOOKUP(#REF!,#REF!,6)</f>
        <v>#REF!</v>
      </c>
      <c r="AD36" s="9" t="e">
        <f>VLOOKUP(#REF!,#REF!,6)</f>
        <v>#REF!</v>
      </c>
      <c r="AE36" s="9" t="e">
        <f>VLOOKUP(#REF!,#REF!,6)</f>
        <v>#REF!</v>
      </c>
      <c r="AF36" s="9" t="e">
        <f>VLOOKUP(#REF!,#REF!,6)</f>
        <v>#REF!</v>
      </c>
      <c r="AG36" s="9" t="e">
        <f>VLOOKUP(#REF!,#REF!,6)</f>
        <v>#REF!</v>
      </c>
      <c r="AH36" s="9" t="e">
        <f>VLOOKUP(#REF!,#REF!,6)</f>
        <v>#REF!</v>
      </c>
      <c r="AI36" s="9" t="e">
        <f>VLOOKUP(#REF!,#REF!,6)</f>
        <v>#REF!</v>
      </c>
      <c r="AJ36" s="9" t="e">
        <f>VLOOKUP(#REF!,#REF!,6)</f>
        <v>#REF!</v>
      </c>
    </row>
    <row r="37" spans="1:36" ht="12.75" customHeight="1" x14ac:dyDescent="0.2">
      <c r="C37" s="3" t="s">
        <v>148</v>
      </c>
      <c r="D37" s="9" t="s">
        <v>141</v>
      </c>
      <c r="E37" s="9">
        <f>'D - Gording'!E29</f>
        <v>27</v>
      </c>
      <c r="F37" s="9" t="e">
        <f>VLOOKUP(#REF!,#REF!,12)</f>
        <v>#REF!</v>
      </c>
      <c r="G37" s="9" t="e">
        <f>VLOOKUP(#REF!,#REF!,12)</f>
        <v>#REF!</v>
      </c>
      <c r="H37" s="9" t="e">
        <f>VLOOKUP(#REF!,#REF!,12)</f>
        <v>#REF!</v>
      </c>
      <c r="I37" s="9" t="e">
        <f>VLOOKUP(#REF!,#REF!,12)</f>
        <v>#REF!</v>
      </c>
      <c r="J37" s="9" t="e">
        <f>VLOOKUP(#REF!,#REF!,12)</f>
        <v>#REF!</v>
      </c>
      <c r="K37" s="9" t="e">
        <f>VLOOKUP(#REF!,#REF!,12)</f>
        <v>#REF!</v>
      </c>
      <c r="L37" s="9" t="e">
        <f>VLOOKUP(#REF!,#REF!,12)</f>
        <v>#REF!</v>
      </c>
      <c r="M37" s="9" t="e">
        <f>VLOOKUP(#REF!,#REF!,12)</f>
        <v>#REF!</v>
      </c>
      <c r="N37" s="9" t="e">
        <f>VLOOKUP(#REF!,#REF!,12)</f>
        <v>#REF!</v>
      </c>
      <c r="O37" s="9" t="e">
        <f>VLOOKUP(#REF!,#REF!,12)</f>
        <v>#REF!</v>
      </c>
      <c r="P37" s="9" t="e">
        <f>VLOOKUP(#REF!,#REF!,12)</f>
        <v>#REF!</v>
      </c>
      <c r="Q37" s="9" t="e">
        <f>VLOOKUP(#REF!,#REF!,12)</f>
        <v>#REF!</v>
      </c>
      <c r="R37" s="9" t="e">
        <f>VLOOKUP(#REF!,#REF!,12)</f>
        <v>#REF!</v>
      </c>
      <c r="S37" s="9" t="e">
        <f>VLOOKUP(#REF!,#REF!,12)</f>
        <v>#REF!</v>
      </c>
      <c r="T37" s="9" t="e">
        <f>VLOOKUP(#REF!,#REF!,12)</f>
        <v>#REF!</v>
      </c>
      <c r="U37" s="9" t="e">
        <f>VLOOKUP(#REF!,#REF!,12)</f>
        <v>#REF!</v>
      </c>
      <c r="V37" s="9" t="e">
        <f>VLOOKUP(#REF!,#REF!,12)</f>
        <v>#REF!</v>
      </c>
      <c r="W37" s="9" t="e">
        <f>VLOOKUP(#REF!,#REF!,12)</f>
        <v>#REF!</v>
      </c>
      <c r="X37" s="9" t="e">
        <f>VLOOKUP(#REF!,#REF!,12)</f>
        <v>#REF!</v>
      </c>
      <c r="Y37" s="9" t="e">
        <f>VLOOKUP(#REF!,#REF!,12)</f>
        <v>#REF!</v>
      </c>
      <c r="Z37" s="9" t="e">
        <f>VLOOKUP(#REF!,#REF!,12)</f>
        <v>#REF!</v>
      </c>
      <c r="AA37" s="9" t="e">
        <f>VLOOKUP(#REF!,#REF!,12)</f>
        <v>#REF!</v>
      </c>
      <c r="AB37" s="9" t="e">
        <f>VLOOKUP(#REF!,#REF!,12)</f>
        <v>#REF!</v>
      </c>
      <c r="AC37" s="9" t="e">
        <f>VLOOKUP(#REF!,#REF!,12)</f>
        <v>#REF!</v>
      </c>
      <c r="AD37" s="9" t="e">
        <f>VLOOKUP(#REF!,#REF!,12)</f>
        <v>#REF!</v>
      </c>
      <c r="AE37" s="9" t="e">
        <f>VLOOKUP(#REF!,#REF!,12)</f>
        <v>#REF!</v>
      </c>
      <c r="AF37" s="9" t="e">
        <f>VLOOKUP(#REF!,#REF!,12)</f>
        <v>#REF!</v>
      </c>
      <c r="AG37" s="9" t="e">
        <f>VLOOKUP(#REF!,#REF!,12)</f>
        <v>#REF!</v>
      </c>
      <c r="AH37" s="9" t="e">
        <f>VLOOKUP(#REF!,#REF!,12)</f>
        <v>#REF!</v>
      </c>
      <c r="AI37" s="9" t="e">
        <f>VLOOKUP(#REF!,#REF!,12)</f>
        <v>#REF!</v>
      </c>
      <c r="AJ37" s="9" t="e">
        <f>VLOOKUP(#REF!,#REF!,12)</f>
        <v>#REF!</v>
      </c>
    </row>
    <row r="38" spans="1:36" ht="12.75" customHeight="1" x14ac:dyDescent="0.2">
      <c r="B38" s="65"/>
      <c r="C38" s="3" t="s">
        <v>354</v>
      </c>
      <c r="D38" s="9" t="s">
        <v>303</v>
      </c>
      <c r="E38" s="48">
        <f>'D - Gording'!E26</f>
        <v>5700000</v>
      </c>
      <c r="F38" s="48" t="e">
        <f>VLOOKUP(#REF!,#REF!,7)</f>
        <v>#REF!</v>
      </c>
      <c r="G38" s="48" t="e">
        <f>VLOOKUP(#REF!,#REF!,7)</f>
        <v>#REF!</v>
      </c>
      <c r="H38" s="48" t="e">
        <f>VLOOKUP(#REF!,#REF!,7)</f>
        <v>#REF!</v>
      </c>
      <c r="I38" s="48" t="e">
        <f>VLOOKUP(#REF!,#REF!,7)</f>
        <v>#REF!</v>
      </c>
      <c r="J38" s="48" t="e">
        <f>VLOOKUP(#REF!,#REF!,7)</f>
        <v>#REF!</v>
      </c>
      <c r="K38" s="48" t="e">
        <f>VLOOKUP(#REF!,#REF!,7)</f>
        <v>#REF!</v>
      </c>
      <c r="L38" s="48" t="e">
        <f>VLOOKUP(#REF!,#REF!,7)</f>
        <v>#REF!</v>
      </c>
      <c r="M38" s="48" t="e">
        <f>VLOOKUP(#REF!,#REF!,7)</f>
        <v>#REF!</v>
      </c>
      <c r="N38" s="48" t="e">
        <f>VLOOKUP(#REF!,#REF!,7)</f>
        <v>#REF!</v>
      </c>
      <c r="O38" s="48" t="e">
        <f>VLOOKUP(#REF!,#REF!,7)</f>
        <v>#REF!</v>
      </c>
      <c r="P38" s="48" t="e">
        <f>VLOOKUP(#REF!,#REF!,7)</f>
        <v>#REF!</v>
      </c>
      <c r="Q38" s="48" t="e">
        <f>VLOOKUP(#REF!,#REF!,7)</f>
        <v>#REF!</v>
      </c>
      <c r="R38" s="48" t="e">
        <f>VLOOKUP(#REF!,#REF!,7)</f>
        <v>#REF!</v>
      </c>
      <c r="S38" s="48" t="e">
        <f>VLOOKUP(#REF!,#REF!,7)</f>
        <v>#REF!</v>
      </c>
      <c r="T38" s="48" t="e">
        <f>VLOOKUP(#REF!,#REF!,7)</f>
        <v>#REF!</v>
      </c>
      <c r="U38" s="48" t="e">
        <f>VLOOKUP(#REF!,#REF!,7)</f>
        <v>#REF!</v>
      </c>
      <c r="V38" s="48" t="e">
        <f>VLOOKUP(#REF!,#REF!,7)</f>
        <v>#REF!</v>
      </c>
      <c r="W38" s="48" t="e">
        <f>VLOOKUP(#REF!,#REF!,7)</f>
        <v>#REF!</v>
      </c>
      <c r="X38" s="48" t="e">
        <f>VLOOKUP(#REF!,#REF!,7)</f>
        <v>#REF!</v>
      </c>
      <c r="Y38" s="48" t="e">
        <f>VLOOKUP(#REF!,#REF!,7)</f>
        <v>#REF!</v>
      </c>
      <c r="Z38" s="48" t="e">
        <f>VLOOKUP(#REF!,#REF!,7)</f>
        <v>#REF!</v>
      </c>
      <c r="AA38" s="48" t="e">
        <f>VLOOKUP(#REF!,#REF!,7)</f>
        <v>#REF!</v>
      </c>
      <c r="AB38" s="48" t="e">
        <f>VLOOKUP(#REF!,#REF!,7)</f>
        <v>#REF!</v>
      </c>
      <c r="AC38" s="48" t="e">
        <f>VLOOKUP(#REF!,#REF!,7)</f>
        <v>#REF!</v>
      </c>
      <c r="AD38" s="48" t="e">
        <f>VLOOKUP(#REF!,#REF!,7)</f>
        <v>#REF!</v>
      </c>
      <c r="AE38" s="48" t="e">
        <f>VLOOKUP(#REF!,#REF!,7)</f>
        <v>#REF!</v>
      </c>
      <c r="AF38" s="48" t="e">
        <f>VLOOKUP(#REF!,#REF!,7)</f>
        <v>#REF!</v>
      </c>
      <c r="AG38" s="48" t="e">
        <f>VLOOKUP(#REF!,#REF!,7)</f>
        <v>#REF!</v>
      </c>
      <c r="AH38" s="48" t="e">
        <f>VLOOKUP(#REF!,#REF!,7)</f>
        <v>#REF!</v>
      </c>
      <c r="AI38" s="48" t="e">
        <f>VLOOKUP(#REF!,#REF!,7)</f>
        <v>#REF!</v>
      </c>
      <c r="AJ38" s="48" t="e">
        <f>VLOOKUP(#REF!,#REF!,7)</f>
        <v>#REF!</v>
      </c>
    </row>
    <row r="39" spans="1:36" ht="12.75" customHeight="1" x14ac:dyDescent="0.2">
      <c r="B39" s="65"/>
      <c r="C39" s="3" t="s">
        <v>355</v>
      </c>
      <c r="D39" s="9" t="s">
        <v>303</v>
      </c>
      <c r="E39" s="48">
        <f>'D - Gording'!E27</f>
        <v>6426000</v>
      </c>
      <c r="F39" s="48" t="e">
        <f>VLOOKUP(#REF!,#REF!,8)</f>
        <v>#REF!</v>
      </c>
      <c r="G39" s="48" t="e">
        <f>VLOOKUP(#REF!,#REF!,8)</f>
        <v>#REF!</v>
      </c>
      <c r="H39" s="48" t="e">
        <f>VLOOKUP(#REF!,#REF!,8)</f>
        <v>#REF!</v>
      </c>
      <c r="I39" s="48" t="e">
        <f>VLOOKUP(#REF!,#REF!,8)</f>
        <v>#REF!</v>
      </c>
      <c r="J39" s="48" t="e">
        <f>VLOOKUP(#REF!,#REF!,8)</f>
        <v>#REF!</v>
      </c>
      <c r="K39" s="48" t="e">
        <f>VLOOKUP(#REF!,#REF!,8)</f>
        <v>#REF!</v>
      </c>
      <c r="L39" s="48" t="e">
        <f>VLOOKUP(#REF!,#REF!,8)</f>
        <v>#REF!</v>
      </c>
      <c r="M39" s="48" t="e">
        <f>VLOOKUP(#REF!,#REF!,8)</f>
        <v>#REF!</v>
      </c>
      <c r="N39" s="48" t="e">
        <f>VLOOKUP(#REF!,#REF!,8)</f>
        <v>#REF!</v>
      </c>
      <c r="O39" s="48" t="e">
        <f>VLOOKUP(#REF!,#REF!,8)</f>
        <v>#REF!</v>
      </c>
      <c r="P39" s="48" t="e">
        <f>VLOOKUP(#REF!,#REF!,8)</f>
        <v>#REF!</v>
      </c>
      <c r="Q39" s="48" t="e">
        <f>VLOOKUP(#REF!,#REF!,8)</f>
        <v>#REF!</v>
      </c>
      <c r="R39" s="48" t="e">
        <f>VLOOKUP(#REF!,#REF!,8)</f>
        <v>#REF!</v>
      </c>
      <c r="S39" s="48" t="e">
        <f>VLOOKUP(#REF!,#REF!,8)</f>
        <v>#REF!</v>
      </c>
      <c r="T39" s="48" t="e">
        <f>VLOOKUP(#REF!,#REF!,8)</f>
        <v>#REF!</v>
      </c>
      <c r="U39" s="48" t="e">
        <f>VLOOKUP(#REF!,#REF!,8)</f>
        <v>#REF!</v>
      </c>
      <c r="V39" s="48" t="e">
        <f>VLOOKUP(#REF!,#REF!,8)</f>
        <v>#REF!</v>
      </c>
      <c r="W39" s="48" t="e">
        <f>VLOOKUP(#REF!,#REF!,8)</f>
        <v>#REF!</v>
      </c>
      <c r="X39" s="48" t="e">
        <f>VLOOKUP(#REF!,#REF!,8)</f>
        <v>#REF!</v>
      </c>
      <c r="Y39" s="48" t="e">
        <f>VLOOKUP(#REF!,#REF!,8)</f>
        <v>#REF!</v>
      </c>
      <c r="Z39" s="48" t="e">
        <f>VLOOKUP(#REF!,#REF!,8)</f>
        <v>#REF!</v>
      </c>
      <c r="AA39" s="48" t="e">
        <f>VLOOKUP(#REF!,#REF!,8)</f>
        <v>#REF!</v>
      </c>
      <c r="AB39" s="48" t="e">
        <f>VLOOKUP(#REF!,#REF!,8)</f>
        <v>#REF!</v>
      </c>
      <c r="AC39" s="48" t="e">
        <f>VLOOKUP(#REF!,#REF!,8)</f>
        <v>#REF!</v>
      </c>
      <c r="AD39" s="48" t="e">
        <f>VLOOKUP(#REF!,#REF!,8)</f>
        <v>#REF!</v>
      </c>
      <c r="AE39" s="48" t="e">
        <f>VLOOKUP(#REF!,#REF!,8)</f>
        <v>#REF!</v>
      </c>
      <c r="AF39" s="48" t="e">
        <f>VLOOKUP(#REF!,#REF!,8)</f>
        <v>#REF!</v>
      </c>
      <c r="AG39" s="48" t="e">
        <f>VLOOKUP(#REF!,#REF!,8)</f>
        <v>#REF!</v>
      </c>
      <c r="AH39" s="48" t="e">
        <f>VLOOKUP(#REF!,#REF!,8)</f>
        <v>#REF!</v>
      </c>
      <c r="AI39" s="48" t="e">
        <f>VLOOKUP(#REF!,#REF!,8)</f>
        <v>#REF!</v>
      </c>
      <c r="AJ39" s="48" t="e">
        <f>VLOOKUP(#REF!,#REF!,8)</f>
        <v>#REF!</v>
      </c>
    </row>
    <row r="40" spans="1:36" ht="12.75" customHeight="1" x14ac:dyDescent="0.2">
      <c r="A40" s="37" t="s">
        <v>124</v>
      </c>
      <c r="B40" s="65" t="s">
        <v>125</v>
      </c>
      <c r="C40" s="37" t="s">
        <v>126</v>
      </c>
      <c r="D40" s="9" t="s">
        <v>127</v>
      </c>
      <c r="E40" s="9">
        <f>'D - Gording'!E12</f>
        <v>235</v>
      </c>
      <c r="F40" s="9" t="e">
        <f>#REF!</f>
        <v>#REF!</v>
      </c>
      <c r="G40" s="9" t="e">
        <f>#REF!</f>
        <v>#REF!</v>
      </c>
      <c r="H40" s="9" t="e">
        <f>#REF!</f>
        <v>#REF!</v>
      </c>
      <c r="I40" s="9" t="e">
        <f>#REF!</f>
        <v>#REF!</v>
      </c>
      <c r="J40" s="9" t="e">
        <f>#REF!</f>
        <v>#REF!</v>
      </c>
      <c r="K40" s="9" t="e">
        <f>#REF!</f>
        <v>#REF!</v>
      </c>
      <c r="L40" s="9" t="e">
        <f>#REF!</f>
        <v>#REF!</v>
      </c>
      <c r="M40" s="9" t="e">
        <f>#REF!</f>
        <v>#REF!</v>
      </c>
      <c r="N40" s="9" t="e">
        <f>#REF!</f>
        <v>#REF!</v>
      </c>
      <c r="O40" s="9" t="e">
        <f>#REF!</f>
        <v>#REF!</v>
      </c>
      <c r="P40" s="9" t="e">
        <f>#REF!</f>
        <v>#REF!</v>
      </c>
      <c r="Q40" s="9" t="e">
        <f>#REF!</f>
        <v>#REF!</v>
      </c>
      <c r="R40" s="9" t="e">
        <f>#REF!</f>
        <v>#REF!</v>
      </c>
      <c r="S40" s="9" t="e">
        <f>#REF!</f>
        <v>#REF!</v>
      </c>
      <c r="T40" s="9" t="e">
        <f>#REF!</f>
        <v>#REF!</v>
      </c>
      <c r="U40" s="9" t="e">
        <f>#REF!</f>
        <v>#REF!</v>
      </c>
      <c r="V40" s="9" t="e">
        <f>#REF!</f>
        <v>#REF!</v>
      </c>
      <c r="W40" s="9" t="e">
        <f>#REF!</f>
        <v>#REF!</v>
      </c>
      <c r="X40" s="9" t="e">
        <f>#REF!</f>
        <v>#REF!</v>
      </c>
      <c r="Y40" s="9" t="e">
        <f>#REF!</f>
        <v>#REF!</v>
      </c>
      <c r="Z40" s="9" t="e">
        <f>#REF!</f>
        <v>#REF!</v>
      </c>
      <c r="AA40" s="9" t="e">
        <f>#REF!</f>
        <v>#REF!</v>
      </c>
      <c r="AB40" s="9" t="e">
        <f>#REF!</f>
        <v>#REF!</v>
      </c>
      <c r="AC40" s="9" t="e">
        <f>#REF!</f>
        <v>#REF!</v>
      </c>
      <c r="AD40" s="9" t="e">
        <f>#REF!</f>
        <v>#REF!</v>
      </c>
      <c r="AE40" s="9" t="e">
        <f>#REF!</f>
        <v>#REF!</v>
      </c>
      <c r="AF40" s="9" t="e">
        <f>#REF!</f>
        <v>#REF!</v>
      </c>
      <c r="AG40" s="9" t="e">
        <f>#REF!</f>
        <v>#REF!</v>
      </c>
      <c r="AH40" s="9" t="e">
        <f>#REF!</f>
        <v>#REF!</v>
      </c>
      <c r="AI40" s="9" t="e">
        <f>#REF!</f>
        <v>#REF!</v>
      </c>
      <c r="AJ40" s="9" t="e">
        <f>#REF!</f>
        <v>#REF!</v>
      </c>
    </row>
    <row r="41" spans="1:36" ht="12.75" customHeight="1" x14ac:dyDescent="0.2">
      <c r="B41" s="65"/>
      <c r="D41" s="44"/>
    </row>
    <row r="42" spans="1:36" ht="12.75" customHeight="1" x14ac:dyDescent="0.2">
      <c r="A42" s="88" t="s">
        <v>157</v>
      </c>
      <c r="B42" s="65"/>
    </row>
    <row r="43" spans="1:36" ht="12.75" customHeight="1" x14ac:dyDescent="0.2">
      <c r="A43" s="37" t="s">
        <v>269</v>
      </c>
      <c r="B43" s="65" t="s">
        <v>134</v>
      </c>
      <c r="D43" s="20" t="s">
        <v>113</v>
      </c>
      <c r="E43" s="53" t="e">
        <f t="shared" ref="E43:AJ43" si="13">E17/E18</f>
        <v>#DIV/0!</v>
      </c>
      <c r="F43" s="53" t="e">
        <f t="shared" si="13"/>
        <v>#DIV/0!</v>
      </c>
      <c r="G43" s="53" t="e">
        <f t="shared" si="13"/>
        <v>#DIV/0!</v>
      </c>
      <c r="H43" s="53" t="e">
        <f t="shared" si="13"/>
        <v>#DIV/0!</v>
      </c>
      <c r="I43" s="53" t="e">
        <f t="shared" si="13"/>
        <v>#DIV/0!</v>
      </c>
      <c r="J43" s="53" t="e">
        <f t="shared" si="13"/>
        <v>#DIV/0!</v>
      </c>
      <c r="K43" s="53" t="e">
        <f t="shared" si="13"/>
        <v>#DIV/0!</v>
      </c>
      <c r="L43" s="53" t="e">
        <f t="shared" si="13"/>
        <v>#DIV/0!</v>
      </c>
      <c r="M43" s="53" t="e">
        <f t="shared" si="13"/>
        <v>#DIV/0!</v>
      </c>
      <c r="N43" s="53" t="e">
        <f t="shared" si="13"/>
        <v>#DIV/0!</v>
      </c>
      <c r="O43" s="53" t="e">
        <f t="shared" si="13"/>
        <v>#DIV/0!</v>
      </c>
      <c r="P43" s="53" t="e">
        <f t="shared" si="13"/>
        <v>#DIV/0!</v>
      </c>
      <c r="Q43" s="53" t="e">
        <f t="shared" si="13"/>
        <v>#DIV/0!</v>
      </c>
      <c r="R43" s="53" t="e">
        <f t="shared" si="13"/>
        <v>#DIV/0!</v>
      </c>
      <c r="S43" s="53" t="e">
        <f t="shared" si="13"/>
        <v>#DIV/0!</v>
      </c>
      <c r="T43" s="53" t="e">
        <f t="shared" si="13"/>
        <v>#DIV/0!</v>
      </c>
      <c r="U43" s="53" t="e">
        <f t="shared" si="13"/>
        <v>#DIV/0!</v>
      </c>
      <c r="V43" s="53" t="e">
        <f t="shared" si="13"/>
        <v>#DIV/0!</v>
      </c>
      <c r="W43" s="53" t="e">
        <f t="shared" si="13"/>
        <v>#DIV/0!</v>
      </c>
      <c r="X43" s="53" t="e">
        <f t="shared" si="13"/>
        <v>#DIV/0!</v>
      </c>
      <c r="Y43" s="53" t="e">
        <f t="shared" si="13"/>
        <v>#DIV/0!</v>
      </c>
      <c r="Z43" s="53" t="e">
        <f t="shared" si="13"/>
        <v>#DIV/0!</v>
      </c>
      <c r="AA43" s="53" t="e">
        <f t="shared" si="13"/>
        <v>#DIV/0!</v>
      </c>
      <c r="AB43" s="53" t="e">
        <f t="shared" si="13"/>
        <v>#DIV/0!</v>
      </c>
      <c r="AC43" s="53" t="e">
        <f t="shared" si="13"/>
        <v>#DIV/0!</v>
      </c>
      <c r="AD43" s="53" t="e">
        <f t="shared" si="13"/>
        <v>#DIV/0!</v>
      </c>
      <c r="AE43" s="53" t="e">
        <f t="shared" si="13"/>
        <v>#DIV/0!</v>
      </c>
      <c r="AF43" s="53" t="e">
        <f t="shared" si="13"/>
        <v>#DIV/0!</v>
      </c>
      <c r="AG43" s="53" t="e">
        <f t="shared" si="13"/>
        <v>#DIV/0!</v>
      </c>
      <c r="AH43" s="53" t="e">
        <f t="shared" si="13"/>
        <v>#DIV/0!</v>
      </c>
      <c r="AI43" s="53" t="e">
        <f t="shared" si="13"/>
        <v>#DIV/0!</v>
      </c>
      <c r="AJ43" s="53" t="e">
        <f t="shared" si="13"/>
        <v>#DIV/0!</v>
      </c>
    </row>
    <row r="44" spans="1:36" ht="12.75" customHeight="1" x14ac:dyDescent="0.2">
      <c r="A44" s="45" t="s">
        <v>270</v>
      </c>
      <c r="B44" s="65" t="s">
        <v>134</v>
      </c>
      <c r="D44" s="20" t="s">
        <v>113</v>
      </c>
      <c r="E44" s="47">
        <f t="shared" ref="E44:AJ44" si="14">E14^2</f>
        <v>0.66197183098591561</v>
      </c>
      <c r="F44" s="47">
        <f t="shared" si="14"/>
        <v>0.66197183098591561</v>
      </c>
      <c r="G44" s="47">
        <f t="shared" si="14"/>
        <v>0.66197183098591561</v>
      </c>
      <c r="H44" s="47">
        <f t="shared" si="14"/>
        <v>0.66197183098591561</v>
      </c>
      <c r="I44" s="47">
        <f t="shared" si="14"/>
        <v>0.66197183098591561</v>
      </c>
      <c r="J44" s="47">
        <f t="shared" si="14"/>
        <v>0.66197183098591561</v>
      </c>
      <c r="K44" s="47">
        <f t="shared" si="14"/>
        <v>0.66197183098591561</v>
      </c>
      <c r="L44" s="47">
        <f t="shared" si="14"/>
        <v>0.66197183098591561</v>
      </c>
      <c r="M44" s="47">
        <f t="shared" si="14"/>
        <v>0.66197183098591561</v>
      </c>
      <c r="N44" s="47">
        <f t="shared" si="14"/>
        <v>0.66197183098591561</v>
      </c>
      <c r="O44" s="47">
        <f t="shared" si="14"/>
        <v>0.66197183098591561</v>
      </c>
      <c r="P44" s="47">
        <f t="shared" si="14"/>
        <v>0.66197183098591561</v>
      </c>
      <c r="Q44" s="47">
        <f t="shared" si="14"/>
        <v>0.66197183098591561</v>
      </c>
      <c r="R44" s="47">
        <f t="shared" si="14"/>
        <v>0.66197183098591561</v>
      </c>
      <c r="S44" s="47">
        <f t="shared" si="14"/>
        <v>0.66197183098591561</v>
      </c>
      <c r="T44" s="47">
        <f t="shared" si="14"/>
        <v>0.66197183098591561</v>
      </c>
      <c r="U44" s="47">
        <f t="shared" si="14"/>
        <v>0.66197183098591561</v>
      </c>
      <c r="V44" s="47">
        <f t="shared" si="14"/>
        <v>0.66197183098591561</v>
      </c>
      <c r="W44" s="47">
        <f t="shared" si="14"/>
        <v>0.66197183098591561</v>
      </c>
      <c r="X44" s="47">
        <f t="shared" si="14"/>
        <v>0.66197183098591561</v>
      </c>
      <c r="Y44" s="47">
        <f t="shared" si="14"/>
        <v>0.66197183098591561</v>
      </c>
      <c r="Z44" s="47">
        <f t="shared" si="14"/>
        <v>0.66197183098591561</v>
      </c>
      <c r="AA44" s="47">
        <f t="shared" si="14"/>
        <v>0.66197183098591561</v>
      </c>
      <c r="AB44" s="47">
        <f t="shared" si="14"/>
        <v>0.66197183098591561</v>
      </c>
      <c r="AC44" s="47">
        <f t="shared" si="14"/>
        <v>0.66197183098591561</v>
      </c>
      <c r="AD44" s="47">
        <f t="shared" si="14"/>
        <v>0.66197183098591561</v>
      </c>
      <c r="AE44" s="47">
        <f t="shared" si="14"/>
        <v>0.66197183098591561</v>
      </c>
      <c r="AF44" s="47">
        <f t="shared" si="14"/>
        <v>0.66197183098591561</v>
      </c>
      <c r="AG44" s="47">
        <f t="shared" si="14"/>
        <v>0.66197183098591561</v>
      </c>
      <c r="AH44" s="47">
        <f t="shared" si="14"/>
        <v>0.66197183098591561</v>
      </c>
      <c r="AI44" s="47">
        <f t="shared" si="14"/>
        <v>0.66197183098591561</v>
      </c>
      <c r="AJ44" s="47">
        <f t="shared" si="14"/>
        <v>0.66197183098591561</v>
      </c>
    </row>
    <row r="45" spans="1:36" ht="12.75" customHeight="1" x14ac:dyDescent="0.2">
      <c r="A45" s="46" t="s">
        <v>271</v>
      </c>
      <c r="D45" s="56" t="s">
        <v>113</v>
      </c>
      <c r="E45" s="9" t="str">
        <f t="shared" ref="E45:AJ45" si="15">IF(E11&lt;=420,"a","a0")</f>
        <v>a</v>
      </c>
      <c r="F45" s="9" t="str">
        <f t="shared" si="15"/>
        <v>a</v>
      </c>
      <c r="G45" s="9" t="str">
        <f t="shared" si="15"/>
        <v>a</v>
      </c>
      <c r="H45" s="9" t="str">
        <f t="shared" si="15"/>
        <v>a</v>
      </c>
      <c r="I45" s="9" t="str">
        <f t="shared" si="15"/>
        <v>a</v>
      </c>
      <c r="J45" s="9" t="str">
        <f t="shared" si="15"/>
        <v>a</v>
      </c>
      <c r="K45" s="9" t="str">
        <f t="shared" si="15"/>
        <v>a</v>
      </c>
      <c r="L45" s="9" t="str">
        <f t="shared" si="15"/>
        <v>a</v>
      </c>
      <c r="M45" s="9" t="str">
        <f t="shared" si="15"/>
        <v>a</v>
      </c>
      <c r="N45" s="9" t="str">
        <f t="shared" si="15"/>
        <v>a</v>
      </c>
      <c r="O45" s="9" t="str">
        <f t="shared" si="15"/>
        <v>a</v>
      </c>
      <c r="P45" s="9" t="str">
        <f t="shared" si="15"/>
        <v>a</v>
      </c>
      <c r="Q45" s="9" t="str">
        <f t="shared" si="15"/>
        <v>a</v>
      </c>
      <c r="R45" s="9" t="str">
        <f t="shared" si="15"/>
        <v>a</v>
      </c>
      <c r="S45" s="9" t="str">
        <f t="shared" si="15"/>
        <v>a</v>
      </c>
      <c r="T45" s="9" t="str">
        <f t="shared" si="15"/>
        <v>a</v>
      </c>
      <c r="U45" s="9" t="str">
        <f t="shared" si="15"/>
        <v>a</v>
      </c>
      <c r="V45" s="9" t="str">
        <f t="shared" si="15"/>
        <v>a</v>
      </c>
      <c r="W45" s="9" t="str">
        <f t="shared" si="15"/>
        <v>a</v>
      </c>
      <c r="X45" s="9" t="str">
        <f t="shared" si="15"/>
        <v>a</v>
      </c>
      <c r="Y45" s="9" t="str">
        <f t="shared" si="15"/>
        <v>a</v>
      </c>
      <c r="Z45" s="9" t="str">
        <f t="shared" si="15"/>
        <v>a</v>
      </c>
      <c r="AA45" s="9" t="str">
        <f t="shared" si="15"/>
        <v>a</v>
      </c>
      <c r="AB45" s="9" t="str">
        <f t="shared" si="15"/>
        <v>a</v>
      </c>
      <c r="AC45" s="9" t="str">
        <f t="shared" si="15"/>
        <v>a</v>
      </c>
      <c r="AD45" s="9" t="str">
        <f t="shared" si="15"/>
        <v>a</v>
      </c>
      <c r="AE45" s="9" t="str">
        <f t="shared" si="15"/>
        <v>a</v>
      </c>
      <c r="AF45" s="9" t="str">
        <f t="shared" si="15"/>
        <v>a</v>
      </c>
      <c r="AG45" s="9" t="str">
        <f t="shared" si="15"/>
        <v>a</v>
      </c>
      <c r="AH45" s="9" t="str">
        <f t="shared" si="15"/>
        <v>a</v>
      </c>
      <c r="AI45" s="9" t="str">
        <f t="shared" si="15"/>
        <v>a</v>
      </c>
      <c r="AJ45" s="9" t="str">
        <f t="shared" si="15"/>
        <v>a</v>
      </c>
    </row>
    <row r="46" spans="1:36" ht="12.75" customHeight="1" x14ac:dyDescent="0.2">
      <c r="A46" s="54" t="s">
        <v>272</v>
      </c>
      <c r="D46" s="56" t="s">
        <v>113</v>
      </c>
      <c r="E46" s="53" t="e">
        <f>HLOOKUP(E45,#REF!,2,FALSE)</f>
        <v>#REF!</v>
      </c>
      <c r="F46" s="53" t="e">
        <f>HLOOKUP(F45,#REF!,2,FALSE)</f>
        <v>#REF!</v>
      </c>
      <c r="G46" s="53" t="e">
        <f>HLOOKUP(G45,#REF!,2,FALSE)</f>
        <v>#REF!</v>
      </c>
      <c r="H46" s="53" t="e">
        <f>HLOOKUP(H45,#REF!,2,FALSE)</f>
        <v>#REF!</v>
      </c>
      <c r="I46" s="53" t="e">
        <f>HLOOKUP(I45,#REF!,2,FALSE)</f>
        <v>#REF!</v>
      </c>
      <c r="J46" s="53" t="e">
        <f>HLOOKUP(J45,#REF!,2,FALSE)</f>
        <v>#REF!</v>
      </c>
      <c r="K46" s="53" t="e">
        <f>HLOOKUP(K45,#REF!,2,FALSE)</f>
        <v>#REF!</v>
      </c>
      <c r="L46" s="53" t="e">
        <f>HLOOKUP(L45,#REF!,2,FALSE)</f>
        <v>#REF!</v>
      </c>
      <c r="M46" s="53" t="e">
        <f>HLOOKUP(M45,#REF!,2,FALSE)</f>
        <v>#REF!</v>
      </c>
      <c r="N46" s="53" t="e">
        <f>HLOOKUP(N45,#REF!,2,FALSE)</f>
        <v>#REF!</v>
      </c>
      <c r="O46" s="53" t="e">
        <f>HLOOKUP(O45,#REF!,2,FALSE)</f>
        <v>#REF!</v>
      </c>
      <c r="P46" s="53" t="e">
        <f>HLOOKUP(P45,#REF!,2,FALSE)</f>
        <v>#REF!</v>
      </c>
      <c r="Q46" s="53" t="e">
        <f>HLOOKUP(Q45,#REF!,2,FALSE)</f>
        <v>#REF!</v>
      </c>
      <c r="R46" s="53" t="e">
        <f>HLOOKUP(R45,#REF!,2,FALSE)</f>
        <v>#REF!</v>
      </c>
      <c r="S46" s="53" t="e">
        <f>HLOOKUP(S45,#REF!,2,FALSE)</f>
        <v>#REF!</v>
      </c>
      <c r="T46" s="53" t="e">
        <f>HLOOKUP(T45,#REF!,2,FALSE)</f>
        <v>#REF!</v>
      </c>
      <c r="U46" s="53" t="e">
        <f>HLOOKUP(U45,#REF!,2,FALSE)</f>
        <v>#REF!</v>
      </c>
      <c r="V46" s="53" t="e">
        <f>HLOOKUP(V45,#REF!,2,FALSE)</f>
        <v>#REF!</v>
      </c>
      <c r="W46" s="53" t="e">
        <f>HLOOKUP(W45,#REF!,2,FALSE)</f>
        <v>#REF!</v>
      </c>
      <c r="X46" s="53" t="e">
        <f>HLOOKUP(X45,#REF!,2,FALSE)</f>
        <v>#REF!</v>
      </c>
      <c r="Y46" s="53" t="e">
        <f>HLOOKUP(Y45,#REF!,2,FALSE)</f>
        <v>#REF!</v>
      </c>
      <c r="Z46" s="53" t="e">
        <f>HLOOKUP(Z45,#REF!,2,FALSE)</f>
        <v>#REF!</v>
      </c>
      <c r="AA46" s="53" t="e">
        <f>HLOOKUP(AA45,#REF!,2,FALSE)</f>
        <v>#REF!</v>
      </c>
      <c r="AB46" s="53" t="e">
        <f>HLOOKUP(AB45,#REF!,2,FALSE)</f>
        <v>#REF!</v>
      </c>
      <c r="AC46" s="53" t="e">
        <f>HLOOKUP(AC45,#REF!,2,FALSE)</f>
        <v>#REF!</v>
      </c>
      <c r="AD46" s="53" t="e">
        <f>HLOOKUP(AD45,#REF!,2,FALSE)</f>
        <v>#REF!</v>
      </c>
      <c r="AE46" s="53" t="e">
        <f>HLOOKUP(AE45,#REF!,2,FALSE)</f>
        <v>#REF!</v>
      </c>
      <c r="AF46" s="53" t="e">
        <f>HLOOKUP(AF45,#REF!,2,FALSE)</f>
        <v>#REF!</v>
      </c>
      <c r="AG46" s="53" t="e">
        <f>HLOOKUP(AG45,#REF!,2,FALSE)</f>
        <v>#REF!</v>
      </c>
      <c r="AH46" s="53" t="e">
        <f>HLOOKUP(AH45,#REF!,2,FALSE)</f>
        <v>#REF!</v>
      </c>
      <c r="AI46" s="53" t="e">
        <f>HLOOKUP(AI45,#REF!,2,FALSE)</f>
        <v>#REF!</v>
      </c>
      <c r="AJ46" s="53" t="e">
        <f>HLOOKUP(AJ45,#REF!,2,FALSE)</f>
        <v>#REF!</v>
      </c>
    </row>
    <row r="47" spans="1:36" ht="12.75" customHeight="1" x14ac:dyDescent="0.2">
      <c r="A47" s="45"/>
      <c r="D47" s="20"/>
      <c r="E47" s="47" t="e">
        <f t="shared" ref="E47:AJ47" si="16">E43/E44</f>
        <v>#DIV/0!</v>
      </c>
      <c r="F47" s="47" t="e">
        <f t="shared" si="16"/>
        <v>#DIV/0!</v>
      </c>
      <c r="G47" s="47" t="e">
        <f t="shared" si="16"/>
        <v>#DIV/0!</v>
      </c>
      <c r="H47" s="47" t="e">
        <f t="shared" si="16"/>
        <v>#DIV/0!</v>
      </c>
      <c r="I47" s="47" t="e">
        <f t="shared" si="16"/>
        <v>#DIV/0!</v>
      </c>
      <c r="J47" s="47" t="e">
        <f t="shared" si="16"/>
        <v>#DIV/0!</v>
      </c>
      <c r="K47" s="47" t="e">
        <f t="shared" si="16"/>
        <v>#DIV/0!</v>
      </c>
      <c r="L47" s="47" t="e">
        <f t="shared" si="16"/>
        <v>#DIV/0!</v>
      </c>
      <c r="M47" s="47" t="e">
        <f t="shared" si="16"/>
        <v>#DIV/0!</v>
      </c>
      <c r="N47" s="47" t="e">
        <f t="shared" si="16"/>
        <v>#DIV/0!</v>
      </c>
      <c r="O47" s="47" t="e">
        <f t="shared" si="16"/>
        <v>#DIV/0!</v>
      </c>
      <c r="P47" s="47" t="e">
        <f t="shared" si="16"/>
        <v>#DIV/0!</v>
      </c>
      <c r="Q47" s="47" t="e">
        <f t="shared" si="16"/>
        <v>#DIV/0!</v>
      </c>
      <c r="R47" s="47" t="e">
        <f t="shared" si="16"/>
        <v>#DIV/0!</v>
      </c>
      <c r="S47" s="47" t="e">
        <f t="shared" si="16"/>
        <v>#DIV/0!</v>
      </c>
      <c r="T47" s="47" t="e">
        <f t="shared" si="16"/>
        <v>#DIV/0!</v>
      </c>
      <c r="U47" s="47" t="e">
        <f t="shared" si="16"/>
        <v>#DIV/0!</v>
      </c>
      <c r="V47" s="47" t="e">
        <f t="shared" si="16"/>
        <v>#DIV/0!</v>
      </c>
      <c r="W47" s="47" t="e">
        <f t="shared" si="16"/>
        <v>#DIV/0!</v>
      </c>
      <c r="X47" s="47" t="e">
        <f t="shared" si="16"/>
        <v>#DIV/0!</v>
      </c>
      <c r="Y47" s="47" t="e">
        <f t="shared" si="16"/>
        <v>#DIV/0!</v>
      </c>
      <c r="Z47" s="47" t="e">
        <f t="shared" si="16"/>
        <v>#DIV/0!</v>
      </c>
      <c r="AA47" s="47" t="e">
        <f t="shared" si="16"/>
        <v>#DIV/0!</v>
      </c>
      <c r="AB47" s="47" t="e">
        <f t="shared" si="16"/>
        <v>#DIV/0!</v>
      </c>
      <c r="AC47" s="47" t="e">
        <f t="shared" si="16"/>
        <v>#DIV/0!</v>
      </c>
      <c r="AD47" s="47" t="e">
        <f t="shared" si="16"/>
        <v>#DIV/0!</v>
      </c>
      <c r="AE47" s="47" t="e">
        <f t="shared" si="16"/>
        <v>#DIV/0!</v>
      </c>
      <c r="AF47" s="47" t="e">
        <f t="shared" si="16"/>
        <v>#DIV/0!</v>
      </c>
      <c r="AG47" s="47" t="e">
        <f t="shared" si="16"/>
        <v>#DIV/0!</v>
      </c>
      <c r="AH47" s="47" t="e">
        <f t="shared" si="16"/>
        <v>#DIV/0!</v>
      </c>
      <c r="AI47" s="47" t="e">
        <f t="shared" si="16"/>
        <v>#DIV/0!</v>
      </c>
      <c r="AJ47" s="47" t="e">
        <f t="shared" si="16"/>
        <v>#DIV/0!</v>
      </c>
    </row>
    <row r="48" spans="1:36" ht="12.75" hidden="1" customHeight="1" x14ac:dyDescent="0.2">
      <c r="A48" s="45"/>
      <c r="D48" s="20">
        <v>1</v>
      </c>
      <c r="E48" s="47" t="e">
        <f t="shared" ref="E48:AJ48" si="17">IF(E47&lt;=50,1,0)</f>
        <v>#DIV/0!</v>
      </c>
      <c r="F48" s="47" t="e">
        <f t="shared" si="17"/>
        <v>#DIV/0!</v>
      </c>
      <c r="G48" s="47" t="e">
        <f t="shared" si="17"/>
        <v>#DIV/0!</v>
      </c>
      <c r="H48" s="47" t="e">
        <f t="shared" si="17"/>
        <v>#DIV/0!</v>
      </c>
      <c r="I48" s="47" t="e">
        <f t="shared" si="17"/>
        <v>#DIV/0!</v>
      </c>
      <c r="J48" s="47" t="e">
        <f t="shared" si="17"/>
        <v>#DIV/0!</v>
      </c>
      <c r="K48" s="47" t="e">
        <f t="shared" si="17"/>
        <v>#DIV/0!</v>
      </c>
      <c r="L48" s="47" t="e">
        <f t="shared" si="17"/>
        <v>#DIV/0!</v>
      </c>
      <c r="M48" s="47" t="e">
        <f t="shared" si="17"/>
        <v>#DIV/0!</v>
      </c>
      <c r="N48" s="47" t="e">
        <f t="shared" si="17"/>
        <v>#DIV/0!</v>
      </c>
      <c r="O48" s="47" t="e">
        <f t="shared" si="17"/>
        <v>#DIV/0!</v>
      </c>
      <c r="P48" s="47" t="e">
        <f t="shared" si="17"/>
        <v>#DIV/0!</v>
      </c>
      <c r="Q48" s="47" t="e">
        <f t="shared" si="17"/>
        <v>#DIV/0!</v>
      </c>
      <c r="R48" s="47" t="e">
        <f t="shared" si="17"/>
        <v>#DIV/0!</v>
      </c>
      <c r="S48" s="47" t="e">
        <f t="shared" si="17"/>
        <v>#DIV/0!</v>
      </c>
      <c r="T48" s="47" t="e">
        <f t="shared" si="17"/>
        <v>#DIV/0!</v>
      </c>
      <c r="U48" s="47" t="e">
        <f t="shared" si="17"/>
        <v>#DIV/0!</v>
      </c>
      <c r="V48" s="47" t="e">
        <f t="shared" si="17"/>
        <v>#DIV/0!</v>
      </c>
      <c r="W48" s="47" t="e">
        <f t="shared" si="17"/>
        <v>#DIV/0!</v>
      </c>
      <c r="X48" s="47" t="e">
        <f t="shared" si="17"/>
        <v>#DIV/0!</v>
      </c>
      <c r="Y48" s="47" t="e">
        <f t="shared" si="17"/>
        <v>#DIV/0!</v>
      </c>
      <c r="Z48" s="47" t="e">
        <f t="shared" si="17"/>
        <v>#DIV/0!</v>
      </c>
      <c r="AA48" s="47" t="e">
        <f t="shared" si="17"/>
        <v>#DIV/0!</v>
      </c>
      <c r="AB48" s="47" t="e">
        <f t="shared" si="17"/>
        <v>#DIV/0!</v>
      </c>
      <c r="AC48" s="47" t="e">
        <f t="shared" si="17"/>
        <v>#DIV/0!</v>
      </c>
      <c r="AD48" s="47" t="e">
        <f t="shared" si="17"/>
        <v>#DIV/0!</v>
      </c>
      <c r="AE48" s="47" t="e">
        <f t="shared" si="17"/>
        <v>#DIV/0!</v>
      </c>
      <c r="AF48" s="47" t="e">
        <f t="shared" si="17"/>
        <v>#DIV/0!</v>
      </c>
      <c r="AG48" s="47" t="e">
        <f t="shared" si="17"/>
        <v>#DIV/0!</v>
      </c>
      <c r="AH48" s="47" t="e">
        <f t="shared" si="17"/>
        <v>#DIV/0!</v>
      </c>
      <c r="AI48" s="47" t="e">
        <f t="shared" si="17"/>
        <v>#DIV/0!</v>
      </c>
      <c r="AJ48" s="47" t="e">
        <f t="shared" si="17"/>
        <v>#DIV/0!</v>
      </c>
    </row>
    <row r="49" spans="1:36" ht="12.75" hidden="1" customHeight="1" x14ac:dyDescent="0.2">
      <c r="A49" s="45"/>
      <c r="D49" s="20">
        <v>2</v>
      </c>
      <c r="E49" s="47" t="e">
        <f t="shared" ref="E49:AJ49" si="18">IF(E47&lt;=70,1,0)</f>
        <v>#DIV/0!</v>
      </c>
      <c r="F49" s="47" t="e">
        <f t="shared" si="18"/>
        <v>#DIV/0!</v>
      </c>
      <c r="G49" s="47" t="e">
        <f t="shared" si="18"/>
        <v>#DIV/0!</v>
      </c>
      <c r="H49" s="47" t="e">
        <f t="shared" si="18"/>
        <v>#DIV/0!</v>
      </c>
      <c r="I49" s="47" t="e">
        <f t="shared" si="18"/>
        <v>#DIV/0!</v>
      </c>
      <c r="J49" s="47" t="e">
        <f t="shared" si="18"/>
        <v>#DIV/0!</v>
      </c>
      <c r="K49" s="47" t="e">
        <f t="shared" si="18"/>
        <v>#DIV/0!</v>
      </c>
      <c r="L49" s="47" t="e">
        <f t="shared" si="18"/>
        <v>#DIV/0!</v>
      </c>
      <c r="M49" s="47" t="e">
        <f t="shared" si="18"/>
        <v>#DIV/0!</v>
      </c>
      <c r="N49" s="47" t="e">
        <f t="shared" si="18"/>
        <v>#DIV/0!</v>
      </c>
      <c r="O49" s="47" t="e">
        <f t="shared" si="18"/>
        <v>#DIV/0!</v>
      </c>
      <c r="P49" s="47" t="e">
        <f t="shared" si="18"/>
        <v>#DIV/0!</v>
      </c>
      <c r="Q49" s="47" t="e">
        <f t="shared" si="18"/>
        <v>#DIV/0!</v>
      </c>
      <c r="R49" s="47" t="e">
        <f t="shared" si="18"/>
        <v>#DIV/0!</v>
      </c>
      <c r="S49" s="47" t="e">
        <f t="shared" si="18"/>
        <v>#DIV/0!</v>
      </c>
      <c r="T49" s="47" t="e">
        <f t="shared" si="18"/>
        <v>#DIV/0!</v>
      </c>
      <c r="U49" s="47" t="e">
        <f t="shared" si="18"/>
        <v>#DIV/0!</v>
      </c>
      <c r="V49" s="47" t="e">
        <f t="shared" si="18"/>
        <v>#DIV/0!</v>
      </c>
      <c r="W49" s="47" t="e">
        <f t="shared" si="18"/>
        <v>#DIV/0!</v>
      </c>
      <c r="X49" s="47" t="e">
        <f t="shared" si="18"/>
        <v>#DIV/0!</v>
      </c>
      <c r="Y49" s="47" t="e">
        <f t="shared" si="18"/>
        <v>#DIV/0!</v>
      </c>
      <c r="Z49" s="47" t="e">
        <f t="shared" si="18"/>
        <v>#DIV/0!</v>
      </c>
      <c r="AA49" s="47" t="e">
        <f t="shared" si="18"/>
        <v>#DIV/0!</v>
      </c>
      <c r="AB49" s="47" t="e">
        <f t="shared" si="18"/>
        <v>#DIV/0!</v>
      </c>
      <c r="AC49" s="47" t="e">
        <f t="shared" si="18"/>
        <v>#DIV/0!</v>
      </c>
      <c r="AD49" s="47" t="e">
        <f t="shared" si="18"/>
        <v>#DIV/0!</v>
      </c>
      <c r="AE49" s="47" t="e">
        <f t="shared" si="18"/>
        <v>#DIV/0!</v>
      </c>
      <c r="AF49" s="47" t="e">
        <f t="shared" si="18"/>
        <v>#DIV/0!</v>
      </c>
      <c r="AG49" s="47" t="e">
        <f t="shared" si="18"/>
        <v>#DIV/0!</v>
      </c>
      <c r="AH49" s="47" t="e">
        <f t="shared" si="18"/>
        <v>#DIV/0!</v>
      </c>
      <c r="AI49" s="47" t="e">
        <f t="shared" si="18"/>
        <v>#DIV/0!</v>
      </c>
      <c r="AJ49" s="47" t="e">
        <f t="shared" si="18"/>
        <v>#DIV/0!</v>
      </c>
    </row>
    <row r="50" spans="1:36" ht="12.75" hidden="1" customHeight="1" x14ac:dyDescent="0.2">
      <c r="A50" s="45"/>
      <c r="D50" s="20">
        <v>3</v>
      </c>
      <c r="E50" s="47" t="e">
        <f t="shared" ref="E50:AJ50" si="19">IF(E47&lt;=90,1,0)</f>
        <v>#DIV/0!</v>
      </c>
      <c r="F50" s="47" t="e">
        <f t="shared" si="19"/>
        <v>#DIV/0!</v>
      </c>
      <c r="G50" s="47" t="e">
        <f t="shared" si="19"/>
        <v>#DIV/0!</v>
      </c>
      <c r="H50" s="47" t="e">
        <f t="shared" si="19"/>
        <v>#DIV/0!</v>
      </c>
      <c r="I50" s="47" t="e">
        <f t="shared" si="19"/>
        <v>#DIV/0!</v>
      </c>
      <c r="J50" s="47" t="e">
        <f t="shared" si="19"/>
        <v>#DIV/0!</v>
      </c>
      <c r="K50" s="47" t="e">
        <f t="shared" si="19"/>
        <v>#DIV/0!</v>
      </c>
      <c r="L50" s="47" t="e">
        <f t="shared" si="19"/>
        <v>#DIV/0!</v>
      </c>
      <c r="M50" s="47" t="e">
        <f t="shared" si="19"/>
        <v>#DIV/0!</v>
      </c>
      <c r="N50" s="47" t="e">
        <f t="shared" si="19"/>
        <v>#DIV/0!</v>
      </c>
      <c r="O50" s="47" t="e">
        <f t="shared" si="19"/>
        <v>#DIV/0!</v>
      </c>
      <c r="P50" s="47" t="e">
        <f t="shared" si="19"/>
        <v>#DIV/0!</v>
      </c>
      <c r="Q50" s="47" t="e">
        <f t="shared" si="19"/>
        <v>#DIV/0!</v>
      </c>
      <c r="R50" s="47" t="e">
        <f t="shared" si="19"/>
        <v>#DIV/0!</v>
      </c>
      <c r="S50" s="47" t="e">
        <f t="shared" si="19"/>
        <v>#DIV/0!</v>
      </c>
      <c r="T50" s="47" t="e">
        <f t="shared" si="19"/>
        <v>#DIV/0!</v>
      </c>
      <c r="U50" s="47" t="e">
        <f t="shared" si="19"/>
        <v>#DIV/0!</v>
      </c>
      <c r="V50" s="47" t="e">
        <f t="shared" si="19"/>
        <v>#DIV/0!</v>
      </c>
      <c r="W50" s="47" t="e">
        <f t="shared" si="19"/>
        <v>#DIV/0!</v>
      </c>
      <c r="X50" s="47" t="e">
        <f t="shared" si="19"/>
        <v>#DIV/0!</v>
      </c>
      <c r="Y50" s="47" t="e">
        <f t="shared" si="19"/>
        <v>#DIV/0!</v>
      </c>
      <c r="Z50" s="47" t="e">
        <f t="shared" si="19"/>
        <v>#DIV/0!</v>
      </c>
      <c r="AA50" s="47" t="e">
        <f t="shared" si="19"/>
        <v>#DIV/0!</v>
      </c>
      <c r="AB50" s="47" t="e">
        <f t="shared" si="19"/>
        <v>#DIV/0!</v>
      </c>
      <c r="AC50" s="47" t="e">
        <f t="shared" si="19"/>
        <v>#DIV/0!</v>
      </c>
      <c r="AD50" s="47" t="e">
        <f t="shared" si="19"/>
        <v>#DIV/0!</v>
      </c>
      <c r="AE50" s="47" t="e">
        <f t="shared" si="19"/>
        <v>#DIV/0!</v>
      </c>
      <c r="AF50" s="47" t="e">
        <f t="shared" si="19"/>
        <v>#DIV/0!</v>
      </c>
      <c r="AG50" s="47" t="e">
        <f t="shared" si="19"/>
        <v>#DIV/0!</v>
      </c>
      <c r="AH50" s="47" t="e">
        <f t="shared" si="19"/>
        <v>#DIV/0!</v>
      </c>
      <c r="AI50" s="47" t="e">
        <f t="shared" si="19"/>
        <v>#DIV/0!</v>
      </c>
      <c r="AJ50" s="47" t="e">
        <f t="shared" si="19"/>
        <v>#DIV/0!</v>
      </c>
    </row>
    <row r="51" spans="1:36" ht="12.75" hidden="1" customHeight="1" x14ac:dyDescent="0.2">
      <c r="A51" s="45"/>
      <c r="D51" s="20"/>
      <c r="E51" s="47" t="e">
        <f t="shared" ref="E51:AJ51" si="20">SUM(E48:E50)</f>
        <v>#DIV/0!</v>
      </c>
      <c r="F51" s="47" t="e">
        <f t="shared" si="20"/>
        <v>#DIV/0!</v>
      </c>
      <c r="G51" s="47" t="e">
        <f t="shared" si="20"/>
        <v>#DIV/0!</v>
      </c>
      <c r="H51" s="47" t="e">
        <f t="shared" si="20"/>
        <v>#DIV/0!</v>
      </c>
      <c r="I51" s="47" t="e">
        <f t="shared" si="20"/>
        <v>#DIV/0!</v>
      </c>
      <c r="J51" s="47" t="e">
        <f t="shared" si="20"/>
        <v>#DIV/0!</v>
      </c>
      <c r="K51" s="47" t="e">
        <f t="shared" si="20"/>
        <v>#DIV/0!</v>
      </c>
      <c r="L51" s="47" t="e">
        <f t="shared" si="20"/>
        <v>#DIV/0!</v>
      </c>
      <c r="M51" s="47" t="e">
        <f t="shared" si="20"/>
        <v>#DIV/0!</v>
      </c>
      <c r="N51" s="47" t="e">
        <f t="shared" si="20"/>
        <v>#DIV/0!</v>
      </c>
      <c r="O51" s="47" t="e">
        <f t="shared" si="20"/>
        <v>#DIV/0!</v>
      </c>
      <c r="P51" s="47" t="e">
        <f t="shared" si="20"/>
        <v>#DIV/0!</v>
      </c>
      <c r="Q51" s="47" t="e">
        <f t="shared" si="20"/>
        <v>#DIV/0!</v>
      </c>
      <c r="R51" s="47" t="e">
        <f t="shared" si="20"/>
        <v>#DIV/0!</v>
      </c>
      <c r="S51" s="47" t="e">
        <f t="shared" si="20"/>
        <v>#DIV/0!</v>
      </c>
      <c r="T51" s="47" t="e">
        <f t="shared" si="20"/>
        <v>#DIV/0!</v>
      </c>
      <c r="U51" s="47" t="e">
        <f t="shared" si="20"/>
        <v>#DIV/0!</v>
      </c>
      <c r="V51" s="47" t="e">
        <f t="shared" si="20"/>
        <v>#DIV/0!</v>
      </c>
      <c r="W51" s="47" t="e">
        <f t="shared" si="20"/>
        <v>#DIV/0!</v>
      </c>
      <c r="X51" s="47" t="e">
        <f t="shared" si="20"/>
        <v>#DIV/0!</v>
      </c>
      <c r="Y51" s="47" t="e">
        <f t="shared" si="20"/>
        <v>#DIV/0!</v>
      </c>
      <c r="Z51" s="47" t="e">
        <f t="shared" si="20"/>
        <v>#DIV/0!</v>
      </c>
      <c r="AA51" s="47" t="e">
        <f t="shared" si="20"/>
        <v>#DIV/0!</v>
      </c>
      <c r="AB51" s="47" t="e">
        <f t="shared" si="20"/>
        <v>#DIV/0!</v>
      </c>
      <c r="AC51" s="47" t="e">
        <f t="shared" si="20"/>
        <v>#DIV/0!</v>
      </c>
      <c r="AD51" s="47" t="e">
        <f t="shared" si="20"/>
        <v>#DIV/0!</v>
      </c>
      <c r="AE51" s="47" t="e">
        <f t="shared" si="20"/>
        <v>#DIV/0!</v>
      </c>
      <c r="AF51" s="47" t="e">
        <f t="shared" si="20"/>
        <v>#DIV/0!</v>
      </c>
      <c r="AG51" s="47" t="e">
        <f t="shared" si="20"/>
        <v>#DIV/0!</v>
      </c>
      <c r="AH51" s="47" t="e">
        <f t="shared" si="20"/>
        <v>#DIV/0!</v>
      </c>
      <c r="AI51" s="47" t="e">
        <f t="shared" si="20"/>
        <v>#DIV/0!</v>
      </c>
      <c r="AJ51" s="47" t="e">
        <f t="shared" si="20"/>
        <v>#DIV/0!</v>
      </c>
    </row>
    <row r="52" spans="1:36" ht="12.75" customHeight="1" x14ac:dyDescent="0.2">
      <c r="A52" s="37" t="s">
        <v>273</v>
      </c>
      <c r="D52" s="20" t="s">
        <v>113</v>
      </c>
      <c r="E52" s="9" t="e">
        <f t="shared" ref="E52:AJ52" si="21">IF(E51=3,1,IF(E51=2,2,IF(E51=1,3,IF(E51=0,4))))</f>
        <v>#DIV/0!</v>
      </c>
      <c r="F52" s="9" t="e">
        <f t="shared" si="21"/>
        <v>#DIV/0!</v>
      </c>
      <c r="G52" s="9" t="e">
        <f t="shared" si="21"/>
        <v>#DIV/0!</v>
      </c>
      <c r="H52" s="9" t="e">
        <f t="shared" si="21"/>
        <v>#DIV/0!</v>
      </c>
      <c r="I52" s="9" t="e">
        <f t="shared" si="21"/>
        <v>#DIV/0!</v>
      </c>
      <c r="J52" s="9" t="e">
        <f t="shared" si="21"/>
        <v>#DIV/0!</v>
      </c>
      <c r="K52" s="9" t="e">
        <f t="shared" si="21"/>
        <v>#DIV/0!</v>
      </c>
      <c r="L52" s="9" t="e">
        <f t="shared" si="21"/>
        <v>#DIV/0!</v>
      </c>
      <c r="M52" s="9" t="e">
        <f t="shared" si="21"/>
        <v>#DIV/0!</v>
      </c>
      <c r="N52" s="9" t="e">
        <f t="shared" si="21"/>
        <v>#DIV/0!</v>
      </c>
      <c r="O52" s="9" t="e">
        <f t="shared" si="21"/>
        <v>#DIV/0!</v>
      </c>
      <c r="P52" s="9" t="e">
        <f t="shared" si="21"/>
        <v>#DIV/0!</v>
      </c>
      <c r="Q52" s="9" t="e">
        <f t="shared" si="21"/>
        <v>#DIV/0!</v>
      </c>
      <c r="R52" s="9" t="e">
        <f t="shared" si="21"/>
        <v>#DIV/0!</v>
      </c>
      <c r="S52" s="9" t="e">
        <f t="shared" si="21"/>
        <v>#DIV/0!</v>
      </c>
      <c r="T52" s="9" t="e">
        <f t="shared" si="21"/>
        <v>#DIV/0!</v>
      </c>
      <c r="U52" s="9" t="e">
        <f t="shared" si="21"/>
        <v>#DIV/0!</v>
      </c>
      <c r="V52" s="9" t="e">
        <f t="shared" si="21"/>
        <v>#DIV/0!</v>
      </c>
      <c r="W52" s="9" t="e">
        <f t="shared" si="21"/>
        <v>#DIV/0!</v>
      </c>
      <c r="X52" s="9" t="e">
        <f t="shared" si="21"/>
        <v>#DIV/0!</v>
      </c>
      <c r="Y52" s="9" t="e">
        <f t="shared" si="21"/>
        <v>#DIV/0!</v>
      </c>
      <c r="Z52" s="9" t="e">
        <f t="shared" si="21"/>
        <v>#DIV/0!</v>
      </c>
      <c r="AA52" s="9" t="e">
        <f t="shared" si="21"/>
        <v>#DIV/0!</v>
      </c>
      <c r="AB52" s="9" t="e">
        <f t="shared" si="21"/>
        <v>#DIV/0!</v>
      </c>
      <c r="AC52" s="9" t="e">
        <f t="shared" si="21"/>
        <v>#DIV/0!</v>
      </c>
      <c r="AD52" s="9" t="e">
        <f t="shared" si="21"/>
        <v>#DIV/0!</v>
      </c>
      <c r="AE52" s="9" t="e">
        <f t="shared" si="21"/>
        <v>#DIV/0!</v>
      </c>
      <c r="AF52" s="9" t="e">
        <f t="shared" si="21"/>
        <v>#DIV/0!</v>
      </c>
      <c r="AG52" s="9" t="e">
        <f t="shared" si="21"/>
        <v>#DIV/0!</v>
      </c>
      <c r="AH52" s="9" t="e">
        <f t="shared" si="21"/>
        <v>#DIV/0!</v>
      </c>
      <c r="AI52" s="9" t="e">
        <f t="shared" si="21"/>
        <v>#DIV/0!</v>
      </c>
      <c r="AJ52" s="9" t="e">
        <f t="shared" si="21"/>
        <v>#DIV/0!</v>
      </c>
    </row>
    <row r="53" spans="1:36" ht="12.75" customHeight="1" x14ac:dyDescent="0.2"/>
    <row r="54" spans="1:36" ht="12.75" customHeight="1" x14ac:dyDescent="0.2">
      <c r="A54" s="42" t="s">
        <v>356</v>
      </c>
    </row>
    <row r="55" spans="1:36" ht="12.75" customHeight="1" x14ac:dyDescent="0.2">
      <c r="A55" s="89" t="s">
        <v>357</v>
      </c>
      <c r="C55" s="64"/>
      <c r="D55" s="10" t="s">
        <v>113</v>
      </c>
      <c r="E55" s="53">
        <f t="shared" ref="E55:AJ55" si="22">$J$4</f>
        <v>1.1000000000000001</v>
      </c>
      <c r="F55" s="53">
        <f t="shared" si="22"/>
        <v>1.1000000000000001</v>
      </c>
      <c r="G55" s="53">
        <f t="shared" si="22"/>
        <v>1.1000000000000001</v>
      </c>
      <c r="H55" s="53">
        <f t="shared" si="22"/>
        <v>1.1000000000000001</v>
      </c>
      <c r="I55" s="53">
        <f t="shared" si="22"/>
        <v>1.1000000000000001</v>
      </c>
      <c r="J55" s="53">
        <f t="shared" si="22"/>
        <v>1.1000000000000001</v>
      </c>
      <c r="K55" s="53">
        <f t="shared" si="22"/>
        <v>1.1000000000000001</v>
      </c>
      <c r="L55" s="53">
        <f t="shared" si="22"/>
        <v>1.1000000000000001</v>
      </c>
      <c r="M55" s="53">
        <f t="shared" si="22"/>
        <v>1.1000000000000001</v>
      </c>
      <c r="N55" s="53">
        <f t="shared" si="22"/>
        <v>1.1000000000000001</v>
      </c>
      <c r="O55" s="53">
        <f t="shared" si="22"/>
        <v>1.1000000000000001</v>
      </c>
      <c r="P55" s="53">
        <f t="shared" si="22"/>
        <v>1.1000000000000001</v>
      </c>
      <c r="Q55" s="53">
        <f t="shared" si="22"/>
        <v>1.1000000000000001</v>
      </c>
      <c r="R55" s="53">
        <f t="shared" si="22"/>
        <v>1.1000000000000001</v>
      </c>
      <c r="S55" s="53">
        <f t="shared" si="22"/>
        <v>1.1000000000000001</v>
      </c>
      <c r="T55" s="53">
        <f t="shared" si="22"/>
        <v>1.1000000000000001</v>
      </c>
      <c r="U55" s="53">
        <f t="shared" si="22"/>
        <v>1.1000000000000001</v>
      </c>
      <c r="V55" s="53">
        <f t="shared" si="22"/>
        <v>1.1000000000000001</v>
      </c>
      <c r="W55" s="53">
        <f t="shared" si="22"/>
        <v>1.1000000000000001</v>
      </c>
      <c r="X55" s="53">
        <f t="shared" si="22"/>
        <v>1.1000000000000001</v>
      </c>
      <c r="Y55" s="53">
        <f t="shared" si="22"/>
        <v>1.1000000000000001</v>
      </c>
      <c r="Z55" s="53">
        <f t="shared" si="22"/>
        <v>1.1000000000000001</v>
      </c>
      <c r="AA55" s="53">
        <f t="shared" si="22"/>
        <v>1.1000000000000001</v>
      </c>
      <c r="AB55" s="53">
        <f t="shared" si="22"/>
        <v>1.1000000000000001</v>
      </c>
      <c r="AC55" s="53">
        <f t="shared" si="22"/>
        <v>1.1000000000000001</v>
      </c>
      <c r="AD55" s="53">
        <f t="shared" si="22"/>
        <v>1.1000000000000001</v>
      </c>
      <c r="AE55" s="53">
        <f t="shared" si="22"/>
        <v>1.1000000000000001</v>
      </c>
      <c r="AF55" s="53">
        <f t="shared" si="22"/>
        <v>1.1000000000000001</v>
      </c>
      <c r="AG55" s="53">
        <f t="shared" si="22"/>
        <v>1.1000000000000001</v>
      </c>
      <c r="AH55" s="53">
        <f t="shared" si="22"/>
        <v>1.1000000000000001</v>
      </c>
      <c r="AI55" s="53">
        <f t="shared" si="22"/>
        <v>1.1000000000000001</v>
      </c>
      <c r="AJ55" s="53">
        <f t="shared" si="22"/>
        <v>1.1000000000000001</v>
      </c>
    </row>
    <row r="56" spans="1:36" ht="12.75" customHeight="1" x14ac:dyDescent="0.2">
      <c r="A56" s="89" t="s">
        <v>358</v>
      </c>
      <c r="C56" s="64"/>
      <c r="D56" s="10" t="s">
        <v>113</v>
      </c>
      <c r="E56" s="53">
        <f t="shared" ref="E56:AJ56" si="23">$J$3</f>
        <v>1.25</v>
      </c>
      <c r="F56" s="53">
        <f t="shared" si="23"/>
        <v>1.25</v>
      </c>
      <c r="G56" s="53">
        <f t="shared" si="23"/>
        <v>1.25</v>
      </c>
      <c r="H56" s="53">
        <f t="shared" si="23"/>
        <v>1.25</v>
      </c>
      <c r="I56" s="53">
        <f t="shared" si="23"/>
        <v>1.25</v>
      </c>
      <c r="J56" s="53">
        <f t="shared" si="23"/>
        <v>1.25</v>
      </c>
      <c r="K56" s="53">
        <f t="shared" si="23"/>
        <v>1.25</v>
      </c>
      <c r="L56" s="53">
        <f t="shared" si="23"/>
        <v>1.25</v>
      </c>
      <c r="M56" s="53">
        <f t="shared" si="23"/>
        <v>1.25</v>
      </c>
      <c r="N56" s="53">
        <f t="shared" si="23"/>
        <v>1.25</v>
      </c>
      <c r="O56" s="53">
        <f t="shared" si="23"/>
        <v>1.25</v>
      </c>
      <c r="P56" s="53">
        <f t="shared" si="23"/>
        <v>1.25</v>
      </c>
      <c r="Q56" s="53">
        <f t="shared" si="23"/>
        <v>1.25</v>
      </c>
      <c r="R56" s="53">
        <f t="shared" si="23"/>
        <v>1.25</v>
      </c>
      <c r="S56" s="53">
        <f t="shared" si="23"/>
        <v>1.25</v>
      </c>
      <c r="T56" s="53">
        <f t="shared" si="23"/>
        <v>1.25</v>
      </c>
      <c r="U56" s="53">
        <f t="shared" si="23"/>
        <v>1.25</v>
      </c>
      <c r="V56" s="53">
        <f t="shared" si="23"/>
        <v>1.25</v>
      </c>
      <c r="W56" s="53">
        <f t="shared" si="23"/>
        <v>1.25</v>
      </c>
      <c r="X56" s="53">
        <f t="shared" si="23"/>
        <v>1.25</v>
      </c>
      <c r="Y56" s="53">
        <f t="shared" si="23"/>
        <v>1.25</v>
      </c>
      <c r="Z56" s="53">
        <f t="shared" si="23"/>
        <v>1.25</v>
      </c>
      <c r="AA56" s="53">
        <f t="shared" si="23"/>
        <v>1.25</v>
      </c>
      <c r="AB56" s="53">
        <f t="shared" si="23"/>
        <v>1.25</v>
      </c>
      <c r="AC56" s="53">
        <f t="shared" si="23"/>
        <v>1.25</v>
      </c>
      <c r="AD56" s="53">
        <f t="shared" si="23"/>
        <v>1.25</v>
      </c>
      <c r="AE56" s="53">
        <f t="shared" si="23"/>
        <v>1.25</v>
      </c>
      <c r="AF56" s="53">
        <f t="shared" si="23"/>
        <v>1.25</v>
      </c>
      <c r="AG56" s="53">
        <f t="shared" si="23"/>
        <v>1.25</v>
      </c>
      <c r="AH56" s="53">
        <f t="shared" si="23"/>
        <v>1.25</v>
      </c>
      <c r="AI56" s="53">
        <f t="shared" si="23"/>
        <v>1.25</v>
      </c>
      <c r="AJ56" s="53">
        <f t="shared" si="23"/>
        <v>1.25</v>
      </c>
    </row>
    <row r="57" spans="1:36" ht="12.75" customHeight="1" x14ac:dyDescent="0.2">
      <c r="A57" s="89"/>
      <c r="C57" s="64"/>
      <c r="D57" s="10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</row>
    <row r="58" spans="1:36" ht="12.75" customHeight="1" x14ac:dyDescent="0.2">
      <c r="A58" s="49" t="s">
        <v>359</v>
      </c>
    </row>
    <row r="59" spans="1:36" ht="12.75" customHeight="1" x14ac:dyDescent="0.2">
      <c r="A59" s="46" t="s">
        <v>360</v>
      </c>
      <c r="D59" s="10" t="s">
        <v>78</v>
      </c>
      <c r="E59" s="9">
        <f>'E -Stempels UGT'!E43</f>
        <v>0</v>
      </c>
      <c r="F59" s="9">
        <f>'E -Stempels UGT'!F43</f>
        <v>0</v>
      </c>
      <c r="G59" s="9">
        <f>'E -Stempels UGT'!G43</f>
        <v>0</v>
      </c>
      <c r="H59" s="9">
        <f>'E -Stempels UGT'!H43</f>
        <v>0</v>
      </c>
      <c r="I59" s="9">
        <f>'E -Stempels UGT'!I43</f>
        <v>0</v>
      </c>
      <c r="J59" s="9">
        <f>'E -Stempels UGT'!J43</f>
        <v>0</v>
      </c>
      <c r="K59" s="9">
        <f>'E -Stempels UGT'!K43</f>
        <v>0</v>
      </c>
      <c r="L59" s="9">
        <f>'E -Stempels UGT'!L43</f>
        <v>0</v>
      </c>
      <c r="M59" s="9">
        <f>'E -Stempels UGT'!M43</f>
        <v>0</v>
      </c>
      <c r="N59" s="9">
        <f>'E -Stempels UGT'!N43</f>
        <v>0</v>
      </c>
      <c r="O59" s="9">
        <f>'E -Stempels UGT'!O43</f>
        <v>0</v>
      </c>
      <c r="P59" s="9">
        <f>'E -Stempels UGT'!P43</f>
        <v>0</v>
      </c>
      <c r="Q59" s="9">
        <f>'E -Stempels UGT'!Q43</f>
        <v>0</v>
      </c>
      <c r="R59" s="9">
        <f>'E -Stempels UGT'!R43</f>
        <v>0</v>
      </c>
      <c r="S59" s="9">
        <f>'E -Stempels UGT'!S43</f>
        <v>0</v>
      </c>
      <c r="T59" s="9">
        <f>'E -Stempels UGT'!T43</f>
        <v>0</v>
      </c>
      <c r="U59" s="9">
        <f>'E -Stempels UGT'!U43</f>
        <v>0</v>
      </c>
      <c r="V59" s="9">
        <f>'E -Stempels UGT'!V43</f>
        <v>0</v>
      </c>
      <c r="W59" s="9">
        <f>'E -Stempels UGT'!W43</f>
        <v>0</v>
      </c>
      <c r="X59" s="9">
        <f>'E -Stempels UGT'!X43</f>
        <v>0</v>
      </c>
      <c r="Y59" s="9">
        <f>'E -Stempels UGT'!Y43</f>
        <v>0</v>
      </c>
      <c r="Z59" s="9">
        <f>'E -Stempels UGT'!Z43</f>
        <v>0</v>
      </c>
      <c r="AA59" s="9">
        <f>'E -Stempels UGT'!AA43</f>
        <v>0</v>
      </c>
      <c r="AB59" s="9">
        <f>'E -Stempels UGT'!AB43</f>
        <v>0</v>
      </c>
      <c r="AC59" s="9">
        <f>'E -Stempels UGT'!AC43</f>
        <v>0</v>
      </c>
      <c r="AD59" s="9">
        <f>'E -Stempels UGT'!AD43</f>
        <v>0</v>
      </c>
      <c r="AE59" s="9">
        <f>'E -Stempels UGT'!AE43</f>
        <v>0</v>
      </c>
      <c r="AF59" s="9">
        <f>'E -Stempels UGT'!AF43</f>
        <v>0</v>
      </c>
      <c r="AG59" s="9">
        <f>'E -Stempels UGT'!AG43</f>
        <v>0</v>
      </c>
      <c r="AH59" s="9">
        <f>'E -Stempels UGT'!AH43</f>
        <v>0</v>
      </c>
      <c r="AI59" s="9">
        <f>'E -Stempels UGT'!AI43</f>
        <v>0</v>
      </c>
      <c r="AJ59" s="9">
        <f>'E -Stempels UGT'!AJ43</f>
        <v>0</v>
      </c>
    </row>
    <row r="60" spans="1:36" s="97" customFormat="1" ht="12.75" customHeight="1" x14ac:dyDescent="0.2">
      <c r="A60" s="102" t="s">
        <v>361</v>
      </c>
      <c r="D60" s="99" t="s">
        <v>78</v>
      </c>
      <c r="E60" s="67">
        <f>'D - Gording'!E56</f>
        <v>1000</v>
      </c>
      <c r="F60" s="67" t="e">
        <f>VLOOKUP(F$9,#REF!,12)</f>
        <v>#REF!</v>
      </c>
      <c r="G60" s="67" t="e">
        <f>VLOOKUP(G$9,#REF!,12)</f>
        <v>#REF!</v>
      </c>
      <c r="H60" s="67" t="e">
        <f>VLOOKUP(H$9,#REF!,12)</f>
        <v>#REF!</v>
      </c>
      <c r="I60" s="67" t="e">
        <f>VLOOKUP(I$9,#REF!,12)</f>
        <v>#REF!</v>
      </c>
      <c r="J60" s="67" t="e">
        <f>VLOOKUP(J$9,#REF!,12)</f>
        <v>#REF!</v>
      </c>
      <c r="K60" s="67" t="e">
        <f>VLOOKUP(K$9,#REF!,12)</f>
        <v>#REF!</v>
      </c>
      <c r="L60" s="67" t="e">
        <f>VLOOKUP(L$9,#REF!,12)</f>
        <v>#REF!</v>
      </c>
      <c r="M60" s="67" t="e">
        <f>VLOOKUP(M$9,#REF!,12)</f>
        <v>#REF!</v>
      </c>
      <c r="N60" s="67" t="e">
        <f>VLOOKUP(N$9,#REF!,12)</f>
        <v>#REF!</v>
      </c>
      <c r="O60" s="67" t="e">
        <f>VLOOKUP(O$9,#REF!,12)</f>
        <v>#REF!</v>
      </c>
      <c r="P60" s="67" t="e">
        <f>VLOOKUP(P$9,#REF!,12)</f>
        <v>#REF!</v>
      </c>
      <c r="Q60" s="67" t="e">
        <f>VLOOKUP(Q$9,#REF!,12)</f>
        <v>#REF!</v>
      </c>
      <c r="R60" s="67" t="e">
        <f>VLOOKUP(R$9,#REF!,12)</f>
        <v>#REF!</v>
      </c>
      <c r="S60" s="67" t="e">
        <f>VLOOKUP(S$9,#REF!,12)</f>
        <v>#REF!</v>
      </c>
      <c r="T60" s="67" t="e">
        <f>VLOOKUP(T$9,#REF!,12)</f>
        <v>#REF!</v>
      </c>
      <c r="U60" s="67" t="e">
        <f>VLOOKUP(U$9,#REF!,12)</f>
        <v>#REF!</v>
      </c>
      <c r="V60" s="67" t="e">
        <f>VLOOKUP(V$9,#REF!,12)</f>
        <v>#REF!</v>
      </c>
      <c r="W60" s="67" t="e">
        <f>VLOOKUP(W$9,#REF!,12)</f>
        <v>#REF!</v>
      </c>
      <c r="X60" s="67" t="e">
        <f>VLOOKUP(X$9,#REF!,12)</f>
        <v>#REF!</v>
      </c>
      <c r="Y60" s="67" t="e">
        <f>VLOOKUP(Y$9,#REF!,12)</f>
        <v>#REF!</v>
      </c>
      <c r="Z60" s="67" t="e">
        <f>VLOOKUP(Z$9,#REF!,12)</f>
        <v>#REF!</v>
      </c>
      <c r="AA60" s="67" t="e">
        <f>VLOOKUP(AA$9,#REF!,12)</f>
        <v>#REF!</v>
      </c>
      <c r="AB60" s="67" t="e">
        <f>VLOOKUP(AB$9,#REF!,12)</f>
        <v>#REF!</v>
      </c>
      <c r="AC60" s="67" t="e">
        <f>VLOOKUP(AC$9,#REF!,12)</f>
        <v>#REF!</v>
      </c>
      <c r="AD60" s="67" t="e">
        <f>VLOOKUP(AD$9,#REF!,12)</f>
        <v>#REF!</v>
      </c>
      <c r="AE60" s="67" t="e">
        <f>VLOOKUP(AE$9,#REF!,12)</f>
        <v>#REF!</v>
      </c>
      <c r="AF60" s="67" t="e">
        <f>VLOOKUP(AF$9,#REF!,12)</f>
        <v>#REF!</v>
      </c>
      <c r="AG60" s="67" t="e">
        <f>VLOOKUP(AG$9,#REF!,12)</f>
        <v>#REF!</v>
      </c>
      <c r="AH60" s="67" t="e">
        <f>VLOOKUP(AH$9,#REF!,12)</f>
        <v>#REF!</v>
      </c>
      <c r="AI60" s="67" t="e">
        <f>VLOOKUP(AI$9,#REF!,12)</f>
        <v>#REF!</v>
      </c>
      <c r="AJ60" s="67" t="e">
        <f>VLOOKUP(AJ$9,#REF!,12)</f>
        <v>#REF!</v>
      </c>
    </row>
    <row r="61" spans="1:36" s="97" customFormat="1" ht="12.75" customHeight="1" x14ac:dyDescent="0.2">
      <c r="A61" s="102" t="s">
        <v>362</v>
      </c>
      <c r="D61" s="99" t="s">
        <v>78</v>
      </c>
      <c r="E61" s="67">
        <v>1000</v>
      </c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</row>
    <row r="62" spans="1:36" s="97" customFormat="1" ht="12.75" customHeight="1" x14ac:dyDescent="0.2">
      <c r="A62" s="102" t="s">
        <v>363</v>
      </c>
      <c r="D62" s="99" t="s">
        <v>177</v>
      </c>
      <c r="E62" s="67">
        <f>'D - Gording'!E58</f>
        <v>1000</v>
      </c>
      <c r="F62" s="67" t="e">
        <f>VLOOKUP(F$9,#REF!,13)</f>
        <v>#REF!</v>
      </c>
      <c r="G62" s="67" t="e">
        <f>VLOOKUP(G$9,#REF!,13)</f>
        <v>#REF!</v>
      </c>
      <c r="H62" s="67" t="e">
        <f>VLOOKUP(H$9,#REF!,13)</f>
        <v>#REF!</v>
      </c>
      <c r="I62" s="67" t="e">
        <f>VLOOKUP(I$9,#REF!,13)</f>
        <v>#REF!</v>
      </c>
      <c r="J62" s="67" t="e">
        <f>VLOOKUP(J$9,#REF!,13)</f>
        <v>#REF!</v>
      </c>
      <c r="K62" s="67" t="e">
        <f>VLOOKUP(K$9,#REF!,13)</f>
        <v>#REF!</v>
      </c>
      <c r="L62" s="67" t="e">
        <f>VLOOKUP(L$9,#REF!,13)</f>
        <v>#REF!</v>
      </c>
      <c r="M62" s="67" t="e">
        <f>VLOOKUP(M$9,#REF!,13)</f>
        <v>#REF!</v>
      </c>
      <c r="N62" s="67" t="e">
        <f>VLOOKUP(N$9,#REF!,13)</f>
        <v>#REF!</v>
      </c>
      <c r="O62" s="67" t="e">
        <f>VLOOKUP(O$9,#REF!,13)</f>
        <v>#REF!</v>
      </c>
      <c r="P62" s="67" t="e">
        <f>VLOOKUP(P$9,#REF!,13)</f>
        <v>#REF!</v>
      </c>
      <c r="Q62" s="67" t="e">
        <f>VLOOKUP(Q$9,#REF!,13)</f>
        <v>#REF!</v>
      </c>
      <c r="R62" s="67" t="e">
        <f>VLOOKUP(R$9,#REF!,13)</f>
        <v>#REF!</v>
      </c>
      <c r="S62" s="67" t="e">
        <f>VLOOKUP(S$9,#REF!,13)</f>
        <v>#REF!</v>
      </c>
      <c r="T62" s="67" t="e">
        <f>VLOOKUP(T$9,#REF!,13)</f>
        <v>#REF!</v>
      </c>
      <c r="U62" s="67" t="e">
        <f>VLOOKUP(U$9,#REF!,13)</f>
        <v>#REF!</v>
      </c>
      <c r="V62" s="67" t="e">
        <f>VLOOKUP(V$9,#REF!,13)</f>
        <v>#REF!</v>
      </c>
      <c r="W62" s="67" t="e">
        <f>VLOOKUP(W$9,#REF!,13)</f>
        <v>#REF!</v>
      </c>
      <c r="X62" s="67" t="e">
        <f>VLOOKUP(X$9,#REF!,13)</f>
        <v>#REF!</v>
      </c>
      <c r="Y62" s="67" t="e">
        <f>VLOOKUP(Y$9,#REF!,13)</f>
        <v>#REF!</v>
      </c>
      <c r="Z62" s="67" t="e">
        <f>VLOOKUP(Z$9,#REF!,13)</f>
        <v>#REF!</v>
      </c>
      <c r="AA62" s="67" t="e">
        <f>VLOOKUP(AA$9,#REF!,13)</f>
        <v>#REF!</v>
      </c>
      <c r="AB62" s="67" t="e">
        <f>VLOOKUP(AB$9,#REF!,13)</f>
        <v>#REF!</v>
      </c>
      <c r="AC62" s="67" t="e">
        <f>VLOOKUP(AC$9,#REF!,13)</f>
        <v>#REF!</v>
      </c>
      <c r="AD62" s="67" t="e">
        <f>VLOOKUP(AD$9,#REF!,13)</f>
        <v>#REF!</v>
      </c>
      <c r="AE62" s="67" t="e">
        <f>VLOOKUP(AE$9,#REF!,13)</f>
        <v>#REF!</v>
      </c>
      <c r="AF62" s="67" t="e">
        <f>VLOOKUP(AF$9,#REF!,13)</f>
        <v>#REF!</v>
      </c>
      <c r="AG62" s="67" t="e">
        <f>VLOOKUP(AG$9,#REF!,13)</f>
        <v>#REF!</v>
      </c>
      <c r="AH62" s="67" t="e">
        <f>VLOOKUP(AH$9,#REF!,13)</f>
        <v>#REF!</v>
      </c>
      <c r="AI62" s="67" t="e">
        <f>VLOOKUP(AI$9,#REF!,13)</f>
        <v>#REF!</v>
      </c>
      <c r="AJ62" s="67" t="e">
        <f>VLOOKUP(AJ$9,#REF!,13)</f>
        <v>#REF!</v>
      </c>
    </row>
    <row r="63" spans="1:36" ht="12.75" customHeight="1" x14ac:dyDescent="0.2">
      <c r="A63" s="46"/>
    </row>
    <row r="64" spans="1:36" ht="12.75" customHeight="1" x14ac:dyDescent="0.2">
      <c r="A64" s="42" t="s">
        <v>364</v>
      </c>
    </row>
    <row r="65" spans="1:36" s="97" customFormat="1" ht="12.75" customHeight="1" x14ac:dyDescent="0.2">
      <c r="A65" s="96" t="s">
        <v>365</v>
      </c>
      <c r="C65" s="98"/>
      <c r="D65" s="99" t="s">
        <v>366</v>
      </c>
      <c r="E65" s="100">
        <f>MAX('C - overzicht'!H11:I11)</f>
        <v>0</v>
      </c>
      <c r="F65" s="100" t="e">
        <f>MAX(VLOOKUP(F$9,#REF!,7,(VLOOKUP(F9,#REF!,8))))</f>
        <v>#REF!</v>
      </c>
      <c r="G65" s="100" t="e">
        <f>MAX(VLOOKUP(G$9,#REF!,7,(VLOOKUP(G9,#REF!,8))))</f>
        <v>#REF!</v>
      </c>
      <c r="H65" s="100" t="e">
        <f>MAX(VLOOKUP(H$9,#REF!,7,(VLOOKUP(H9,#REF!,8))))</f>
        <v>#REF!</v>
      </c>
      <c r="I65" s="100" t="e">
        <f>MAX(VLOOKUP(I$9,#REF!,7,(VLOOKUP(I9,#REF!,8))))</f>
        <v>#REF!</v>
      </c>
      <c r="J65" s="100" t="e">
        <f>MAX(VLOOKUP(J$9,#REF!,7,(VLOOKUP(J9,#REF!,8))))</f>
        <v>#REF!</v>
      </c>
      <c r="K65" s="100" t="e">
        <f>MAX(VLOOKUP(K$9,#REF!,7,(VLOOKUP(K9,#REF!,8))))</f>
        <v>#REF!</v>
      </c>
      <c r="L65" s="100" t="e">
        <f>MAX(VLOOKUP(L$9,#REF!,7,(VLOOKUP(L9,#REF!,8))))</f>
        <v>#REF!</v>
      </c>
      <c r="M65" s="100" t="e">
        <f>MAX(VLOOKUP(M$9,#REF!,7,(VLOOKUP(M9,#REF!,8))))</f>
        <v>#REF!</v>
      </c>
      <c r="N65" s="100" t="e">
        <f>MAX(VLOOKUP(N$9,#REF!,7,(VLOOKUP(N9,#REF!,8))))</f>
        <v>#REF!</v>
      </c>
      <c r="O65" s="100" t="e">
        <f>MAX(VLOOKUP(O$9,#REF!,7,(VLOOKUP(O9,#REF!,8))))</f>
        <v>#REF!</v>
      </c>
      <c r="P65" s="100" t="e">
        <f>MAX(VLOOKUP(P$9,#REF!,7,(VLOOKUP(P9,#REF!,8))))</f>
        <v>#REF!</v>
      </c>
      <c r="Q65" s="100" t="e">
        <f>MAX(VLOOKUP(Q$9,#REF!,7,(VLOOKUP(Q9,#REF!,8))))</f>
        <v>#REF!</v>
      </c>
      <c r="R65" s="100" t="e">
        <f>MAX(VLOOKUP(R$9,#REF!,7,(VLOOKUP(R9,#REF!,8))))</f>
        <v>#REF!</v>
      </c>
      <c r="S65" s="100" t="e">
        <f>MAX(VLOOKUP(S$9,#REF!,7,(VLOOKUP(S9,#REF!,8))))</f>
        <v>#REF!</v>
      </c>
      <c r="T65" s="100" t="e">
        <f>MAX(VLOOKUP(T$9,#REF!,7,(VLOOKUP(T9,#REF!,8))))</f>
        <v>#REF!</v>
      </c>
      <c r="U65" s="100" t="e">
        <f>MAX(VLOOKUP(U$9,#REF!,7,(VLOOKUP(U9,#REF!,8))))</f>
        <v>#REF!</v>
      </c>
      <c r="V65" s="100" t="e">
        <f>MAX(VLOOKUP(V$9,#REF!,7,(VLOOKUP(V9,#REF!,8))))</f>
        <v>#REF!</v>
      </c>
      <c r="W65" s="100" t="e">
        <f>MAX(VLOOKUP(W$9,#REF!,7,(VLOOKUP(W9,#REF!,8))))</f>
        <v>#REF!</v>
      </c>
      <c r="X65" s="100" t="e">
        <f>MAX(VLOOKUP(X$9,#REF!,7,(VLOOKUP(X9,#REF!,8))))</f>
        <v>#REF!</v>
      </c>
      <c r="Y65" s="100" t="e">
        <f>MAX(VLOOKUP(Y$9,#REF!,7,(VLOOKUP(Y9,#REF!,8))))</f>
        <v>#REF!</v>
      </c>
      <c r="Z65" s="100" t="e">
        <f>MAX(VLOOKUP(Z$9,#REF!,7,(VLOOKUP(Z9,#REF!,8))))</f>
        <v>#REF!</v>
      </c>
      <c r="AA65" s="100" t="e">
        <f>MAX(VLOOKUP(AA$9,#REF!,7,(VLOOKUP(AA9,#REF!,8))))</f>
        <v>#REF!</v>
      </c>
      <c r="AB65" s="100" t="e">
        <f>MAX(VLOOKUP(AB$9,#REF!,7,(VLOOKUP(AB9,#REF!,8))))</f>
        <v>#REF!</v>
      </c>
      <c r="AC65" s="100" t="e">
        <f>MAX(VLOOKUP(AC$9,#REF!,7,(VLOOKUP(AC9,#REF!,8))))</f>
        <v>#REF!</v>
      </c>
      <c r="AD65" s="100" t="e">
        <f>MAX(VLOOKUP(AD$9,#REF!,7,(VLOOKUP(AD9,#REF!,8))))</f>
        <v>#REF!</v>
      </c>
      <c r="AE65" s="100" t="e">
        <f>MAX(VLOOKUP(AE$9,#REF!,7,(VLOOKUP(AE9,#REF!,8))))</f>
        <v>#REF!</v>
      </c>
      <c r="AF65" s="100" t="e">
        <f>MAX(VLOOKUP(AF$9,#REF!,7,(VLOOKUP(AF9,#REF!,8))))</f>
        <v>#REF!</v>
      </c>
      <c r="AG65" s="100" t="e">
        <f>MAX(VLOOKUP(AG$9,#REF!,7,(VLOOKUP(AG9,#REF!,8))))</f>
        <v>#REF!</v>
      </c>
      <c r="AH65" s="100" t="e">
        <f>MAX(VLOOKUP(AH$9,#REF!,7,(VLOOKUP(AH9,#REF!,8))))</f>
        <v>#REF!</v>
      </c>
      <c r="AI65" s="100" t="e">
        <f>MAX(VLOOKUP(AI$9,#REF!,7,(VLOOKUP(AI9,#REF!,8))))</f>
        <v>#REF!</v>
      </c>
      <c r="AJ65" s="100" t="e">
        <f>MAX(VLOOKUP(AJ$9,#REF!,7,(VLOOKUP(AJ9,#REF!,8))))</f>
        <v>#REF!</v>
      </c>
    </row>
    <row r="66" spans="1:36" s="97" customFormat="1" ht="12.75" customHeight="1" x14ac:dyDescent="0.2">
      <c r="A66" s="96" t="s">
        <v>367</v>
      </c>
      <c r="C66" s="98"/>
      <c r="D66" s="99" t="s">
        <v>141</v>
      </c>
      <c r="E66" s="101">
        <f>'C - overzicht'!W11</f>
        <v>20</v>
      </c>
      <c r="F66" s="101" t="e">
        <f>VLOOKUP(F$9,#REF!,22)</f>
        <v>#REF!</v>
      </c>
      <c r="G66" s="101" t="e">
        <f>VLOOKUP(G$9,#REF!,22)</f>
        <v>#REF!</v>
      </c>
      <c r="H66" s="101" t="e">
        <f>VLOOKUP(H$9,#REF!,22)</f>
        <v>#REF!</v>
      </c>
      <c r="I66" s="101" t="e">
        <f>VLOOKUP(I$9,#REF!,22)</f>
        <v>#REF!</v>
      </c>
      <c r="J66" s="101" t="e">
        <f>VLOOKUP(J$9,#REF!,22)</f>
        <v>#REF!</v>
      </c>
      <c r="K66" s="101" t="e">
        <f>VLOOKUP(K$9,#REF!,22)</f>
        <v>#REF!</v>
      </c>
      <c r="L66" s="101" t="e">
        <f>VLOOKUP(L$9,#REF!,22)</f>
        <v>#REF!</v>
      </c>
      <c r="M66" s="101" t="e">
        <f>VLOOKUP(M$9,#REF!,22)</f>
        <v>#REF!</v>
      </c>
      <c r="N66" s="101" t="e">
        <f>VLOOKUP(N$9,#REF!,22)</f>
        <v>#REF!</v>
      </c>
      <c r="O66" s="101" t="e">
        <f>VLOOKUP(O$9,#REF!,22)</f>
        <v>#REF!</v>
      </c>
      <c r="P66" s="101" t="e">
        <f>VLOOKUP(P$9,#REF!,22)</f>
        <v>#REF!</v>
      </c>
      <c r="Q66" s="101" t="e">
        <f>VLOOKUP(Q$9,#REF!,22)</f>
        <v>#REF!</v>
      </c>
      <c r="R66" s="101" t="e">
        <f>VLOOKUP(R$9,#REF!,22)</f>
        <v>#REF!</v>
      </c>
      <c r="S66" s="101" t="e">
        <f>VLOOKUP(S$9,#REF!,22)</f>
        <v>#REF!</v>
      </c>
      <c r="T66" s="101" t="e">
        <f>VLOOKUP(T$9,#REF!,22)</f>
        <v>#REF!</v>
      </c>
      <c r="U66" s="101" t="e">
        <f>VLOOKUP(U$9,#REF!,22)</f>
        <v>#REF!</v>
      </c>
      <c r="V66" s="101" t="e">
        <f>VLOOKUP(V$9,#REF!,22)</f>
        <v>#REF!</v>
      </c>
      <c r="W66" s="101" t="e">
        <f>VLOOKUP(W$9,#REF!,22)</f>
        <v>#REF!</v>
      </c>
      <c r="X66" s="101" t="e">
        <f>VLOOKUP(X$9,#REF!,22)</f>
        <v>#REF!</v>
      </c>
      <c r="Y66" s="101" t="e">
        <f>VLOOKUP(Y$9,#REF!,22)</f>
        <v>#REF!</v>
      </c>
      <c r="Z66" s="101" t="e">
        <f>VLOOKUP(Z$9,#REF!,22)</f>
        <v>#REF!</v>
      </c>
      <c r="AA66" s="101" t="e">
        <f>VLOOKUP(AA$9,#REF!,22)</f>
        <v>#REF!</v>
      </c>
      <c r="AB66" s="101" t="e">
        <f>VLOOKUP(AB$9,#REF!,22)</f>
        <v>#REF!</v>
      </c>
      <c r="AC66" s="101" t="e">
        <f>VLOOKUP(AC$9,#REF!,22)</f>
        <v>#REF!</v>
      </c>
      <c r="AD66" s="101" t="e">
        <f>VLOOKUP(AD$9,#REF!,22)</f>
        <v>#REF!</v>
      </c>
      <c r="AE66" s="101" t="e">
        <f>VLOOKUP(AE$9,#REF!,22)</f>
        <v>#REF!</v>
      </c>
      <c r="AF66" s="101" t="e">
        <f>VLOOKUP(AF$9,#REF!,22)</f>
        <v>#REF!</v>
      </c>
      <c r="AG66" s="101" t="e">
        <f>VLOOKUP(AG$9,#REF!,22)</f>
        <v>#REF!</v>
      </c>
      <c r="AH66" s="101" t="e">
        <f>VLOOKUP(AH$9,#REF!,22)</f>
        <v>#REF!</v>
      </c>
      <c r="AI66" s="101" t="e">
        <f>VLOOKUP(AI$9,#REF!,22)</f>
        <v>#REF!</v>
      </c>
      <c r="AJ66" s="101" t="e">
        <f>VLOOKUP(AJ$9,#REF!,22)</f>
        <v>#REF!</v>
      </c>
    </row>
    <row r="67" spans="1:36" ht="12.75" customHeight="1" x14ac:dyDescent="0.2">
      <c r="A67" s="6"/>
    </row>
    <row r="68" spans="1:36" ht="12.75" customHeight="1" x14ac:dyDescent="0.2">
      <c r="A68" s="13" t="s">
        <v>368</v>
      </c>
    </row>
    <row r="69" spans="1:36" ht="12.75" customHeight="1" x14ac:dyDescent="0.2">
      <c r="A69" s="4" t="s">
        <v>369</v>
      </c>
      <c r="C69" s="61" t="s">
        <v>370</v>
      </c>
      <c r="D69" s="39" t="s">
        <v>78</v>
      </c>
      <c r="E69" s="47">
        <f>(E56*E59/2*SIN(E65*PI()/180))/(E30)</f>
        <v>0</v>
      </c>
      <c r="F69" s="9" t="e">
        <f>VLOOKUP(F$9,#REF!,9)</f>
        <v>#REF!</v>
      </c>
      <c r="G69" s="9" t="e">
        <f>VLOOKUP(G$9,#REF!,9)</f>
        <v>#REF!</v>
      </c>
      <c r="H69" s="9" t="e">
        <f>VLOOKUP(H$9,#REF!,9)</f>
        <v>#REF!</v>
      </c>
      <c r="I69" s="9" t="e">
        <f>VLOOKUP(I$9,#REF!,9)</f>
        <v>#REF!</v>
      </c>
      <c r="J69" s="9" t="e">
        <f>VLOOKUP(J$9,#REF!,9)</f>
        <v>#REF!</v>
      </c>
      <c r="K69" s="9" t="e">
        <f>VLOOKUP(K$9,#REF!,9)</f>
        <v>#REF!</v>
      </c>
      <c r="L69" s="9" t="e">
        <f>VLOOKUP(L$9,#REF!,9)</f>
        <v>#REF!</v>
      </c>
      <c r="M69" s="9" t="e">
        <f>VLOOKUP(M$9,#REF!,9)</f>
        <v>#REF!</v>
      </c>
      <c r="N69" s="9" t="e">
        <f>VLOOKUP(N$9,#REF!,9)</f>
        <v>#REF!</v>
      </c>
      <c r="O69" s="9" t="e">
        <f>VLOOKUP(O$9,#REF!,9)</f>
        <v>#REF!</v>
      </c>
      <c r="P69" s="9" t="e">
        <f>VLOOKUP(P$9,#REF!,9)</f>
        <v>#REF!</v>
      </c>
      <c r="Q69" s="9" t="e">
        <f>VLOOKUP(Q$9,#REF!,9)</f>
        <v>#REF!</v>
      </c>
      <c r="R69" s="9" t="e">
        <f>VLOOKUP(R$9,#REF!,9)</f>
        <v>#REF!</v>
      </c>
      <c r="S69" s="9" t="e">
        <f>VLOOKUP(S$9,#REF!,9)</f>
        <v>#REF!</v>
      </c>
      <c r="T69" s="9" t="e">
        <f>VLOOKUP(T$9,#REF!,9)</f>
        <v>#REF!</v>
      </c>
      <c r="U69" s="9" t="e">
        <f>VLOOKUP(U$9,#REF!,9)</f>
        <v>#REF!</v>
      </c>
      <c r="V69" s="9" t="e">
        <f>VLOOKUP(V$9,#REF!,9)</f>
        <v>#REF!</v>
      </c>
      <c r="W69" s="9" t="e">
        <f>VLOOKUP(W$9,#REF!,9)</f>
        <v>#REF!</v>
      </c>
      <c r="X69" s="9" t="e">
        <f>VLOOKUP(X$9,#REF!,9)</f>
        <v>#REF!</v>
      </c>
      <c r="Y69" s="9" t="e">
        <f>VLOOKUP(Y$9,#REF!,9)</f>
        <v>#REF!</v>
      </c>
      <c r="Z69" s="9" t="e">
        <f>VLOOKUP(Z$9,#REF!,9)</f>
        <v>#REF!</v>
      </c>
      <c r="AA69" s="9" t="e">
        <f>VLOOKUP(AA$9,#REF!,9)</f>
        <v>#REF!</v>
      </c>
      <c r="AB69" s="9" t="e">
        <f>VLOOKUP(AB$9,#REF!,9)</f>
        <v>#REF!</v>
      </c>
      <c r="AC69" s="9" t="e">
        <f>VLOOKUP(AC$9,#REF!,9)</f>
        <v>#REF!</v>
      </c>
      <c r="AD69" s="9" t="e">
        <f>VLOOKUP(AD$9,#REF!,9)</f>
        <v>#REF!</v>
      </c>
      <c r="AE69" s="9" t="e">
        <f>VLOOKUP(AE$9,#REF!,9)</f>
        <v>#REF!</v>
      </c>
      <c r="AF69" s="9" t="e">
        <f>VLOOKUP(AF$9,#REF!,9)</f>
        <v>#REF!</v>
      </c>
      <c r="AG69" s="9" t="e">
        <f>VLOOKUP(AG$9,#REF!,9)</f>
        <v>#REF!</v>
      </c>
      <c r="AH69" s="9" t="e">
        <f>VLOOKUP(AH$9,#REF!,9)</f>
        <v>#REF!</v>
      </c>
      <c r="AI69" s="9" t="e">
        <f>VLOOKUP(AI$9,#REF!,9)</f>
        <v>#REF!</v>
      </c>
      <c r="AJ69" s="9" t="e">
        <f>VLOOKUP(AJ$9,#REF!,9)</f>
        <v>#REF!</v>
      </c>
    </row>
    <row r="70" spans="1:36" ht="12.75" customHeight="1" x14ac:dyDescent="0.2">
      <c r="A70" s="46"/>
      <c r="C70" s="40" t="s">
        <v>371</v>
      </c>
      <c r="D70" s="9" t="s">
        <v>141</v>
      </c>
      <c r="E70" s="9">
        <f t="shared" ref="E70:AJ70" si="24">E35+2*E37+2*E36+2*E66</f>
        <v>169.5</v>
      </c>
      <c r="F70" s="9" t="e">
        <f t="shared" si="24"/>
        <v>#REF!</v>
      </c>
      <c r="G70" s="9" t="e">
        <f t="shared" si="24"/>
        <v>#REF!</v>
      </c>
      <c r="H70" s="9" t="e">
        <f t="shared" si="24"/>
        <v>#REF!</v>
      </c>
      <c r="I70" s="9" t="e">
        <f t="shared" si="24"/>
        <v>#REF!</v>
      </c>
      <c r="J70" s="9" t="e">
        <f t="shared" si="24"/>
        <v>#REF!</v>
      </c>
      <c r="K70" s="9" t="e">
        <f t="shared" si="24"/>
        <v>#REF!</v>
      </c>
      <c r="L70" s="9" t="e">
        <f t="shared" si="24"/>
        <v>#REF!</v>
      </c>
      <c r="M70" s="9" t="e">
        <f t="shared" si="24"/>
        <v>#REF!</v>
      </c>
      <c r="N70" s="9" t="e">
        <f t="shared" si="24"/>
        <v>#REF!</v>
      </c>
      <c r="O70" s="9" t="e">
        <f t="shared" si="24"/>
        <v>#REF!</v>
      </c>
      <c r="P70" s="9" t="e">
        <f t="shared" si="24"/>
        <v>#REF!</v>
      </c>
      <c r="Q70" s="9" t="e">
        <f t="shared" si="24"/>
        <v>#REF!</v>
      </c>
      <c r="R70" s="9" t="e">
        <f t="shared" si="24"/>
        <v>#REF!</v>
      </c>
      <c r="S70" s="9" t="e">
        <f t="shared" si="24"/>
        <v>#REF!</v>
      </c>
      <c r="T70" s="9" t="e">
        <f t="shared" si="24"/>
        <v>#REF!</v>
      </c>
      <c r="U70" s="9" t="e">
        <f t="shared" si="24"/>
        <v>#REF!</v>
      </c>
      <c r="V70" s="9" t="e">
        <f t="shared" si="24"/>
        <v>#REF!</v>
      </c>
      <c r="W70" s="9" t="e">
        <f t="shared" si="24"/>
        <v>#REF!</v>
      </c>
      <c r="X70" s="9" t="e">
        <f t="shared" si="24"/>
        <v>#REF!</v>
      </c>
      <c r="Y70" s="9" t="e">
        <f t="shared" si="24"/>
        <v>#REF!</v>
      </c>
      <c r="Z70" s="9" t="e">
        <f t="shared" si="24"/>
        <v>#REF!</v>
      </c>
      <c r="AA70" s="9" t="e">
        <f t="shared" si="24"/>
        <v>#REF!</v>
      </c>
      <c r="AB70" s="9" t="e">
        <f t="shared" si="24"/>
        <v>#REF!</v>
      </c>
      <c r="AC70" s="9" t="e">
        <f t="shared" si="24"/>
        <v>#REF!</v>
      </c>
      <c r="AD70" s="9" t="e">
        <f t="shared" si="24"/>
        <v>#REF!</v>
      </c>
      <c r="AE70" s="9" t="e">
        <f t="shared" si="24"/>
        <v>#REF!</v>
      </c>
      <c r="AF70" s="9" t="e">
        <f t="shared" si="24"/>
        <v>#REF!</v>
      </c>
      <c r="AG70" s="9" t="e">
        <f t="shared" si="24"/>
        <v>#REF!</v>
      </c>
      <c r="AH70" s="9" t="e">
        <f t="shared" si="24"/>
        <v>#REF!</v>
      </c>
      <c r="AI70" s="9" t="e">
        <f t="shared" si="24"/>
        <v>#REF!</v>
      </c>
      <c r="AJ70" s="9" t="e">
        <f t="shared" si="24"/>
        <v>#REF!</v>
      </c>
    </row>
    <row r="71" spans="1:36" ht="12.75" customHeight="1" x14ac:dyDescent="0.2">
      <c r="A71" s="46"/>
      <c r="C71" s="40" t="s">
        <v>372</v>
      </c>
      <c r="D71" s="9" t="s">
        <v>78</v>
      </c>
      <c r="E71" s="47">
        <f t="shared" ref="E71:AJ71" si="25">E70*E18*E11/1000</f>
        <v>0</v>
      </c>
      <c r="F71" s="47" t="e">
        <f t="shared" si="25"/>
        <v>#REF!</v>
      </c>
      <c r="G71" s="47" t="e">
        <f t="shared" si="25"/>
        <v>#REF!</v>
      </c>
      <c r="H71" s="47" t="e">
        <f t="shared" si="25"/>
        <v>#REF!</v>
      </c>
      <c r="I71" s="47" t="e">
        <f t="shared" si="25"/>
        <v>#REF!</v>
      </c>
      <c r="J71" s="47" t="e">
        <f t="shared" si="25"/>
        <v>#REF!</v>
      </c>
      <c r="K71" s="47" t="e">
        <f t="shared" si="25"/>
        <v>#REF!</v>
      </c>
      <c r="L71" s="47" t="e">
        <f t="shared" si="25"/>
        <v>#REF!</v>
      </c>
      <c r="M71" s="47" t="e">
        <f t="shared" si="25"/>
        <v>#REF!</v>
      </c>
      <c r="N71" s="47" t="e">
        <f t="shared" si="25"/>
        <v>#REF!</v>
      </c>
      <c r="O71" s="47" t="e">
        <f t="shared" si="25"/>
        <v>#REF!</v>
      </c>
      <c r="P71" s="47" t="e">
        <f t="shared" si="25"/>
        <v>#REF!</v>
      </c>
      <c r="Q71" s="47" t="e">
        <f t="shared" si="25"/>
        <v>#REF!</v>
      </c>
      <c r="R71" s="47" t="e">
        <f t="shared" si="25"/>
        <v>#REF!</v>
      </c>
      <c r="S71" s="47" t="e">
        <f t="shared" si="25"/>
        <v>#REF!</v>
      </c>
      <c r="T71" s="47" t="e">
        <f t="shared" si="25"/>
        <v>#REF!</v>
      </c>
      <c r="U71" s="47" t="e">
        <f t="shared" si="25"/>
        <v>#REF!</v>
      </c>
      <c r="V71" s="47" t="e">
        <f t="shared" si="25"/>
        <v>#REF!</v>
      </c>
      <c r="W71" s="47" t="e">
        <f t="shared" si="25"/>
        <v>#REF!</v>
      </c>
      <c r="X71" s="47" t="e">
        <f t="shared" si="25"/>
        <v>#REF!</v>
      </c>
      <c r="Y71" s="47" t="e">
        <f t="shared" si="25"/>
        <v>#REF!</v>
      </c>
      <c r="Z71" s="47" t="e">
        <f t="shared" si="25"/>
        <v>#REF!</v>
      </c>
      <c r="AA71" s="47" t="e">
        <f t="shared" si="25"/>
        <v>#REF!</v>
      </c>
      <c r="AB71" s="47" t="e">
        <f t="shared" si="25"/>
        <v>#REF!</v>
      </c>
      <c r="AC71" s="47" t="e">
        <f t="shared" si="25"/>
        <v>#REF!</v>
      </c>
      <c r="AD71" s="47" t="e">
        <f t="shared" si="25"/>
        <v>#REF!</v>
      </c>
      <c r="AE71" s="47" t="e">
        <f t="shared" si="25"/>
        <v>#REF!</v>
      </c>
      <c r="AF71" s="47" t="e">
        <f t="shared" si="25"/>
        <v>#REF!</v>
      </c>
      <c r="AG71" s="47" t="e">
        <f t="shared" si="25"/>
        <v>#REF!</v>
      </c>
      <c r="AH71" s="47" t="e">
        <f t="shared" si="25"/>
        <v>#REF!</v>
      </c>
      <c r="AI71" s="47" t="e">
        <f t="shared" si="25"/>
        <v>#REF!</v>
      </c>
      <c r="AJ71" s="47" t="e">
        <f t="shared" si="25"/>
        <v>#REF!</v>
      </c>
    </row>
    <row r="72" spans="1:36" ht="12.75" customHeight="1" x14ac:dyDescent="0.2">
      <c r="A72" s="4" t="s">
        <v>181</v>
      </c>
      <c r="C72" s="61" t="s">
        <v>373</v>
      </c>
      <c r="D72" s="39" t="s">
        <v>113</v>
      </c>
      <c r="E72" s="53" t="e">
        <f t="shared" ref="E72:AJ72" si="26">E69/E71</f>
        <v>#DIV/0!</v>
      </c>
      <c r="F72" s="53" t="e">
        <f t="shared" si="26"/>
        <v>#REF!</v>
      </c>
      <c r="G72" s="53" t="e">
        <f t="shared" si="26"/>
        <v>#REF!</v>
      </c>
      <c r="H72" s="53" t="e">
        <f t="shared" si="26"/>
        <v>#REF!</v>
      </c>
      <c r="I72" s="53" t="e">
        <f t="shared" si="26"/>
        <v>#REF!</v>
      </c>
      <c r="J72" s="53" t="e">
        <f t="shared" si="26"/>
        <v>#REF!</v>
      </c>
      <c r="K72" s="53" t="e">
        <f t="shared" si="26"/>
        <v>#REF!</v>
      </c>
      <c r="L72" s="53" t="e">
        <f t="shared" si="26"/>
        <v>#REF!</v>
      </c>
      <c r="M72" s="53" t="e">
        <f t="shared" si="26"/>
        <v>#REF!</v>
      </c>
      <c r="N72" s="53" t="e">
        <f t="shared" si="26"/>
        <v>#REF!</v>
      </c>
      <c r="O72" s="53" t="e">
        <f t="shared" si="26"/>
        <v>#REF!</v>
      </c>
      <c r="P72" s="53" t="e">
        <f t="shared" si="26"/>
        <v>#REF!</v>
      </c>
      <c r="Q72" s="53" t="e">
        <f t="shared" si="26"/>
        <v>#REF!</v>
      </c>
      <c r="R72" s="53" t="e">
        <f t="shared" si="26"/>
        <v>#REF!</v>
      </c>
      <c r="S72" s="53" t="e">
        <f t="shared" si="26"/>
        <v>#REF!</v>
      </c>
      <c r="T72" s="53" t="e">
        <f t="shared" si="26"/>
        <v>#REF!</v>
      </c>
      <c r="U72" s="53" t="e">
        <f t="shared" si="26"/>
        <v>#REF!</v>
      </c>
      <c r="V72" s="53" t="e">
        <f t="shared" si="26"/>
        <v>#REF!</v>
      </c>
      <c r="W72" s="53" t="e">
        <f t="shared" si="26"/>
        <v>#REF!</v>
      </c>
      <c r="X72" s="53" t="e">
        <f t="shared" si="26"/>
        <v>#REF!</v>
      </c>
      <c r="Y72" s="53" t="e">
        <f t="shared" si="26"/>
        <v>#REF!</v>
      </c>
      <c r="Z72" s="53" t="e">
        <f t="shared" si="26"/>
        <v>#REF!</v>
      </c>
      <c r="AA72" s="53" t="e">
        <f t="shared" si="26"/>
        <v>#REF!</v>
      </c>
      <c r="AB72" s="53" t="e">
        <f t="shared" si="26"/>
        <v>#REF!</v>
      </c>
      <c r="AC72" s="53" t="e">
        <f t="shared" si="26"/>
        <v>#REF!</v>
      </c>
      <c r="AD72" s="53" t="e">
        <f t="shared" si="26"/>
        <v>#REF!</v>
      </c>
      <c r="AE72" s="53" t="e">
        <f t="shared" si="26"/>
        <v>#REF!</v>
      </c>
      <c r="AF72" s="53" t="e">
        <f t="shared" si="26"/>
        <v>#REF!</v>
      </c>
      <c r="AG72" s="53" t="e">
        <f t="shared" si="26"/>
        <v>#REF!</v>
      </c>
      <c r="AH72" s="53" t="e">
        <f t="shared" si="26"/>
        <v>#REF!</v>
      </c>
      <c r="AI72" s="53" t="e">
        <f t="shared" si="26"/>
        <v>#REF!</v>
      </c>
      <c r="AJ72" s="53" t="e">
        <f t="shared" si="26"/>
        <v>#REF!</v>
      </c>
    </row>
    <row r="73" spans="1:36" ht="12.75" customHeight="1" x14ac:dyDescent="0.2">
      <c r="A73" s="6"/>
    </row>
    <row r="74" spans="1:36" ht="12.75" customHeight="1" x14ac:dyDescent="0.2">
      <c r="A74" s="14" t="s">
        <v>374</v>
      </c>
      <c r="C74" s="57"/>
    </row>
    <row r="75" spans="1:36" ht="12.75" customHeight="1" x14ac:dyDescent="0.2">
      <c r="A75" s="75" t="s">
        <v>375</v>
      </c>
      <c r="C75" s="57" t="s">
        <v>376</v>
      </c>
    </row>
    <row r="76" spans="1:36" ht="12.75" customHeight="1" x14ac:dyDescent="0.2">
      <c r="A76" s="4" t="s">
        <v>369</v>
      </c>
      <c r="C76" s="61" t="s">
        <v>370</v>
      </c>
      <c r="D76" s="39" t="s">
        <v>78</v>
      </c>
      <c r="E76" s="47">
        <f t="shared" ref="E76:AJ76" si="27">E69</f>
        <v>0</v>
      </c>
      <c r="F76" s="44" t="e">
        <f t="shared" si="27"/>
        <v>#REF!</v>
      </c>
      <c r="G76" s="44" t="e">
        <f t="shared" si="27"/>
        <v>#REF!</v>
      </c>
      <c r="H76" s="44" t="e">
        <f t="shared" si="27"/>
        <v>#REF!</v>
      </c>
      <c r="I76" s="44" t="e">
        <f t="shared" si="27"/>
        <v>#REF!</v>
      </c>
      <c r="J76" s="44" t="e">
        <f t="shared" si="27"/>
        <v>#REF!</v>
      </c>
      <c r="K76" s="44" t="e">
        <f t="shared" si="27"/>
        <v>#REF!</v>
      </c>
      <c r="L76" s="44" t="e">
        <f t="shared" si="27"/>
        <v>#REF!</v>
      </c>
      <c r="M76" s="44" t="e">
        <f t="shared" si="27"/>
        <v>#REF!</v>
      </c>
      <c r="N76" s="44" t="e">
        <f t="shared" si="27"/>
        <v>#REF!</v>
      </c>
      <c r="O76" s="44" t="e">
        <f t="shared" si="27"/>
        <v>#REF!</v>
      </c>
      <c r="P76" s="44" t="e">
        <f t="shared" si="27"/>
        <v>#REF!</v>
      </c>
      <c r="Q76" s="44" t="e">
        <f t="shared" si="27"/>
        <v>#REF!</v>
      </c>
      <c r="R76" s="44" t="e">
        <f t="shared" si="27"/>
        <v>#REF!</v>
      </c>
      <c r="S76" s="44" t="e">
        <f t="shared" si="27"/>
        <v>#REF!</v>
      </c>
      <c r="T76" s="44" t="e">
        <f t="shared" si="27"/>
        <v>#REF!</v>
      </c>
      <c r="U76" s="44" t="e">
        <f t="shared" si="27"/>
        <v>#REF!</v>
      </c>
      <c r="V76" s="44" t="e">
        <f t="shared" si="27"/>
        <v>#REF!</v>
      </c>
      <c r="W76" s="44" t="e">
        <f t="shared" si="27"/>
        <v>#REF!</v>
      </c>
      <c r="X76" s="44" t="e">
        <f t="shared" si="27"/>
        <v>#REF!</v>
      </c>
      <c r="Y76" s="44" t="e">
        <f t="shared" si="27"/>
        <v>#REF!</v>
      </c>
      <c r="Z76" s="44" t="e">
        <f t="shared" si="27"/>
        <v>#REF!</v>
      </c>
      <c r="AA76" s="44" t="e">
        <f t="shared" si="27"/>
        <v>#REF!</v>
      </c>
      <c r="AB76" s="44" t="e">
        <f t="shared" si="27"/>
        <v>#REF!</v>
      </c>
      <c r="AC76" s="44" t="e">
        <f t="shared" si="27"/>
        <v>#REF!</v>
      </c>
      <c r="AD76" s="44" t="e">
        <f t="shared" si="27"/>
        <v>#REF!</v>
      </c>
      <c r="AE76" s="44" t="e">
        <f t="shared" si="27"/>
        <v>#REF!</v>
      </c>
      <c r="AF76" s="44" t="e">
        <f t="shared" si="27"/>
        <v>#REF!</v>
      </c>
      <c r="AG76" s="44" t="e">
        <f t="shared" si="27"/>
        <v>#REF!</v>
      </c>
      <c r="AH76" s="44" t="e">
        <f t="shared" si="27"/>
        <v>#REF!</v>
      </c>
      <c r="AI76" s="44" t="e">
        <f t="shared" si="27"/>
        <v>#REF!</v>
      </c>
      <c r="AJ76" s="44" t="e">
        <f t="shared" si="27"/>
        <v>#REF!</v>
      </c>
    </row>
    <row r="77" spans="1:36" ht="12.75" customHeight="1" x14ac:dyDescent="0.2">
      <c r="A77" s="6"/>
      <c r="C77" s="7" t="s">
        <v>377</v>
      </c>
      <c r="D77" s="10" t="s">
        <v>127</v>
      </c>
      <c r="E77" s="47">
        <f t="shared" ref="E77:AJ77" si="28">(((E62*10^6*E55)/(E39*E30))+((E60*10^3*E55)/(E33*E30)))/2</f>
        <v>105.96016184251478</v>
      </c>
      <c r="F77" s="47" t="e">
        <f t="shared" si="28"/>
        <v>#REF!</v>
      </c>
      <c r="G77" s="47" t="e">
        <f t="shared" si="28"/>
        <v>#REF!</v>
      </c>
      <c r="H77" s="47" t="e">
        <f t="shared" si="28"/>
        <v>#REF!</v>
      </c>
      <c r="I77" s="47" t="e">
        <f t="shared" si="28"/>
        <v>#REF!</v>
      </c>
      <c r="J77" s="47" t="e">
        <f t="shared" si="28"/>
        <v>#REF!</v>
      </c>
      <c r="K77" s="47" t="e">
        <f t="shared" si="28"/>
        <v>#REF!</v>
      </c>
      <c r="L77" s="47" t="e">
        <f t="shared" si="28"/>
        <v>#REF!</v>
      </c>
      <c r="M77" s="47" t="e">
        <f t="shared" si="28"/>
        <v>#REF!</v>
      </c>
      <c r="N77" s="47" t="e">
        <f t="shared" si="28"/>
        <v>#REF!</v>
      </c>
      <c r="O77" s="47" t="e">
        <f t="shared" si="28"/>
        <v>#REF!</v>
      </c>
      <c r="P77" s="47" t="e">
        <f t="shared" si="28"/>
        <v>#REF!</v>
      </c>
      <c r="Q77" s="47" t="e">
        <f t="shared" si="28"/>
        <v>#REF!</v>
      </c>
      <c r="R77" s="47" t="e">
        <f t="shared" si="28"/>
        <v>#REF!</v>
      </c>
      <c r="S77" s="47" t="e">
        <f t="shared" si="28"/>
        <v>#REF!</v>
      </c>
      <c r="T77" s="47" t="e">
        <f t="shared" si="28"/>
        <v>#REF!</v>
      </c>
      <c r="U77" s="47" t="e">
        <f t="shared" si="28"/>
        <v>#REF!</v>
      </c>
      <c r="V77" s="47" t="e">
        <f t="shared" si="28"/>
        <v>#REF!</v>
      </c>
      <c r="W77" s="47" t="e">
        <f t="shared" si="28"/>
        <v>#REF!</v>
      </c>
      <c r="X77" s="47" t="e">
        <f t="shared" si="28"/>
        <v>#REF!</v>
      </c>
      <c r="Y77" s="47" t="e">
        <f t="shared" si="28"/>
        <v>#REF!</v>
      </c>
      <c r="Z77" s="47" t="e">
        <f t="shared" si="28"/>
        <v>#REF!</v>
      </c>
      <c r="AA77" s="47" t="e">
        <f t="shared" si="28"/>
        <v>#REF!</v>
      </c>
      <c r="AB77" s="47" t="e">
        <f t="shared" si="28"/>
        <v>#REF!</v>
      </c>
      <c r="AC77" s="47" t="e">
        <f t="shared" si="28"/>
        <v>#REF!</v>
      </c>
      <c r="AD77" s="47" t="e">
        <f t="shared" si="28"/>
        <v>#REF!</v>
      </c>
      <c r="AE77" s="47" t="e">
        <f t="shared" si="28"/>
        <v>#REF!</v>
      </c>
      <c r="AF77" s="47" t="e">
        <f t="shared" si="28"/>
        <v>#REF!</v>
      </c>
      <c r="AG77" s="47" t="e">
        <f t="shared" si="28"/>
        <v>#REF!</v>
      </c>
      <c r="AH77" s="47" t="e">
        <f t="shared" si="28"/>
        <v>#REF!</v>
      </c>
      <c r="AI77" s="47" t="e">
        <f t="shared" si="28"/>
        <v>#REF!</v>
      </c>
      <c r="AJ77" s="47" t="e">
        <f t="shared" si="28"/>
        <v>#REF!</v>
      </c>
    </row>
    <row r="78" spans="1:36" ht="12.75" customHeight="1" x14ac:dyDescent="0.2">
      <c r="A78" s="6"/>
      <c r="C78" s="5" t="s">
        <v>378</v>
      </c>
      <c r="D78" s="10" t="s">
        <v>141</v>
      </c>
      <c r="E78" s="44">
        <f t="shared" ref="E78:AJ78" si="29">IF(E32&lt;=(25*E36),E32,25*E36)</f>
        <v>300</v>
      </c>
      <c r="F78" s="44" t="e">
        <f t="shared" si="29"/>
        <v>#REF!</v>
      </c>
      <c r="G78" s="44" t="e">
        <f t="shared" si="29"/>
        <v>#REF!</v>
      </c>
      <c r="H78" s="44" t="e">
        <f t="shared" si="29"/>
        <v>#REF!</v>
      </c>
      <c r="I78" s="44" t="e">
        <f t="shared" si="29"/>
        <v>#REF!</v>
      </c>
      <c r="J78" s="44" t="e">
        <f t="shared" si="29"/>
        <v>#REF!</v>
      </c>
      <c r="K78" s="44" t="e">
        <f t="shared" si="29"/>
        <v>#REF!</v>
      </c>
      <c r="L78" s="44" t="e">
        <f t="shared" si="29"/>
        <v>#REF!</v>
      </c>
      <c r="M78" s="44" t="e">
        <f t="shared" si="29"/>
        <v>#REF!</v>
      </c>
      <c r="N78" s="44" t="e">
        <f t="shared" si="29"/>
        <v>#REF!</v>
      </c>
      <c r="O78" s="44" t="e">
        <f t="shared" si="29"/>
        <v>#REF!</v>
      </c>
      <c r="P78" s="44" t="e">
        <f t="shared" si="29"/>
        <v>#REF!</v>
      </c>
      <c r="Q78" s="44" t="e">
        <f t="shared" si="29"/>
        <v>#REF!</v>
      </c>
      <c r="R78" s="44" t="e">
        <f t="shared" si="29"/>
        <v>#REF!</v>
      </c>
      <c r="S78" s="44" t="e">
        <f t="shared" si="29"/>
        <v>#REF!</v>
      </c>
      <c r="T78" s="44" t="e">
        <f t="shared" si="29"/>
        <v>#REF!</v>
      </c>
      <c r="U78" s="44" t="e">
        <f t="shared" si="29"/>
        <v>#REF!</v>
      </c>
      <c r="V78" s="44" t="e">
        <f t="shared" si="29"/>
        <v>#REF!</v>
      </c>
      <c r="W78" s="44" t="e">
        <f t="shared" si="29"/>
        <v>#REF!</v>
      </c>
      <c r="X78" s="44" t="e">
        <f t="shared" si="29"/>
        <v>#REF!</v>
      </c>
      <c r="Y78" s="44" t="e">
        <f t="shared" si="29"/>
        <v>#REF!</v>
      </c>
      <c r="Z78" s="44" t="e">
        <f t="shared" si="29"/>
        <v>#REF!</v>
      </c>
      <c r="AA78" s="44" t="e">
        <f t="shared" si="29"/>
        <v>#REF!</v>
      </c>
      <c r="AB78" s="44" t="e">
        <f t="shared" si="29"/>
        <v>#REF!</v>
      </c>
      <c r="AC78" s="44" t="e">
        <f t="shared" si="29"/>
        <v>#REF!</v>
      </c>
      <c r="AD78" s="44" t="e">
        <f t="shared" si="29"/>
        <v>#REF!</v>
      </c>
      <c r="AE78" s="44" t="e">
        <f t="shared" si="29"/>
        <v>#REF!</v>
      </c>
      <c r="AF78" s="44" t="e">
        <f t="shared" si="29"/>
        <v>#REF!</v>
      </c>
      <c r="AG78" s="44" t="e">
        <f t="shared" si="29"/>
        <v>#REF!</v>
      </c>
      <c r="AH78" s="44" t="e">
        <f t="shared" si="29"/>
        <v>#REF!</v>
      </c>
      <c r="AI78" s="44" t="e">
        <f t="shared" si="29"/>
        <v>#REF!</v>
      </c>
      <c r="AJ78" s="44" t="e">
        <f t="shared" si="29"/>
        <v>#REF!</v>
      </c>
    </row>
    <row r="79" spans="1:36" ht="12.75" customHeight="1" x14ac:dyDescent="0.2">
      <c r="A79" s="6"/>
      <c r="C79" s="5" t="s">
        <v>320</v>
      </c>
      <c r="D79" s="76" t="s">
        <v>141</v>
      </c>
      <c r="E79" s="47">
        <f t="shared" ref="E79:AJ79" si="30">E18+(2*E66)+(2*E36)</f>
        <v>100</v>
      </c>
      <c r="F79" s="44" t="e">
        <f t="shared" si="30"/>
        <v>#REF!</v>
      </c>
      <c r="G79" s="44" t="e">
        <f t="shared" si="30"/>
        <v>#REF!</v>
      </c>
      <c r="H79" s="44" t="e">
        <f t="shared" si="30"/>
        <v>#REF!</v>
      </c>
      <c r="I79" s="44" t="e">
        <f t="shared" si="30"/>
        <v>#REF!</v>
      </c>
      <c r="J79" s="44" t="e">
        <f t="shared" si="30"/>
        <v>#REF!</v>
      </c>
      <c r="K79" s="44" t="e">
        <f t="shared" si="30"/>
        <v>#REF!</v>
      </c>
      <c r="L79" s="44" t="e">
        <f t="shared" si="30"/>
        <v>#REF!</v>
      </c>
      <c r="M79" s="44" t="e">
        <f t="shared" si="30"/>
        <v>#REF!</v>
      </c>
      <c r="N79" s="44" t="e">
        <f t="shared" si="30"/>
        <v>#REF!</v>
      </c>
      <c r="O79" s="44" t="e">
        <f t="shared" si="30"/>
        <v>#REF!</v>
      </c>
      <c r="P79" s="44" t="e">
        <f t="shared" si="30"/>
        <v>#REF!</v>
      </c>
      <c r="Q79" s="44" t="e">
        <f t="shared" si="30"/>
        <v>#REF!</v>
      </c>
      <c r="R79" s="44" t="e">
        <f t="shared" si="30"/>
        <v>#REF!</v>
      </c>
      <c r="S79" s="44" t="e">
        <f t="shared" si="30"/>
        <v>#REF!</v>
      </c>
      <c r="T79" s="44" t="e">
        <f t="shared" si="30"/>
        <v>#REF!</v>
      </c>
      <c r="U79" s="44" t="e">
        <f t="shared" si="30"/>
        <v>#REF!</v>
      </c>
      <c r="V79" s="44" t="e">
        <f t="shared" si="30"/>
        <v>#REF!</v>
      </c>
      <c r="W79" s="44" t="e">
        <f t="shared" si="30"/>
        <v>#REF!</v>
      </c>
      <c r="X79" s="44" t="e">
        <f t="shared" si="30"/>
        <v>#REF!</v>
      </c>
      <c r="Y79" s="44" t="e">
        <f t="shared" si="30"/>
        <v>#REF!</v>
      </c>
      <c r="Z79" s="44" t="e">
        <f t="shared" si="30"/>
        <v>#REF!</v>
      </c>
      <c r="AA79" s="44" t="e">
        <f t="shared" si="30"/>
        <v>#REF!</v>
      </c>
      <c r="AB79" s="44" t="e">
        <f t="shared" si="30"/>
        <v>#REF!</v>
      </c>
      <c r="AC79" s="44" t="e">
        <f t="shared" si="30"/>
        <v>#REF!</v>
      </c>
      <c r="AD79" s="44" t="e">
        <f t="shared" si="30"/>
        <v>#REF!</v>
      </c>
      <c r="AE79" s="44" t="e">
        <f t="shared" si="30"/>
        <v>#REF!</v>
      </c>
      <c r="AF79" s="44" t="e">
        <f t="shared" si="30"/>
        <v>#REF!</v>
      </c>
      <c r="AG79" s="44" t="e">
        <f t="shared" si="30"/>
        <v>#REF!</v>
      </c>
      <c r="AH79" s="44" t="e">
        <f t="shared" si="30"/>
        <v>#REF!</v>
      </c>
      <c r="AI79" s="44" t="e">
        <f t="shared" si="30"/>
        <v>#REF!</v>
      </c>
      <c r="AJ79" s="44" t="e">
        <f t="shared" si="30"/>
        <v>#REF!</v>
      </c>
    </row>
    <row r="80" spans="1:36" ht="12.75" customHeight="1" x14ac:dyDescent="0.2">
      <c r="A80" s="4" t="s">
        <v>379</v>
      </c>
      <c r="C80" s="5" t="s">
        <v>380</v>
      </c>
      <c r="D80" s="10" t="s">
        <v>141</v>
      </c>
      <c r="E80" s="223">
        <f t="shared" ref="E80:AJ80" si="31">2*E36*SQRT(E78/E35)*SQRT(1-(E77/E40)^2)</f>
        <v>235.60900786243923</v>
      </c>
      <c r="F80" s="55" t="e">
        <f t="shared" si="31"/>
        <v>#REF!</v>
      </c>
      <c r="G80" s="55" t="e">
        <f t="shared" si="31"/>
        <v>#REF!</v>
      </c>
      <c r="H80" s="55" t="e">
        <f t="shared" si="31"/>
        <v>#REF!</v>
      </c>
      <c r="I80" s="55" t="e">
        <f t="shared" si="31"/>
        <v>#REF!</v>
      </c>
      <c r="J80" s="55" t="e">
        <f t="shared" si="31"/>
        <v>#REF!</v>
      </c>
      <c r="K80" s="55" t="e">
        <f t="shared" si="31"/>
        <v>#REF!</v>
      </c>
      <c r="L80" s="55" t="e">
        <f t="shared" si="31"/>
        <v>#REF!</v>
      </c>
      <c r="M80" s="55" t="e">
        <f t="shared" si="31"/>
        <v>#REF!</v>
      </c>
      <c r="N80" s="55" t="e">
        <f t="shared" si="31"/>
        <v>#REF!</v>
      </c>
      <c r="O80" s="55" t="e">
        <f t="shared" si="31"/>
        <v>#REF!</v>
      </c>
      <c r="P80" s="55" t="e">
        <f t="shared" si="31"/>
        <v>#REF!</v>
      </c>
      <c r="Q80" s="55" t="e">
        <f t="shared" si="31"/>
        <v>#REF!</v>
      </c>
      <c r="R80" s="55" t="e">
        <f t="shared" si="31"/>
        <v>#REF!</v>
      </c>
      <c r="S80" s="55" t="e">
        <f t="shared" si="31"/>
        <v>#REF!</v>
      </c>
      <c r="T80" s="55" t="e">
        <f t="shared" si="31"/>
        <v>#REF!</v>
      </c>
      <c r="U80" s="55" t="e">
        <f t="shared" si="31"/>
        <v>#REF!</v>
      </c>
      <c r="V80" s="55" t="e">
        <f t="shared" si="31"/>
        <v>#REF!</v>
      </c>
      <c r="W80" s="55" t="e">
        <f t="shared" si="31"/>
        <v>#REF!</v>
      </c>
      <c r="X80" s="55" t="e">
        <f t="shared" si="31"/>
        <v>#REF!</v>
      </c>
      <c r="Y80" s="55" t="e">
        <f t="shared" si="31"/>
        <v>#REF!</v>
      </c>
      <c r="Z80" s="55" t="e">
        <f t="shared" si="31"/>
        <v>#REF!</v>
      </c>
      <c r="AA80" s="55" t="e">
        <f t="shared" si="31"/>
        <v>#REF!</v>
      </c>
      <c r="AB80" s="55" t="e">
        <f t="shared" si="31"/>
        <v>#REF!</v>
      </c>
      <c r="AC80" s="55" t="e">
        <f t="shared" si="31"/>
        <v>#REF!</v>
      </c>
      <c r="AD80" s="55" t="e">
        <f t="shared" si="31"/>
        <v>#REF!</v>
      </c>
      <c r="AE80" s="55" t="e">
        <f t="shared" si="31"/>
        <v>#REF!</v>
      </c>
      <c r="AF80" s="55" t="e">
        <f t="shared" si="31"/>
        <v>#REF!</v>
      </c>
      <c r="AG80" s="55" t="e">
        <f t="shared" si="31"/>
        <v>#REF!</v>
      </c>
      <c r="AH80" s="55" t="e">
        <f t="shared" si="31"/>
        <v>#REF!</v>
      </c>
      <c r="AI80" s="55" t="e">
        <f t="shared" si="31"/>
        <v>#REF!</v>
      </c>
      <c r="AJ80" s="55" t="e">
        <f t="shared" si="31"/>
        <v>#REF!</v>
      </c>
    </row>
    <row r="81" spans="1:36" ht="12.75" customHeight="1" x14ac:dyDescent="0.2">
      <c r="A81" s="6"/>
      <c r="C81" s="40" t="s">
        <v>381</v>
      </c>
      <c r="D81" s="10" t="s">
        <v>78</v>
      </c>
      <c r="E81" s="44">
        <f t="shared" ref="E81:AJ81" si="32">(E79+E80)*E35*E40/1000</f>
        <v>1222.4558111389349</v>
      </c>
      <c r="F81" s="44" t="e">
        <f t="shared" si="32"/>
        <v>#REF!</v>
      </c>
      <c r="G81" s="44" t="e">
        <f t="shared" si="32"/>
        <v>#REF!</v>
      </c>
      <c r="H81" s="44" t="e">
        <f t="shared" si="32"/>
        <v>#REF!</v>
      </c>
      <c r="I81" s="44" t="e">
        <f t="shared" si="32"/>
        <v>#REF!</v>
      </c>
      <c r="J81" s="44" t="e">
        <f t="shared" si="32"/>
        <v>#REF!</v>
      </c>
      <c r="K81" s="44" t="e">
        <f t="shared" si="32"/>
        <v>#REF!</v>
      </c>
      <c r="L81" s="44" t="e">
        <f t="shared" si="32"/>
        <v>#REF!</v>
      </c>
      <c r="M81" s="44" t="e">
        <f t="shared" si="32"/>
        <v>#REF!</v>
      </c>
      <c r="N81" s="44" t="e">
        <f t="shared" si="32"/>
        <v>#REF!</v>
      </c>
      <c r="O81" s="44" t="e">
        <f t="shared" si="32"/>
        <v>#REF!</v>
      </c>
      <c r="P81" s="44" t="e">
        <f t="shared" si="32"/>
        <v>#REF!</v>
      </c>
      <c r="Q81" s="44" t="e">
        <f t="shared" si="32"/>
        <v>#REF!</v>
      </c>
      <c r="R81" s="44" t="e">
        <f t="shared" si="32"/>
        <v>#REF!</v>
      </c>
      <c r="S81" s="44" t="e">
        <f t="shared" si="32"/>
        <v>#REF!</v>
      </c>
      <c r="T81" s="44" t="e">
        <f t="shared" si="32"/>
        <v>#REF!</v>
      </c>
      <c r="U81" s="44" t="e">
        <f t="shared" si="32"/>
        <v>#REF!</v>
      </c>
      <c r="V81" s="44" t="e">
        <f t="shared" si="32"/>
        <v>#REF!</v>
      </c>
      <c r="W81" s="44" t="e">
        <f t="shared" si="32"/>
        <v>#REF!</v>
      </c>
      <c r="X81" s="44" t="e">
        <f t="shared" si="32"/>
        <v>#REF!</v>
      </c>
      <c r="Y81" s="44" t="e">
        <f t="shared" si="32"/>
        <v>#REF!</v>
      </c>
      <c r="Z81" s="44" t="e">
        <f t="shared" si="32"/>
        <v>#REF!</v>
      </c>
      <c r="AA81" s="44" t="e">
        <f t="shared" si="32"/>
        <v>#REF!</v>
      </c>
      <c r="AB81" s="44" t="e">
        <f t="shared" si="32"/>
        <v>#REF!</v>
      </c>
      <c r="AC81" s="44" t="e">
        <f t="shared" si="32"/>
        <v>#REF!</v>
      </c>
      <c r="AD81" s="44" t="e">
        <f t="shared" si="32"/>
        <v>#REF!</v>
      </c>
      <c r="AE81" s="44" t="e">
        <f t="shared" si="32"/>
        <v>#REF!</v>
      </c>
      <c r="AF81" s="44" t="e">
        <f t="shared" si="32"/>
        <v>#REF!</v>
      </c>
      <c r="AG81" s="44" t="e">
        <f t="shared" si="32"/>
        <v>#REF!</v>
      </c>
      <c r="AH81" s="44" t="e">
        <f t="shared" si="32"/>
        <v>#REF!</v>
      </c>
      <c r="AI81" s="44" t="e">
        <f t="shared" si="32"/>
        <v>#REF!</v>
      </c>
      <c r="AJ81" s="44" t="e">
        <f t="shared" si="32"/>
        <v>#REF!</v>
      </c>
    </row>
    <row r="82" spans="1:36" ht="12.75" customHeight="1" x14ac:dyDescent="0.2">
      <c r="A82" s="4" t="s">
        <v>181</v>
      </c>
      <c r="C82" s="61" t="s">
        <v>382</v>
      </c>
      <c r="D82" s="10" t="s">
        <v>113</v>
      </c>
      <c r="E82" s="59">
        <f t="shared" ref="E82:AJ82" si="33">E76/E81</f>
        <v>0</v>
      </c>
      <c r="F82" s="59" t="e">
        <f t="shared" si="33"/>
        <v>#REF!</v>
      </c>
      <c r="G82" s="59" t="e">
        <f t="shared" si="33"/>
        <v>#REF!</v>
      </c>
      <c r="H82" s="59" t="e">
        <f t="shared" si="33"/>
        <v>#REF!</v>
      </c>
      <c r="I82" s="59" t="e">
        <f t="shared" si="33"/>
        <v>#REF!</v>
      </c>
      <c r="J82" s="59" t="e">
        <f t="shared" si="33"/>
        <v>#REF!</v>
      </c>
      <c r="K82" s="59" t="e">
        <f t="shared" si="33"/>
        <v>#REF!</v>
      </c>
      <c r="L82" s="59" t="e">
        <f t="shared" si="33"/>
        <v>#REF!</v>
      </c>
      <c r="M82" s="59" t="e">
        <f t="shared" si="33"/>
        <v>#REF!</v>
      </c>
      <c r="N82" s="59" t="e">
        <f t="shared" si="33"/>
        <v>#REF!</v>
      </c>
      <c r="O82" s="59" t="e">
        <f t="shared" si="33"/>
        <v>#REF!</v>
      </c>
      <c r="P82" s="59" t="e">
        <f t="shared" si="33"/>
        <v>#REF!</v>
      </c>
      <c r="Q82" s="59" t="e">
        <f t="shared" si="33"/>
        <v>#REF!</v>
      </c>
      <c r="R82" s="59" t="e">
        <f t="shared" si="33"/>
        <v>#REF!</v>
      </c>
      <c r="S82" s="59" t="e">
        <f t="shared" si="33"/>
        <v>#REF!</v>
      </c>
      <c r="T82" s="59" t="e">
        <f t="shared" si="33"/>
        <v>#REF!</v>
      </c>
      <c r="U82" s="59" t="e">
        <f t="shared" si="33"/>
        <v>#REF!</v>
      </c>
      <c r="V82" s="59" t="e">
        <f t="shared" si="33"/>
        <v>#REF!</v>
      </c>
      <c r="W82" s="59" t="e">
        <f t="shared" si="33"/>
        <v>#REF!</v>
      </c>
      <c r="X82" s="59" t="e">
        <f t="shared" si="33"/>
        <v>#REF!</v>
      </c>
      <c r="Y82" s="59" t="e">
        <f t="shared" si="33"/>
        <v>#REF!</v>
      </c>
      <c r="Z82" s="59" t="e">
        <f t="shared" si="33"/>
        <v>#REF!</v>
      </c>
      <c r="AA82" s="59" t="e">
        <f t="shared" si="33"/>
        <v>#REF!</v>
      </c>
      <c r="AB82" s="59" t="e">
        <f t="shared" si="33"/>
        <v>#REF!</v>
      </c>
      <c r="AC82" s="59" t="e">
        <f t="shared" si="33"/>
        <v>#REF!</v>
      </c>
      <c r="AD82" s="59" t="e">
        <f t="shared" si="33"/>
        <v>#REF!</v>
      </c>
      <c r="AE82" s="59" t="e">
        <f t="shared" si="33"/>
        <v>#REF!</v>
      </c>
      <c r="AF82" s="59" t="e">
        <f t="shared" si="33"/>
        <v>#REF!</v>
      </c>
      <c r="AG82" s="59" t="e">
        <f t="shared" si="33"/>
        <v>#REF!</v>
      </c>
      <c r="AH82" s="59" t="e">
        <f t="shared" si="33"/>
        <v>#REF!</v>
      </c>
      <c r="AI82" s="59" t="e">
        <f t="shared" si="33"/>
        <v>#REF!</v>
      </c>
      <c r="AJ82" s="59" t="e">
        <f t="shared" si="33"/>
        <v>#REF!</v>
      </c>
    </row>
    <row r="83" spans="1:36" ht="12.75" customHeight="1" x14ac:dyDescent="0.2">
      <c r="A83" s="6"/>
      <c r="C83" s="40"/>
    </row>
    <row r="84" spans="1:36" ht="12.75" customHeight="1" x14ac:dyDescent="0.2">
      <c r="A84" s="75" t="s">
        <v>383</v>
      </c>
      <c r="B84" s="4"/>
      <c r="C84" s="57" t="s">
        <v>384</v>
      </c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2.75" customHeight="1" x14ac:dyDescent="0.2">
      <c r="A85" s="4" t="s">
        <v>369</v>
      </c>
      <c r="B85" s="4"/>
      <c r="C85" s="61" t="s">
        <v>370</v>
      </c>
      <c r="D85" s="56" t="s">
        <v>78</v>
      </c>
      <c r="E85" s="90">
        <f t="shared" ref="E85:AJ85" si="34">E76</f>
        <v>0</v>
      </c>
      <c r="F85" s="90" t="e">
        <f t="shared" si="34"/>
        <v>#REF!</v>
      </c>
      <c r="G85" s="90" t="e">
        <f t="shared" si="34"/>
        <v>#REF!</v>
      </c>
      <c r="H85" s="90" t="e">
        <f t="shared" si="34"/>
        <v>#REF!</v>
      </c>
      <c r="I85" s="90" t="e">
        <f t="shared" si="34"/>
        <v>#REF!</v>
      </c>
      <c r="J85" s="90" t="e">
        <f t="shared" si="34"/>
        <v>#REF!</v>
      </c>
      <c r="K85" s="90" t="e">
        <f t="shared" si="34"/>
        <v>#REF!</v>
      </c>
      <c r="L85" s="90" t="e">
        <f t="shared" si="34"/>
        <v>#REF!</v>
      </c>
      <c r="M85" s="90" t="e">
        <f t="shared" si="34"/>
        <v>#REF!</v>
      </c>
      <c r="N85" s="90" t="e">
        <f t="shared" si="34"/>
        <v>#REF!</v>
      </c>
      <c r="O85" s="90" t="e">
        <f t="shared" si="34"/>
        <v>#REF!</v>
      </c>
      <c r="P85" s="90" t="e">
        <f t="shared" si="34"/>
        <v>#REF!</v>
      </c>
      <c r="Q85" s="90" t="e">
        <f t="shared" si="34"/>
        <v>#REF!</v>
      </c>
      <c r="R85" s="90" t="e">
        <f t="shared" si="34"/>
        <v>#REF!</v>
      </c>
      <c r="S85" s="90" t="e">
        <f t="shared" si="34"/>
        <v>#REF!</v>
      </c>
      <c r="T85" s="90" t="e">
        <f t="shared" si="34"/>
        <v>#REF!</v>
      </c>
      <c r="U85" s="90" t="e">
        <f t="shared" si="34"/>
        <v>#REF!</v>
      </c>
      <c r="V85" s="90" t="e">
        <f t="shared" si="34"/>
        <v>#REF!</v>
      </c>
      <c r="W85" s="90" t="e">
        <f t="shared" si="34"/>
        <v>#REF!</v>
      </c>
      <c r="X85" s="90" t="e">
        <f t="shared" si="34"/>
        <v>#REF!</v>
      </c>
      <c r="Y85" s="90" t="e">
        <f t="shared" si="34"/>
        <v>#REF!</v>
      </c>
      <c r="Z85" s="90" t="e">
        <f t="shared" si="34"/>
        <v>#REF!</v>
      </c>
      <c r="AA85" s="90" t="e">
        <f t="shared" si="34"/>
        <v>#REF!</v>
      </c>
      <c r="AB85" s="90" t="e">
        <f t="shared" si="34"/>
        <v>#REF!</v>
      </c>
      <c r="AC85" s="90" t="e">
        <f t="shared" si="34"/>
        <v>#REF!</v>
      </c>
      <c r="AD85" s="90" t="e">
        <f t="shared" si="34"/>
        <v>#REF!</v>
      </c>
      <c r="AE85" s="90" t="e">
        <f t="shared" si="34"/>
        <v>#REF!</v>
      </c>
      <c r="AF85" s="90" t="e">
        <f t="shared" si="34"/>
        <v>#REF!</v>
      </c>
      <c r="AG85" s="90" t="e">
        <f t="shared" si="34"/>
        <v>#REF!</v>
      </c>
      <c r="AH85" s="90" t="e">
        <f t="shared" si="34"/>
        <v>#REF!</v>
      </c>
      <c r="AI85" s="90" t="e">
        <f t="shared" si="34"/>
        <v>#REF!</v>
      </c>
      <c r="AJ85" s="90" t="e">
        <f t="shared" si="34"/>
        <v>#REF!</v>
      </c>
    </row>
    <row r="86" spans="1:36" ht="12.75" customHeight="1" x14ac:dyDescent="0.2">
      <c r="A86" s="4" t="s">
        <v>193</v>
      </c>
      <c r="B86" s="4"/>
      <c r="C86" s="61" t="s">
        <v>194</v>
      </c>
      <c r="D86" s="56" t="s">
        <v>177</v>
      </c>
      <c r="E86" s="39">
        <f t="shared" ref="E86:AJ86" si="35">E62*E55/E30</f>
        <v>1100</v>
      </c>
      <c r="F86" s="39" t="e">
        <f t="shared" si="35"/>
        <v>#REF!</v>
      </c>
      <c r="G86" s="39" t="e">
        <f t="shared" si="35"/>
        <v>#REF!</v>
      </c>
      <c r="H86" s="39" t="e">
        <f t="shared" si="35"/>
        <v>#REF!</v>
      </c>
      <c r="I86" s="39" t="e">
        <f t="shared" si="35"/>
        <v>#REF!</v>
      </c>
      <c r="J86" s="39" t="e">
        <f t="shared" si="35"/>
        <v>#REF!</v>
      </c>
      <c r="K86" s="39" t="e">
        <f t="shared" si="35"/>
        <v>#REF!</v>
      </c>
      <c r="L86" s="39" t="e">
        <f t="shared" si="35"/>
        <v>#REF!</v>
      </c>
      <c r="M86" s="39" t="e">
        <f t="shared" si="35"/>
        <v>#REF!</v>
      </c>
      <c r="N86" s="39" t="e">
        <f t="shared" si="35"/>
        <v>#REF!</v>
      </c>
      <c r="O86" s="39" t="e">
        <f t="shared" si="35"/>
        <v>#REF!</v>
      </c>
      <c r="P86" s="39" t="e">
        <f t="shared" si="35"/>
        <v>#REF!</v>
      </c>
      <c r="Q86" s="39" t="e">
        <f t="shared" si="35"/>
        <v>#REF!</v>
      </c>
      <c r="R86" s="39" t="e">
        <f t="shared" si="35"/>
        <v>#REF!</v>
      </c>
      <c r="S86" s="39" t="e">
        <f t="shared" si="35"/>
        <v>#REF!</v>
      </c>
      <c r="T86" s="39" t="e">
        <f t="shared" si="35"/>
        <v>#REF!</v>
      </c>
      <c r="U86" s="39" t="e">
        <f t="shared" si="35"/>
        <v>#REF!</v>
      </c>
      <c r="V86" s="39" t="e">
        <f t="shared" si="35"/>
        <v>#REF!</v>
      </c>
      <c r="W86" s="39" t="e">
        <f t="shared" si="35"/>
        <v>#REF!</v>
      </c>
      <c r="X86" s="39" t="e">
        <f t="shared" si="35"/>
        <v>#REF!</v>
      </c>
      <c r="Y86" s="39" t="e">
        <f t="shared" si="35"/>
        <v>#REF!</v>
      </c>
      <c r="Z86" s="39" t="e">
        <f t="shared" si="35"/>
        <v>#REF!</v>
      </c>
      <c r="AA86" s="39" t="e">
        <f t="shared" si="35"/>
        <v>#REF!</v>
      </c>
      <c r="AB86" s="39" t="e">
        <f t="shared" si="35"/>
        <v>#REF!</v>
      </c>
      <c r="AC86" s="39" t="e">
        <f t="shared" si="35"/>
        <v>#REF!</v>
      </c>
      <c r="AD86" s="39" t="e">
        <f t="shared" si="35"/>
        <v>#REF!</v>
      </c>
      <c r="AE86" s="39" t="e">
        <f t="shared" si="35"/>
        <v>#REF!</v>
      </c>
      <c r="AF86" s="39" t="e">
        <f t="shared" si="35"/>
        <v>#REF!</v>
      </c>
      <c r="AG86" s="39" t="e">
        <f t="shared" si="35"/>
        <v>#REF!</v>
      </c>
      <c r="AH86" s="39" t="e">
        <f t="shared" si="35"/>
        <v>#REF!</v>
      </c>
      <c r="AI86" s="39" t="e">
        <f t="shared" si="35"/>
        <v>#REF!</v>
      </c>
      <c r="AJ86" s="39" t="e">
        <f t="shared" si="35"/>
        <v>#REF!</v>
      </c>
    </row>
    <row r="87" spans="1:36" ht="12.75" customHeight="1" x14ac:dyDescent="0.2">
      <c r="A87" s="4"/>
      <c r="B87" s="4"/>
      <c r="C87" s="61" t="s">
        <v>385</v>
      </c>
      <c r="D87" s="56" t="s">
        <v>113</v>
      </c>
      <c r="E87" s="91">
        <f t="shared" ref="E87:AJ87" si="36">IF(E79/(E31-(2*E36))&lt;=0.2,E79/(E31-(2*E36)),0.2)</f>
        <v>0.18518518518518517</v>
      </c>
      <c r="F87" s="91" t="e">
        <f t="shared" si="36"/>
        <v>#REF!</v>
      </c>
      <c r="G87" s="91" t="e">
        <f t="shared" si="36"/>
        <v>#REF!</v>
      </c>
      <c r="H87" s="91" t="e">
        <f t="shared" si="36"/>
        <v>#REF!</v>
      </c>
      <c r="I87" s="91" t="e">
        <f t="shared" si="36"/>
        <v>#REF!</v>
      </c>
      <c r="J87" s="91" t="e">
        <f t="shared" si="36"/>
        <v>#REF!</v>
      </c>
      <c r="K87" s="91" t="e">
        <f t="shared" si="36"/>
        <v>#REF!</v>
      </c>
      <c r="L87" s="91" t="e">
        <f t="shared" si="36"/>
        <v>#REF!</v>
      </c>
      <c r="M87" s="91" t="e">
        <f t="shared" si="36"/>
        <v>#REF!</v>
      </c>
      <c r="N87" s="91" t="e">
        <f t="shared" si="36"/>
        <v>#REF!</v>
      </c>
      <c r="O87" s="91" t="e">
        <f t="shared" si="36"/>
        <v>#REF!</v>
      </c>
      <c r="P87" s="91" t="e">
        <f t="shared" si="36"/>
        <v>#REF!</v>
      </c>
      <c r="Q87" s="91" t="e">
        <f t="shared" si="36"/>
        <v>#REF!</v>
      </c>
      <c r="R87" s="91" t="e">
        <f t="shared" si="36"/>
        <v>#REF!</v>
      </c>
      <c r="S87" s="91" t="e">
        <f t="shared" si="36"/>
        <v>#REF!</v>
      </c>
      <c r="T87" s="91" t="e">
        <f t="shared" si="36"/>
        <v>#REF!</v>
      </c>
      <c r="U87" s="91" t="e">
        <f t="shared" si="36"/>
        <v>#REF!</v>
      </c>
      <c r="V87" s="91" t="e">
        <f t="shared" si="36"/>
        <v>#REF!</v>
      </c>
      <c r="W87" s="91" t="e">
        <f t="shared" si="36"/>
        <v>#REF!</v>
      </c>
      <c r="X87" s="91" t="e">
        <f t="shared" si="36"/>
        <v>#REF!</v>
      </c>
      <c r="Y87" s="91" t="e">
        <f t="shared" si="36"/>
        <v>#REF!</v>
      </c>
      <c r="Z87" s="91" t="e">
        <f t="shared" si="36"/>
        <v>#REF!</v>
      </c>
      <c r="AA87" s="91" t="e">
        <f t="shared" si="36"/>
        <v>#REF!</v>
      </c>
      <c r="AB87" s="91" t="e">
        <f t="shared" si="36"/>
        <v>#REF!</v>
      </c>
      <c r="AC87" s="91" t="e">
        <f t="shared" si="36"/>
        <v>#REF!</v>
      </c>
      <c r="AD87" s="91" t="e">
        <f t="shared" si="36"/>
        <v>#REF!</v>
      </c>
      <c r="AE87" s="91" t="e">
        <f t="shared" si="36"/>
        <v>#REF!</v>
      </c>
      <c r="AF87" s="91" t="e">
        <f t="shared" si="36"/>
        <v>#REF!</v>
      </c>
      <c r="AG87" s="91" t="e">
        <f t="shared" si="36"/>
        <v>#REF!</v>
      </c>
      <c r="AH87" s="91" t="e">
        <f t="shared" si="36"/>
        <v>#REF!</v>
      </c>
      <c r="AI87" s="91" t="e">
        <f t="shared" si="36"/>
        <v>#REF!</v>
      </c>
      <c r="AJ87" s="91" t="e">
        <f t="shared" si="36"/>
        <v>#REF!</v>
      </c>
    </row>
    <row r="88" spans="1:36" ht="12.75" customHeight="1" x14ac:dyDescent="0.2">
      <c r="A88" s="4"/>
      <c r="B88" s="4"/>
      <c r="C88" s="40" t="s">
        <v>386</v>
      </c>
      <c r="D88" s="56" t="s">
        <v>78</v>
      </c>
      <c r="E88" s="92">
        <f t="shared" ref="E88:AJ88" si="37">0.5*E35^2*SQRT(E40*E13)*(SQRT(E36/E35)+(3*(E35/E36)*E87))/1000</f>
        <v>1416.232638141259</v>
      </c>
      <c r="F88" s="92" t="e">
        <f t="shared" si="37"/>
        <v>#REF!</v>
      </c>
      <c r="G88" s="92" t="e">
        <f t="shared" si="37"/>
        <v>#REF!</v>
      </c>
      <c r="H88" s="92" t="e">
        <f t="shared" si="37"/>
        <v>#REF!</v>
      </c>
      <c r="I88" s="92" t="e">
        <f t="shared" si="37"/>
        <v>#REF!</v>
      </c>
      <c r="J88" s="92" t="e">
        <f t="shared" si="37"/>
        <v>#REF!</v>
      </c>
      <c r="K88" s="92" t="e">
        <f t="shared" si="37"/>
        <v>#REF!</v>
      </c>
      <c r="L88" s="92" t="e">
        <f t="shared" si="37"/>
        <v>#REF!</v>
      </c>
      <c r="M88" s="92" t="e">
        <f t="shared" si="37"/>
        <v>#REF!</v>
      </c>
      <c r="N88" s="92" t="e">
        <f t="shared" si="37"/>
        <v>#REF!</v>
      </c>
      <c r="O88" s="92" t="e">
        <f t="shared" si="37"/>
        <v>#REF!</v>
      </c>
      <c r="P88" s="92" t="e">
        <f t="shared" si="37"/>
        <v>#REF!</v>
      </c>
      <c r="Q88" s="92" t="e">
        <f t="shared" si="37"/>
        <v>#REF!</v>
      </c>
      <c r="R88" s="92" t="e">
        <f t="shared" si="37"/>
        <v>#REF!</v>
      </c>
      <c r="S88" s="92" t="e">
        <f t="shared" si="37"/>
        <v>#REF!</v>
      </c>
      <c r="T88" s="92" t="e">
        <f t="shared" si="37"/>
        <v>#REF!</v>
      </c>
      <c r="U88" s="92" t="e">
        <f t="shared" si="37"/>
        <v>#REF!</v>
      </c>
      <c r="V88" s="92" t="e">
        <f t="shared" si="37"/>
        <v>#REF!</v>
      </c>
      <c r="W88" s="92" t="e">
        <f t="shared" si="37"/>
        <v>#REF!</v>
      </c>
      <c r="X88" s="92" t="e">
        <f t="shared" si="37"/>
        <v>#REF!</v>
      </c>
      <c r="Y88" s="92" t="e">
        <f t="shared" si="37"/>
        <v>#REF!</v>
      </c>
      <c r="Z88" s="92" t="e">
        <f t="shared" si="37"/>
        <v>#REF!</v>
      </c>
      <c r="AA88" s="92" t="e">
        <f t="shared" si="37"/>
        <v>#REF!</v>
      </c>
      <c r="AB88" s="92" t="e">
        <f t="shared" si="37"/>
        <v>#REF!</v>
      </c>
      <c r="AC88" s="92" t="e">
        <f t="shared" si="37"/>
        <v>#REF!</v>
      </c>
      <c r="AD88" s="92" t="e">
        <f t="shared" si="37"/>
        <v>#REF!</v>
      </c>
      <c r="AE88" s="92" t="e">
        <f t="shared" si="37"/>
        <v>#REF!</v>
      </c>
      <c r="AF88" s="92" t="e">
        <f t="shared" si="37"/>
        <v>#REF!</v>
      </c>
      <c r="AG88" s="92" t="e">
        <f t="shared" si="37"/>
        <v>#REF!</v>
      </c>
      <c r="AH88" s="92" t="e">
        <f t="shared" si="37"/>
        <v>#REF!</v>
      </c>
      <c r="AI88" s="92" t="e">
        <f t="shared" si="37"/>
        <v>#REF!</v>
      </c>
      <c r="AJ88" s="92" t="e">
        <f t="shared" si="37"/>
        <v>#REF!</v>
      </c>
    </row>
    <row r="89" spans="1:36" ht="12.75" customHeight="1" x14ac:dyDescent="0.2">
      <c r="A89" s="4" t="s">
        <v>181</v>
      </c>
      <c r="B89" s="4"/>
      <c r="C89" s="61" t="s">
        <v>387</v>
      </c>
      <c r="D89" s="56" t="s">
        <v>113</v>
      </c>
      <c r="E89" s="93">
        <f t="shared" ref="E89:AJ89" si="38">E85/E88</f>
        <v>0</v>
      </c>
      <c r="F89" s="93" t="e">
        <f t="shared" si="38"/>
        <v>#REF!</v>
      </c>
      <c r="G89" s="93" t="e">
        <f t="shared" si="38"/>
        <v>#REF!</v>
      </c>
      <c r="H89" s="93" t="e">
        <f t="shared" si="38"/>
        <v>#REF!</v>
      </c>
      <c r="I89" s="93" t="e">
        <f t="shared" si="38"/>
        <v>#REF!</v>
      </c>
      <c r="J89" s="93" t="e">
        <f t="shared" si="38"/>
        <v>#REF!</v>
      </c>
      <c r="K89" s="93" t="e">
        <f t="shared" si="38"/>
        <v>#REF!</v>
      </c>
      <c r="L89" s="93" t="e">
        <f t="shared" si="38"/>
        <v>#REF!</v>
      </c>
      <c r="M89" s="93" t="e">
        <f t="shared" si="38"/>
        <v>#REF!</v>
      </c>
      <c r="N89" s="93" t="e">
        <f t="shared" si="38"/>
        <v>#REF!</v>
      </c>
      <c r="O89" s="93" t="e">
        <f t="shared" si="38"/>
        <v>#REF!</v>
      </c>
      <c r="P89" s="93" t="e">
        <f t="shared" si="38"/>
        <v>#REF!</v>
      </c>
      <c r="Q89" s="93" t="e">
        <f t="shared" si="38"/>
        <v>#REF!</v>
      </c>
      <c r="R89" s="93" t="e">
        <f t="shared" si="38"/>
        <v>#REF!</v>
      </c>
      <c r="S89" s="93" t="e">
        <f t="shared" si="38"/>
        <v>#REF!</v>
      </c>
      <c r="T89" s="93" t="e">
        <f t="shared" si="38"/>
        <v>#REF!</v>
      </c>
      <c r="U89" s="93" t="e">
        <f t="shared" si="38"/>
        <v>#REF!</v>
      </c>
      <c r="V89" s="93" t="e">
        <f t="shared" si="38"/>
        <v>#REF!</v>
      </c>
      <c r="W89" s="93" t="e">
        <f t="shared" si="38"/>
        <v>#REF!</v>
      </c>
      <c r="X89" s="93" t="e">
        <f t="shared" si="38"/>
        <v>#REF!</v>
      </c>
      <c r="Y89" s="93" t="e">
        <f t="shared" si="38"/>
        <v>#REF!</v>
      </c>
      <c r="Z89" s="93" t="e">
        <f t="shared" si="38"/>
        <v>#REF!</v>
      </c>
      <c r="AA89" s="93" t="e">
        <f t="shared" si="38"/>
        <v>#REF!</v>
      </c>
      <c r="AB89" s="93" t="e">
        <f t="shared" si="38"/>
        <v>#REF!</v>
      </c>
      <c r="AC89" s="93" t="e">
        <f t="shared" si="38"/>
        <v>#REF!</v>
      </c>
      <c r="AD89" s="93" t="e">
        <f t="shared" si="38"/>
        <v>#REF!</v>
      </c>
      <c r="AE89" s="93" t="e">
        <f t="shared" si="38"/>
        <v>#REF!</v>
      </c>
      <c r="AF89" s="93" t="e">
        <f t="shared" si="38"/>
        <v>#REF!</v>
      </c>
      <c r="AG89" s="93" t="e">
        <f t="shared" si="38"/>
        <v>#REF!</v>
      </c>
      <c r="AH89" s="93" t="e">
        <f t="shared" si="38"/>
        <v>#REF!</v>
      </c>
      <c r="AI89" s="93" t="e">
        <f t="shared" si="38"/>
        <v>#REF!</v>
      </c>
      <c r="AJ89" s="93" t="e">
        <f t="shared" si="38"/>
        <v>#REF!</v>
      </c>
    </row>
    <row r="90" spans="1:36" ht="12.75" customHeight="1" x14ac:dyDescent="0.2">
      <c r="A90" s="4" t="s">
        <v>181</v>
      </c>
      <c r="B90" s="4"/>
      <c r="C90" s="61" t="s">
        <v>388</v>
      </c>
      <c r="D90" s="56" t="s">
        <v>113</v>
      </c>
      <c r="E90" s="93">
        <f t="shared" ref="E90:AJ90" si="39">(E85/(1.5*E88))+(E86*10^6/(1.5*E39*E30*E40))</f>
        <v>0.48561583813982645</v>
      </c>
      <c r="F90" s="93" t="e">
        <f t="shared" si="39"/>
        <v>#REF!</v>
      </c>
      <c r="G90" s="93" t="e">
        <f t="shared" si="39"/>
        <v>#REF!</v>
      </c>
      <c r="H90" s="93" t="e">
        <f t="shared" si="39"/>
        <v>#REF!</v>
      </c>
      <c r="I90" s="93" t="e">
        <f t="shared" si="39"/>
        <v>#REF!</v>
      </c>
      <c r="J90" s="93" t="e">
        <f t="shared" si="39"/>
        <v>#REF!</v>
      </c>
      <c r="K90" s="93" t="e">
        <f t="shared" si="39"/>
        <v>#REF!</v>
      </c>
      <c r="L90" s="93" t="e">
        <f t="shared" si="39"/>
        <v>#REF!</v>
      </c>
      <c r="M90" s="93" t="e">
        <f t="shared" si="39"/>
        <v>#REF!</v>
      </c>
      <c r="N90" s="93" t="e">
        <f t="shared" si="39"/>
        <v>#REF!</v>
      </c>
      <c r="O90" s="93" t="e">
        <f t="shared" si="39"/>
        <v>#REF!</v>
      </c>
      <c r="P90" s="93" t="e">
        <f t="shared" si="39"/>
        <v>#REF!</v>
      </c>
      <c r="Q90" s="93" t="e">
        <f t="shared" si="39"/>
        <v>#REF!</v>
      </c>
      <c r="R90" s="93" t="e">
        <f t="shared" si="39"/>
        <v>#REF!</v>
      </c>
      <c r="S90" s="93" t="e">
        <f t="shared" si="39"/>
        <v>#REF!</v>
      </c>
      <c r="T90" s="93" t="e">
        <f t="shared" si="39"/>
        <v>#REF!</v>
      </c>
      <c r="U90" s="93" t="e">
        <f t="shared" si="39"/>
        <v>#REF!</v>
      </c>
      <c r="V90" s="93" t="e">
        <f t="shared" si="39"/>
        <v>#REF!</v>
      </c>
      <c r="W90" s="93" t="e">
        <f t="shared" si="39"/>
        <v>#REF!</v>
      </c>
      <c r="X90" s="93" t="e">
        <f t="shared" si="39"/>
        <v>#REF!</v>
      </c>
      <c r="Y90" s="93" t="e">
        <f t="shared" si="39"/>
        <v>#REF!</v>
      </c>
      <c r="Z90" s="93" t="e">
        <f t="shared" si="39"/>
        <v>#REF!</v>
      </c>
      <c r="AA90" s="93" t="e">
        <f t="shared" si="39"/>
        <v>#REF!</v>
      </c>
      <c r="AB90" s="93" t="e">
        <f t="shared" si="39"/>
        <v>#REF!</v>
      </c>
      <c r="AC90" s="93" t="e">
        <f t="shared" si="39"/>
        <v>#REF!</v>
      </c>
      <c r="AD90" s="93" t="e">
        <f t="shared" si="39"/>
        <v>#REF!</v>
      </c>
      <c r="AE90" s="93" t="e">
        <f t="shared" si="39"/>
        <v>#REF!</v>
      </c>
      <c r="AF90" s="93" t="e">
        <f t="shared" si="39"/>
        <v>#REF!</v>
      </c>
      <c r="AG90" s="93" t="e">
        <f t="shared" si="39"/>
        <v>#REF!</v>
      </c>
      <c r="AH90" s="93" t="e">
        <f t="shared" si="39"/>
        <v>#REF!</v>
      </c>
      <c r="AI90" s="93" t="e">
        <f t="shared" si="39"/>
        <v>#REF!</v>
      </c>
      <c r="AJ90" s="93" t="e">
        <f t="shared" si="39"/>
        <v>#REF!</v>
      </c>
    </row>
    <row r="91" spans="1:36" ht="12.75" customHeight="1" x14ac:dyDescent="0.2">
      <c r="A91" s="6"/>
      <c r="C91" s="40"/>
    </row>
    <row r="92" spans="1:36" ht="12.75" customHeight="1" x14ac:dyDescent="0.2">
      <c r="A92" s="75" t="s">
        <v>389</v>
      </c>
      <c r="C92" s="5" t="s">
        <v>390</v>
      </c>
    </row>
    <row r="93" spans="1:36" ht="12.75" customHeight="1" x14ac:dyDescent="0.2">
      <c r="A93" s="4" t="s">
        <v>369</v>
      </c>
      <c r="C93" s="61" t="s">
        <v>370</v>
      </c>
      <c r="D93" s="10" t="s">
        <v>78</v>
      </c>
      <c r="E93" s="44">
        <f t="shared" ref="E93:AJ93" si="40">E76</f>
        <v>0</v>
      </c>
      <c r="F93" s="44" t="e">
        <f t="shared" si="40"/>
        <v>#REF!</v>
      </c>
      <c r="G93" s="44" t="e">
        <f t="shared" si="40"/>
        <v>#REF!</v>
      </c>
      <c r="H93" s="44" t="e">
        <f t="shared" si="40"/>
        <v>#REF!</v>
      </c>
      <c r="I93" s="44" t="e">
        <f t="shared" si="40"/>
        <v>#REF!</v>
      </c>
      <c r="J93" s="44" t="e">
        <f t="shared" si="40"/>
        <v>#REF!</v>
      </c>
      <c r="K93" s="44" t="e">
        <f t="shared" si="40"/>
        <v>#REF!</v>
      </c>
      <c r="L93" s="44" t="e">
        <f t="shared" si="40"/>
        <v>#REF!</v>
      </c>
      <c r="M93" s="44" t="e">
        <f t="shared" si="40"/>
        <v>#REF!</v>
      </c>
      <c r="N93" s="44" t="e">
        <f t="shared" si="40"/>
        <v>#REF!</v>
      </c>
      <c r="O93" s="44" t="e">
        <f t="shared" si="40"/>
        <v>#REF!</v>
      </c>
      <c r="P93" s="44" t="e">
        <f t="shared" si="40"/>
        <v>#REF!</v>
      </c>
      <c r="Q93" s="44" t="e">
        <f t="shared" si="40"/>
        <v>#REF!</v>
      </c>
      <c r="R93" s="44" t="e">
        <f t="shared" si="40"/>
        <v>#REF!</v>
      </c>
      <c r="S93" s="44" t="e">
        <f t="shared" si="40"/>
        <v>#REF!</v>
      </c>
      <c r="T93" s="44" t="e">
        <f t="shared" si="40"/>
        <v>#REF!</v>
      </c>
      <c r="U93" s="44" t="e">
        <f t="shared" si="40"/>
        <v>#REF!</v>
      </c>
      <c r="V93" s="44" t="e">
        <f t="shared" si="40"/>
        <v>#REF!</v>
      </c>
      <c r="W93" s="44" t="e">
        <f t="shared" si="40"/>
        <v>#REF!</v>
      </c>
      <c r="X93" s="44" t="e">
        <f t="shared" si="40"/>
        <v>#REF!</v>
      </c>
      <c r="Y93" s="44" t="e">
        <f t="shared" si="40"/>
        <v>#REF!</v>
      </c>
      <c r="Z93" s="44" t="e">
        <f t="shared" si="40"/>
        <v>#REF!</v>
      </c>
      <c r="AA93" s="44" t="e">
        <f t="shared" si="40"/>
        <v>#REF!</v>
      </c>
      <c r="AB93" s="44" t="e">
        <f t="shared" si="40"/>
        <v>#REF!</v>
      </c>
      <c r="AC93" s="44" t="e">
        <f t="shared" si="40"/>
        <v>#REF!</v>
      </c>
      <c r="AD93" s="44" t="e">
        <f t="shared" si="40"/>
        <v>#REF!</v>
      </c>
      <c r="AE93" s="44" t="e">
        <f t="shared" si="40"/>
        <v>#REF!</v>
      </c>
      <c r="AF93" s="44" t="e">
        <f t="shared" si="40"/>
        <v>#REF!</v>
      </c>
      <c r="AG93" s="44" t="e">
        <f t="shared" si="40"/>
        <v>#REF!</v>
      </c>
      <c r="AH93" s="44" t="e">
        <f t="shared" si="40"/>
        <v>#REF!</v>
      </c>
      <c r="AI93" s="44" t="e">
        <f t="shared" si="40"/>
        <v>#REF!</v>
      </c>
      <c r="AJ93" s="44" t="e">
        <f t="shared" si="40"/>
        <v>#REF!</v>
      </c>
    </row>
    <row r="94" spans="1:36" ht="12.75" customHeight="1" x14ac:dyDescent="0.2">
      <c r="A94" s="94"/>
      <c r="C94" s="40" t="s">
        <v>371</v>
      </c>
      <c r="D94" s="10" t="s">
        <v>141</v>
      </c>
      <c r="E94" s="9">
        <f t="shared" ref="E94:AJ94" si="41">IF((E17/2)+(E31/2)&gt;E31,E31,((E17/2)+(E31/2)))</f>
        <v>300</v>
      </c>
      <c r="F94" s="9" t="e">
        <f t="shared" si="41"/>
        <v>#REF!</v>
      </c>
      <c r="G94" s="9" t="e">
        <f t="shared" si="41"/>
        <v>#REF!</v>
      </c>
      <c r="H94" s="9" t="e">
        <f t="shared" si="41"/>
        <v>#REF!</v>
      </c>
      <c r="I94" s="9" t="e">
        <f t="shared" si="41"/>
        <v>#REF!</v>
      </c>
      <c r="J94" s="9" t="e">
        <f t="shared" si="41"/>
        <v>#REF!</v>
      </c>
      <c r="K94" s="9" t="e">
        <f t="shared" si="41"/>
        <v>#REF!</v>
      </c>
      <c r="L94" s="9" t="e">
        <f t="shared" si="41"/>
        <v>#REF!</v>
      </c>
      <c r="M94" s="9" t="e">
        <f t="shared" si="41"/>
        <v>#REF!</v>
      </c>
      <c r="N94" s="9" t="e">
        <f t="shared" si="41"/>
        <v>#REF!</v>
      </c>
      <c r="O94" s="9" t="e">
        <f t="shared" si="41"/>
        <v>#REF!</v>
      </c>
      <c r="P94" s="9" t="e">
        <f t="shared" si="41"/>
        <v>#REF!</v>
      </c>
      <c r="Q94" s="9" t="e">
        <f t="shared" si="41"/>
        <v>#REF!</v>
      </c>
      <c r="R94" s="9" t="e">
        <f t="shared" si="41"/>
        <v>#REF!</v>
      </c>
      <c r="S94" s="9" t="e">
        <f t="shared" si="41"/>
        <v>#REF!</v>
      </c>
      <c r="T94" s="9" t="e">
        <f t="shared" si="41"/>
        <v>#REF!</v>
      </c>
      <c r="U94" s="9" t="e">
        <f t="shared" si="41"/>
        <v>#REF!</v>
      </c>
      <c r="V94" s="9" t="e">
        <f t="shared" si="41"/>
        <v>#REF!</v>
      </c>
      <c r="W94" s="9" t="e">
        <f t="shared" si="41"/>
        <v>#REF!</v>
      </c>
      <c r="X94" s="9" t="e">
        <f t="shared" si="41"/>
        <v>#REF!</v>
      </c>
      <c r="Y94" s="9" t="e">
        <f t="shared" si="41"/>
        <v>#REF!</v>
      </c>
      <c r="Z94" s="9" t="e">
        <f t="shared" si="41"/>
        <v>#REF!</v>
      </c>
      <c r="AA94" s="9" t="e">
        <f t="shared" si="41"/>
        <v>#REF!</v>
      </c>
      <c r="AB94" s="9" t="e">
        <f t="shared" si="41"/>
        <v>#REF!</v>
      </c>
      <c r="AC94" s="9" t="e">
        <f t="shared" si="41"/>
        <v>#REF!</v>
      </c>
      <c r="AD94" s="9" t="e">
        <f t="shared" si="41"/>
        <v>#REF!</v>
      </c>
      <c r="AE94" s="9" t="e">
        <f t="shared" si="41"/>
        <v>#REF!</v>
      </c>
      <c r="AF94" s="9" t="e">
        <f t="shared" si="41"/>
        <v>#REF!</v>
      </c>
      <c r="AG94" s="9" t="e">
        <f t="shared" si="41"/>
        <v>#REF!</v>
      </c>
      <c r="AH94" s="9" t="e">
        <f t="shared" si="41"/>
        <v>#REF!</v>
      </c>
      <c r="AI94" s="9" t="e">
        <f t="shared" si="41"/>
        <v>#REF!</v>
      </c>
      <c r="AJ94" s="9" t="e">
        <f t="shared" si="41"/>
        <v>#REF!</v>
      </c>
    </row>
    <row r="95" spans="1:36" ht="12.75" customHeight="1" x14ac:dyDescent="0.2">
      <c r="A95" s="6"/>
      <c r="C95" s="5" t="s">
        <v>391</v>
      </c>
      <c r="D95" s="56" t="s">
        <v>78</v>
      </c>
      <c r="E95" s="44">
        <f t="shared" ref="E95:AJ95" si="42">(PI()^2*((1/12)*E94*E35^3)*E13)/E31^2/1000</f>
        <v>535.98377421613839</v>
      </c>
      <c r="F95" s="44" t="e">
        <f t="shared" si="42"/>
        <v>#REF!</v>
      </c>
      <c r="G95" s="44" t="e">
        <f t="shared" si="42"/>
        <v>#REF!</v>
      </c>
      <c r="H95" s="44" t="e">
        <f t="shared" si="42"/>
        <v>#REF!</v>
      </c>
      <c r="I95" s="44" t="e">
        <f t="shared" si="42"/>
        <v>#REF!</v>
      </c>
      <c r="J95" s="44" t="e">
        <f t="shared" si="42"/>
        <v>#REF!</v>
      </c>
      <c r="K95" s="44" t="e">
        <f t="shared" si="42"/>
        <v>#REF!</v>
      </c>
      <c r="L95" s="44" t="e">
        <f t="shared" si="42"/>
        <v>#REF!</v>
      </c>
      <c r="M95" s="44" t="e">
        <f t="shared" si="42"/>
        <v>#REF!</v>
      </c>
      <c r="N95" s="44" t="e">
        <f t="shared" si="42"/>
        <v>#REF!</v>
      </c>
      <c r="O95" s="44" t="e">
        <f t="shared" si="42"/>
        <v>#REF!</v>
      </c>
      <c r="P95" s="44" t="e">
        <f t="shared" si="42"/>
        <v>#REF!</v>
      </c>
      <c r="Q95" s="44" t="e">
        <f t="shared" si="42"/>
        <v>#REF!</v>
      </c>
      <c r="R95" s="44" t="e">
        <f t="shared" si="42"/>
        <v>#REF!</v>
      </c>
      <c r="S95" s="44" t="e">
        <f t="shared" si="42"/>
        <v>#REF!</v>
      </c>
      <c r="T95" s="44" t="e">
        <f t="shared" si="42"/>
        <v>#REF!</v>
      </c>
      <c r="U95" s="44" t="e">
        <f t="shared" si="42"/>
        <v>#REF!</v>
      </c>
      <c r="V95" s="44" t="e">
        <f t="shared" si="42"/>
        <v>#REF!</v>
      </c>
      <c r="W95" s="44" t="e">
        <f t="shared" si="42"/>
        <v>#REF!</v>
      </c>
      <c r="X95" s="44" t="e">
        <f t="shared" si="42"/>
        <v>#REF!</v>
      </c>
      <c r="Y95" s="44" t="e">
        <f t="shared" si="42"/>
        <v>#REF!</v>
      </c>
      <c r="Z95" s="44" t="e">
        <f t="shared" si="42"/>
        <v>#REF!</v>
      </c>
      <c r="AA95" s="44" t="e">
        <f t="shared" si="42"/>
        <v>#REF!</v>
      </c>
      <c r="AB95" s="44" t="e">
        <f t="shared" si="42"/>
        <v>#REF!</v>
      </c>
      <c r="AC95" s="44" t="e">
        <f t="shared" si="42"/>
        <v>#REF!</v>
      </c>
      <c r="AD95" s="44" t="e">
        <f t="shared" si="42"/>
        <v>#REF!</v>
      </c>
      <c r="AE95" s="44" t="e">
        <f t="shared" si="42"/>
        <v>#REF!</v>
      </c>
      <c r="AF95" s="44" t="e">
        <f t="shared" si="42"/>
        <v>#REF!</v>
      </c>
      <c r="AG95" s="44" t="e">
        <f t="shared" si="42"/>
        <v>#REF!</v>
      </c>
      <c r="AH95" s="44" t="e">
        <f t="shared" si="42"/>
        <v>#REF!</v>
      </c>
      <c r="AI95" s="44" t="e">
        <f t="shared" si="42"/>
        <v>#REF!</v>
      </c>
      <c r="AJ95" s="44" t="e">
        <f t="shared" si="42"/>
        <v>#REF!</v>
      </c>
    </row>
    <row r="96" spans="1:36" ht="12.75" customHeight="1" x14ac:dyDescent="0.2">
      <c r="A96" s="6"/>
      <c r="C96" s="7" t="s">
        <v>317</v>
      </c>
      <c r="D96" s="56" t="s">
        <v>113</v>
      </c>
      <c r="E96" s="53">
        <f t="shared" ref="E96:AJ96" si="43">SQRT((E94*E35*E40)/(E95*1000))</f>
        <v>1.4278565769414573</v>
      </c>
      <c r="F96" s="53" t="e">
        <f t="shared" si="43"/>
        <v>#REF!</v>
      </c>
      <c r="G96" s="53" t="e">
        <f t="shared" si="43"/>
        <v>#REF!</v>
      </c>
      <c r="H96" s="53" t="e">
        <f t="shared" si="43"/>
        <v>#REF!</v>
      </c>
      <c r="I96" s="53" t="e">
        <f t="shared" si="43"/>
        <v>#REF!</v>
      </c>
      <c r="J96" s="53" t="e">
        <f t="shared" si="43"/>
        <v>#REF!</v>
      </c>
      <c r="K96" s="53" t="e">
        <f t="shared" si="43"/>
        <v>#REF!</v>
      </c>
      <c r="L96" s="53" t="e">
        <f t="shared" si="43"/>
        <v>#REF!</v>
      </c>
      <c r="M96" s="53" t="e">
        <f t="shared" si="43"/>
        <v>#REF!</v>
      </c>
      <c r="N96" s="53" t="e">
        <f t="shared" si="43"/>
        <v>#REF!</v>
      </c>
      <c r="O96" s="53" t="e">
        <f t="shared" si="43"/>
        <v>#REF!</v>
      </c>
      <c r="P96" s="53" t="e">
        <f t="shared" si="43"/>
        <v>#REF!</v>
      </c>
      <c r="Q96" s="53" t="e">
        <f t="shared" si="43"/>
        <v>#REF!</v>
      </c>
      <c r="R96" s="53" t="e">
        <f t="shared" si="43"/>
        <v>#REF!</v>
      </c>
      <c r="S96" s="53" t="e">
        <f t="shared" si="43"/>
        <v>#REF!</v>
      </c>
      <c r="T96" s="53" t="e">
        <f t="shared" si="43"/>
        <v>#REF!</v>
      </c>
      <c r="U96" s="53" t="e">
        <f t="shared" si="43"/>
        <v>#REF!</v>
      </c>
      <c r="V96" s="53" t="e">
        <f t="shared" si="43"/>
        <v>#REF!</v>
      </c>
      <c r="W96" s="53" t="e">
        <f t="shared" si="43"/>
        <v>#REF!</v>
      </c>
      <c r="X96" s="53" t="e">
        <f t="shared" si="43"/>
        <v>#REF!</v>
      </c>
      <c r="Y96" s="53" t="e">
        <f t="shared" si="43"/>
        <v>#REF!</v>
      </c>
      <c r="Z96" s="53" t="e">
        <f t="shared" si="43"/>
        <v>#REF!</v>
      </c>
      <c r="AA96" s="53" t="e">
        <f t="shared" si="43"/>
        <v>#REF!</v>
      </c>
      <c r="AB96" s="53" t="e">
        <f t="shared" si="43"/>
        <v>#REF!</v>
      </c>
      <c r="AC96" s="53" t="e">
        <f t="shared" si="43"/>
        <v>#REF!</v>
      </c>
      <c r="AD96" s="53" t="e">
        <f t="shared" si="43"/>
        <v>#REF!</v>
      </c>
      <c r="AE96" s="53" t="e">
        <f t="shared" si="43"/>
        <v>#REF!</v>
      </c>
      <c r="AF96" s="53" t="e">
        <f t="shared" si="43"/>
        <v>#REF!</v>
      </c>
      <c r="AG96" s="53" t="e">
        <f t="shared" si="43"/>
        <v>#REF!</v>
      </c>
      <c r="AH96" s="53" t="e">
        <f t="shared" si="43"/>
        <v>#REF!</v>
      </c>
      <c r="AI96" s="53" t="e">
        <f t="shared" si="43"/>
        <v>#REF!</v>
      </c>
      <c r="AJ96" s="53" t="e">
        <f t="shared" si="43"/>
        <v>#REF!</v>
      </c>
    </row>
    <row r="97" spans="1:36" ht="12.75" customHeight="1" x14ac:dyDescent="0.2">
      <c r="A97" s="4" t="s">
        <v>181</v>
      </c>
      <c r="C97" s="5" t="s">
        <v>392</v>
      </c>
      <c r="D97" s="10" t="s">
        <v>113</v>
      </c>
      <c r="E97" s="59">
        <f t="shared" ref="E97:AJ97" si="44">E93/E95</f>
        <v>0</v>
      </c>
      <c r="F97" s="59" t="e">
        <f t="shared" si="44"/>
        <v>#REF!</v>
      </c>
      <c r="G97" s="59" t="e">
        <f t="shared" si="44"/>
        <v>#REF!</v>
      </c>
      <c r="H97" s="59" t="e">
        <f t="shared" si="44"/>
        <v>#REF!</v>
      </c>
      <c r="I97" s="59" t="e">
        <f t="shared" si="44"/>
        <v>#REF!</v>
      </c>
      <c r="J97" s="59" t="e">
        <f t="shared" si="44"/>
        <v>#REF!</v>
      </c>
      <c r="K97" s="59" t="e">
        <f t="shared" si="44"/>
        <v>#REF!</v>
      </c>
      <c r="L97" s="59" t="e">
        <f t="shared" si="44"/>
        <v>#REF!</v>
      </c>
      <c r="M97" s="59" t="e">
        <f t="shared" si="44"/>
        <v>#REF!</v>
      </c>
      <c r="N97" s="59" t="e">
        <f t="shared" si="44"/>
        <v>#REF!</v>
      </c>
      <c r="O97" s="59" t="e">
        <f t="shared" si="44"/>
        <v>#REF!</v>
      </c>
      <c r="P97" s="59" t="e">
        <f t="shared" si="44"/>
        <v>#REF!</v>
      </c>
      <c r="Q97" s="59" t="e">
        <f t="shared" si="44"/>
        <v>#REF!</v>
      </c>
      <c r="R97" s="59" t="e">
        <f t="shared" si="44"/>
        <v>#REF!</v>
      </c>
      <c r="S97" s="59" t="e">
        <f t="shared" si="44"/>
        <v>#REF!</v>
      </c>
      <c r="T97" s="59" t="e">
        <f t="shared" si="44"/>
        <v>#REF!</v>
      </c>
      <c r="U97" s="59" t="e">
        <f t="shared" si="44"/>
        <v>#REF!</v>
      </c>
      <c r="V97" s="59" t="e">
        <f t="shared" si="44"/>
        <v>#REF!</v>
      </c>
      <c r="W97" s="59" t="e">
        <f t="shared" si="44"/>
        <v>#REF!</v>
      </c>
      <c r="X97" s="59" t="e">
        <f t="shared" si="44"/>
        <v>#REF!</v>
      </c>
      <c r="Y97" s="59" t="e">
        <f t="shared" si="44"/>
        <v>#REF!</v>
      </c>
      <c r="Z97" s="59" t="e">
        <f t="shared" si="44"/>
        <v>#REF!</v>
      </c>
      <c r="AA97" s="59" t="e">
        <f t="shared" si="44"/>
        <v>#REF!</v>
      </c>
      <c r="AB97" s="59" t="e">
        <f t="shared" si="44"/>
        <v>#REF!</v>
      </c>
      <c r="AC97" s="59" t="e">
        <f t="shared" si="44"/>
        <v>#REF!</v>
      </c>
      <c r="AD97" s="59" t="e">
        <f t="shared" si="44"/>
        <v>#REF!</v>
      </c>
      <c r="AE97" s="59" t="e">
        <f t="shared" si="44"/>
        <v>#REF!</v>
      </c>
      <c r="AF97" s="59" t="e">
        <f t="shared" si="44"/>
        <v>#REF!</v>
      </c>
      <c r="AG97" s="59" t="e">
        <f t="shared" si="44"/>
        <v>#REF!</v>
      </c>
      <c r="AH97" s="59" t="e">
        <f t="shared" si="44"/>
        <v>#REF!</v>
      </c>
      <c r="AI97" s="59" t="e">
        <f t="shared" si="44"/>
        <v>#REF!</v>
      </c>
      <c r="AJ97" s="59" t="e">
        <f t="shared" si="44"/>
        <v>#REF!</v>
      </c>
    </row>
    <row r="98" spans="1:36" ht="12.75" customHeight="1" x14ac:dyDescent="0.2">
      <c r="A98" s="6"/>
      <c r="C98" s="63"/>
    </row>
    <row r="99" spans="1:36" ht="12.75" customHeight="1" x14ac:dyDescent="0.2">
      <c r="A99" s="94"/>
      <c r="C99" s="5" t="s">
        <v>319</v>
      </c>
      <c r="D99" s="10" t="s">
        <v>113</v>
      </c>
      <c r="E99" s="95" t="s">
        <v>320</v>
      </c>
      <c r="F99" s="95" t="s">
        <v>320</v>
      </c>
      <c r="G99" s="95" t="s">
        <v>320</v>
      </c>
      <c r="H99" s="95" t="s">
        <v>320</v>
      </c>
      <c r="I99" s="95" t="s">
        <v>320</v>
      </c>
      <c r="J99" s="95" t="s">
        <v>320</v>
      </c>
      <c r="K99" s="95" t="s">
        <v>320</v>
      </c>
      <c r="L99" s="95" t="s">
        <v>320</v>
      </c>
      <c r="M99" s="95" t="s">
        <v>320</v>
      </c>
      <c r="N99" s="95" t="s">
        <v>320</v>
      </c>
      <c r="O99" s="95" t="s">
        <v>320</v>
      </c>
      <c r="P99" s="95" t="s">
        <v>320</v>
      </c>
      <c r="Q99" s="95" t="s">
        <v>320</v>
      </c>
      <c r="R99" s="95" t="s">
        <v>320</v>
      </c>
      <c r="S99" s="95" t="s">
        <v>320</v>
      </c>
      <c r="T99" s="95" t="s">
        <v>320</v>
      </c>
      <c r="U99" s="95" t="s">
        <v>320</v>
      </c>
      <c r="V99" s="95" t="s">
        <v>320</v>
      </c>
      <c r="W99" s="95" t="s">
        <v>320</v>
      </c>
      <c r="X99" s="95" t="s">
        <v>320</v>
      </c>
      <c r="Y99" s="95" t="s">
        <v>320</v>
      </c>
      <c r="Z99" s="95" t="s">
        <v>320</v>
      </c>
      <c r="AA99" s="95" t="s">
        <v>320</v>
      </c>
      <c r="AB99" s="95" t="s">
        <v>320</v>
      </c>
      <c r="AC99" s="95" t="s">
        <v>320</v>
      </c>
      <c r="AD99" s="95" t="s">
        <v>320</v>
      </c>
      <c r="AE99" s="95" t="s">
        <v>320</v>
      </c>
      <c r="AF99" s="95" t="s">
        <v>320</v>
      </c>
      <c r="AG99" s="95" t="s">
        <v>320</v>
      </c>
      <c r="AH99" s="95" t="s">
        <v>320</v>
      </c>
      <c r="AI99" s="95" t="s">
        <v>320</v>
      </c>
      <c r="AJ99" s="95" t="s">
        <v>320</v>
      </c>
    </row>
    <row r="100" spans="1:36" ht="12.75" customHeight="1" x14ac:dyDescent="0.2">
      <c r="A100" s="6"/>
      <c r="B100" s="58"/>
      <c r="C100" s="5" t="s">
        <v>272</v>
      </c>
      <c r="D100" s="10" t="s">
        <v>113</v>
      </c>
      <c r="E100" s="11">
        <f t="shared" ref="E100:AJ100" si="45">IF(E99="a0",0.13,IF(E99="a",0.21,IF(E99="b",0.34,IF(E99="c",0.49,IF(E99="d",0.76)))))</f>
        <v>0.49</v>
      </c>
      <c r="F100" s="11">
        <f t="shared" si="45"/>
        <v>0.49</v>
      </c>
      <c r="G100" s="11">
        <f t="shared" si="45"/>
        <v>0.49</v>
      </c>
      <c r="H100" s="11">
        <f t="shared" si="45"/>
        <v>0.49</v>
      </c>
      <c r="I100" s="11">
        <f t="shared" si="45"/>
        <v>0.49</v>
      </c>
      <c r="J100" s="11">
        <f t="shared" si="45"/>
        <v>0.49</v>
      </c>
      <c r="K100" s="11">
        <f t="shared" si="45"/>
        <v>0.49</v>
      </c>
      <c r="L100" s="11">
        <f t="shared" si="45"/>
        <v>0.49</v>
      </c>
      <c r="M100" s="11">
        <f t="shared" si="45"/>
        <v>0.49</v>
      </c>
      <c r="N100" s="11">
        <f t="shared" si="45"/>
        <v>0.49</v>
      </c>
      <c r="O100" s="11">
        <f t="shared" si="45"/>
        <v>0.49</v>
      </c>
      <c r="P100" s="11">
        <f t="shared" si="45"/>
        <v>0.49</v>
      </c>
      <c r="Q100" s="11">
        <f t="shared" si="45"/>
        <v>0.49</v>
      </c>
      <c r="R100" s="11">
        <f t="shared" si="45"/>
        <v>0.49</v>
      </c>
      <c r="S100" s="11">
        <f t="shared" si="45"/>
        <v>0.49</v>
      </c>
      <c r="T100" s="11">
        <f t="shared" si="45"/>
        <v>0.49</v>
      </c>
      <c r="U100" s="11">
        <f t="shared" si="45"/>
        <v>0.49</v>
      </c>
      <c r="V100" s="11">
        <f t="shared" si="45"/>
        <v>0.49</v>
      </c>
      <c r="W100" s="11">
        <f t="shared" si="45"/>
        <v>0.49</v>
      </c>
      <c r="X100" s="11">
        <f t="shared" si="45"/>
        <v>0.49</v>
      </c>
      <c r="Y100" s="11">
        <f t="shared" si="45"/>
        <v>0.49</v>
      </c>
      <c r="Z100" s="11">
        <f t="shared" si="45"/>
        <v>0.49</v>
      </c>
      <c r="AA100" s="11">
        <f t="shared" si="45"/>
        <v>0.49</v>
      </c>
      <c r="AB100" s="11">
        <f t="shared" si="45"/>
        <v>0.49</v>
      </c>
      <c r="AC100" s="11">
        <f t="shared" si="45"/>
        <v>0.49</v>
      </c>
      <c r="AD100" s="11">
        <f t="shared" si="45"/>
        <v>0.49</v>
      </c>
      <c r="AE100" s="11">
        <f t="shared" si="45"/>
        <v>0.49</v>
      </c>
      <c r="AF100" s="11">
        <f t="shared" si="45"/>
        <v>0.49</v>
      </c>
      <c r="AG100" s="11">
        <f t="shared" si="45"/>
        <v>0.49</v>
      </c>
      <c r="AH100" s="11">
        <f t="shared" si="45"/>
        <v>0.49</v>
      </c>
      <c r="AI100" s="11">
        <f t="shared" si="45"/>
        <v>0.49</v>
      </c>
      <c r="AJ100" s="11">
        <f t="shared" si="45"/>
        <v>0.49</v>
      </c>
    </row>
    <row r="101" spans="1:36" ht="12.75" customHeight="1" x14ac:dyDescent="0.2">
      <c r="A101" s="6"/>
      <c r="C101" s="7" t="s">
        <v>16</v>
      </c>
      <c r="D101" s="10" t="s">
        <v>113</v>
      </c>
      <c r="E101" s="11">
        <f t="shared" ref="E101:AJ101" si="46">0.5*(1+(E100*(E96-0.2))+E96^2)</f>
        <v>1.8202120635081449</v>
      </c>
      <c r="F101" s="11" t="e">
        <f t="shared" si="46"/>
        <v>#REF!</v>
      </c>
      <c r="G101" s="11" t="e">
        <f t="shared" si="46"/>
        <v>#REF!</v>
      </c>
      <c r="H101" s="11" t="e">
        <f t="shared" si="46"/>
        <v>#REF!</v>
      </c>
      <c r="I101" s="11" t="e">
        <f t="shared" si="46"/>
        <v>#REF!</v>
      </c>
      <c r="J101" s="11" t="e">
        <f t="shared" si="46"/>
        <v>#REF!</v>
      </c>
      <c r="K101" s="11" t="e">
        <f t="shared" si="46"/>
        <v>#REF!</v>
      </c>
      <c r="L101" s="11" t="e">
        <f t="shared" si="46"/>
        <v>#REF!</v>
      </c>
      <c r="M101" s="11" t="e">
        <f t="shared" si="46"/>
        <v>#REF!</v>
      </c>
      <c r="N101" s="11" t="e">
        <f t="shared" si="46"/>
        <v>#REF!</v>
      </c>
      <c r="O101" s="11" t="e">
        <f t="shared" si="46"/>
        <v>#REF!</v>
      </c>
      <c r="P101" s="11" t="e">
        <f t="shared" si="46"/>
        <v>#REF!</v>
      </c>
      <c r="Q101" s="11" t="e">
        <f t="shared" si="46"/>
        <v>#REF!</v>
      </c>
      <c r="R101" s="11" t="e">
        <f t="shared" si="46"/>
        <v>#REF!</v>
      </c>
      <c r="S101" s="11" t="e">
        <f t="shared" si="46"/>
        <v>#REF!</v>
      </c>
      <c r="T101" s="11" t="e">
        <f t="shared" si="46"/>
        <v>#REF!</v>
      </c>
      <c r="U101" s="11" t="e">
        <f t="shared" si="46"/>
        <v>#REF!</v>
      </c>
      <c r="V101" s="11" t="e">
        <f t="shared" si="46"/>
        <v>#REF!</v>
      </c>
      <c r="W101" s="11" t="e">
        <f t="shared" si="46"/>
        <v>#REF!</v>
      </c>
      <c r="X101" s="11" t="e">
        <f t="shared" si="46"/>
        <v>#REF!</v>
      </c>
      <c r="Y101" s="11" t="e">
        <f t="shared" si="46"/>
        <v>#REF!</v>
      </c>
      <c r="Z101" s="11" t="e">
        <f t="shared" si="46"/>
        <v>#REF!</v>
      </c>
      <c r="AA101" s="11" t="e">
        <f t="shared" si="46"/>
        <v>#REF!</v>
      </c>
      <c r="AB101" s="11" t="e">
        <f t="shared" si="46"/>
        <v>#REF!</v>
      </c>
      <c r="AC101" s="11" t="e">
        <f t="shared" si="46"/>
        <v>#REF!</v>
      </c>
      <c r="AD101" s="11" t="e">
        <f t="shared" si="46"/>
        <v>#REF!</v>
      </c>
      <c r="AE101" s="11" t="e">
        <f t="shared" si="46"/>
        <v>#REF!</v>
      </c>
      <c r="AF101" s="11" t="e">
        <f t="shared" si="46"/>
        <v>#REF!</v>
      </c>
      <c r="AG101" s="11" t="e">
        <f t="shared" si="46"/>
        <v>#REF!</v>
      </c>
      <c r="AH101" s="11" t="e">
        <f t="shared" si="46"/>
        <v>#REF!</v>
      </c>
      <c r="AI101" s="11" t="e">
        <f t="shared" si="46"/>
        <v>#REF!</v>
      </c>
      <c r="AJ101" s="11" t="e">
        <f t="shared" si="46"/>
        <v>#REF!</v>
      </c>
    </row>
    <row r="102" spans="1:36" ht="12.75" customHeight="1" x14ac:dyDescent="0.2">
      <c r="C102" s="7" t="s">
        <v>320</v>
      </c>
      <c r="D102" s="10" t="s">
        <v>113</v>
      </c>
      <c r="E102" s="53">
        <f t="shared" ref="E102:AJ102" si="47">1/(E101+SQRT(E101^2-E96^2))</f>
        <v>0.33908601316404618</v>
      </c>
      <c r="F102" s="53" t="e">
        <f t="shared" si="47"/>
        <v>#REF!</v>
      </c>
      <c r="G102" s="53" t="e">
        <f t="shared" si="47"/>
        <v>#REF!</v>
      </c>
      <c r="H102" s="53" t="e">
        <f t="shared" si="47"/>
        <v>#REF!</v>
      </c>
      <c r="I102" s="53" t="e">
        <f t="shared" si="47"/>
        <v>#REF!</v>
      </c>
      <c r="J102" s="53" t="e">
        <f t="shared" si="47"/>
        <v>#REF!</v>
      </c>
      <c r="K102" s="53" t="e">
        <f t="shared" si="47"/>
        <v>#REF!</v>
      </c>
      <c r="L102" s="53" t="e">
        <f t="shared" si="47"/>
        <v>#REF!</v>
      </c>
      <c r="M102" s="53" t="e">
        <f t="shared" si="47"/>
        <v>#REF!</v>
      </c>
      <c r="N102" s="53" t="e">
        <f t="shared" si="47"/>
        <v>#REF!</v>
      </c>
      <c r="O102" s="53" t="e">
        <f t="shared" si="47"/>
        <v>#REF!</v>
      </c>
      <c r="P102" s="53" t="e">
        <f t="shared" si="47"/>
        <v>#REF!</v>
      </c>
      <c r="Q102" s="53" t="e">
        <f t="shared" si="47"/>
        <v>#REF!</v>
      </c>
      <c r="R102" s="53" t="e">
        <f t="shared" si="47"/>
        <v>#REF!</v>
      </c>
      <c r="S102" s="53" t="e">
        <f t="shared" si="47"/>
        <v>#REF!</v>
      </c>
      <c r="T102" s="53" t="e">
        <f t="shared" si="47"/>
        <v>#REF!</v>
      </c>
      <c r="U102" s="53" t="e">
        <f t="shared" si="47"/>
        <v>#REF!</v>
      </c>
      <c r="V102" s="53" t="e">
        <f t="shared" si="47"/>
        <v>#REF!</v>
      </c>
      <c r="W102" s="53" t="e">
        <f t="shared" si="47"/>
        <v>#REF!</v>
      </c>
      <c r="X102" s="53" t="e">
        <f t="shared" si="47"/>
        <v>#REF!</v>
      </c>
      <c r="Y102" s="53" t="e">
        <f t="shared" si="47"/>
        <v>#REF!</v>
      </c>
      <c r="Z102" s="53" t="e">
        <f t="shared" si="47"/>
        <v>#REF!</v>
      </c>
      <c r="AA102" s="53" t="e">
        <f t="shared" si="47"/>
        <v>#REF!</v>
      </c>
      <c r="AB102" s="53" t="e">
        <f t="shared" si="47"/>
        <v>#REF!</v>
      </c>
      <c r="AC102" s="53" t="e">
        <f t="shared" si="47"/>
        <v>#REF!</v>
      </c>
      <c r="AD102" s="53" t="e">
        <f t="shared" si="47"/>
        <v>#REF!</v>
      </c>
      <c r="AE102" s="53" t="e">
        <f t="shared" si="47"/>
        <v>#REF!</v>
      </c>
      <c r="AF102" s="53" t="e">
        <f t="shared" si="47"/>
        <v>#REF!</v>
      </c>
      <c r="AG102" s="53" t="e">
        <f t="shared" si="47"/>
        <v>#REF!</v>
      </c>
      <c r="AH102" s="53" t="e">
        <f t="shared" si="47"/>
        <v>#REF!</v>
      </c>
      <c r="AI102" s="53" t="e">
        <f t="shared" si="47"/>
        <v>#REF!</v>
      </c>
      <c r="AJ102" s="53" t="e">
        <f t="shared" si="47"/>
        <v>#REF!</v>
      </c>
    </row>
    <row r="103" spans="1:36" ht="12.75" customHeight="1" x14ac:dyDescent="0.2">
      <c r="A103" s="94"/>
      <c r="C103" s="5" t="s">
        <v>393</v>
      </c>
      <c r="D103" s="10" t="s">
        <v>78</v>
      </c>
      <c r="E103" s="44">
        <f t="shared" ref="E103:AJ103" si="48">(E102*E35*E94*E40)/1000</f>
        <v>370.53624088501152</v>
      </c>
      <c r="F103" s="44" t="e">
        <f t="shared" si="48"/>
        <v>#REF!</v>
      </c>
      <c r="G103" s="44" t="e">
        <f t="shared" si="48"/>
        <v>#REF!</v>
      </c>
      <c r="H103" s="44" t="e">
        <f t="shared" si="48"/>
        <v>#REF!</v>
      </c>
      <c r="I103" s="44" t="e">
        <f t="shared" si="48"/>
        <v>#REF!</v>
      </c>
      <c r="J103" s="44" t="e">
        <f t="shared" si="48"/>
        <v>#REF!</v>
      </c>
      <c r="K103" s="44" t="e">
        <f t="shared" si="48"/>
        <v>#REF!</v>
      </c>
      <c r="L103" s="44" t="e">
        <f t="shared" si="48"/>
        <v>#REF!</v>
      </c>
      <c r="M103" s="44" t="e">
        <f t="shared" si="48"/>
        <v>#REF!</v>
      </c>
      <c r="N103" s="44" t="e">
        <f t="shared" si="48"/>
        <v>#REF!</v>
      </c>
      <c r="O103" s="44" t="e">
        <f t="shared" si="48"/>
        <v>#REF!</v>
      </c>
      <c r="P103" s="44" t="e">
        <f t="shared" si="48"/>
        <v>#REF!</v>
      </c>
      <c r="Q103" s="44" t="e">
        <f t="shared" si="48"/>
        <v>#REF!</v>
      </c>
      <c r="R103" s="44" t="e">
        <f t="shared" si="48"/>
        <v>#REF!</v>
      </c>
      <c r="S103" s="44" t="e">
        <f t="shared" si="48"/>
        <v>#REF!</v>
      </c>
      <c r="T103" s="44" t="e">
        <f t="shared" si="48"/>
        <v>#REF!</v>
      </c>
      <c r="U103" s="44" t="e">
        <f t="shared" si="48"/>
        <v>#REF!</v>
      </c>
      <c r="V103" s="44" t="e">
        <f t="shared" si="48"/>
        <v>#REF!</v>
      </c>
      <c r="W103" s="44" t="e">
        <f t="shared" si="48"/>
        <v>#REF!</v>
      </c>
      <c r="X103" s="44" t="e">
        <f t="shared" si="48"/>
        <v>#REF!</v>
      </c>
      <c r="Y103" s="44" t="e">
        <f t="shared" si="48"/>
        <v>#REF!</v>
      </c>
      <c r="Z103" s="44" t="e">
        <f t="shared" si="48"/>
        <v>#REF!</v>
      </c>
      <c r="AA103" s="44" t="e">
        <f t="shared" si="48"/>
        <v>#REF!</v>
      </c>
      <c r="AB103" s="44" t="e">
        <f t="shared" si="48"/>
        <v>#REF!</v>
      </c>
      <c r="AC103" s="44" t="e">
        <f t="shared" si="48"/>
        <v>#REF!</v>
      </c>
      <c r="AD103" s="44" t="e">
        <f t="shared" si="48"/>
        <v>#REF!</v>
      </c>
      <c r="AE103" s="44" t="e">
        <f t="shared" si="48"/>
        <v>#REF!</v>
      </c>
      <c r="AF103" s="44" t="e">
        <f t="shared" si="48"/>
        <v>#REF!</v>
      </c>
      <c r="AG103" s="44" t="e">
        <f t="shared" si="48"/>
        <v>#REF!</v>
      </c>
      <c r="AH103" s="44" t="e">
        <f t="shared" si="48"/>
        <v>#REF!</v>
      </c>
      <c r="AI103" s="44" t="e">
        <f t="shared" si="48"/>
        <v>#REF!</v>
      </c>
      <c r="AJ103" s="44" t="e">
        <f t="shared" si="48"/>
        <v>#REF!</v>
      </c>
    </row>
    <row r="104" spans="1:36" ht="12.75" customHeight="1" x14ac:dyDescent="0.2">
      <c r="A104" s="4" t="s">
        <v>181</v>
      </c>
      <c r="C104" s="5" t="s">
        <v>394</v>
      </c>
      <c r="D104" s="10" t="s">
        <v>113</v>
      </c>
      <c r="E104" s="59">
        <f t="shared" ref="E104:AJ104" si="49">E93/E103</f>
        <v>0</v>
      </c>
      <c r="F104" s="59" t="e">
        <f t="shared" si="49"/>
        <v>#REF!</v>
      </c>
      <c r="G104" s="59" t="e">
        <f t="shared" si="49"/>
        <v>#REF!</v>
      </c>
      <c r="H104" s="59" t="e">
        <f t="shared" si="49"/>
        <v>#REF!</v>
      </c>
      <c r="I104" s="59" t="e">
        <f t="shared" si="49"/>
        <v>#REF!</v>
      </c>
      <c r="J104" s="59" t="e">
        <f t="shared" si="49"/>
        <v>#REF!</v>
      </c>
      <c r="K104" s="59" t="e">
        <f t="shared" si="49"/>
        <v>#REF!</v>
      </c>
      <c r="L104" s="59" t="e">
        <f t="shared" si="49"/>
        <v>#REF!</v>
      </c>
      <c r="M104" s="59" t="e">
        <f t="shared" si="49"/>
        <v>#REF!</v>
      </c>
      <c r="N104" s="59" t="e">
        <f t="shared" si="49"/>
        <v>#REF!</v>
      </c>
      <c r="O104" s="59" t="e">
        <f t="shared" si="49"/>
        <v>#REF!</v>
      </c>
      <c r="P104" s="59" t="e">
        <f t="shared" si="49"/>
        <v>#REF!</v>
      </c>
      <c r="Q104" s="59" t="e">
        <f t="shared" si="49"/>
        <v>#REF!</v>
      </c>
      <c r="R104" s="59" t="e">
        <f t="shared" si="49"/>
        <v>#REF!</v>
      </c>
      <c r="S104" s="59" t="e">
        <f t="shared" si="49"/>
        <v>#REF!</v>
      </c>
      <c r="T104" s="59" t="e">
        <f t="shared" si="49"/>
        <v>#REF!</v>
      </c>
      <c r="U104" s="59" t="e">
        <f t="shared" si="49"/>
        <v>#REF!</v>
      </c>
      <c r="V104" s="59" t="e">
        <f t="shared" si="49"/>
        <v>#REF!</v>
      </c>
      <c r="W104" s="59" t="e">
        <f t="shared" si="49"/>
        <v>#REF!</v>
      </c>
      <c r="X104" s="59" t="e">
        <f t="shared" si="49"/>
        <v>#REF!</v>
      </c>
      <c r="Y104" s="59" t="e">
        <f t="shared" si="49"/>
        <v>#REF!</v>
      </c>
      <c r="Z104" s="59" t="e">
        <f t="shared" si="49"/>
        <v>#REF!</v>
      </c>
      <c r="AA104" s="59" t="e">
        <f t="shared" si="49"/>
        <v>#REF!</v>
      </c>
      <c r="AB104" s="59" t="e">
        <f t="shared" si="49"/>
        <v>#REF!</v>
      </c>
      <c r="AC104" s="59" t="e">
        <f t="shared" si="49"/>
        <v>#REF!</v>
      </c>
      <c r="AD104" s="59" t="e">
        <f t="shared" si="49"/>
        <v>#REF!</v>
      </c>
      <c r="AE104" s="59" t="e">
        <f t="shared" si="49"/>
        <v>#REF!</v>
      </c>
      <c r="AF104" s="59" t="e">
        <f t="shared" si="49"/>
        <v>#REF!</v>
      </c>
      <c r="AG104" s="59" t="e">
        <f t="shared" si="49"/>
        <v>#REF!</v>
      </c>
      <c r="AH104" s="59" t="e">
        <f t="shared" si="49"/>
        <v>#REF!</v>
      </c>
      <c r="AI104" s="59" t="e">
        <f t="shared" si="49"/>
        <v>#REF!</v>
      </c>
      <c r="AJ104" s="59" t="e">
        <f t="shared" si="49"/>
        <v>#REF!</v>
      </c>
    </row>
    <row r="105" spans="1:36" ht="12.75" customHeight="1" x14ac:dyDescent="0.2">
      <c r="A105" s="6"/>
      <c r="C105" s="5"/>
      <c r="D105" s="10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</row>
    <row r="106" spans="1:36" ht="12.75" customHeight="1" x14ac:dyDescent="0.2">
      <c r="A106" s="51" t="s">
        <v>240</v>
      </c>
      <c r="C106" s="61"/>
      <c r="D106" s="10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</row>
    <row r="107" spans="1:36" ht="12.75" customHeight="1" x14ac:dyDescent="0.2">
      <c r="A107" s="1" t="s">
        <v>368</v>
      </c>
      <c r="C107" s="61"/>
      <c r="D107" s="78" t="s">
        <v>181</v>
      </c>
      <c r="E107" s="59" t="e">
        <f t="shared" ref="E107:AJ107" si="50">E72</f>
        <v>#DIV/0!</v>
      </c>
      <c r="F107" s="59" t="e">
        <f t="shared" si="50"/>
        <v>#REF!</v>
      </c>
      <c r="G107" s="59" t="e">
        <f t="shared" si="50"/>
        <v>#REF!</v>
      </c>
      <c r="H107" s="59" t="e">
        <f t="shared" si="50"/>
        <v>#REF!</v>
      </c>
      <c r="I107" s="59" t="e">
        <f t="shared" si="50"/>
        <v>#REF!</v>
      </c>
      <c r="J107" s="59" t="e">
        <f t="shared" si="50"/>
        <v>#REF!</v>
      </c>
      <c r="K107" s="59" t="e">
        <f t="shared" si="50"/>
        <v>#REF!</v>
      </c>
      <c r="L107" s="59" t="e">
        <f t="shared" si="50"/>
        <v>#REF!</v>
      </c>
      <c r="M107" s="59" t="e">
        <f t="shared" si="50"/>
        <v>#REF!</v>
      </c>
      <c r="N107" s="59" t="e">
        <f t="shared" si="50"/>
        <v>#REF!</v>
      </c>
      <c r="O107" s="59" t="e">
        <f t="shared" si="50"/>
        <v>#REF!</v>
      </c>
      <c r="P107" s="59" t="e">
        <f t="shared" si="50"/>
        <v>#REF!</v>
      </c>
      <c r="Q107" s="59" t="e">
        <f t="shared" si="50"/>
        <v>#REF!</v>
      </c>
      <c r="R107" s="59" t="e">
        <f t="shared" si="50"/>
        <v>#REF!</v>
      </c>
      <c r="S107" s="59" t="e">
        <f t="shared" si="50"/>
        <v>#REF!</v>
      </c>
      <c r="T107" s="59" t="e">
        <f t="shared" si="50"/>
        <v>#REF!</v>
      </c>
      <c r="U107" s="59" t="e">
        <f t="shared" si="50"/>
        <v>#REF!</v>
      </c>
      <c r="V107" s="59" t="e">
        <f t="shared" si="50"/>
        <v>#REF!</v>
      </c>
      <c r="W107" s="59" t="e">
        <f t="shared" si="50"/>
        <v>#REF!</v>
      </c>
      <c r="X107" s="59" t="e">
        <f t="shared" si="50"/>
        <v>#REF!</v>
      </c>
      <c r="Y107" s="59" t="e">
        <f t="shared" si="50"/>
        <v>#REF!</v>
      </c>
      <c r="Z107" s="59" t="e">
        <f t="shared" si="50"/>
        <v>#REF!</v>
      </c>
      <c r="AA107" s="59" t="e">
        <f t="shared" si="50"/>
        <v>#REF!</v>
      </c>
      <c r="AB107" s="59" t="e">
        <f t="shared" si="50"/>
        <v>#REF!</v>
      </c>
      <c r="AC107" s="59" t="e">
        <f t="shared" si="50"/>
        <v>#REF!</v>
      </c>
      <c r="AD107" s="59" t="e">
        <f t="shared" si="50"/>
        <v>#REF!</v>
      </c>
      <c r="AE107" s="59" t="e">
        <f t="shared" si="50"/>
        <v>#REF!</v>
      </c>
      <c r="AF107" s="59" t="e">
        <f t="shared" si="50"/>
        <v>#REF!</v>
      </c>
      <c r="AG107" s="59" t="e">
        <f t="shared" si="50"/>
        <v>#REF!</v>
      </c>
      <c r="AH107" s="59" t="e">
        <f t="shared" si="50"/>
        <v>#REF!</v>
      </c>
      <c r="AI107" s="59" t="e">
        <f t="shared" si="50"/>
        <v>#REF!</v>
      </c>
      <c r="AJ107" s="59" t="e">
        <f t="shared" si="50"/>
        <v>#REF!</v>
      </c>
    </row>
    <row r="108" spans="1:36" ht="12.75" customHeight="1" x14ac:dyDescent="0.2">
      <c r="A108" s="4" t="s">
        <v>375</v>
      </c>
      <c r="C108" s="38" t="s">
        <v>376</v>
      </c>
      <c r="D108" s="78" t="s">
        <v>181</v>
      </c>
      <c r="E108" s="59">
        <f t="shared" ref="E108:AJ108" si="51">E82</f>
        <v>0</v>
      </c>
      <c r="F108" s="59" t="e">
        <f t="shared" si="51"/>
        <v>#REF!</v>
      </c>
      <c r="G108" s="59" t="e">
        <f t="shared" si="51"/>
        <v>#REF!</v>
      </c>
      <c r="H108" s="59" t="e">
        <f t="shared" si="51"/>
        <v>#REF!</v>
      </c>
      <c r="I108" s="59" t="e">
        <f t="shared" si="51"/>
        <v>#REF!</v>
      </c>
      <c r="J108" s="59" t="e">
        <f t="shared" si="51"/>
        <v>#REF!</v>
      </c>
      <c r="K108" s="59" t="e">
        <f t="shared" si="51"/>
        <v>#REF!</v>
      </c>
      <c r="L108" s="59" t="e">
        <f t="shared" si="51"/>
        <v>#REF!</v>
      </c>
      <c r="M108" s="59" t="e">
        <f t="shared" si="51"/>
        <v>#REF!</v>
      </c>
      <c r="N108" s="59" t="e">
        <f t="shared" si="51"/>
        <v>#REF!</v>
      </c>
      <c r="O108" s="59" t="e">
        <f t="shared" si="51"/>
        <v>#REF!</v>
      </c>
      <c r="P108" s="59" t="e">
        <f t="shared" si="51"/>
        <v>#REF!</v>
      </c>
      <c r="Q108" s="59" t="e">
        <f t="shared" si="51"/>
        <v>#REF!</v>
      </c>
      <c r="R108" s="59" t="e">
        <f t="shared" si="51"/>
        <v>#REF!</v>
      </c>
      <c r="S108" s="59" t="e">
        <f t="shared" si="51"/>
        <v>#REF!</v>
      </c>
      <c r="T108" s="59" t="e">
        <f t="shared" si="51"/>
        <v>#REF!</v>
      </c>
      <c r="U108" s="59" t="e">
        <f t="shared" si="51"/>
        <v>#REF!</v>
      </c>
      <c r="V108" s="59" t="e">
        <f t="shared" si="51"/>
        <v>#REF!</v>
      </c>
      <c r="W108" s="59" t="e">
        <f t="shared" si="51"/>
        <v>#REF!</v>
      </c>
      <c r="X108" s="59" t="e">
        <f t="shared" si="51"/>
        <v>#REF!</v>
      </c>
      <c r="Y108" s="59" t="e">
        <f t="shared" si="51"/>
        <v>#REF!</v>
      </c>
      <c r="Z108" s="59" t="e">
        <f t="shared" si="51"/>
        <v>#REF!</v>
      </c>
      <c r="AA108" s="59" t="e">
        <f t="shared" si="51"/>
        <v>#REF!</v>
      </c>
      <c r="AB108" s="59" t="e">
        <f t="shared" si="51"/>
        <v>#REF!</v>
      </c>
      <c r="AC108" s="59" t="e">
        <f t="shared" si="51"/>
        <v>#REF!</v>
      </c>
      <c r="AD108" s="59" t="e">
        <f t="shared" si="51"/>
        <v>#REF!</v>
      </c>
      <c r="AE108" s="59" t="e">
        <f t="shared" si="51"/>
        <v>#REF!</v>
      </c>
      <c r="AF108" s="59" t="e">
        <f t="shared" si="51"/>
        <v>#REF!</v>
      </c>
      <c r="AG108" s="59" t="e">
        <f t="shared" si="51"/>
        <v>#REF!</v>
      </c>
      <c r="AH108" s="59" t="e">
        <f t="shared" si="51"/>
        <v>#REF!</v>
      </c>
      <c r="AI108" s="59" t="e">
        <f t="shared" si="51"/>
        <v>#REF!</v>
      </c>
      <c r="AJ108" s="59" t="e">
        <f t="shared" si="51"/>
        <v>#REF!</v>
      </c>
    </row>
    <row r="109" spans="1:36" ht="12.75" customHeight="1" x14ac:dyDescent="0.2">
      <c r="A109" s="4" t="s">
        <v>383</v>
      </c>
      <c r="C109" s="38" t="s">
        <v>384</v>
      </c>
      <c r="D109" s="78" t="s">
        <v>181</v>
      </c>
      <c r="E109" s="59">
        <f t="shared" ref="E109:AJ109" si="52">E89</f>
        <v>0</v>
      </c>
      <c r="F109" s="59" t="e">
        <f t="shared" si="52"/>
        <v>#REF!</v>
      </c>
      <c r="G109" s="59" t="e">
        <f t="shared" si="52"/>
        <v>#REF!</v>
      </c>
      <c r="H109" s="59" t="e">
        <f t="shared" si="52"/>
        <v>#REF!</v>
      </c>
      <c r="I109" s="59" t="e">
        <f t="shared" si="52"/>
        <v>#REF!</v>
      </c>
      <c r="J109" s="59" t="e">
        <f t="shared" si="52"/>
        <v>#REF!</v>
      </c>
      <c r="K109" s="59" t="e">
        <f t="shared" si="52"/>
        <v>#REF!</v>
      </c>
      <c r="L109" s="59" t="e">
        <f t="shared" si="52"/>
        <v>#REF!</v>
      </c>
      <c r="M109" s="59" t="e">
        <f t="shared" si="52"/>
        <v>#REF!</v>
      </c>
      <c r="N109" s="59" t="e">
        <f t="shared" si="52"/>
        <v>#REF!</v>
      </c>
      <c r="O109" s="59" t="e">
        <f t="shared" si="52"/>
        <v>#REF!</v>
      </c>
      <c r="P109" s="59" t="e">
        <f t="shared" si="52"/>
        <v>#REF!</v>
      </c>
      <c r="Q109" s="59" t="e">
        <f t="shared" si="52"/>
        <v>#REF!</v>
      </c>
      <c r="R109" s="59" t="e">
        <f t="shared" si="52"/>
        <v>#REF!</v>
      </c>
      <c r="S109" s="59" t="e">
        <f t="shared" si="52"/>
        <v>#REF!</v>
      </c>
      <c r="T109" s="59" t="e">
        <f t="shared" si="52"/>
        <v>#REF!</v>
      </c>
      <c r="U109" s="59" t="e">
        <f t="shared" si="52"/>
        <v>#REF!</v>
      </c>
      <c r="V109" s="59" t="e">
        <f t="shared" si="52"/>
        <v>#REF!</v>
      </c>
      <c r="W109" s="59" t="e">
        <f t="shared" si="52"/>
        <v>#REF!</v>
      </c>
      <c r="X109" s="59" t="e">
        <f t="shared" si="52"/>
        <v>#REF!</v>
      </c>
      <c r="Y109" s="59" t="e">
        <f t="shared" si="52"/>
        <v>#REF!</v>
      </c>
      <c r="Z109" s="59" t="e">
        <f t="shared" si="52"/>
        <v>#REF!</v>
      </c>
      <c r="AA109" s="59" t="e">
        <f t="shared" si="52"/>
        <v>#REF!</v>
      </c>
      <c r="AB109" s="59" t="e">
        <f t="shared" si="52"/>
        <v>#REF!</v>
      </c>
      <c r="AC109" s="59" t="e">
        <f t="shared" si="52"/>
        <v>#REF!</v>
      </c>
      <c r="AD109" s="59" t="e">
        <f t="shared" si="52"/>
        <v>#REF!</v>
      </c>
      <c r="AE109" s="59" t="e">
        <f t="shared" si="52"/>
        <v>#REF!</v>
      </c>
      <c r="AF109" s="59" t="e">
        <f t="shared" si="52"/>
        <v>#REF!</v>
      </c>
      <c r="AG109" s="59" t="e">
        <f t="shared" si="52"/>
        <v>#REF!</v>
      </c>
      <c r="AH109" s="59" t="e">
        <f t="shared" si="52"/>
        <v>#REF!</v>
      </c>
      <c r="AI109" s="59" t="e">
        <f t="shared" si="52"/>
        <v>#REF!</v>
      </c>
      <c r="AJ109" s="59" t="e">
        <f t="shared" si="52"/>
        <v>#REF!</v>
      </c>
    </row>
    <row r="110" spans="1:36" ht="12.75" customHeight="1" x14ac:dyDescent="0.2">
      <c r="A110" s="4"/>
      <c r="C110" s="38"/>
      <c r="D110" s="78" t="s">
        <v>181</v>
      </c>
      <c r="E110" s="59">
        <f t="shared" ref="E110:AJ110" si="53">E90</f>
        <v>0.48561583813982645</v>
      </c>
      <c r="F110" s="59" t="e">
        <f t="shared" si="53"/>
        <v>#REF!</v>
      </c>
      <c r="G110" s="59" t="e">
        <f t="shared" si="53"/>
        <v>#REF!</v>
      </c>
      <c r="H110" s="59" t="e">
        <f t="shared" si="53"/>
        <v>#REF!</v>
      </c>
      <c r="I110" s="59" t="e">
        <f t="shared" si="53"/>
        <v>#REF!</v>
      </c>
      <c r="J110" s="59" t="e">
        <f t="shared" si="53"/>
        <v>#REF!</v>
      </c>
      <c r="K110" s="59" t="e">
        <f t="shared" si="53"/>
        <v>#REF!</v>
      </c>
      <c r="L110" s="59" t="e">
        <f t="shared" si="53"/>
        <v>#REF!</v>
      </c>
      <c r="M110" s="59" t="e">
        <f t="shared" si="53"/>
        <v>#REF!</v>
      </c>
      <c r="N110" s="59" t="e">
        <f t="shared" si="53"/>
        <v>#REF!</v>
      </c>
      <c r="O110" s="59" t="e">
        <f t="shared" si="53"/>
        <v>#REF!</v>
      </c>
      <c r="P110" s="59" t="e">
        <f t="shared" si="53"/>
        <v>#REF!</v>
      </c>
      <c r="Q110" s="59" t="e">
        <f t="shared" si="53"/>
        <v>#REF!</v>
      </c>
      <c r="R110" s="59" t="e">
        <f t="shared" si="53"/>
        <v>#REF!</v>
      </c>
      <c r="S110" s="59" t="e">
        <f t="shared" si="53"/>
        <v>#REF!</v>
      </c>
      <c r="T110" s="59" t="e">
        <f t="shared" si="53"/>
        <v>#REF!</v>
      </c>
      <c r="U110" s="59" t="e">
        <f t="shared" si="53"/>
        <v>#REF!</v>
      </c>
      <c r="V110" s="59" t="e">
        <f t="shared" si="53"/>
        <v>#REF!</v>
      </c>
      <c r="W110" s="59" t="e">
        <f t="shared" si="53"/>
        <v>#REF!</v>
      </c>
      <c r="X110" s="59" t="e">
        <f t="shared" si="53"/>
        <v>#REF!</v>
      </c>
      <c r="Y110" s="59" t="e">
        <f t="shared" si="53"/>
        <v>#REF!</v>
      </c>
      <c r="Z110" s="59" t="e">
        <f t="shared" si="53"/>
        <v>#REF!</v>
      </c>
      <c r="AA110" s="59" t="e">
        <f t="shared" si="53"/>
        <v>#REF!</v>
      </c>
      <c r="AB110" s="59" t="e">
        <f t="shared" si="53"/>
        <v>#REF!</v>
      </c>
      <c r="AC110" s="59" t="e">
        <f t="shared" si="53"/>
        <v>#REF!</v>
      </c>
      <c r="AD110" s="59" t="e">
        <f t="shared" si="53"/>
        <v>#REF!</v>
      </c>
      <c r="AE110" s="59" t="e">
        <f t="shared" si="53"/>
        <v>#REF!</v>
      </c>
      <c r="AF110" s="59" t="e">
        <f t="shared" si="53"/>
        <v>#REF!</v>
      </c>
      <c r="AG110" s="59" t="e">
        <f t="shared" si="53"/>
        <v>#REF!</v>
      </c>
      <c r="AH110" s="59" t="e">
        <f t="shared" si="53"/>
        <v>#REF!</v>
      </c>
      <c r="AI110" s="59" t="e">
        <f t="shared" si="53"/>
        <v>#REF!</v>
      </c>
      <c r="AJ110" s="59" t="e">
        <f t="shared" si="53"/>
        <v>#REF!</v>
      </c>
    </row>
    <row r="111" spans="1:36" ht="12.75" customHeight="1" x14ac:dyDescent="0.2">
      <c r="A111" s="4" t="s">
        <v>389</v>
      </c>
      <c r="C111" s="38" t="s">
        <v>390</v>
      </c>
      <c r="D111" s="78" t="s">
        <v>181</v>
      </c>
      <c r="E111" s="59">
        <f t="shared" ref="E111:AJ111" si="54">E104</f>
        <v>0</v>
      </c>
      <c r="F111" s="59" t="e">
        <f t="shared" si="54"/>
        <v>#REF!</v>
      </c>
      <c r="G111" s="59" t="e">
        <f t="shared" si="54"/>
        <v>#REF!</v>
      </c>
      <c r="H111" s="59" t="e">
        <f t="shared" si="54"/>
        <v>#REF!</v>
      </c>
      <c r="I111" s="59" t="e">
        <f t="shared" si="54"/>
        <v>#REF!</v>
      </c>
      <c r="J111" s="59" t="e">
        <f t="shared" si="54"/>
        <v>#REF!</v>
      </c>
      <c r="K111" s="59" t="e">
        <f t="shared" si="54"/>
        <v>#REF!</v>
      </c>
      <c r="L111" s="59" t="e">
        <f t="shared" si="54"/>
        <v>#REF!</v>
      </c>
      <c r="M111" s="59" t="e">
        <f t="shared" si="54"/>
        <v>#REF!</v>
      </c>
      <c r="N111" s="59" t="e">
        <f t="shared" si="54"/>
        <v>#REF!</v>
      </c>
      <c r="O111" s="59" t="e">
        <f t="shared" si="54"/>
        <v>#REF!</v>
      </c>
      <c r="P111" s="59" t="e">
        <f t="shared" si="54"/>
        <v>#REF!</v>
      </c>
      <c r="Q111" s="59" t="e">
        <f t="shared" si="54"/>
        <v>#REF!</v>
      </c>
      <c r="R111" s="59" t="e">
        <f t="shared" si="54"/>
        <v>#REF!</v>
      </c>
      <c r="S111" s="59" t="e">
        <f t="shared" si="54"/>
        <v>#REF!</v>
      </c>
      <c r="T111" s="59" t="e">
        <f t="shared" si="54"/>
        <v>#REF!</v>
      </c>
      <c r="U111" s="59" t="e">
        <f t="shared" si="54"/>
        <v>#REF!</v>
      </c>
      <c r="V111" s="59" t="e">
        <f t="shared" si="54"/>
        <v>#REF!</v>
      </c>
      <c r="W111" s="59" t="e">
        <f t="shared" si="54"/>
        <v>#REF!</v>
      </c>
      <c r="X111" s="59" t="e">
        <f t="shared" si="54"/>
        <v>#REF!</v>
      </c>
      <c r="Y111" s="59" t="e">
        <f t="shared" si="54"/>
        <v>#REF!</v>
      </c>
      <c r="Z111" s="59" t="e">
        <f t="shared" si="54"/>
        <v>#REF!</v>
      </c>
      <c r="AA111" s="59" t="e">
        <f t="shared" si="54"/>
        <v>#REF!</v>
      </c>
      <c r="AB111" s="59" t="e">
        <f t="shared" si="54"/>
        <v>#REF!</v>
      </c>
      <c r="AC111" s="59" t="e">
        <f t="shared" si="54"/>
        <v>#REF!</v>
      </c>
      <c r="AD111" s="59" t="e">
        <f t="shared" si="54"/>
        <v>#REF!</v>
      </c>
      <c r="AE111" s="59" t="e">
        <f t="shared" si="54"/>
        <v>#REF!</v>
      </c>
      <c r="AF111" s="59" t="e">
        <f t="shared" si="54"/>
        <v>#REF!</v>
      </c>
      <c r="AG111" s="59" t="e">
        <f t="shared" si="54"/>
        <v>#REF!</v>
      </c>
      <c r="AH111" s="59" t="e">
        <f t="shared" si="54"/>
        <v>#REF!</v>
      </c>
      <c r="AI111" s="59" t="e">
        <f t="shared" si="54"/>
        <v>#REF!</v>
      </c>
      <c r="AJ111" s="59" t="e">
        <f t="shared" si="54"/>
        <v>#REF!</v>
      </c>
    </row>
    <row r="112" spans="1:36" ht="12.75" customHeight="1" x14ac:dyDescent="0.2">
      <c r="A112" s="94"/>
      <c r="C112" s="62"/>
      <c r="E112" s="59" t="e">
        <f t="shared" ref="E112:AJ112" si="55">MAX(E107:E111)</f>
        <v>#DIV/0!</v>
      </c>
      <c r="F112" s="59" t="e">
        <f t="shared" si="55"/>
        <v>#REF!</v>
      </c>
      <c r="G112" s="59" t="e">
        <f t="shared" si="55"/>
        <v>#REF!</v>
      </c>
      <c r="H112" s="59" t="e">
        <f t="shared" si="55"/>
        <v>#REF!</v>
      </c>
      <c r="I112" s="59" t="e">
        <f t="shared" si="55"/>
        <v>#REF!</v>
      </c>
      <c r="J112" s="59" t="e">
        <f t="shared" si="55"/>
        <v>#REF!</v>
      </c>
      <c r="K112" s="59" t="e">
        <f t="shared" si="55"/>
        <v>#REF!</v>
      </c>
      <c r="L112" s="59" t="e">
        <f t="shared" si="55"/>
        <v>#REF!</v>
      </c>
      <c r="M112" s="59" t="e">
        <f t="shared" si="55"/>
        <v>#REF!</v>
      </c>
      <c r="N112" s="59" t="e">
        <f t="shared" si="55"/>
        <v>#REF!</v>
      </c>
      <c r="O112" s="59" t="e">
        <f t="shared" si="55"/>
        <v>#REF!</v>
      </c>
      <c r="P112" s="59" t="e">
        <f t="shared" si="55"/>
        <v>#REF!</v>
      </c>
      <c r="Q112" s="59" t="e">
        <f t="shared" si="55"/>
        <v>#REF!</v>
      </c>
      <c r="R112" s="59" t="e">
        <f t="shared" si="55"/>
        <v>#REF!</v>
      </c>
      <c r="S112" s="59" t="e">
        <f t="shared" si="55"/>
        <v>#REF!</v>
      </c>
      <c r="T112" s="59" t="e">
        <f t="shared" si="55"/>
        <v>#REF!</v>
      </c>
      <c r="U112" s="59" t="e">
        <f t="shared" si="55"/>
        <v>#REF!</v>
      </c>
      <c r="V112" s="59" t="e">
        <f t="shared" si="55"/>
        <v>#REF!</v>
      </c>
      <c r="W112" s="59" t="e">
        <f t="shared" si="55"/>
        <v>#REF!</v>
      </c>
      <c r="X112" s="59" t="e">
        <f t="shared" si="55"/>
        <v>#REF!</v>
      </c>
      <c r="Y112" s="59" t="e">
        <f t="shared" si="55"/>
        <v>#REF!</v>
      </c>
      <c r="Z112" s="59" t="e">
        <f t="shared" si="55"/>
        <v>#REF!</v>
      </c>
      <c r="AA112" s="59" t="e">
        <f t="shared" si="55"/>
        <v>#REF!</v>
      </c>
      <c r="AB112" s="59" t="e">
        <f t="shared" si="55"/>
        <v>#REF!</v>
      </c>
      <c r="AC112" s="59" t="e">
        <f t="shared" si="55"/>
        <v>#REF!</v>
      </c>
      <c r="AD112" s="59" t="e">
        <f t="shared" si="55"/>
        <v>#REF!</v>
      </c>
      <c r="AE112" s="59" t="e">
        <f t="shared" si="55"/>
        <v>#REF!</v>
      </c>
      <c r="AF112" s="59" t="e">
        <f t="shared" si="55"/>
        <v>#REF!</v>
      </c>
      <c r="AG112" s="59" t="e">
        <f t="shared" si="55"/>
        <v>#REF!</v>
      </c>
      <c r="AH112" s="59" t="e">
        <f t="shared" si="55"/>
        <v>#REF!</v>
      </c>
      <c r="AI112" s="59" t="e">
        <f t="shared" si="55"/>
        <v>#REF!</v>
      </c>
      <c r="AJ112" s="59" t="e">
        <f t="shared" si="55"/>
        <v>#REF!</v>
      </c>
    </row>
    <row r="113" spans="1:36" ht="12.75" customHeight="1" x14ac:dyDescent="0.2">
      <c r="A113" s="6"/>
      <c r="C113" s="5"/>
      <c r="D113" s="10"/>
      <c r="E113" s="60" t="e">
        <f t="shared" ref="E113:AJ113" si="56">IF(E112&lt;=1,"voldoet","voldoet niet")</f>
        <v>#DIV/0!</v>
      </c>
      <c r="F113" s="60" t="e">
        <f t="shared" si="56"/>
        <v>#REF!</v>
      </c>
      <c r="G113" s="60" t="e">
        <f t="shared" si="56"/>
        <v>#REF!</v>
      </c>
      <c r="H113" s="60" t="e">
        <f t="shared" si="56"/>
        <v>#REF!</v>
      </c>
      <c r="I113" s="60" t="e">
        <f t="shared" si="56"/>
        <v>#REF!</v>
      </c>
      <c r="J113" s="60" t="e">
        <f t="shared" si="56"/>
        <v>#REF!</v>
      </c>
      <c r="K113" s="60" t="e">
        <f t="shared" si="56"/>
        <v>#REF!</v>
      </c>
      <c r="L113" s="60" t="e">
        <f t="shared" si="56"/>
        <v>#REF!</v>
      </c>
      <c r="M113" s="60" t="e">
        <f t="shared" si="56"/>
        <v>#REF!</v>
      </c>
      <c r="N113" s="60" t="e">
        <f t="shared" si="56"/>
        <v>#REF!</v>
      </c>
      <c r="O113" s="60" t="e">
        <f t="shared" si="56"/>
        <v>#REF!</v>
      </c>
      <c r="P113" s="60" t="e">
        <f t="shared" si="56"/>
        <v>#REF!</v>
      </c>
      <c r="Q113" s="60" t="e">
        <f t="shared" si="56"/>
        <v>#REF!</v>
      </c>
      <c r="R113" s="60" t="e">
        <f t="shared" si="56"/>
        <v>#REF!</v>
      </c>
      <c r="S113" s="60" t="e">
        <f t="shared" si="56"/>
        <v>#REF!</v>
      </c>
      <c r="T113" s="60" t="e">
        <f t="shared" si="56"/>
        <v>#REF!</v>
      </c>
      <c r="U113" s="60" t="e">
        <f t="shared" si="56"/>
        <v>#REF!</v>
      </c>
      <c r="V113" s="60" t="e">
        <f t="shared" si="56"/>
        <v>#REF!</v>
      </c>
      <c r="W113" s="60" t="e">
        <f t="shared" si="56"/>
        <v>#REF!</v>
      </c>
      <c r="X113" s="60" t="e">
        <f t="shared" si="56"/>
        <v>#REF!</v>
      </c>
      <c r="Y113" s="60" t="e">
        <f t="shared" si="56"/>
        <v>#REF!</v>
      </c>
      <c r="Z113" s="60" t="e">
        <f t="shared" si="56"/>
        <v>#REF!</v>
      </c>
      <c r="AA113" s="60" t="e">
        <f t="shared" si="56"/>
        <v>#REF!</v>
      </c>
      <c r="AB113" s="60" t="e">
        <f t="shared" si="56"/>
        <v>#REF!</v>
      </c>
      <c r="AC113" s="60" t="e">
        <f t="shared" si="56"/>
        <v>#REF!</v>
      </c>
      <c r="AD113" s="60" t="e">
        <f t="shared" si="56"/>
        <v>#REF!</v>
      </c>
      <c r="AE113" s="60" t="e">
        <f t="shared" si="56"/>
        <v>#REF!</v>
      </c>
      <c r="AF113" s="60" t="e">
        <f t="shared" si="56"/>
        <v>#REF!</v>
      </c>
      <c r="AG113" s="60" t="e">
        <f t="shared" si="56"/>
        <v>#REF!</v>
      </c>
      <c r="AH113" s="60" t="e">
        <f t="shared" si="56"/>
        <v>#REF!</v>
      </c>
      <c r="AI113" s="60" t="e">
        <f t="shared" si="56"/>
        <v>#REF!</v>
      </c>
      <c r="AJ113" s="60" t="e">
        <f t="shared" si="56"/>
        <v>#REF!</v>
      </c>
    </row>
    <row r="114" spans="1:36" ht="12.75" customHeight="1" x14ac:dyDescent="0.2">
      <c r="A114" s="6"/>
      <c r="C114" s="7"/>
      <c r="D114" s="10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</row>
    <row r="115" spans="1:36" ht="12.75" customHeight="1" x14ac:dyDescent="0.2">
      <c r="A115" s="6"/>
      <c r="C115" s="5"/>
      <c r="D115" s="10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</row>
    <row r="116" spans="1:36" ht="12.75" customHeight="1" x14ac:dyDescent="0.2">
      <c r="A116" s="6"/>
      <c r="C116" s="63"/>
    </row>
    <row r="117" spans="1:36" ht="12.75" customHeight="1" x14ac:dyDescent="0.2">
      <c r="A117" s="6"/>
      <c r="C117" s="5"/>
      <c r="D117" s="5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1:36" ht="12.75" customHeight="1" x14ac:dyDescent="0.2">
      <c r="A118" s="6"/>
      <c r="C118" s="5"/>
      <c r="D118" s="56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</row>
    <row r="119" spans="1:36" ht="12.75" customHeight="1" x14ac:dyDescent="0.2">
      <c r="A119" s="6"/>
      <c r="C119" s="7"/>
      <c r="D119" s="56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</row>
    <row r="120" spans="1:36" ht="12.75" customHeight="1" x14ac:dyDescent="0.2">
      <c r="A120" s="94"/>
      <c r="C120" s="7"/>
      <c r="D120" s="56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</row>
    <row r="121" spans="1:36" ht="12.75" customHeight="1" x14ac:dyDescent="0.2">
      <c r="A121" s="94"/>
      <c r="C121" s="5"/>
      <c r="D121" s="56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</row>
    <row r="122" spans="1:36" ht="12.75" customHeight="1" x14ac:dyDescent="0.2">
      <c r="A122" s="6"/>
      <c r="C122" s="5"/>
      <c r="D122" s="56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</row>
    <row r="123" spans="1:36" ht="12.75" customHeight="1" x14ac:dyDescent="0.2">
      <c r="A123" s="94"/>
      <c r="C123" s="63"/>
    </row>
    <row r="124" spans="1:36" ht="12.75" customHeight="1" x14ac:dyDescent="0.2">
      <c r="A124" s="94"/>
      <c r="C124" s="62"/>
    </row>
    <row r="125" spans="1:36" ht="12.75" customHeight="1" x14ac:dyDescent="0.2">
      <c r="A125" s="94"/>
      <c r="C125" s="7"/>
      <c r="D125" s="56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</row>
    <row r="126" spans="1:36" ht="12.75" customHeight="1" x14ac:dyDescent="0.2">
      <c r="A126" s="94"/>
      <c r="C126" s="7"/>
      <c r="D126" s="56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</row>
    <row r="127" spans="1:36" ht="12.75" customHeight="1" x14ac:dyDescent="0.2">
      <c r="A127" s="94"/>
      <c r="C127" s="5"/>
      <c r="D127" s="56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</row>
    <row r="128" spans="1:36" ht="12.75" customHeight="1" x14ac:dyDescent="0.2">
      <c r="A128" s="94"/>
      <c r="C128" s="5"/>
      <c r="D128" s="56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</row>
    <row r="129" spans="1:36" ht="12.75" customHeight="1" x14ac:dyDescent="0.2">
      <c r="A129" s="94"/>
    </row>
    <row r="130" spans="1:36" ht="12.75" customHeight="1" x14ac:dyDescent="0.2">
      <c r="A130" s="6"/>
      <c r="C130" s="5"/>
      <c r="D130" s="5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1:36" ht="12.75" customHeight="1" x14ac:dyDescent="0.2">
      <c r="A131" s="94"/>
      <c r="C131" s="5"/>
      <c r="D131" s="56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</row>
    <row r="132" spans="1:36" ht="12.75" customHeight="1" x14ac:dyDescent="0.2">
      <c r="A132" s="94"/>
      <c r="C132" s="7"/>
      <c r="D132" s="5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</row>
    <row r="133" spans="1:36" ht="12.75" customHeight="1" x14ac:dyDescent="0.2">
      <c r="A133" s="94"/>
      <c r="C133" s="7"/>
      <c r="D133" s="5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1:36" ht="12.75" customHeight="1" x14ac:dyDescent="0.2">
      <c r="A134" s="94"/>
      <c r="C134" s="5"/>
      <c r="D134" s="5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1:36" ht="12.75" hidden="1" customHeight="1" x14ac:dyDescent="0.2">
      <c r="A135" s="6"/>
      <c r="C135" s="5"/>
      <c r="D135" s="56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</row>
    <row r="136" spans="1:36" ht="12.75" hidden="1" customHeight="1" x14ac:dyDescent="0.2">
      <c r="A136" s="6"/>
      <c r="C136" s="5"/>
      <c r="D136" s="56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</row>
    <row r="137" spans="1:36" ht="12.75" hidden="1" customHeight="1" x14ac:dyDescent="0.2">
      <c r="A137" s="6"/>
      <c r="C137" s="5"/>
      <c r="D137" s="56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</row>
    <row r="138" spans="1:36" ht="12.75" hidden="1" customHeight="1" x14ac:dyDescent="0.2">
      <c r="A138" s="6"/>
      <c r="C138" s="5"/>
      <c r="D138" s="56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</row>
    <row r="139" spans="1:36" ht="12.75" hidden="1" customHeight="1" x14ac:dyDescent="0.2">
      <c r="A139" s="6"/>
      <c r="C139" s="5"/>
      <c r="D139" s="56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</row>
    <row r="140" spans="1:36" ht="12.75" hidden="1" customHeight="1" x14ac:dyDescent="0.2">
      <c r="A140" s="6"/>
      <c r="C140" s="5"/>
      <c r="D140" s="56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</row>
    <row r="141" spans="1:36" ht="12.75" hidden="1" customHeight="1" x14ac:dyDescent="0.2">
      <c r="A141" s="6"/>
      <c r="C141" s="5"/>
      <c r="D141" s="56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</row>
    <row r="142" spans="1:36" ht="12.75" hidden="1" customHeight="1" x14ac:dyDescent="0.2">
      <c r="A142" s="6"/>
      <c r="C142" s="5"/>
      <c r="D142" s="56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</row>
    <row r="143" spans="1:36" ht="12.75" customHeight="1" x14ac:dyDescent="0.2">
      <c r="A143" s="94"/>
      <c r="C143" s="5"/>
      <c r="D143" s="5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1:36" ht="12.75" customHeight="1" x14ac:dyDescent="0.2">
      <c r="A144" s="94"/>
      <c r="C144" s="4"/>
      <c r="D144" s="56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</row>
    <row r="145" spans="1:36" ht="12.75" customHeight="1" x14ac:dyDescent="0.2">
      <c r="A145" s="94"/>
      <c r="C145" s="4"/>
      <c r="D145" s="56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</row>
    <row r="146" spans="1:36" ht="12.75" customHeight="1" x14ac:dyDescent="0.2">
      <c r="A146" s="6"/>
      <c r="C146" s="5"/>
      <c r="D146" s="56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</row>
    <row r="147" spans="1:36" ht="12.75" customHeight="1" x14ac:dyDescent="0.2">
      <c r="A147" s="6"/>
      <c r="C147" s="5"/>
      <c r="D147" s="56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</row>
    <row r="148" spans="1:36" ht="12.75" customHeight="1" x14ac:dyDescent="0.2">
      <c r="A148" s="94"/>
      <c r="G148" s="9"/>
      <c r="I148" s="9"/>
      <c r="K148" s="9"/>
      <c r="M148" s="9"/>
      <c r="O148" s="9"/>
      <c r="Q148" s="9"/>
      <c r="S148" s="9"/>
      <c r="U148" s="9"/>
      <c r="W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1:36" ht="12.75" customHeight="1" x14ac:dyDescent="0.2">
      <c r="A149" s="51"/>
      <c r="G149" s="9"/>
      <c r="I149" s="9"/>
      <c r="K149" s="9"/>
      <c r="M149" s="9"/>
      <c r="O149" s="9"/>
      <c r="Q149" s="9"/>
      <c r="S149" s="9"/>
      <c r="U149" s="9"/>
      <c r="W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1:36" ht="12.75" customHeight="1" x14ac:dyDescent="0.2">
      <c r="A150" s="46"/>
      <c r="C150" s="38"/>
      <c r="D150" s="39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</row>
    <row r="151" spans="1:36" ht="12.75" customHeight="1" x14ac:dyDescent="0.2">
      <c r="C151" s="38"/>
      <c r="D151" s="39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</row>
    <row r="152" spans="1:36" ht="12.75" customHeight="1" x14ac:dyDescent="0.2">
      <c r="C152" s="38"/>
      <c r="D152" s="39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</row>
    <row r="153" spans="1:36" ht="12.75" customHeight="1" x14ac:dyDescent="0.2">
      <c r="C153" s="38"/>
      <c r="D153" s="39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</row>
    <row r="154" spans="1:36" ht="12.75" customHeight="1" x14ac:dyDescent="0.2">
      <c r="C154" s="38"/>
      <c r="D154" s="39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</row>
    <row r="155" spans="1:36" ht="12.75" customHeight="1" x14ac:dyDescent="0.2">
      <c r="C155" s="38"/>
      <c r="D155" s="39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</row>
    <row r="156" spans="1:36" ht="12.75" customHeight="1" x14ac:dyDescent="0.2">
      <c r="A156" s="6"/>
      <c r="C156" s="5"/>
      <c r="D156" s="39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</row>
    <row r="158" spans="1:36" x14ac:dyDescent="0.2">
      <c r="D158" s="37"/>
    </row>
    <row r="159" spans="1:36" x14ac:dyDescent="0.2">
      <c r="D159" s="37"/>
    </row>
    <row r="160" spans="1:36" x14ac:dyDescent="0.2">
      <c r="D160" s="37"/>
    </row>
    <row r="161" spans="1:4" x14ac:dyDescent="0.2">
      <c r="D161" s="37"/>
    </row>
    <row r="162" spans="1:4" x14ac:dyDescent="0.2">
      <c r="D162" s="37"/>
    </row>
    <row r="163" spans="1:4" x14ac:dyDescent="0.2">
      <c r="A163" s="45"/>
    </row>
    <row r="164" spans="1:4" x14ac:dyDescent="0.2">
      <c r="A164" s="45"/>
    </row>
    <row r="166" spans="1:4" x14ac:dyDescent="0.2">
      <c r="A166" s="88"/>
    </row>
  </sheetData>
  <conditionalFormatting sqref="E112:AJ112">
    <cfRule type="cellIs" dxfId="19" priority="1" operator="greaterThan">
      <formula>1</formula>
    </cfRule>
    <cfRule type="cellIs" dxfId="18" priority="2" operator="lessThan">
      <formula>1</formula>
    </cfRule>
  </conditionalFormatting>
  <pageMargins left="0.70866141732283472" right="0.82677165354330717" top="1.377952755905512" bottom="0.70866141732283472" header="0.31496062992125978" footer="0.31496062992125978"/>
  <pageSetup paperSize="8" scale="76" fitToWidth="0" orientation="portrait"/>
  <headerFooter>
    <oddHeader>&amp;C&amp;G&amp;R
Pagina &amp;P van &amp;N</oddHeader>
    <oddFooter>&amp;L&amp;"-,Vet"&amp;8 &amp;K002C5FENGINEERING EN MONITORING VOOR
GWW EN GEOTECHNIEK &amp;R&amp;"-,Standaard"&amp;8 
Op al onze werkzaamheden is DNR 2011 van toepassing.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Y140"/>
  <sheetViews>
    <sheetView view="pageBreakPreview" topLeftCell="A41" zoomScaleNormal="100" zoomScaleSheetLayoutView="100" zoomScalePageLayoutView="60" workbookViewId="0">
      <selection activeCell="F20" sqref="F20"/>
    </sheetView>
  </sheetViews>
  <sheetFormatPr defaultColWidth="9.140625" defaultRowHeight="12.75" x14ac:dyDescent="0.2"/>
  <cols>
    <col min="1" max="1" width="30.5703125" style="37" customWidth="1"/>
    <col min="2" max="2" width="21.7109375" style="37" bestFit="1" customWidth="1"/>
    <col min="3" max="3" width="3.42578125" style="37" bestFit="1" customWidth="1"/>
    <col min="4" max="4" width="7.7109375" style="9" bestFit="1" customWidth="1"/>
    <col min="5" max="8" width="12.7109375" style="9" customWidth="1"/>
    <col min="9" max="13" width="12.7109375" style="37" customWidth="1"/>
    <col min="14" max="18" width="9.7109375" style="37" customWidth="1"/>
    <col min="19" max="19" width="9.140625" style="37" customWidth="1"/>
    <col min="20" max="16384" width="9.140625" style="37"/>
  </cols>
  <sheetData>
    <row r="1" spans="1:25" ht="18.75" customHeight="1" x14ac:dyDescent="0.2">
      <c r="A1" s="41" t="s">
        <v>108</v>
      </c>
      <c r="H1" s="37"/>
    </row>
    <row r="2" spans="1:25" ht="15" customHeight="1" x14ac:dyDescent="0.2">
      <c r="A2" s="70"/>
      <c r="B2" s="72"/>
      <c r="E2" s="84" t="s">
        <v>109</v>
      </c>
      <c r="H2" s="84" t="s">
        <v>110</v>
      </c>
      <c r="I2" s="9"/>
      <c r="T2" s="84" t="s">
        <v>109</v>
      </c>
      <c r="U2" s="9"/>
      <c r="V2" s="9"/>
      <c r="W2" s="84" t="s">
        <v>110</v>
      </c>
      <c r="X2" s="9"/>
    </row>
    <row r="3" spans="1:25" ht="15" customHeight="1" x14ac:dyDescent="0.2">
      <c r="A3" s="70" t="s">
        <v>111</v>
      </c>
      <c r="B3" s="72" t="str">
        <f>'C - overzicht'!D3</f>
        <v>H24.0000-1</v>
      </c>
      <c r="E3" s="66" t="s">
        <v>112</v>
      </c>
      <c r="F3" s="44" t="s">
        <v>113</v>
      </c>
      <c r="G3" s="9">
        <v>1.1000000000000001</v>
      </c>
      <c r="H3" s="80" t="s">
        <v>112</v>
      </c>
      <c r="I3" s="44" t="s">
        <v>113</v>
      </c>
      <c r="J3" s="47">
        <v>1</v>
      </c>
      <c r="T3" s="66" t="s">
        <v>112</v>
      </c>
      <c r="U3" s="44" t="s">
        <v>113</v>
      </c>
      <c r="V3" s="9">
        <v>1.1000000000000001</v>
      </c>
      <c r="W3" s="80" t="s">
        <v>112</v>
      </c>
      <c r="X3" s="44" t="s">
        <v>113</v>
      </c>
      <c r="Y3" s="47">
        <v>1</v>
      </c>
    </row>
    <row r="4" spans="1:25" ht="15" customHeight="1" x14ac:dyDescent="0.2">
      <c r="A4" s="70" t="s">
        <v>114</v>
      </c>
      <c r="B4" s="72" t="str">
        <f>'C - overzicht'!D4</f>
        <v>Stempelframe</v>
      </c>
      <c r="E4" s="66" t="s">
        <v>115</v>
      </c>
      <c r="F4" s="44" t="s">
        <v>113</v>
      </c>
      <c r="G4" s="47">
        <v>1</v>
      </c>
      <c r="H4" s="80" t="s">
        <v>115</v>
      </c>
      <c r="I4" s="44" t="s">
        <v>113</v>
      </c>
      <c r="J4" s="47">
        <v>1</v>
      </c>
      <c r="T4" s="66" t="s">
        <v>115</v>
      </c>
      <c r="U4" s="44" t="s">
        <v>113</v>
      </c>
      <c r="V4" s="47">
        <v>1</v>
      </c>
      <c r="W4" s="80" t="s">
        <v>115</v>
      </c>
      <c r="X4" s="44" t="s">
        <v>113</v>
      </c>
      <c r="Y4" s="47">
        <v>1</v>
      </c>
    </row>
    <row r="5" spans="1:25" ht="15" customHeight="1" x14ac:dyDescent="0.2">
      <c r="A5" s="70" t="s">
        <v>116</v>
      </c>
      <c r="B5" s="72" t="str">
        <f>'C - overzicht'!D5</f>
        <v>Amsterdam</v>
      </c>
      <c r="E5" s="66" t="s">
        <v>117</v>
      </c>
      <c r="F5" s="44" t="s">
        <v>113</v>
      </c>
      <c r="G5" s="47">
        <v>1</v>
      </c>
      <c r="H5" s="80" t="s">
        <v>117</v>
      </c>
      <c r="I5" s="44" t="s">
        <v>113</v>
      </c>
      <c r="J5" s="47">
        <v>1</v>
      </c>
      <c r="T5" s="66" t="s">
        <v>117</v>
      </c>
      <c r="U5" s="44" t="s">
        <v>113</v>
      </c>
      <c r="V5" s="47">
        <v>1</v>
      </c>
      <c r="W5" s="80" t="s">
        <v>117</v>
      </c>
      <c r="X5" s="44" t="s">
        <v>113</v>
      </c>
      <c r="Y5" s="47">
        <v>1</v>
      </c>
    </row>
    <row r="6" spans="1:25" ht="15" customHeight="1" x14ac:dyDescent="0.2">
      <c r="A6" s="70" t="s">
        <v>118</v>
      </c>
      <c r="B6" s="219">
        <f ca="1">'C - overzicht'!D6</f>
        <v>45895</v>
      </c>
      <c r="E6" s="10"/>
      <c r="H6" s="10"/>
      <c r="I6" s="9"/>
      <c r="L6" s="9"/>
    </row>
    <row r="8" spans="1:25" ht="12.75" customHeight="1" x14ac:dyDescent="0.2">
      <c r="D8" s="62" t="s">
        <v>119</v>
      </c>
      <c r="E8" s="67" t="str">
        <f>'invoer gording'!B4</f>
        <v>1 t/m 5</v>
      </c>
      <c r="F8" s="67" t="str">
        <f>'invoer gording'!C4</f>
        <v>6 t/m 10</v>
      </c>
      <c r="G8" s="67" t="str">
        <f>'invoer gording'!D4</f>
        <v>11 t/m 15</v>
      </c>
      <c r="H8" s="67" t="str">
        <f>'invoer gording'!E4</f>
        <v>16 t/m 20</v>
      </c>
      <c r="I8" s="67" t="str">
        <f>'invoer gording'!F4</f>
        <v>21 t/m 25</v>
      </c>
      <c r="J8" s="67" t="str">
        <f>'invoer gording'!G4</f>
        <v>26 t/m 30</v>
      </c>
      <c r="K8" s="67" t="str">
        <f>'invoer gording'!H4</f>
        <v>31 t/m 35</v>
      </c>
      <c r="L8" s="67" t="str">
        <f>'invoer gording'!I4</f>
        <v>36 t/m 40</v>
      </c>
      <c r="M8" s="67" t="str">
        <f>'invoer gording'!J4</f>
        <v>41 t/m 45</v>
      </c>
      <c r="N8" s="67"/>
      <c r="O8" s="67"/>
      <c r="P8" s="67"/>
      <c r="Q8" s="67"/>
      <c r="R8" s="67"/>
      <c r="S8" s="67"/>
    </row>
    <row r="9" spans="1:25" ht="12.75" customHeight="1" x14ac:dyDescent="0.2">
      <c r="A9" s="42" t="s">
        <v>120</v>
      </c>
      <c r="D9" s="32" t="s">
        <v>10</v>
      </c>
      <c r="E9" s="67" t="str">
        <f>'invoer gording'!B5</f>
        <v>A</v>
      </c>
      <c r="F9" s="67" t="str">
        <f>'invoer gording'!C5</f>
        <v>B</v>
      </c>
      <c r="G9" s="67" t="str">
        <f>'invoer gording'!D5</f>
        <v>C</v>
      </c>
      <c r="H9" s="67" t="str">
        <f>'invoer gording'!E5</f>
        <v>D</v>
      </c>
      <c r="I9" s="67" t="str">
        <f>'invoer gording'!F5</f>
        <v>E</v>
      </c>
      <c r="J9" s="67" t="str">
        <f>'invoer gording'!G5</f>
        <v>F</v>
      </c>
      <c r="K9" s="67" t="str">
        <f>'invoer gording'!H5</f>
        <v>G</v>
      </c>
      <c r="L9" s="67" t="str">
        <f>'invoer gording'!I5</f>
        <v>H</v>
      </c>
      <c r="M9" s="67" t="str">
        <f>'invoer gording'!J5</f>
        <v>I</v>
      </c>
      <c r="N9" s="67"/>
      <c r="O9" s="67"/>
      <c r="P9" s="67"/>
      <c r="Q9" s="67"/>
      <c r="R9" s="67"/>
      <c r="S9" s="67"/>
    </row>
    <row r="10" spans="1:25" ht="12.75" customHeight="1" x14ac:dyDescent="0.2">
      <c r="A10" s="43" t="s">
        <v>121</v>
      </c>
      <c r="D10" s="10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25" ht="12.75" customHeight="1" x14ac:dyDescent="0.2">
      <c r="A11" s="37" t="s">
        <v>122</v>
      </c>
      <c r="C11" s="37" t="s">
        <v>123</v>
      </c>
      <c r="D11" s="44" t="s">
        <v>113</v>
      </c>
      <c r="E11" s="9">
        <f>'F - Inleidingskracht'!E40</f>
        <v>235</v>
      </c>
      <c r="F11" s="9">
        <f>'invoer gording'!C11</f>
        <v>235</v>
      </c>
      <c r="G11" s="9">
        <f>'invoer gording'!D11</f>
        <v>235</v>
      </c>
      <c r="H11" s="9">
        <f>'invoer gording'!E11</f>
        <v>235</v>
      </c>
      <c r="I11" s="9">
        <f>'invoer gording'!F11</f>
        <v>235</v>
      </c>
      <c r="J11" s="9">
        <f>'invoer gording'!G11</f>
        <v>235</v>
      </c>
      <c r="K11" s="9">
        <f>'invoer gording'!H11</f>
        <v>235</v>
      </c>
      <c r="L11" s="9">
        <f>'invoer gording'!I11</f>
        <v>235</v>
      </c>
      <c r="M11" s="9">
        <f>'invoer gording'!J11</f>
        <v>235</v>
      </c>
      <c r="N11" s="9"/>
      <c r="O11" s="9"/>
      <c r="P11" s="9"/>
      <c r="Q11" s="9"/>
      <c r="R11" s="9"/>
    </row>
    <row r="12" spans="1:25" ht="12.75" customHeight="1" x14ac:dyDescent="0.2">
      <c r="A12" s="37" t="s">
        <v>124</v>
      </c>
      <c r="B12" s="65" t="s">
        <v>125</v>
      </c>
      <c r="C12" s="37" t="s">
        <v>126</v>
      </c>
      <c r="D12" s="9" t="s">
        <v>127</v>
      </c>
      <c r="E12" s="9">
        <f t="shared" ref="E12:M12" si="0">E11</f>
        <v>235</v>
      </c>
      <c r="F12" s="9">
        <f t="shared" si="0"/>
        <v>235</v>
      </c>
      <c r="G12" s="9">
        <f t="shared" si="0"/>
        <v>235</v>
      </c>
      <c r="H12" s="9">
        <f t="shared" si="0"/>
        <v>235</v>
      </c>
      <c r="I12" s="9">
        <f t="shared" si="0"/>
        <v>235</v>
      </c>
      <c r="J12" s="9">
        <f t="shared" si="0"/>
        <v>235</v>
      </c>
      <c r="K12" s="9">
        <f t="shared" si="0"/>
        <v>235</v>
      </c>
      <c r="L12" s="9">
        <f t="shared" si="0"/>
        <v>235</v>
      </c>
      <c r="M12" s="9">
        <f t="shared" si="0"/>
        <v>235</v>
      </c>
      <c r="N12" s="9"/>
      <c r="O12" s="9"/>
      <c r="P12" s="9"/>
      <c r="Q12" s="9"/>
      <c r="R12" s="9"/>
    </row>
    <row r="13" spans="1:25" ht="12.75" customHeight="1" x14ac:dyDescent="0.2">
      <c r="A13" s="37" t="s">
        <v>128</v>
      </c>
      <c r="B13" s="65" t="s">
        <v>125</v>
      </c>
      <c r="C13" s="37" t="s">
        <v>129</v>
      </c>
      <c r="D13" s="9" t="s">
        <v>127</v>
      </c>
      <c r="E13" s="9">
        <f t="shared" ref="E13:M13" si="1">IF(E11=235,360,IF(E11=275,430,IF(E11=355,510,IF(E11=440,550))))</f>
        <v>360</v>
      </c>
      <c r="F13" s="9">
        <f t="shared" si="1"/>
        <v>360</v>
      </c>
      <c r="G13" s="9">
        <f t="shared" si="1"/>
        <v>360</v>
      </c>
      <c r="H13" s="9">
        <f t="shared" si="1"/>
        <v>360</v>
      </c>
      <c r="I13" s="9">
        <f t="shared" si="1"/>
        <v>360</v>
      </c>
      <c r="J13" s="9">
        <f t="shared" si="1"/>
        <v>360</v>
      </c>
      <c r="K13" s="9">
        <f t="shared" si="1"/>
        <v>360</v>
      </c>
      <c r="L13" s="9">
        <f t="shared" si="1"/>
        <v>360</v>
      </c>
      <c r="M13" s="9">
        <f t="shared" si="1"/>
        <v>360</v>
      </c>
      <c r="N13" s="9"/>
      <c r="O13" s="9"/>
      <c r="P13" s="9"/>
      <c r="Q13" s="9"/>
      <c r="R13" s="9"/>
    </row>
    <row r="14" spans="1:25" ht="12.75" customHeight="1" x14ac:dyDescent="0.2">
      <c r="A14" s="37" t="s">
        <v>130</v>
      </c>
      <c r="B14" s="65" t="s">
        <v>131</v>
      </c>
      <c r="C14" s="37" t="s">
        <v>132</v>
      </c>
      <c r="D14" s="9" t="s">
        <v>127</v>
      </c>
      <c r="E14" s="52">
        <f t="shared" ref="E14:M14" si="2">2.1*10^5</f>
        <v>210000</v>
      </c>
      <c r="F14" s="52">
        <f t="shared" si="2"/>
        <v>210000</v>
      </c>
      <c r="G14" s="52">
        <f t="shared" si="2"/>
        <v>210000</v>
      </c>
      <c r="H14" s="52">
        <f t="shared" si="2"/>
        <v>210000</v>
      </c>
      <c r="I14" s="52">
        <f t="shared" si="2"/>
        <v>210000</v>
      </c>
      <c r="J14" s="52">
        <f t="shared" si="2"/>
        <v>210000</v>
      </c>
      <c r="K14" s="52">
        <f t="shared" si="2"/>
        <v>210000</v>
      </c>
      <c r="L14" s="52">
        <f t="shared" si="2"/>
        <v>210000</v>
      </c>
      <c r="M14" s="52">
        <f t="shared" si="2"/>
        <v>210000</v>
      </c>
      <c r="N14" s="52"/>
      <c r="O14" s="52"/>
      <c r="P14" s="52"/>
      <c r="Q14" s="52"/>
      <c r="R14" s="52"/>
    </row>
    <row r="15" spans="1:25" ht="12.75" customHeight="1" x14ac:dyDescent="0.2">
      <c r="A15" s="45" t="s">
        <v>133</v>
      </c>
      <c r="B15" s="65" t="s">
        <v>134</v>
      </c>
      <c r="D15" s="44" t="s">
        <v>113</v>
      </c>
      <c r="E15" s="47">
        <f t="shared" ref="E15:M15" si="3">SQRT(235/E12)</f>
        <v>1</v>
      </c>
      <c r="F15" s="47">
        <f t="shared" si="3"/>
        <v>1</v>
      </c>
      <c r="G15" s="47">
        <f t="shared" si="3"/>
        <v>1</v>
      </c>
      <c r="H15" s="47">
        <f t="shared" si="3"/>
        <v>1</v>
      </c>
      <c r="I15" s="47">
        <f t="shared" si="3"/>
        <v>1</v>
      </c>
      <c r="J15" s="47">
        <f t="shared" si="3"/>
        <v>1</v>
      </c>
      <c r="K15" s="47">
        <f t="shared" si="3"/>
        <v>1</v>
      </c>
      <c r="L15" s="47">
        <f t="shared" si="3"/>
        <v>1</v>
      </c>
      <c r="M15" s="47">
        <f t="shared" si="3"/>
        <v>1</v>
      </c>
      <c r="N15" s="47"/>
      <c r="O15" s="47"/>
      <c r="P15" s="47"/>
      <c r="Q15" s="47"/>
      <c r="R15" s="47"/>
    </row>
    <row r="16" spans="1:25" ht="12.75" customHeight="1" x14ac:dyDescent="0.2">
      <c r="A16" s="45" t="s">
        <v>135</v>
      </c>
      <c r="B16" s="65" t="s">
        <v>136</v>
      </c>
      <c r="D16" s="44" t="s">
        <v>113</v>
      </c>
      <c r="E16" s="47">
        <f t="shared" ref="E16:M16" si="4">PI()*SQRT((E14/E12))</f>
        <v>93.9129729381402</v>
      </c>
      <c r="F16" s="47">
        <f t="shared" si="4"/>
        <v>93.9129729381402</v>
      </c>
      <c r="G16" s="47">
        <f t="shared" si="4"/>
        <v>93.9129729381402</v>
      </c>
      <c r="H16" s="47">
        <f t="shared" si="4"/>
        <v>93.9129729381402</v>
      </c>
      <c r="I16" s="47">
        <f t="shared" si="4"/>
        <v>93.9129729381402</v>
      </c>
      <c r="J16" s="47">
        <f t="shared" si="4"/>
        <v>93.9129729381402</v>
      </c>
      <c r="K16" s="47">
        <f t="shared" si="4"/>
        <v>93.9129729381402</v>
      </c>
      <c r="L16" s="47">
        <f t="shared" si="4"/>
        <v>93.9129729381402</v>
      </c>
      <c r="M16" s="47">
        <f t="shared" si="4"/>
        <v>93.9129729381402</v>
      </c>
      <c r="N16" s="47"/>
      <c r="O16" s="47"/>
      <c r="P16" s="47"/>
      <c r="Q16" s="47"/>
      <c r="R16" s="47"/>
    </row>
    <row r="17" spans="1:18" ht="12.75" customHeight="1" x14ac:dyDescent="0.2">
      <c r="B17" s="65"/>
      <c r="I17" s="9"/>
      <c r="J17" s="9"/>
      <c r="K17" s="9"/>
      <c r="L17" s="9"/>
      <c r="M17" s="9"/>
    </row>
    <row r="18" spans="1:18" ht="12.75" customHeight="1" x14ac:dyDescent="0.2">
      <c r="A18" s="43" t="s">
        <v>137</v>
      </c>
      <c r="B18" s="65"/>
      <c r="I18" s="9"/>
      <c r="J18" s="9"/>
      <c r="K18" s="9"/>
      <c r="L18" s="9"/>
      <c r="M18" s="9"/>
    </row>
    <row r="19" spans="1:18" ht="12.75" customHeight="1" x14ac:dyDescent="0.2">
      <c r="A19" s="43"/>
      <c r="B19" s="65"/>
      <c r="E19" s="9">
        <f>'invoer gording'!B7</f>
        <v>127</v>
      </c>
      <c r="F19" s="9">
        <f>'invoer gording'!C7</f>
        <v>127</v>
      </c>
      <c r="G19" s="9">
        <f>'invoer gording'!D7</f>
        <v>127</v>
      </c>
      <c r="H19" s="9">
        <f>'invoer gording'!E7</f>
        <v>133</v>
      </c>
      <c r="I19" s="9">
        <f>'invoer gording'!F7</f>
        <v>136</v>
      </c>
      <c r="J19" s="9">
        <f>'invoer gording'!G7</f>
        <v>133</v>
      </c>
      <c r="K19" s="9">
        <f>'invoer gording'!H7</f>
        <v>115</v>
      </c>
      <c r="L19" s="9">
        <f>'invoer gording'!I7</f>
        <v>127</v>
      </c>
      <c r="M19" s="9">
        <f>'invoer gording'!J7</f>
        <v>136</v>
      </c>
    </row>
    <row r="20" spans="1:18" ht="12.75" customHeight="1" x14ac:dyDescent="0.2">
      <c r="A20" s="46" t="s">
        <v>138</v>
      </c>
      <c r="B20" s="65"/>
      <c r="C20" s="63"/>
      <c r="D20" s="55" t="s">
        <v>113</v>
      </c>
      <c r="E20" s="10" t="str">
        <f>'F - Inleidingskracht'!E29</f>
        <v>HEB 600</v>
      </c>
      <c r="F20" s="10" t="str">
        <f>VLOOKUP(F19,'tab gording'!$A$4:$O$237,2)</f>
        <v>HEB 600</v>
      </c>
      <c r="G20" s="10" t="str">
        <f>VLOOKUP(G19,'tab gording'!$A$4:$O$237,2)</f>
        <v>HEB 600</v>
      </c>
      <c r="H20" s="10" t="str">
        <f>VLOOKUP(H19,'tab gording'!$A$4:$O$237,2)</f>
        <v>HEB 700</v>
      </c>
      <c r="I20" s="10" t="str">
        <f>VLOOKUP(I19,'tab gording'!$A$4:$O$237,2)</f>
        <v>HEB 800</v>
      </c>
      <c r="J20" s="10" t="str">
        <f>VLOOKUP(J19,'tab gording'!$A$4:$O$237,2)</f>
        <v>HEB 700</v>
      </c>
      <c r="K20" s="10" t="str">
        <f>VLOOKUP(K19,'tab gording'!$A$4:$O$237,2)</f>
        <v>HEB 400</v>
      </c>
      <c r="L20" s="10" t="str">
        <f>VLOOKUP(L19,'tab gording'!$A$4:$O$237,2)</f>
        <v>HEB 600</v>
      </c>
      <c r="M20" s="10" t="str">
        <f>VLOOKUP(M19,'tab gording'!$A$4:$O$237,2)</f>
        <v>HEB 800</v>
      </c>
      <c r="N20" s="9"/>
      <c r="O20" s="9"/>
      <c r="P20" s="9"/>
      <c r="Q20" s="9"/>
      <c r="R20" s="9"/>
    </row>
    <row r="21" spans="1:18" ht="12.75" customHeight="1" x14ac:dyDescent="0.2">
      <c r="A21" s="46" t="s">
        <v>22</v>
      </c>
      <c r="B21" s="65"/>
      <c r="C21" s="63"/>
      <c r="D21" s="55" t="s">
        <v>139</v>
      </c>
      <c r="E21" s="9">
        <f>'F - Inleidingskracht'!E30</f>
        <v>1</v>
      </c>
      <c r="F21" s="9">
        <f>'invoer gording'!C10</f>
        <v>1</v>
      </c>
      <c r="G21" s="9">
        <f>'invoer gording'!D10</f>
        <v>1</v>
      </c>
      <c r="H21" s="9">
        <f>'invoer gording'!E10</f>
        <v>1</v>
      </c>
      <c r="I21" s="9">
        <f>'invoer gording'!F10</f>
        <v>1</v>
      </c>
      <c r="J21" s="9">
        <f>'invoer gording'!G10</f>
        <v>1</v>
      </c>
      <c r="K21" s="9">
        <f>'invoer gording'!H10</f>
        <v>1</v>
      </c>
      <c r="L21" s="9">
        <f>'invoer gording'!I10</f>
        <v>1</v>
      </c>
      <c r="M21" s="9">
        <f>'invoer gording'!J10</f>
        <v>1</v>
      </c>
      <c r="N21" s="9"/>
      <c r="O21" s="9"/>
      <c r="P21" s="9"/>
      <c r="Q21" s="9"/>
      <c r="R21" s="9"/>
    </row>
    <row r="22" spans="1:18" ht="12.75" customHeight="1" x14ac:dyDescent="0.2">
      <c r="B22" s="65"/>
      <c r="C22" s="62" t="s">
        <v>140</v>
      </c>
      <c r="D22" s="44" t="s">
        <v>141</v>
      </c>
      <c r="E22" s="9">
        <f>VLOOKUP(E$20,'tab gording'!$B$4:$Q$147,2,0)</f>
        <v>600</v>
      </c>
      <c r="F22" s="9">
        <f>VLOOKUP(F$19,'tab gording'!$A$4:$O$237,3)</f>
        <v>600</v>
      </c>
      <c r="G22" s="9">
        <f>VLOOKUP(G$19,'tab gording'!$A$4:$O$237,3)</f>
        <v>600</v>
      </c>
      <c r="H22" s="9">
        <f>VLOOKUP(H$19,'tab gording'!$A$4:$O$237,3)</f>
        <v>700</v>
      </c>
      <c r="I22" s="9">
        <f>VLOOKUP(I$19,'tab gording'!$A$4:$O$237,3)</f>
        <v>800</v>
      </c>
      <c r="J22" s="9">
        <f>VLOOKUP(J$19,'tab gording'!$A$4:$O$237,3)</f>
        <v>700</v>
      </c>
      <c r="K22" s="9">
        <f>VLOOKUP(K$19,'tab gording'!$A$4:$O$237,3)</f>
        <v>400</v>
      </c>
      <c r="L22" s="9">
        <f>VLOOKUP(L$19,'tab gording'!$A$4:$O$237,3)</f>
        <v>600</v>
      </c>
      <c r="M22" s="9">
        <f>VLOOKUP(M$19,'tab gording'!$A$4:$O$237,3)</f>
        <v>800</v>
      </c>
      <c r="N22" s="9"/>
      <c r="O22" s="9"/>
      <c r="P22" s="9"/>
      <c r="Q22" s="9"/>
      <c r="R22" s="9"/>
    </row>
    <row r="23" spans="1:18" ht="12.75" customHeight="1" x14ac:dyDescent="0.2">
      <c r="B23" s="65"/>
      <c r="C23" s="62" t="s">
        <v>91</v>
      </c>
      <c r="D23" s="44" t="s">
        <v>141</v>
      </c>
      <c r="E23" s="9">
        <f>VLOOKUP(E$20,'tab gording'!$B$4:$Q$147,3,0)</f>
        <v>300</v>
      </c>
      <c r="F23" s="9">
        <f>VLOOKUP(F$19,'tab gording'!$A$4:$O$237,4)</f>
        <v>300</v>
      </c>
      <c r="G23" s="9">
        <f>VLOOKUP(G$19,'tab gording'!$A$4:$O$237,4)</f>
        <v>300</v>
      </c>
      <c r="H23" s="9">
        <f>VLOOKUP(H$19,'tab gording'!$A$4:$O$237,4)</f>
        <v>300</v>
      </c>
      <c r="I23" s="9">
        <f>VLOOKUP(I$19,'tab gording'!$A$4:$O$237,4)</f>
        <v>300</v>
      </c>
      <c r="J23" s="9">
        <f>VLOOKUP(J$19,'tab gording'!$A$4:$O$237,4)</f>
        <v>300</v>
      </c>
      <c r="K23" s="9">
        <f>VLOOKUP(K$19,'tab gording'!$A$4:$O$237,4)</f>
        <v>300</v>
      </c>
      <c r="L23" s="9">
        <f>VLOOKUP(L$19,'tab gording'!$A$4:$O$237,4)</f>
        <v>300</v>
      </c>
      <c r="M23" s="9">
        <f>VLOOKUP(M$19,'tab gording'!$A$4:$O$237,4)</f>
        <v>300</v>
      </c>
      <c r="N23" s="47"/>
      <c r="O23" s="47"/>
      <c r="P23" s="47"/>
      <c r="Q23" s="47"/>
      <c r="R23" s="47"/>
    </row>
    <row r="24" spans="1:18" ht="12.75" customHeight="1" x14ac:dyDescent="0.2">
      <c r="B24" s="65"/>
      <c r="C24" s="62" t="s">
        <v>142</v>
      </c>
      <c r="D24" s="44" t="s">
        <v>141</v>
      </c>
      <c r="E24" s="9">
        <f>VLOOKUP(E$20,'tab gording'!$B$4:$Q$147,4,0)</f>
        <v>15.5</v>
      </c>
      <c r="F24" s="9">
        <f>VLOOKUP(F$19,'tab gording'!$A$4:$O$237,5)</f>
        <v>15.5</v>
      </c>
      <c r="G24" s="9">
        <f>VLOOKUP(G$19,'tab gording'!$A$4:$O$237,5)</f>
        <v>15.5</v>
      </c>
      <c r="H24" s="9">
        <f>VLOOKUP(H$19,'tab gording'!$A$4:$O$237,5)</f>
        <v>17</v>
      </c>
      <c r="I24" s="9">
        <f>VLOOKUP(I$19,'tab gording'!$A$4:$O$237,5)</f>
        <v>17.5</v>
      </c>
      <c r="J24" s="9">
        <f>VLOOKUP(J$19,'tab gording'!$A$4:$O$237,5)</f>
        <v>17</v>
      </c>
      <c r="K24" s="9">
        <f>VLOOKUP(K$19,'tab gording'!$A$4:$O$237,5)</f>
        <v>13.5</v>
      </c>
      <c r="L24" s="9">
        <f>VLOOKUP(L$19,'tab gording'!$A$4:$O$237,5)</f>
        <v>15.5</v>
      </c>
      <c r="M24" s="9">
        <f>VLOOKUP(M$19,'tab gording'!$A$4:$O$237,5)</f>
        <v>17.5</v>
      </c>
      <c r="N24" s="9"/>
      <c r="O24" s="9"/>
      <c r="P24" s="9"/>
      <c r="Q24" s="9"/>
      <c r="R24" s="9"/>
    </row>
    <row r="25" spans="1:18" ht="12.75" customHeight="1" x14ac:dyDescent="0.2">
      <c r="B25" s="65"/>
      <c r="C25" s="62" t="s">
        <v>143</v>
      </c>
      <c r="D25" s="44" t="s">
        <v>141</v>
      </c>
      <c r="E25" s="9">
        <f>VLOOKUP(E$20,'tab gording'!$B$4:$Q$147,5,0)</f>
        <v>30</v>
      </c>
      <c r="F25" s="9">
        <f>VLOOKUP(F$19,'tab gording'!$A$4:$O$237,6)</f>
        <v>30</v>
      </c>
      <c r="G25" s="9">
        <f>VLOOKUP(G$19,'tab gording'!$A$4:$O$237,6)</f>
        <v>30</v>
      </c>
      <c r="H25" s="9">
        <f>VLOOKUP(H$19,'tab gording'!$A$4:$O$237,6)</f>
        <v>32</v>
      </c>
      <c r="I25" s="9">
        <f>VLOOKUP(I$19,'tab gording'!$A$4:$O$237,6)</f>
        <v>33</v>
      </c>
      <c r="J25" s="9">
        <f>VLOOKUP(J$19,'tab gording'!$A$4:$O$237,6)</f>
        <v>32</v>
      </c>
      <c r="K25" s="9">
        <f>VLOOKUP(K$19,'tab gording'!$A$4:$O$237,6)</f>
        <v>24</v>
      </c>
      <c r="L25" s="9">
        <f>VLOOKUP(L$19,'tab gording'!$A$4:$O$237,6)</f>
        <v>30</v>
      </c>
      <c r="M25" s="9">
        <f>VLOOKUP(M$19,'tab gording'!$A$4:$O$237,6)</f>
        <v>33</v>
      </c>
      <c r="N25" s="48"/>
      <c r="O25" s="48"/>
      <c r="P25" s="48"/>
      <c r="Q25" s="48"/>
      <c r="R25" s="48"/>
    </row>
    <row r="26" spans="1:18" ht="12.75" customHeight="1" x14ac:dyDescent="0.2">
      <c r="B26" s="65"/>
      <c r="C26" s="63" t="s">
        <v>144</v>
      </c>
      <c r="D26" s="44" t="s">
        <v>145</v>
      </c>
      <c r="E26" s="9">
        <f>VLOOKUP(E$20,'tab gording'!$B$4:$Q$147,6,0)</f>
        <v>5700000</v>
      </c>
      <c r="F26" s="9">
        <f>VLOOKUP(F$19,'tab gording'!$A$4:$O$237,7)</f>
        <v>5700000</v>
      </c>
      <c r="G26" s="9">
        <f>VLOOKUP(G$19,'tab gording'!$A$4:$O$237,7)</f>
        <v>5700000</v>
      </c>
      <c r="H26" s="9">
        <f>VLOOKUP(H$19,'tab gording'!$A$4:$O$237,7)</f>
        <v>7340000</v>
      </c>
      <c r="I26" s="9">
        <f>VLOOKUP(I$19,'tab gording'!$A$4:$O$237,7)</f>
        <v>8980000</v>
      </c>
      <c r="J26" s="9">
        <f>VLOOKUP(J$19,'tab gording'!$A$4:$O$237,7)</f>
        <v>7340000</v>
      </c>
      <c r="K26" s="9">
        <f>VLOOKUP(K$19,'tab gording'!$A$4:$O$237,7)</f>
        <v>2880000</v>
      </c>
      <c r="L26" s="9">
        <f>VLOOKUP(L$19,'tab gording'!$A$4:$O$237,7)</f>
        <v>5700000</v>
      </c>
      <c r="M26" s="9">
        <f>VLOOKUP(M$19,'tab gording'!$A$4:$O$237,7)</f>
        <v>8980000</v>
      </c>
      <c r="N26" s="48"/>
      <c r="O26" s="48"/>
      <c r="P26" s="48"/>
      <c r="Q26" s="48"/>
      <c r="R26" s="48"/>
    </row>
    <row r="27" spans="1:18" ht="12.75" customHeight="1" x14ac:dyDescent="0.2">
      <c r="B27" s="65"/>
      <c r="C27" s="63" t="s">
        <v>146</v>
      </c>
      <c r="D27" s="44" t="s">
        <v>145</v>
      </c>
      <c r="E27" s="9">
        <f>VLOOKUP(E$20,'tab gording'!$B$4:$Q$147,7,0)</f>
        <v>6426000</v>
      </c>
      <c r="F27" s="9">
        <f>VLOOKUP(F$19,'tab gording'!$A$4:$O$237,8)</f>
        <v>6426000</v>
      </c>
      <c r="G27" s="9">
        <f>VLOOKUP(G$19,'tab gording'!$A$4:$O$237,8)</f>
        <v>6426000</v>
      </c>
      <c r="H27" s="9">
        <f>VLOOKUP(H$19,'tab gording'!$A$4:$O$237,8)</f>
        <v>8328000</v>
      </c>
      <c r="I27" s="9">
        <f>VLOOKUP(I$19,'tab gording'!$A$4:$O$237,8)</f>
        <v>10228000</v>
      </c>
      <c r="J27" s="9">
        <f>VLOOKUP(J$19,'tab gording'!$A$4:$O$237,8)</f>
        <v>8328000</v>
      </c>
      <c r="K27" s="9">
        <f>VLOOKUP(K$19,'tab gording'!$A$4:$O$237,8)</f>
        <v>3232000</v>
      </c>
      <c r="L27" s="9">
        <f>VLOOKUP(L$19,'tab gording'!$A$4:$O$237,8)</f>
        <v>6426000</v>
      </c>
      <c r="M27" s="9">
        <f>VLOOKUP(M$19,'tab gording'!$A$4:$O$237,8)</f>
        <v>10228000</v>
      </c>
      <c r="N27" s="48"/>
      <c r="O27" s="48"/>
      <c r="P27" s="48"/>
      <c r="Q27" s="48"/>
      <c r="R27" s="48"/>
    </row>
    <row r="28" spans="1:18" ht="12.75" customHeight="1" x14ac:dyDescent="0.2">
      <c r="B28" s="65"/>
      <c r="C28" s="62" t="s">
        <v>11</v>
      </c>
      <c r="D28" s="55" t="s">
        <v>147</v>
      </c>
      <c r="E28" s="9">
        <f>VLOOKUP(E$20,'tab gording'!$B$4:$Q$147,10,0)</f>
        <v>27000</v>
      </c>
      <c r="F28" s="9">
        <f>VLOOKUP(F$19,'tab gording'!$A$4:$O$237,11)</f>
        <v>27000</v>
      </c>
      <c r="G28" s="9">
        <f>VLOOKUP(G$19,'tab gording'!$A$4:$O$237,11)</f>
        <v>27000</v>
      </c>
      <c r="H28" s="9">
        <f>VLOOKUP(H$19,'tab gording'!$A$4:$O$237,11)</f>
        <v>30640</v>
      </c>
      <c r="I28" s="9">
        <f>VLOOKUP(I$19,'tab gording'!$A$4:$O$237,11)</f>
        <v>33400</v>
      </c>
      <c r="J28" s="9">
        <f>VLOOKUP(J$19,'tab gording'!$A$4:$O$237,11)</f>
        <v>30640</v>
      </c>
      <c r="K28" s="9">
        <f>VLOOKUP(K$19,'tab gording'!$A$4:$O$237,11)</f>
        <v>19780</v>
      </c>
      <c r="L28" s="9">
        <f>VLOOKUP(L$19,'tab gording'!$A$4:$O$237,11)</f>
        <v>27000</v>
      </c>
      <c r="M28" s="9">
        <f>VLOOKUP(M$19,'tab gording'!$A$4:$O$237,11)</f>
        <v>33400</v>
      </c>
      <c r="N28" s="47"/>
      <c r="O28" s="47"/>
      <c r="P28" s="47"/>
      <c r="Q28" s="47"/>
      <c r="R28" s="47"/>
    </row>
    <row r="29" spans="1:18" ht="12.75" customHeight="1" x14ac:dyDescent="0.2">
      <c r="A29" s="46"/>
      <c r="B29" s="65"/>
      <c r="C29" s="62" t="s">
        <v>148</v>
      </c>
      <c r="D29" s="55" t="s">
        <v>141</v>
      </c>
      <c r="E29" s="9">
        <f>VLOOKUP(E$20,'tab gording'!$B$4:$Q$147,11,0)</f>
        <v>27</v>
      </c>
      <c r="F29" s="9">
        <f>VLOOKUP(F$19,'tab gording'!$A$4:$O$237,12)</f>
        <v>27</v>
      </c>
      <c r="G29" s="9">
        <f>VLOOKUP(G$19,'tab gording'!$A$4:$O$237,12)</f>
        <v>27</v>
      </c>
      <c r="H29" s="9">
        <f>VLOOKUP(H$19,'tab gording'!$A$4:$O$237,12)</f>
        <v>27</v>
      </c>
      <c r="I29" s="9">
        <f>VLOOKUP(I$19,'tab gording'!$A$4:$O$237,12)</f>
        <v>30</v>
      </c>
      <c r="J29" s="9">
        <f>VLOOKUP(J$19,'tab gording'!$A$4:$O$237,12)</f>
        <v>27</v>
      </c>
      <c r="K29" s="9">
        <f>VLOOKUP(K$19,'tab gording'!$A$4:$O$237,12)</f>
        <v>27</v>
      </c>
      <c r="L29" s="9">
        <f>VLOOKUP(L$19,'tab gording'!$A$4:$O$237,12)</f>
        <v>27</v>
      </c>
      <c r="M29" s="9">
        <f>VLOOKUP(M$19,'tab gording'!$A$4:$O$237,12)</f>
        <v>30</v>
      </c>
      <c r="N29" s="9"/>
      <c r="O29" s="9"/>
      <c r="P29" s="9"/>
      <c r="Q29" s="9"/>
      <c r="R29" s="9"/>
    </row>
    <row r="30" spans="1:18" ht="12.75" customHeight="1" x14ac:dyDescent="0.2">
      <c r="A30" s="46"/>
      <c r="B30" s="65"/>
      <c r="C30" s="62" t="s">
        <v>149</v>
      </c>
      <c r="D30" s="55" t="s">
        <v>150</v>
      </c>
      <c r="E30" s="9">
        <f>VLOOKUP(E$20,'tab gording'!$B$4:$Q$147,12,0)</f>
        <v>1710000000</v>
      </c>
      <c r="F30" s="9">
        <f>VLOOKUP(F$19,'tab gording'!$A$4:$O$237,13)</f>
        <v>1710000000</v>
      </c>
      <c r="G30" s="9">
        <f>VLOOKUP(G$19,'tab gording'!$A$4:$O$237,13)</f>
        <v>1710000000</v>
      </c>
      <c r="H30" s="9">
        <f>VLOOKUP(H$19,'tab gording'!$A$4:$O$237,13)</f>
        <v>2568999900</v>
      </c>
      <c r="I30" s="9">
        <f>VLOOKUP(I$19,'tab gording'!$A$4:$O$237,13)</f>
        <v>3591000000</v>
      </c>
      <c r="J30" s="9">
        <f>VLOOKUP(J$19,'tab gording'!$A$4:$O$237,13)</f>
        <v>2568999900</v>
      </c>
      <c r="K30" s="9">
        <f>VLOOKUP(K$19,'tab gording'!$A$4:$O$237,13)</f>
        <v>576800000</v>
      </c>
      <c r="L30" s="9">
        <f>VLOOKUP(L$19,'tab gording'!$A$4:$O$237,13)</f>
        <v>1710000000</v>
      </c>
      <c r="M30" s="9">
        <f>VLOOKUP(M$19,'tab gording'!$A$4:$O$237,13)</f>
        <v>3591000000</v>
      </c>
      <c r="N30" s="9"/>
      <c r="O30" s="9"/>
      <c r="P30" s="9"/>
      <c r="Q30" s="9"/>
      <c r="R30" s="9"/>
    </row>
    <row r="31" spans="1:18" ht="12.75" customHeight="1" x14ac:dyDescent="0.2">
      <c r="A31" s="46"/>
      <c r="B31" s="65"/>
      <c r="C31" s="62" t="s">
        <v>17</v>
      </c>
      <c r="D31" s="55" t="s">
        <v>151</v>
      </c>
      <c r="E31" s="9">
        <f>VLOOKUP(E$20,'tab gording'!$B$4:$Q$147,14,0)</f>
        <v>2.1190000000000002</v>
      </c>
      <c r="F31" s="53">
        <f>VLOOKUP(F$19,'tab gording'!$A$4:$O$237,15)</f>
        <v>2.1190000000000002</v>
      </c>
      <c r="G31" s="53">
        <f>VLOOKUP(G$19,'tab gording'!$A$4:$O$237,15)</f>
        <v>2.1190000000000002</v>
      </c>
      <c r="H31" s="53">
        <f>VLOOKUP(H$19,'tab gording'!$A$4:$O$237,15)</f>
        <v>2.4049999999999998</v>
      </c>
      <c r="I31" s="53">
        <f>VLOOKUP(I$19,'tab gording'!$A$4:$O$237,15)</f>
        <v>2.6230000000000002</v>
      </c>
      <c r="J31" s="53">
        <f>VLOOKUP(J$19,'tab gording'!$A$4:$O$237,15)</f>
        <v>2.4049999999999998</v>
      </c>
      <c r="K31" s="53">
        <f>VLOOKUP(K$19,'tab gording'!$A$4:$O$237,15)</f>
        <v>1.5529999999999999</v>
      </c>
      <c r="L31" s="53">
        <f>VLOOKUP(L$19,'tab gording'!$A$4:$O$237,15)</f>
        <v>2.1190000000000002</v>
      </c>
      <c r="M31" s="53">
        <f>VLOOKUP(M$19,'tab gording'!$A$4:$O$237,15)</f>
        <v>2.6230000000000002</v>
      </c>
      <c r="N31" s="9"/>
      <c r="O31" s="9"/>
      <c r="P31" s="9"/>
      <c r="Q31" s="9"/>
      <c r="R31" s="9"/>
    </row>
    <row r="32" spans="1:18" ht="12.75" customHeight="1" x14ac:dyDescent="0.2">
      <c r="A32" s="46"/>
      <c r="B32" s="65"/>
      <c r="C32" s="62" t="s">
        <v>152</v>
      </c>
      <c r="D32" s="55" t="s">
        <v>141</v>
      </c>
      <c r="E32" s="9">
        <f t="shared" ref="E32:M32" si="5">E22-E25-E25</f>
        <v>540</v>
      </c>
      <c r="F32" s="9">
        <f t="shared" si="5"/>
        <v>540</v>
      </c>
      <c r="G32" s="9">
        <f t="shared" si="5"/>
        <v>540</v>
      </c>
      <c r="H32" s="9">
        <f t="shared" si="5"/>
        <v>636</v>
      </c>
      <c r="I32" s="9">
        <f t="shared" si="5"/>
        <v>734</v>
      </c>
      <c r="J32" s="9">
        <f t="shared" si="5"/>
        <v>636</v>
      </c>
      <c r="K32" s="9">
        <f t="shared" si="5"/>
        <v>352</v>
      </c>
      <c r="L32" s="9">
        <f t="shared" si="5"/>
        <v>540</v>
      </c>
      <c r="M32" s="9">
        <f t="shared" si="5"/>
        <v>734</v>
      </c>
      <c r="N32" s="9"/>
      <c r="O32" s="9"/>
      <c r="P32" s="9"/>
      <c r="Q32" s="9"/>
      <c r="R32" s="9"/>
    </row>
    <row r="33" spans="1:18" ht="12.75" customHeight="1" x14ac:dyDescent="0.2">
      <c r="A33" s="46"/>
      <c r="B33" s="65"/>
      <c r="C33" s="62" t="s">
        <v>153</v>
      </c>
      <c r="D33" s="55" t="s">
        <v>147</v>
      </c>
      <c r="E33" s="9">
        <f t="shared" ref="E33:M33" si="6">E28-(2*E23*E25)+((E24+2*E29)*E25)</f>
        <v>11085</v>
      </c>
      <c r="F33" s="9">
        <f t="shared" si="6"/>
        <v>11085</v>
      </c>
      <c r="G33" s="9">
        <f t="shared" si="6"/>
        <v>11085</v>
      </c>
      <c r="H33" s="9">
        <f t="shared" si="6"/>
        <v>13712</v>
      </c>
      <c r="I33" s="9">
        <f t="shared" si="6"/>
        <v>16157.5</v>
      </c>
      <c r="J33" s="9">
        <f t="shared" si="6"/>
        <v>13712</v>
      </c>
      <c r="K33" s="9">
        <f t="shared" si="6"/>
        <v>7000</v>
      </c>
      <c r="L33" s="9">
        <f t="shared" si="6"/>
        <v>11085</v>
      </c>
      <c r="M33" s="9">
        <f t="shared" si="6"/>
        <v>16157.5</v>
      </c>
      <c r="N33" s="9"/>
      <c r="O33" s="9"/>
      <c r="P33" s="9"/>
      <c r="Q33" s="9"/>
      <c r="R33" s="9"/>
    </row>
    <row r="34" spans="1:18" ht="12.75" customHeight="1" x14ac:dyDescent="0.2">
      <c r="A34" s="46"/>
      <c r="B34" s="65"/>
      <c r="C34" s="62" t="s">
        <v>154</v>
      </c>
      <c r="D34" s="55" t="s">
        <v>147</v>
      </c>
      <c r="E34" s="9">
        <f t="shared" ref="E34:M34" si="7">E23*E25</f>
        <v>9000</v>
      </c>
      <c r="F34" s="9">
        <f t="shared" si="7"/>
        <v>9000</v>
      </c>
      <c r="G34" s="9">
        <f t="shared" si="7"/>
        <v>9000</v>
      </c>
      <c r="H34" s="9">
        <f t="shared" si="7"/>
        <v>9600</v>
      </c>
      <c r="I34" s="9">
        <f t="shared" si="7"/>
        <v>9900</v>
      </c>
      <c r="J34" s="9">
        <f t="shared" si="7"/>
        <v>9600</v>
      </c>
      <c r="K34" s="9">
        <f t="shared" si="7"/>
        <v>7200</v>
      </c>
      <c r="L34" s="9">
        <f t="shared" si="7"/>
        <v>9000</v>
      </c>
      <c r="M34" s="9">
        <f t="shared" si="7"/>
        <v>9900</v>
      </c>
      <c r="N34" s="9"/>
      <c r="O34" s="9"/>
      <c r="P34" s="9"/>
      <c r="Q34" s="9"/>
      <c r="R34" s="9"/>
    </row>
    <row r="35" spans="1:18" ht="12.75" customHeight="1" x14ac:dyDescent="0.2">
      <c r="A35" s="46"/>
      <c r="B35" s="65"/>
      <c r="C35" s="62" t="s">
        <v>155</v>
      </c>
      <c r="D35" s="55" t="s">
        <v>147</v>
      </c>
      <c r="E35" s="9">
        <f t="shared" ref="E35:M35" si="8">E24*E32</f>
        <v>8370</v>
      </c>
      <c r="F35" s="9">
        <f t="shared" si="8"/>
        <v>8370</v>
      </c>
      <c r="G35" s="9">
        <f t="shared" si="8"/>
        <v>8370</v>
      </c>
      <c r="H35" s="9">
        <f t="shared" si="8"/>
        <v>10812</v>
      </c>
      <c r="I35" s="9">
        <f t="shared" si="8"/>
        <v>12845</v>
      </c>
      <c r="J35" s="9">
        <f t="shared" si="8"/>
        <v>10812</v>
      </c>
      <c r="K35" s="9">
        <f t="shared" si="8"/>
        <v>4752</v>
      </c>
      <c r="L35" s="9">
        <f t="shared" si="8"/>
        <v>8370</v>
      </c>
      <c r="M35" s="9">
        <f t="shared" si="8"/>
        <v>12845</v>
      </c>
      <c r="N35" s="9"/>
      <c r="O35" s="9"/>
      <c r="P35" s="9"/>
      <c r="Q35" s="9"/>
      <c r="R35" s="9"/>
    </row>
    <row r="36" spans="1:18" ht="12.75" customHeight="1" x14ac:dyDescent="0.2">
      <c r="A36" s="46"/>
      <c r="B36" s="65"/>
      <c r="C36" s="62" t="s">
        <v>156</v>
      </c>
      <c r="D36" s="55" t="s">
        <v>113</v>
      </c>
      <c r="E36" s="53">
        <f t="shared" ref="E36:M36" si="9">E22/E23</f>
        <v>2</v>
      </c>
      <c r="F36" s="53">
        <f t="shared" si="9"/>
        <v>2</v>
      </c>
      <c r="G36" s="53">
        <f t="shared" si="9"/>
        <v>2</v>
      </c>
      <c r="H36" s="53">
        <f t="shared" si="9"/>
        <v>2.3333333333333335</v>
      </c>
      <c r="I36" s="53">
        <f t="shared" si="9"/>
        <v>2.6666666666666665</v>
      </c>
      <c r="J36" s="53">
        <f t="shared" si="9"/>
        <v>2.3333333333333335</v>
      </c>
      <c r="K36" s="53">
        <f t="shared" si="9"/>
        <v>1.3333333333333333</v>
      </c>
      <c r="L36" s="53">
        <f t="shared" si="9"/>
        <v>2</v>
      </c>
      <c r="M36" s="53">
        <f t="shared" si="9"/>
        <v>2.6666666666666665</v>
      </c>
      <c r="N36" s="9"/>
      <c r="O36" s="9"/>
      <c r="P36" s="9"/>
      <c r="Q36" s="9"/>
      <c r="R36" s="9"/>
    </row>
    <row r="37" spans="1:18" ht="12.75" customHeight="1" x14ac:dyDescent="0.2">
      <c r="A37" s="46"/>
      <c r="B37" s="65"/>
      <c r="C37" s="46"/>
      <c r="D37" s="55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ht="12.75" customHeight="1" x14ac:dyDescent="0.2">
      <c r="A38" s="43" t="s">
        <v>157</v>
      </c>
      <c r="B38" s="65"/>
      <c r="I38" s="9"/>
      <c r="J38" s="9"/>
      <c r="K38" s="9"/>
      <c r="L38" s="9"/>
      <c r="M38" s="9"/>
    </row>
    <row r="39" spans="1:18" ht="12.75" customHeight="1" x14ac:dyDescent="0.2">
      <c r="A39" s="46" t="s">
        <v>158</v>
      </c>
      <c r="B39" s="65"/>
      <c r="D39" s="20" t="s">
        <v>113</v>
      </c>
      <c r="E39" s="53">
        <f t="shared" ref="E39:M39" si="10">(E22-E25-E25-E29-E29)/E24/E15</f>
        <v>31.35483870967742</v>
      </c>
      <c r="F39" s="53">
        <f t="shared" si="10"/>
        <v>31.35483870967742</v>
      </c>
      <c r="G39" s="53">
        <f t="shared" si="10"/>
        <v>31.35483870967742</v>
      </c>
      <c r="H39" s="53">
        <f t="shared" si="10"/>
        <v>34.235294117647058</v>
      </c>
      <c r="I39" s="53">
        <f t="shared" si="10"/>
        <v>38.514285714285712</v>
      </c>
      <c r="J39" s="53">
        <f t="shared" si="10"/>
        <v>34.235294117647058</v>
      </c>
      <c r="K39" s="53">
        <f t="shared" si="10"/>
        <v>22.074074074074073</v>
      </c>
      <c r="L39" s="53">
        <f t="shared" si="10"/>
        <v>31.35483870967742</v>
      </c>
      <c r="M39" s="53">
        <f t="shared" si="10"/>
        <v>38.514285714285712</v>
      </c>
      <c r="N39" s="9"/>
      <c r="O39" s="9"/>
      <c r="P39" s="9"/>
      <c r="Q39" s="9"/>
      <c r="R39" s="9"/>
    </row>
    <row r="40" spans="1:18" ht="12.75" customHeight="1" x14ac:dyDescent="0.2">
      <c r="A40" s="46" t="s">
        <v>159</v>
      </c>
      <c r="B40" s="65"/>
      <c r="D40" s="20" t="s">
        <v>113</v>
      </c>
      <c r="E40" s="53">
        <f t="shared" ref="E40:M40" si="11">(E23/2-(E24/2)-E29)/E25/E15</f>
        <v>3.8416666666666668</v>
      </c>
      <c r="F40" s="53">
        <f t="shared" si="11"/>
        <v>3.8416666666666668</v>
      </c>
      <c r="G40" s="53">
        <f t="shared" si="11"/>
        <v>3.8416666666666668</v>
      </c>
      <c r="H40" s="53">
        <f t="shared" si="11"/>
        <v>3.578125</v>
      </c>
      <c r="I40" s="53">
        <f t="shared" si="11"/>
        <v>3.3712121212121211</v>
      </c>
      <c r="J40" s="53">
        <f t="shared" si="11"/>
        <v>3.578125</v>
      </c>
      <c r="K40" s="53">
        <f t="shared" si="11"/>
        <v>4.84375</v>
      </c>
      <c r="L40" s="53">
        <f t="shared" si="11"/>
        <v>3.8416666666666668</v>
      </c>
      <c r="M40" s="53">
        <f t="shared" si="11"/>
        <v>3.3712121212121211</v>
      </c>
      <c r="N40" s="47"/>
      <c r="O40" s="47"/>
      <c r="P40" s="47"/>
      <c r="Q40" s="47"/>
      <c r="R40" s="47"/>
    </row>
    <row r="41" spans="1:18" ht="12.75" customHeight="1" x14ac:dyDescent="0.2">
      <c r="A41" s="46" t="s">
        <v>160</v>
      </c>
      <c r="B41" s="65" t="s">
        <v>161</v>
      </c>
      <c r="D41" s="56" t="s">
        <v>113</v>
      </c>
      <c r="E41" s="9" t="str">
        <f t="shared" ref="E41:M41" si="12">IF(AND(E36&gt;1.2,E25&lt;40),"a",IF(AND(E36&gt;1.2,E25&gt;40,E25&lt;100),"b",IF(AND(E36&lt;1.2,E25&lt;100),"b",IF(AND(E36&lt;1.2,E25&gt;100),"d"))))</f>
        <v>a</v>
      </c>
      <c r="F41" s="9" t="str">
        <f t="shared" si="12"/>
        <v>a</v>
      </c>
      <c r="G41" s="9" t="str">
        <f t="shared" si="12"/>
        <v>a</v>
      </c>
      <c r="H41" s="9" t="str">
        <f t="shared" si="12"/>
        <v>a</v>
      </c>
      <c r="I41" s="9" t="str">
        <f t="shared" si="12"/>
        <v>a</v>
      </c>
      <c r="J41" s="9" t="str">
        <f t="shared" si="12"/>
        <v>a</v>
      </c>
      <c r="K41" s="9" t="str">
        <f t="shared" si="12"/>
        <v>a</v>
      </c>
      <c r="L41" s="9" t="str">
        <f t="shared" si="12"/>
        <v>a</v>
      </c>
      <c r="M41" s="9" t="str">
        <f t="shared" si="12"/>
        <v>a</v>
      </c>
      <c r="N41" s="9"/>
      <c r="O41" s="9"/>
      <c r="P41" s="9"/>
      <c r="Q41" s="9"/>
      <c r="R41" s="9"/>
    </row>
    <row r="42" spans="1:18" ht="12.75" customHeight="1" x14ac:dyDescent="0.2">
      <c r="A42" s="54" t="s">
        <v>162</v>
      </c>
      <c r="B42" s="65" t="s">
        <v>161</v>
      </c>
      <c r="D42" s="56" t="s">
        <v>113</v>
      </c>
      <c r="E42" s="9" t="str">
        <f t="shared" ref="E42:M42" si="13">IF(AND(E36&gt;1.2,E25&lt;40),"b",IF(AND(E36&gt;1.2,E25&gt;40,E25&lt;100),"c",IF(AND(E36&lt;1.2,E25&lt;100),"c",IF(AND(E36&lt;1.2,E25&gt;100),"d"))))</f>
        <v>b</v>
      </c>
      <c r="F42" s="9" t="str">
        <f t="shared" si="13"/>
        <v>b</v>
      </c>
      <c r="G42" s="9" t="str">
        <f t="shared" si="13"/>
        <v>b</v>
      </c>
      <c r="H42" s="9" t="str">
        <f t="shared" si="13"/>
        <v>b</v>
      </c>
      <c r="I42" s="9" t="str">
        <f t="shared" si="13"/>
        <v>b</v>
      </c>
      <c r="J42" s="9" t="str">
        <f t="shared" si="13"/>
        <v>b</v>
      </c>
      <c r="K42" s="9" t="str">
        <f t="shared" si="13"/>
        <v>b</v>
      </c>
      <c r="L42" s="9" t="str">
        <f t="shared" si="13"/>
        <v>b</v>
      </c>
      <c r="M42" s="9" t="str">
        <f t="shared" si="13"/>
        <v>b</v>
      </c>
      <c r="N42" s="9"/>
      <c r="O42" s="9"/>
      <c r="P42" s="9"/>
      <c r="Q42" s="9"/>
      <c r="R42" s="9"/>
    </row>
    <row r="43" spans="1:18" ht="12.75" customHeight="1" x14ac:dyDescent="0.2">
      <c r="A43" s="46" t="s">
        <v>163</v>
      </c>
      <c r="D43" s="56" t="s">
        <v>113</v>
      </c>
      <c r="E43" s="9">
        <f t="shared" ref="E43:M43" si="14">IF(AND(E$39&lt;72,E$39&lt;83,E$39&lt;124),1,IF(AND(E$39&gt;72,E$39&lt;83,E$39&lt;124),2,IF(AND(E$39&gt;72,E$39&gt;83,E$39&lt;124),3,IF(E$39&gt;124,4))))</f>
        <v>1</v>
      </c>
      <c r="F43" s="9">
        <f t="shared" si="14"/>
        <v>1</v>
      </c>
      <c r="G43" s="9">
        <f t="shared" si="14"/>
        <v>1</v>
      </c>
      <c r="H43" s="9">
        <f t="shared" si="14"/>
        <v>1</v>
      </c>
      <c r="I43" s="9">
        <f t="shared" si="14"/>
        <v>1</v>
      </c>
      <c r="J43" s="9">
        <f t="shared" si="14"/>
        <v>1</v>
      </c>
      <c r="K43" s="9">
        <f t="shared" si="14"/>
        <v>1</v>
      </c>
      <c r="L43" s="9">
        <f t="shared" si="14"/>
        <v>1</v>
      </c>
      <c r="M43" s="9">
        <f t="shared" si="14"/>
        <v>1</v>
      </c>
      <c r="N43" s="9"/>
      <c r="O43" s="9"/>
      <c r="P43" s="9"/>
      <c r="Q43" s="9"/>
      <c r="R43" s="9"/>
    </row>
    <row r="44" spans="1:18" ht="12.75" customHeight="1" x14ac:dyDescent="0.2">
      <c r="A44" s="46" t="s">
        <v>164</v>
      </c>
      <c r="D44" s="56" t="s">
        <v>113</v>
      </c>
      <c r="E44" s="9">
        <f t="shared" ref="E44:M44" si="15">IF(AND(E$39&lt;33,E$39&lt;38,E$39&lt;42),1,IF(AND(E$39&gt;33,E$39&lt;38,E$39&lt;42),2,IF(AND(E$39&gt;33,E$39&gt;38,E$39&lt;42),3,IF(E$39&gt;42,4))))</f>
        <v>1</v>
      </c>
      <c r="F44" s="9">
        <f t="shared" si="15"/>
        <v>1</v>
      </c>
      <c r="G44" s="9">
        <f t="shared" si="15"/>
        <v>1</v>
      </c>
      <c r="H44" s="9">
        <f t="shared" si="15"/>
        <v>2</v>
      </c>
      <c r="I44" s="9">
        <f t="shared" si="15"/>
        <v>3</v>
      </c>
      <c r="J44" s="9">
        <f t="shared" si="15"/>
        <v>2</v>
      </c>
      <c r="K44" s="9">
        <f t="shared" si="15"/>
        <v>1</v>
      </c>
      <c r="L44" s="9">
        <f t="shared" si="15"/>
        <v>1</v>
      </c>
      <c r="M44" s="9">
        <f t="shared" si="15"/>
        <v>3</v>
      </c>
      <c r="N44" s="9"/>
      <c r="O44" s="9"/>
      <c r="P44" s="9"/>
      <c r="Q44" s="9"/>
      <c r="R44" s="9"/>
    </row>
    <row r="45" spans="1:18" ht="12.75" customHeight="1" x14ac:dyDescent="0.2">
      <c r="A45" s="46" t="s">
        <v>165</v>
      </c>
      <c r="D45" s="56" t="s">
        <v>113</v>
      </c>
      <c r="E45" s="9">
        <f t="shared" ref="E45:M45" si="16">IF(AND(E46&lt;E47,E46&lt;E48),1,IF(AND(E46&gt;51,E46&lt;E48),2,IF(AND(E46&lt;51,E46&gt;E48),2,IF(AND(E46&gt;E47,E46&gt;E48),3))))</f>
        <v>1</v>
      </c>
      <c r="F45" s="9">
        <f t="shared" si="16"/>
        <v>1</v>
      </c>
      <c r="G45" s="9">
        <f t="shared" si="16"/>
        <v>1</v>
      </c>
      <c r="H45" s="9">
        <f t="shared" si="16"/>
        <v>1</v>
      </c>
      <c r="I45" s="9">
        <f t="shared" si="16"/>
        <v>2</v>
      </c>
      <c r="J45" s="9">
        <f t="shared" si="16"/>
        <v>1</v>
      </c>
      <c r="K45" s="9">
        <f t="shared" si="16"/>
        <v>1</v>
      </c>
      <c r="L45" s="9">
        <f t="shared" si="16"/>
        <v>1</v>
      </c>
      <c r="M45" s="9">
        <f t="shared" si="16"/>
        <v>2</v>
      </c>
      <c r="N45" s="9"/>
      <c r="O45" s="9"/>
      <c r="P45" s="9"/>
      <c r="Q45" s="9"/>
      <c r="R45" s="9"/>
    </row>
    <row r="46" spans="1:18" ht="12.75" hidden="1" customHeight="1" x14ac:dyDescent="0.2">
      <c r="A46" s="46"/>
      <c r="D46" s="56"/>
      <c r="E46" s="44">
        <f t="shared" ref="E46:M46" si="17">IF(E49&gt;0.5,E39*((13*E49)-1),E31*E49)</f>
        <v>220.95754838709681</v>
      </c>
      <c r="F46" s="44">
        <f t="shared" si="17"/>
        <v>220.95754838709681</v>
      </c>
      <c r="G46" s="44">
        <f t="shared" si="17"/>
        <v>311.04000000000008</v>
      </c>
      <c r="H46" s="44">
        <f t="shared" si="17"/>
        <v>361.10509686903475</v>
      </c>
      <c r="I46" s="44">
        <f t="shared" si="17"/>
        <v>430.86251008187702</v>
      </c>
      <c r="J46" s="44">
        <f t="shared" si="17"/>
        <v>361.10509686903475</v>
      </c>
      <c r="K46" s="44">
        <f t="shared" si="17"/>
        <v>188.39168418743748</v>
      </c>
      <c r="L46" s="44">
        <f t="shared" si="17"/>
        <v>311.04000000000008</v>
      </c>
      <c r="M46" s="44">
        <f t="shared" si="17"/>
        <v>430.86251008187702</v>
      </c>
      <c r="N46" s="9"/>
      <c r="O46" s="9"/>
      <c r="P46" s="9"/>
      <c r="Q46" s="9"/>
      <c r="R46" s="9"/>
    </row>
    <row r="47" spans="1:18" ht="12.75" hidden="1" customHeight="1" x14ac:dyDescent="0.2">
      <c r="A47" s="46"/>
      <c r="D47" s="56"/>
      <c r="E47" s="9">
        <f t="shared" ref="E47:M47" si="18">IF(E49&gt;0.5,396,36)</f>
        <v>396</v>
      </c>
      <c r="F47" s="9">
        <f t="shared" si="18"/>
        <v>396</v>
      </c>
      <c r="G47" s="9">
        <f t="shared" si="18"/>
        <v>396</v>
      </c>
      <c r="H47" s="9">
        <f t="shared" si="18"/>
        <v>396</v>
      </c>
      <c r="I47" s="9">
        <f t="shared" si="18"/>
        <v>396</v>
      </c>
      <c r="J47" s="9">
        <f t="shared" si="18"/>
        <v>396</v>
      </c>
      <c r="K47" s="9">
        <f t="shared" si="18"/>
        <v>396</v>
      </c>
      <c r="L47" s="9">
        <f t="shared" si="18"/>
        <v>396</v>
      </c>
      <c r="M47" s="9">
        <f t="shared" si="18"/>
        <v>396</v>
      </c>
      <c r="N47" s="9"/>
      <c r="O47" s="9"/>
      <c r="P47" s="9"/>
      <c r="Q47" s="9"/>
      <c r="R47" s="9"/>
    </row>
    <row r="48" spans="1:18" ht="12.75" hidden="1" customHeight="1" x14ac:dyDescent="0.2">
      <c r="A48" s="46"/>
      <c r="D48" s="56"/>
      <c r="E48" s="9">
        <f t="shared" ref="E48:M48" si="19">IF(E49&gt;0.5,456,41.5)</f>
        <v>456</v>
      </c>
      <c r="F48" s="9">
        <f t="shared" si="19"/>
        <v>456</v>
      </c>
      <c r="G48" s="9">
        <f t="shared" si="19"/>
        <v>456</v>
      </c>
      <c r="H48" s="9">
        <f t="shared" si="19"/>
        <v>456</v>
      </c>
      <c r="I48" s="9">
        <f t="shared" si="19"/>
        <v>456</v>
      </c>
      <c r="J48" s="9">
        <f t="shared" si="19"/>
        <v>456</v>
      </c>
      <c r="K48" s="9">
        <f t="shared" si="19"/>
        <v>456</v>
      </c>
      <c r="L48" s="9">
        <f t="shared" si="19"/>
        <v>456</v>
      </c>
      <c r="M48" s="9">
        <f t="shared" si="19"/>
        <v>456</v>
      </c>
      <c r="N48" s="9"/>
      <c r="O48" s="9"/>
      <c r="P48" s="9"/>
      <c r="Q48" s="9"/>
      <c r="R48" s="9"/>
    </row>
    <row r="49" spans="1:18" ht="12.75" customHeight="1" x14ac:dyDescent="0.2">
      <c r="A49" s="46" t="s">
        <v>166</v>
      </c>
      <c r="B49" s="65" t="s">
        <v>167</v>
      </c>
      <c r="D49" s="56" t="s">
        <v>113</v>
      </c>
      <c r="E49" s="53">
        <f t="shared" ref="E49:M49" si="20">((E72/E74)*E12+(E67/E68)*E12)/(2*(E72/E74)*E12)</f>
        <v>0.61899999999999999</v>
      </c>
      <c r="F49" s="53">
        <f t="shared" si="20"/>
        <v>0.61899999999999999</v>
      </c>
      <c r="G49" s="53">
        <f t="shared" si="20"/>
        <v>0.84000000000000008</v>
      </c>
      <c r="H49" s="53">
        <f t="shared" si="20"/>
        <v>0.88828795225662061</v>
      </c>
      <c r="I49" s="53">
        <f t="shared" si="20"/>
        <v>0.93746792130025658</v>
      </c>
      <c r="J49" s="53">
        <f t="shared" si="20"/>
        <v>0.88828795225662061</v>
      </c>
      <c r="K49" s="53">
        <f t="shared" si="20"/>
        <v>0.73342481583128705</v>
      </c>
      <c r="L49" s="53">
        <f t="shared" si="20"/>
        <v>0.84000000000000008</v>
      </c>
      <c r="M49" s="53">
        <f t="shared" si="20"/>
        <v>0.93746792130025658</v>
      </c>
      <c r="N49" s="9"/>
      <c r="O49" s="9"/>
      <c r="P49" s="9"/>
      <c r="Q49" s="9"/>
      <c r="R49" s="9"/>
    </row>
    <row r="50" spans="1:18" ht="12.75" customHeight="1" x14ac:dyDescent="0.2">
      <c r="A50" s="46"/>
      <c r="D50" s="56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2.75" customHeight="1" x14ac:dyDescent="0.2">
      <c r="A51" s="49" t="s">
        <v>168</v>
      </c>
      <c r="I51" s="9"/>
      <c r="J51" s="9"/>
      <c r="K51" s="9"/>
      <c r="L51" s="9"/>
      <c r="M51" s="9"/>
    </row>
    <row r="52" spans="1:18" ht="12.75" customHeight="1" x14ac:dyDescent="0.2">
      <c r="A52" s="46" t="s">
        <v>169</v>
      </c>
      <c r="B52" s="65" t="s">
        <v>170</v>
      </c>
      <c r="D52" s="10" t="s">
        <v>151</v>
      </c>
      <c r="F52" s="9">
        <f>'invoer gording'!C16</f>
        <v>100</v>
      </c>
      <c r="G52" s="9">
        <f>'invoer gording'!D16</f>
        <v>100</v>
      </c>
      <c r="H52" s="9">
        <f>'invoer gording'!E16</f>
        <v>100</v>
      </c>
      <c r="I52" s="9">
        <f>'invoer gording'!F16</f>
        <v>100</v>
      </c>
      <c r="J52" s="9">
        <f>'invoer gording'!G16</f>
        <v>100</v>
      </c>
      <c r="K52" s="9">
        <f>'invoer gording'!H16</f>
        <v>100</v>
      </c>
      <c r="L52" s="9">
        <f>'invoer gording'!I16</f>
        <v>100</v>
      </c>
      <c r="M52" s="9">
        <f>'invoer gording'!J16</f>
        <v>100</v>
      </c>
    </row>
    <row r="53" spans="1:18" ht="12.75" customHeight="1" x14ac:dyDescent="0.2">
      <c r="A53" s="46" t="s">
        <v>171</v>
      </c>
      <c r="B53" s="65" t="s">
        <v>172</v>
      </c>
      <c r="D53" s="10" t="s">
        <v>75</v>
      </c>
      <c r="F53" s="9">
        <f>'invoer gording'!C15</f>
        <v>4</v>
      </c>
      <c r="G53" s="9">
        <f>'invoer gording'!D15</f>
        <v>4</v>
      </c>
      <c r="H53" s="9">
        <f>'invoer gording'!E15</f>
        <v>4</v>
      </c>
      <c r="I53" s="9">
        <f>'invoer gording'!F15</f>
        <v>4</v>
      </c>
      <c r="J53" s="9">
        <f>'invoer gording'!G15</f>
        <v>4</v>
      </c>
      <c r="K53" s="9">
        <f>'invoer gording'!H15</f>
        <v>4</v>
      </c>
      <c r="L53" s="9">
        <f>'invoer gording'!I15</f>
        <v>4</v>
      </c>
      <c r="M53" s="9">
        <f>'invoer gording'!J15</f>
        <v>4</v>
      </c>
    </row>
    <row r="54" spans="1:18" ht="12.75" customHeight="1" x14ac:dyDescent="0.2">
      <c r="A54" s="46" t="s">
        <v>29</v>
      </c>
      <c r="B54" s="65"/>
      <c r="D54" s="10" t="s">
        <v>113</v>
      </c>
      <c r="E54" s="74"/>
      <c r="F54" s="74">
        <f>'invoer gording'!C17</f>
        <v>8.3333333333333329E-2</v>
      </c>
      <c r="G54" s="74">
        <f>'invoer gording'!D17</f>
        <v>8.3333333333333329E-2</v>
      </c>
      <c r="H54" s="74">
        <f>'invoer gording'!E17</f>
        <v>8.3333333333333329E-2</v>
      </c>
      <c r="I54" s="74">
        <f>'invoer gording'!F17</f>
        <v>8.3333333333333329E-2</v>
      </c>
      <c r="J54" s="74">
        <f>'invoer gording'!G17</f>
        <v>8.3333333333333329E-2</v>
      </c>
      <c r="K54" s="74">
        <f>'invoer gording'!H17</f>
        <v>8.3333333333333329E-2</v>
      </c>
      <c r="L54" s="74">
        <f>'invoer gording'!I17</f>
        <v>8.3333333333333329E-2</v>
      </c>
      <c r="M54" s="74">
        <f>'invoer gording'!J17</f>
        <v>8.3333333333333329E-2</v>
      </c>
    </row>
    <row r="55" spans="1:18" ht="12.75" customHeight="1" x14ac:dyDescent="0.2">
      <c r="A55" s="46"/>
      <c r="I55" s="9"/>
      <c r="J55" s="9"/>
      <c r="K55" s="9"/>
      <c r="L55" s="9"/>
      <c r="M55" s="9"/>
    </row>
    <row r="56" spans="1:18" ht="12.75" customHeight="1" x14ac:dyDescent="0.2">
      <c r="A56" s="46" t="s">
        <v>173</v>
      </c>
      <c r="B56" s="65" t="s">
        <v>174</v>
      </c>
      <c r="D56" s="10" t="s">
        <v>78</v>
      </c>
      <c r="E56" s="9">
        <f>'F - Inleidingskracht'!E60</f>
        <v>1000</v>
      </c>
      <c r="F56" s="9">
        <f>'invoer gording'!C12</f>
        <v>1000</v>
      </c>
      <c r="G56" s="9">
        <f>'invoer gording'!D12</f>
        <v>1000</v>
      </c>
      <c r="H56" s="9">
        <f>'invoer gording'!E12</f>
        <v>1000</v>
      </c>
      <c r="I56" s="9">
        <f>'invoer gording'!F12</f>
        <v>1000</v>
      </c>
      <c r="J56" s="9">
        <f>'invoer gording'!G12</f>
        <v>1000</v>
      </c>
      <c r="K56" s="9">
        <f>'invoer gording'!H12</f>
        <v>1000</v>
      </c>
      <c r="L56" s="9">
        <f>'invoer gording'!I12</f>
        <v>1000</v>
      </c>
      <c r="M56" s="9">
        <f>'invoer gording'!J12</f>
        <v>1000</v>
      </c>
      <c r="N56" s="9"/>
      <c r="O56" s="9"/>
      <c r="P56" s="9"/>
      <c r="Q56" s="9"/>
      <c r="R56" s="9"/>
    </row>
    <row r="57" spans="1:18" ht="12.75" customHeight="1" x14ac:dyDescent="0.2">
      <c r="A57" s="46" t="s">
        <v>175</v>
      </c>
      <c r="B57" s="65" t="s">
        <v>174</v>
      </c>
      <c r="D57" s="10" t="s">
        <v>78</v>
      </c>
      <c r="E57" s="9">
        <f>'F - Inleidingskracht'!E61</f>
        <v>1000</v>
      </c>
      <c r="F57" s="9">
        <f>'invoer gording'!C13</f>
        <v>1000</v>
      </c>
      <c r="G57" s="9">
        <f>'invoer gording'!D13</f>
        <v>500</v>
      </c>
      <c r="H57" s="9">
        <f>'invoer gording'!E13</f>
        <v>500</v>
      </c>
      <c r="I57" s="9">
        <f>'invoer gording'!F13</f>
        <v>500</v>
      </c>
      <c r="J57" s="9">
        <f>'invoer gording'!G13</f>
        <v>500</v>
      </c>
      <c r="K57" s="9">
        <f>'invoer gording'!H13</f>
        <v>500</v>
      </c>
      <c r="L57" s="9">
        <f>'invoer gording'!I13</f>
        <v>500</v>
      </c>
      <c r="M57" s="9">
        <f>'invoer gording'!J13</f>
        <v>500</v>
      </c>
    </row>
    <row r="58" spans="1:18" ht="12.75" customHeight="1" x14ac:dyDescent="0.2">
      <c r="A58" s="46" t="s">
        <v>176</v>
      </c>
      <c r="B58" s="65" t="s">
        <v>174</v>
      </c>
      <c r="D58" s="10" t="s">
        <v>177</v>
      </c>
      <c r="E58" s="9">
        <f>'F - Inleidingskracht'!E62</f>
        <v>1000</v>
      </c>
      <c r="F58" s="9">
        <f>'invoer gording'!C14</f>
        <v>1000</v>
      </c>
      <c r="G58" s="9">
        <f>'invoer gording'!D14</f>
        <v>350</v>
      </c>
      <c r="H58" s="9">
        <f>'invoer gording'!E14</f>
        <v>350</v>
      </c>
      <c r="I58" s="9">
        <f>'invoer gording'!F14</f>
        <v>350</v>
      </c>
      <c r="J58" s="9">
        <f>'invoer gording'!G14</f>
        <v>350</v>
      </c>
      <c r="K58" s="9">
        <f>'invoer gording'!H14</f>
        <v>350</v>
      </c>
      <c r="L58" s="9">
        <f>'invoer gording'!I14</f>
        <v>350</v>
      </c>
      <c r="M58" s="9">
        <f>'invoer gording'!J14</f>
        <v>350</v>
      </c>
    </row>
    <row r="59" spans="1:18" ht="12.75" customHeight="1" x14ac:dyDescent="0.2">
      <c r="A59" s="46"/>
      <c r="I59" s="9"/>
      <c r="J59" s="9"/>
      <c r="K59" s="9"/>
      <c r="L59" s="9"/>
      <c r="M59" s="9"/>
    </row>
    <row r="60" spans="1:18" ht="12.75" customHeight="1" x14ac:dyDescent="0.2">
      <c r="A60" s="42" t="s">
        <v>178</v>
      </c>
      <c r="I60" s="9"/>
      <c r="J60" s="9"/>
      <c r="K60" s="9"/>
      <c r="L60" s="9"/>
      <c r="M60" s="9"/>
    </row>
    <row r="61" spans="1:18" ht="12.75" customHeight="1" x14ac:dyDescent="0.2">
      <c r="A61" s="46" t="s">
        <v>179</v>
      </c>
      <c r="D61" s="20" t="s">
        <v>177</v>
      </c>
      <c r="E61" s="47">
        <f t="shared" ref="E61:M61" si="21">(E54*E52*(E53*2)^2)/E21</f>
        <v>0</v>
      </c>
      <c r="F61" s="47">
        <f t="shared" si="21"/>
        <v>533.33333333333326</v>
      </c>
      <c r="G61" s="47">
        <f t="shared" si="21"/>
        <v>533.33333333333326</v>
      </c>
      <c r="H61" s="47">
        <f t="shared" si="21"/>
        <v>533.33333333333326</v>
      </c>
      <c r="I61" s="47">
        <f t="shared" si="21"/>
        <v>533.33333333333326</v>
      </c>
      <c r="J61" s="47">
        <f t="shared" si="21"/>
        <v>533.33333333333326</v>
      </c>
      <c r="K61" s="47">
        <f t="shared" si="21"/>
        <v>533.33333333333326</v>
      </c>
      <c r="L61" s="47">
        <f t="shared" si="21"/>
        <v>533.33333333333326</v>
      </c>
      <c r="M61" s="47">
        <f t="shared" si="21"/>
        <v>533.33333333333326</v>
      </c>
      <c r="N61" s="47"/>
      <c r="O61" s="47"/>
      <c r="P61" s="47"/>
      <c r="Q61" s="47"/>
      <c r="R61" s="47"/>
    </row>
    <row r="62" spans="1:18" ht="12.75" customHeight="1" x14ac:dyDescent="0.2">
      <c r="A62" s="46" t="s">
        <v>180</v>
      </c>
      <c r="D62" s="20" t="s">
        <v>177</v>
      </c>
      <c r="E62" s="47">
        <f t="shared" ref="E62:M62" si="22">(IF(E43&lt;=2,E27*E12,E26*E12))/10^6</f>
        <v>1510.11</v>
      </c>
      <c r="F62" s="47">
        <f t="shared" si="22"/>
        <v>1510.11</v>
      </c>
      <c r="G62" s="47">
        <f t="shared" si="22"/>
        <v>1510.11</v>
      </c>
      <c r="H62" s="47">
        <f t="shared" si="22"/>
        <v>1957.08</v>
      </c>
      <c r="I62" s="47">
        <f t="shared" si="22"/>
        <v>2403.58</v>
      </c>
      <c r="J62" s="47">
        <f t="shared" si="22"/>
        <v>1957.08</v>
      </c>
      <c r="K62" s="47">
        <f t="shared" si="22"/>
        <v>759.52</v>
      </c>
      <c r="L62" s="47">
        <f t="shared" si="22"/>
        <v>1510.11</v>
      </c>
      <c r="M62" s="47">
        <f t="shared" si="22"/>
        <v>2403.58</v>
      </c>
      <c r="N62" s="47"/>
      <c r="O62" s="47"/>
      <c r="P62" s="47"/>
      <c r="Q62" s="47"/>
      <c r="R62" s="47"/>
    </row>
    <row r="63" spans="1:18" ht="12.75" customHeight="1" x14ac:dyDescent="0.2">
      <c r="A63" s="6" t="s">
        <v>181</v>
      </c>
      <c r="C63" s="61" t="s">
        <v>182</v>
      </c>
      <c r="D63" s="10" t="s">
        <v>113</v>
      </c>
      <c r="E63" s="59">
        <f t="shared" ref="E63:M63" si="23">E61/E62</f>
        <v>0</v>
      </c>
      <c r="F63" s="59">
        <f t="shared" si="23"/>
        <v>0.35317515501078284</v>
      </c>
      <c r="G63" s="59">
        <f t="shared" si="23"/>
        <v>0.35317515501078284</v>
      </c>
      <c r="H63" s="59">
        <f t="shared" si="23"/>
        <v>0.27251483502633173</v>
      </c>
      <c r="I63" s="59">
        <f t="shared" si="23"/>
        <v>0.22189123446414652</v>
      </c>
      <c r="J63" s="59">
        <f t="shared" si="23"/>
        <v>0.27251483502633173</v>
      </c>
      <c r="K63" s="59">
        <f t="shared" si="23"/>
        <v>0.7021978793624043</v>
      </c>
      <c r="L63" s="59">
        <f t="shared" si="23"/>
        <v>0.35317515501078284</v>
      </c>
      <c r="M63" s="59">
        <f t="shared" si="23"/>
        <v>0.22189123446414652</v>
      </c>
      <c r="N63" s="47"/>
      <c r="O63" s="47"/>
      <c r="P63" s="47"/>
      <c r="Q63" s="47"/>
      <c r="R63" s="47"/>
    </row>
    <row r="64" spans="1:18" ht="12.75" customHeight="1" x14ac:dyDescent="0.2">
      <c r="A64" s="45"/>
      <c r="D64" s="20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</row>
    <row r="65" spans="1:18" ht="12.75" customHeight="1" x14ac:dyDescent="0.2">
      <c r="A65" s="42" t="s">
        <v>183</v>
      </c>
      <c r="D65" s="10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2.75" customHeight="1" x14ac:dyDescent="0.2">
      <c r="A66" s="75" t="s">
        <v>184</v>
      </c>
      <c r="B66" s="65" t="s">
        <v>185</v>
      </c>
      <c r="D66" s="20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</row>
    <row r="67" spans="1:18" ht="12.75" customHeight="1" x14ac:dyDescent="0.2">
      <c r="A67" s="4" t="s">
        <v>186</v>
      </c>
      <c r="C67" s="62" t="s">
        <v>187</v>
      </c>
      <c r="D67" s="20" t="s">
        <v>78</v>
      </c>
      <c r="E67" s="9">
        <f t="shared" ref="E67:M67" si="24">E56*$G$3/E21</f>
        <v>1100</v>
      </c>
      <c r="F67" s="9">
        <f t="shared" si="24"/>
        <v>1100</v>
      </c>
      <c r="G67" s="9">
        <f t="shared" si="24"/>
        <v>1100</v>
      </c>
      <c r="H67" s="9">
        <f t="shared" si="24"/>
        <v>1100</v>
      </c>
      <c r="I67" s="9">
        <f t="shared" si="24"/>
        <v>1100</v>
      </c>
      <c r="J67" s="9">
        <f t="shared" si="24"/>
        <v>1100</v>
      </c>
      <c r="K67" s="9">
        <f t="shared" si="24"/>
        <v>1100</v>
      </c>
      <c r="L67" s="9">
        <f t="shared" si="24"/>
        <v>1100</v>
      </c>
      <c r="M67" s="9">
        <f t="shared" si="24"/>
        <v>1100</v>
      </c>
    </row>
    <row r="68" spans="1:18" ht="12.75" customHeight="1" x14ac:dyDescent="0.2">
      <c r="A68" s="4" t="s">
        <v>188</v>
      </c>
      <c r="C68" s="62" t="s">
        <v>189</v>
      </c>
      <c r="D68" s="20" t="s">
        <v>78</v>
      </c>
      <c r="E68" s="47">
        <f t="shared" ref="E68:M68" si="25">(E12*E28)/$G$4/1000</f>
        <v>6345</v>
      </c>
      <c r="F68" s="47">
        <f t="shared" si="25"/>
        <v>6345</v>
      </c>
      <c r="G68" s="47">
        <f t="shared" si="25"/>
        <v>6345</v>
      </c>
      <c r="H68" s="47">
        <f t="shared" si="25"/>
        <v>7200.4</v>
      </c>
      <c r="I68" s="47">
        <f t="shared" si="25"/>
        <v>7849</v>
      </c>
      <c r="J68" s="47">
        <f t="shared" si="25"/>
        <v>7200.4</v>
      </c>
      <c r="K68" s="47">
        <f t="shared" si="25"/>
        <v>4648.3</v>
      </c>
      <c r="L68" s="47">
        <f t="shared" si="25"/>
        <v>6345</v>
      </c>
      <c r="M68" s="47">
        <f t="shared" si="25"/>
        <v>7849</v>
      </c>
      <c r="N68" s="47"/>
      <c r="O68" s="47"/>
      <c r="P68" s="47"/>
      <c r="Q68" s="47"/>
      <c r="R68" s="47"/>
    </row>
    <row r="69" spans="1:18" ht="12.75" customHeight="1" x14ac:dyDescent="0.2">
      <c r="A69" s="4" t="s">
        <v>181</v>
      </c>
      <c r="C69" s="61" t="s">
        <v>190</v>
      </c>
      <c r="D69" s="76" t="s">
        <v>113</v>
      </c>
      <c r="E69" s="59">
        <f t="shared" ref="E69:M69" si="26">E67/E68</f>
        <v>0.17336485421591805</v>
      </c>
      <c r="F69" s="59">
        <f t="shared" si="26"/>
        <v>0.17336485421591805</v>
      </c>
      <c r="G69" s="59">
        <f t="shared" si="26"/>
        <v>0.17336485421591805</v>
      </c>
      <c r="H69" s="59">
        <f t="shared" si="26"/>
        <v>0.15276929059496697</v>
      </c>
      <c r="I69" s="59">
        <f t="shared" si="26"/>
        <v>0.14014524143202955</v>
      </c>
      <c r="J69" s="59">
        <f t="shared" si="26"/>
        <v>0.15276929059496697</v>
      </c>
      <c r="K69" s="59">
        <f t="shared" si="26"/>
        <v>0.23664565540089924</v>
      </c>
      <c r="L69" s="59">
        <f t="shared" si="26"/>
        <v>0.17336485421591805</v>
      </c>
      <c r="M69" s="59">
        <f t="shared" si="26"/>
        <v>0.14014524143202955</v>
      </c>
      <c r="N69" s="47"/>
      <c r="O69" s="47"/>
      <c r="P69" s="47"/>
      <c r="Q69" s="47"/>
      <c r="R69" s="47"/>
    </row>
    <row r="70" spans="1:18" ht="12.75" customHeight="1" x14ac:dyDescent="0.2">
      <c r="A70" s="46"/>
      <c r="D70" s="20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2.75" customHeight="1" x14ac:dyDescent="0.2">
      <c r="A71" s="75" t="s">
        <v>191</v>
      </c>
      <c r="B71" s="65" t="s">
        <v>192</v>
      </c>
      <c r="D71" s="20"/>
      <c r="E71" s="47"/>
      <c r="F71" s="47"/>
      <c r="G71" s="47"/>
      <c r="H71" s="47"/>
      <c r="I71" s="47"/>
      <c r="J71" s="47"/>
      <c r="K71" s="47"/>
      <c r="L71" s="47"/>
      <c r="M71" s="47"/>
    </row>
    <row r="72" spans="1:18" ht="12.75" customHeight="1" x14ac:dyDescent="0.2">
      <c r="A72" s="4" t="s">
        <v>193</v>
      </c>
      <c r="C72" s="62" t="s">
        <v>194</v>
      </c>
      <c r="D72" s="76" t="s">
        <v>177</v>
      </c>
      <c r="E72" s="9">
        <f t="shared" ref="E72:M72" si="27">E58*$G$3/E21</f>
        <v>1100</v>
      </c>
      <c r="F72" s="9">
        <f t="shared" si="27"/>
        <v>1100</v>
      </c>
      <c r="G72" s="9">
        <f t="shared" si="27"/>
        <v>385.00000000000006</v>
      </c>
      <c r="H72" s="9">
        <f t="shared" si="27"/>
        <v>385.00000000000006</v>
      </c>
      <c r="I72" s="9">
        <f t="shared" si="27"/>
        <v>385.00000000000006</v>
      </c>
      <c r="J72" s="9">
        <f t="shared" si="27"/>
        <v>385.00000000000006</v>
      </c>
      <c r="K72" s="9">
        <f t="shared" si="27"/>
        <v>385.00000000000006</v>
      </c>
      <c r="L72" s="9">
        <f t="shared" si="27"/>
        <v>385.00000000000006</v>
      </c>
      <c r="M72" s="9">
        <f t="shared" si="27"/>
        <v>385.00000000000006</v>
      </c>
      <c r="N72" s="9"/>
      <c r="O72" s="9"/>
      <c r="P72" s="9"/>
      <c r="Q72" s="9"/>
      <c r="R72" s="9"/>
    </row>
    <row r="73" spans="1:18" ht="12.75" customHeight="1" x14ac:dyDescent="0.2">
      <c r="A73" s="4"/>
      <c r="C73" s="62" t="s">
        <v>195</v>
      </c>
      <c r="D73" s="76" t="s">
        <v>395</v>
      </c>
      <c r="E73" s="9">
        <f t="shared" ref="E73:M73" si="28">IF(E43&lt;=2,E27,E26)</f>
        <v>6426000</v>
      </c>
      <c r="F73" s="9">
        <f t="shared" si="28"/>
        <v>6426000</v>
      </c>
      <c r="G73" s="9">
        <f t="shared" si="28"/>
        <v>6426000</v>
      </c>
      <c r="H73" s="9">
        <f t="shared" si="28"/>
        <v>8328000</v>
      </c>
      <c r="I73" s="9">
        <f t="shared" si="28"/>
        <v>10228000</v>
      </c>
      <c r="J73" s="9">
        <f t="shared" si="28"/>
        <v>8328000</v>
      </c>
      <c r="K73" s="9">
        <f t="shared" si="28"/>
        <v>3232000</v>
      </c>
      <c r="L73" s="9">
        <f t="shared" si="28"/>
        <v>6426000</v>
      </c>
      <c r="M73" s="9">
        <f t="shared" si="28"/>
        <v>10228000</v>
      </c>
      <c r="N73" s="9"/>
      <c r="O73" s="9"/>
      <c r="P73" s="9"/>
      <c r="Q73" s="9"/>
      <c r="R73" s="9"/>
    </row>
    <row r="74" spans="1:18" ht="12.75" customHeight="1" x14ac:dyDescent="0.2">
      <c r="A74" s="4" t="s">
        <v>196</v>
      </c>
      <c r="C74" s="62" t="s">
        <v>197</v>
      </c>
      <c r="D74" s="76" t="s">
        <v>177</v>
      </c>
      <c r="E74" s="47">
        <f t="shared" ref="E74:M74" si="29">(IF(E43&lt;=2,E27*E12,E26*E12))/10^6/$G$4</f>
        <v>1510.11</v>
      </c>
      <c r="F74" s="47">
        <f t="shared" si="29"/>
        <v>1510.11</v>
      </c>
      <c r="G74" s="47">
        <f t="shared" si="29"/>
        <v>1510.11</v>
      </c>
      <c r="H74" s="47">
        <f t="shared" si="29"/>
        <v>1957.08</v>
      </c>
      <c r="I74" s="47">
        <f t="shared" si="29"/>
        <v>2403.58</v>
      </c>
      <c r="J74" s="47">
        <f t="shared" si="29"/>
        <v>1957.08</v>
      </c>
      <c r="K74" s="47">
        <f t="shared" si="29"/>
        <v>759.52</v>
      </c>
      <c r="L74" s="47">
        <f t="shared" si="29"/>
        <v>1510.11</v>
      </c>
      <c r="M74" s="47">
        <f t="shared" si="29"/>
        <v>2403.58</v>
      </c>
      <c r="N74" s="47"/>
      <c r="O74" s="47"/>
      <c r="P74" s="47"/>
      <c r="Q74" s="47"/>
      <c r="R74" s="47"/>
    </row>
    <row r="75" spans="1:18" ht="12.75" customHeight="1" x14ac:dyDescent="0.2">
      <c r="A75" s="4" t="s">
        <v>181</v>
      </c>
      <c r="C75" s="61" t="s">
        <v>198</v>
      </c>
      <c r="D75" s="76" t="s">
        <v>113</v>
      </c>
      <c r="E75" s="59">
        <f t="shared" ref="E75:M75" si="30">E72/E74</f>
        <v>0.72842375720973973</v>
      </c>
      <c r="F75" s="59">
        <f t="shared" si="30"/>
        <v>0.72842375720973973</v>
      </c>
      <c r="G75" s="59">
        <f t="shared" si="30"/>
        <v>0.25494831502340892</v>
      </c>
      <c r="H75" s="59">
        <f t="shared" si="30"/>
        <v>0.19672164653463325</v>
      </c>
      <c r="I75" s="59">
        <f t="shared" si="30"/>
        <v>0.16017773487880582</v>
      </c>
      <c r="J75" s="59">
        <f t="shared" si="30"/>
        <v>0.19672164653463325</v>
      </c>
      <c r="K75" s="59">
        <f t="shared" si="30"/>
        <v>0.50689909416473566</v>
      </c>
      <c r="L75" s="59">
        <f t="shared" si="30"/>
        <v>0.25494831502340892</v>
      </c>
      <c r="M75" s="59">
        <f t="shared" si="30"/>
        <v>0.16017773487880582</v>
      </c>
    </row>
    <row r="76" spans="1:18" ht="12.75" customHeight="1" x14ac:dyDescent="0.2">
      <c r="A76" s="4"/>
      <c r="D76" s="76"/>
      <c r="I76" s="9"/>
      <c r="J76" s="9"/>
      <c r="K76" s="9"/>
      <c r="L76" s="9"/>
      <c r="M76" s="9"/>
    </row>
    <row r="77" spans="1:18" ht="12.75" customHeight="1" x14ac:dyDescent="0.2">
      <c r="A77" s="75" t="s">
        <v>199</v>
      </c>
      <c r="B77" s="65" t="s">
        <v>200</v>
      </c>
      <c r="I77" s="9"/>
      <c r="J77" s="9"/>
      <c r="K77" s="9"/>
      <c r="L77" s="9"/>
      <c r="M77" s="9"/>
    </row>
    <row r="78" spans="1:18" ht="12.75" customHeight="1" x14ac:dyDescent="0.2">
      <c r="A78" s="4" t="s">
        <v>201</v>
      </c>
      <c r="B78" s="4"/>
      <c r="C78" s="62" t="s">
        <v>202</v>
      </c>
      <c r="D78" s="76" t="s">
        <v>78</v>
      </c>
      <c r="E78" s="47">
        <f t="shared" ref="E78:M78" si="31">E57*$G$3/E21</f>
        <v>1100</v>
      </c>
      <c r="F78" s="47">
        <f t="shared" si="31"/>
        <v>1100</v>
      </c>
      <c r="G78" s="47">
        <f t="shared" si="31"/>
        <v>550</v>
      </c>
      <c r="H78" s="47">
        <f t="shared" si="31"/>
        <v>550</v>
      </c>
      <c r="I78" s="47">
        <f t="shared" si="31"/>
        <v>550</v>
      </c>
      <c r="J78" s="47">
        <f t="shared" si="31"/>
        <v>550</v>
      </c>
      <c r="K78" s="47">
        <f t="shared" si="31"/>
        <v>550</v>
      </c>
      <c r="L78" s="47">
        <f t="shared" si="31"/>
        <v>550</v>
      </c>
      <c r="M78" s="47">
        <f t="shared" si="31"/>
        <v>550</v>
      </c>
      <c r="N78" s="47"/>
      <c r="O78" s="47"/>
      <c r="P78" s="47"/>
      <c r="Q78" s="47"/>
      <c r="R78" s="47"/>
    </row>
    <row r="79" spans="1:18" ht="12.75" customHeight="1" x14ac:dyDescent="0.2">
      <c r="A79" s="4" t="s">
        <v>203</v>
      </c>
      <c r="B79" s="4"/>
      <c r="C79" s="62" t="s">
        <v>204</v>
      </c>
      <c r="D79" s="20" t="s">
        <v>78</v>
      </c>
      <c r="E79" s="47">
        <f t="shared" ref="E79:M79" si="32">IF(E44&lt;=2,E33*E11/SQRT(3)/$G$4/1000,E35*E11/SQRT(3)/$G$4/1000)</f>
        <v>1503.9830174822455</v>
      </c>
      <c r="F79" s="47">
        <f t="shared" si="32"/>
        <v>1503.9830174822455</v>
      </c>
      <c r="G79" s="47">
        <f t="shared" si="32"/>
        <v>1503.9830174822455</v>
      </c>
      <c r="H79" s="47">
        <f t="shared" si="32"/>
        <v>1860.4073194151151</v>
      </c>
      <c r="I79" s="47">
        <f t="shared" si="32"/>
        <v>1742.7750888190747</v>
      </c>
      <c r="J79" s="47">
        <f t="shared" si="32"/>
        <v>1860.4073194151151</v>
      </c>
      <c r="K79" s="47">
        <f t="shared" si="32"/>
        <v>949.74119281693447</v>
      </c>
      <c r="L79" s="47">
        <f t="shared" si="32"/>
        <v>1503.9830174822455</v>
      </c>
      <c r="M79" s="47">
        <f t="shared" si="32"/>
        <v>1742.7750888190747</v>
      </c>
      <c r="N79" s="9"/>
      <c r="O79" s="9"/>
      <c r="P79" s="9"/>
      <c r="Q79" s="9"/>
      <c r="R79" s="9"/>
    </row>
    <row r="80" spans="1:18" ht="12.75" customHeight="1" x14ac:dyDescent="0.2">
      <c r="A80" s="4" t="s">
        <v>181</v>
      </c>
      <c r="B80" s="4"/>
      <c r="C80" s="61" t="s">
        <v>205</v>
      </c>
      <c r="D80" s="76" t="s">
        <v>113</v>
      </c>
      <c r="E80" s="59">
        <f t="shared" ref="E80:M80" si="33">E78/E79</f>
        <v>0.73139123727704292</v>
      </c>
      <c r="F80" s="59">
        <f t="shared" si="33"/>
        <v>0.73139123727704292</v>
      </c>
      <c r="G80" s="59">
        <f t="shared" si="33"/>
        <v>0.36569561863852146</v>
      </c>
      <c r="H80" s="59">
        <f t="shared" si="33"/>
        <v>0.29563418411668685</v>
      </c>
      <c r="I80" s="59">
        <f t="shared" si="33"/>
        <v>0.31558862846306035</v>
      </c>
      <c r="J80" s="59">
        <f t="shared" si="33"/>
        <v>0.29563418411668685</v>
      </c>
      <c r="K80" s="59">
        <f t="shared" si="33"/>
        <v>0.5791051332297158</v>
      </c>
      <c r="L80" s="59">
        <f t="shared" si="33"/>
        <v>0.36569561863852146</v>
      </c>
      <c r="M80" s="59">
        <f t="shared" si="33"/>
        <v>0.31558862846306035</v>
      </c>
      <c r="N80" s="47"/>
      <c r="O80" s="47"/>
      <c r="P80" s="47"/>
      <c r="Q80" s="47"/>
      <c r="R80" s="47"/>
    </row>
    <row r="81" spans="1:18" ht="12.75" customHeight="1" x14ac:dyDescent="0.2">
      <c r="I81" s="9"/>
      <c r="J81" s="9"/>
      <c r="K81" s="9"/>
      <c r="L81" s="9"/>
      <c r="M81" s="9"/>
    </row>
    <row r="82" spans="1:18" ht="12.75" customHeight="1" x14ac:dyDescent="0.2">
      <c r="A82" s="4" t="s">
        <v>206</v>
      </c>
      <c r="I82" s="9"/>
      <c r="J82" s="9"/>
      <c r="K82" s="9"/>
      <c r="L82" s="9"/>
      <c r="M82" s="9"/>
    </row>
    <row r="83" spans="1:18" ht="12.75" customHeight="1" x14ac:dyDescent="0.2">
      <c r="A83" s="4" t="s">
        <v>207</v>
      </c>
      <c r="I83" s="9"/>
      <c r="J83" s="9"/>
      <c r="K83" s="9"/>
      <c r="L83" s="9"/>
      <c r="M83" s="9"/>
    </row>
    <row r="84" spans="1:18" ht="12.75" customHeight="1" x14ac:dyDescent="0.2">
      <c r="C84" s="57" t="s">
        <v>208</v>
      </c>
      <c r="D84" s="10" t="s">
        <v>113</v>
      </c>
      <c r="E84" s="9" t="str">
        <f t="shared" ref="E84:M84" si="34">IF((E32/E24)&gt;((72*E15)/1), "extra controle","geen controle")</f>
        <v>geen controle</v>
      </c>
      <c r="F84" s="9" t="str">
        <f t="shared" si="34"/>
        <v>geen controle</v>
      </c>
      <c r="G84" s="9" t="str">
        <f t="shared" si="34"/>
        <v>geen controle</v>
      </c>
      <c r="H84" s="9" t="str">
        <f t="shared" si="34"/>
        <v>geen controle</v>
      </c>
      <c r="I84" s="9" t="str">
        <f t="shared" si="34"/>
        <v>geen controle</v>
      </c>
      <c r="J84" s="9" t="str">
        <f t="shared" si="34"/>
        <v>geen controle</v>
      </c>
      <c r="K84" s="9" t="str">
        <f t="shared" si="34"/>
        <v>geen controle</v>
      </c>
      <c r="L84" s="9" t="str">
        <f t="shared" si="34"/>
        <v>geen controle</v>
      </c>
      <c r="M84" s="9" t="str">
        <f t="shared" si="34"/>
        <v>geen controle</v>
      </c>
    </row>
    <row r="85" spans="1:18" ht="12.75" customHeight="1" x14ac:dyDescent="0.2">
      <c r="I85" s="9"/>
      <c r="J85" s="9"/>
      <c r="K85" s="9"/>
      <c r="L85" s="9"/>
      <c r="M85" s="9"/>
    </row>
    <row r="86" spans="1:18" ht="12.75" customHeight="1" x14ac:dyDescent="0.2">
      <c r="A86" s="75" t="s">
        <v>209</v>
      </c>
      <c r="B86" s="65" t="s">
        <v>210</v>
      </c>
      <c r="I86" s="9"/>
      <c r="J86" s="9"/>
      <c r="K86" s="9"/>
      <c r="L86" s="9"/>
      <c r="M86" s="9"/>
    </row>
    <row r="87" spans="1:18" ht="12.75" customHeight="1" x14ac:dyDescent="0.2">
      <c r="A87" s="4"/>
      <c r="C87" s="61" t="s">
        <v>205</v>
      </c>
      <c r="D87" s="76" t="s">
        <v>113</v>
      </c>
      <c r="E87" s="53">
        <f t="shared" ref="E87:M87" si="35">E80</f>
        <v>0.73139123727704292</v>
      </c>
      <c r="F87" s="53">
        <f t="shared" si="35"/>
        <v>0.73139123727704292</v>
      </c>
      <c r="G87" s="53">
        <f t="shared" si="35"/>
        <v>0.36569561863852146</v>
      </c>
      <c r="H87" s="53">
        <f t="shared" si="35"/>
        <v>0.29563418411668685</v>
      </c>
      <c r="I87" s="53">
        <f t="shared" si="35"/>
        <v>0.31558862846306035</v>
      </c>
      <c r="J87" s="53">
        <f t="shared" si="35"/>
        <v>0.29563418411668685</v>
      </c>
      <c r="K87" s="53">
        <f t="shared" si="35"/>
        <v>0.5791051332297158</v>
      </c>
      <c r="L87" s="53">
        <f t="shared" si="35"/>
        <v>0.36569561863852146</v>
      </c>
      <c r="M87" s="53">
        <f t="shared" si="35"/>
        <v>0.31558862846306035</v>
      </c>
    </row>
    <row r="88" spans="1:18" ht="12.75" customHeight="1" x14ac:dyDescent="0.2">
      <c r="A88" s="4"/>
      <c r="C88" s="77" t="s">
        <v>211</v>
      </c>
      <c r="D88" s="76" t="s">
        <v>113</v>
      </c>
      <c r="E88" s="9" t="str">
        <f t="shared" ref="E88:M88" si="36">IF(E87&gt;0.5,"ja","nee")</f>
        <v>ja</v>
      </c>
      <c r="F88" s="9" t="str">
        <f t="shared" si="36"/>
        <v>ja</v>
      </c>
      <c r="G88" s="9" t="str">
        <f t="shared" si="36"/>
        <v>nee</v>
      </c>
      <c r="H88" s="9" t="str">
        <f t="shared" si="36"/>
        <v>nee</v>
      </c>
      <c r="I88" s="9" t="str">
        <f t="shared" si="36"/>
        <v>nee</v>
      </c>
      <c r="J88" s="9" t="str">
        <f t="shared" si="36"/>
        <v>nee</v>
      </c>
      <c r="K88" s="9" t="str">
        <f t="shared" si="36"/>
        <v>ja</v>
      </c>
      <c r="L88" s="9" t="str">
        <f t="shared" si="36"/>
        <v>nee</v>
      </c>
      <c r="M88" s="9" t="str">
        <f t="shared" si="36"/>
        <v>nee</v>
      </c>
    </row>
    <row r="89" spans="1:18" ht="12.75" customHeight="1" x14ac:dyDescent="0.2">
      <c r="A89" s="4"/>
      <c r="C89" s="7" t="s">
        <v>212</v>
      </c>
      <c r="D89" s="76" t="s">
        <v>113</v>
      </c>
      <c r="E89" s="73">
        <f t="shared" ref="E89:M89" si="37">IF(E87&lt;=0.5,0,(((2*E57)/E21)/E79)-1)^2</f>
        <v>0.10876952383767438</v>
      </c>
      <c r="F89" s="73">
        <f t="shared" si="37"/>
        <v>0.10876952383767438</v>
      </c>
      <c r="G89" s="73">
        <f t="shared" si="37"/>
        <v>0</v>
      </c>
      <c r="H89" s="73">
        <f t="shared" si="37"/>
        <v>0</v>
      </c>
      <c r="I89" s="73">
        <f t="shared" si="37"/>
        <v>0</v>
      </c>
      <c r="J89" s="73">
        <f t="shared" si="37"/>
        <v>0</v>
      </c>
      <c r="K89" s="73">
        <f t="shared" si="37"/>
        <v>2.8003596043619907E-3</v>
      </c>
      <c r="L89" s="73">
        <f t="shared" si="37"/>
        <v>0</v>
      </c>
      <c r="M89" s="73">
        <f t="shared" si="37"/>
        <v>0</v>
      </c>
    </row>
    <row r="90" spans="1:18" ht="12.75" customHeight="1" x14ac:dyDescent="0.2">
      <c r="A90" s="4"/>
      <c r="C90" s="61" t="s">
        <v>213</v>
      </c>
      <c r="D90" s="10" t="s">
        <v>177</v>
      </c>
      <c r="E90" s="47">
        <f t="shared" ref="E90:M90" si="38">((E73-((E89*E35^2)/(4*E24)))*E12/$J$4)/10^6</f>
        <v>1481.2275309868107</v>
      </c>
      <c r="F90" s="47">
        <f t="shared" si="38"/>
        <v>1481.2275309868107</v>
      </c>
      <c r="G90" s="47">
        <f t="shared" si="38"/>
        <v>1510.11</v>
      </c>
      <c r="H90" s="47">
        <f t="shared" si="38"/>
        <v>1957.08</v>
      </c>
      <c r="I90" s="47">
        <f t="shared" si="38"/>
        <v>2403.58</v>
      </c>
      <c r="J90" s="47">
        <f t="shared" si="38"/>
        <v>1957.08</v>
      </c>
      <c r="K90" s="47">
        <f t="shared" si="38"/>
        <v>759.2448048531902</v>
      </c>
      <c r="L90" s="47">
        <f t="shared" si="38"/>
        <v>1510.11</v>
      </c>
      <c r="M90" s="47">
        <f t="shared" si="38"/>
        <v>2403.58</v>
      </c>
    </row>
    <row r="91" spans="1:18" ht="12.75" customHeight="1" x14ac:dyDescent="0.2">
      <c r="A91" s="4" t="s">
        <v>181</v>
      </c>
      <c r="C91" s="61" t="s">
        <v>214</v>
      </c>
      <c r="D91" s="76" t="s">
        <v>113</v>
      </c>
      <c r="E91" s="59">
        <f t="shared" ref="E91:M91" si="39">E72/E90</f>
        <v>0.74262729863464483</v>
      </c>
      <c r="F91" s="59">
        <f t="shared" si="39"/>
        <v>0.74262729863464483</v>
      </c>
      <c r="G91" s="59">
        <f t="shared" si="39"/>
        <v>0.25494831502340892</v>
      </c>
      <c r="H91" s="59">
        <f t="shared" si="39"/>
        <v>0.19672164653463325</v>
      </c>
      <c r="I91" s="59">
        <f t="shared" si="39"/>
        <v>0.16017773487880582</v>
      </c>
      <c r="J91" s="59">
        <f t="shared" si="39"/>
        <v>0.19672164653463325</v>
      </c>
      <c r="K91" s="59">
        <f t="shared" si="39"/>
        <v>0.50708282432626561</v>
      </c>
      <c r="L91" s="59">
        <f t="shared" si="39"/>
        <v>0.25494831502340892</v>
      </c>
      <c r="M91" s="59">
        <f t="shared" si="39"/>
        <v>0.16017773487880582</v>
      </c>
    </row>
    <row r="92" spans="1:18" ht="12.75" customHeight="1" x14ac:dyDescent="0.2">
      <c r="I92" s="9"/>
      <c r="J92" s="9"/>
      <c r="K92" s="9"/>
      <c r="L92" s="9"/>
      <c r="M92" s="9"/>
    </row>
    <row r="93" spans="1:18" ht="12.75" customHeight="1" x14ac:dyDescent="0.2">
      <c r="A93" s="75" t="s">
        <v>215</v>
      </c>
      <c r="B93" s="65" t="s">
        <v>216</v>
      </c>
      <c r="I93" s="9"/>
      <c r="J93" s="9"/>
      <c r="K93" s="9"/>
      <c r="L93" s="9"/>
      <c r="M93" s="9"/>
    </row>
    <row r="94" spans="1:18" ht="12.75" customHeight="1" x14ac:dyDescent="0.2">
      <c r="A94" s="14" t="s">
        <v>217</v>
      </c>
      <c r="C94" s="64"/>
      <c r="D94" s="10"/>
      <c r="E94" s="53" t="str">
        <f t="shared" ref="E94:M94" si="40">IF(E45&lt;3,"klopt","n.v.t.")</f>
        <v>klopt</v>
      </c>
      <c r="F94" s="53" t="str">
        <f t="shared" si="40"/>
        <v>klopt</v>
      </c>
      <c r="G94" s="53" t="str">
        <f t="shared" si="40"/>
        <v>klopt</v>
      </c>
      <c r="H94" s="53" t="str">
        <f t="shared" si="40"/>
        <v>klopt</v>
      </c>
      <c r="I94" s="53" t="str">
        <f t="shared" si="40"/>
        <v>klopt</v>
      </c>
      <c r="J94" s="53" t="str">
        <f t="shared" si="40"/>
        <v>klopt</v>
      </c>
      <c r="K94" s="53" t="str">
        <f t="shared" si="40"/>
        <v>klopt</v>
      </c>
      <c r="L94" s="53" t="str">
        <f t="shared" si="40"/>
        <v>klopt</v>
      </c>
      <c r="M94" s="53" t="str">
        <f t="shared" si="40"/>
        <v>klopt</v>
      </c>
      <c r="N94" s="53"/>
      <c r="O94" s="53"/>
      <c r="P94" s="53"/>
      <c r="Q94" s="53"/>
      <c r="R94" s="53"/>
    </row>
    <row r="95" spans="1:18" ht="12.75" customHeight="1" x14ac:dyDescent="0.2">
      <c r="A95" s="4" t="s">
        <v>218</v>
      </c>
      <c r="C95" s="64"/>
      <c r="D95" s="10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</row>
    <row r="96" spans="1:18" ht="12.75" customHeight="1" x14ac:dyDescent="0.2">
      <c r="A96" s="4" t="s">
        <v>219</v>
      </c>
      <c r="I96" s="9"/>
      <c r="J96" s="9"/>
      <c r="K96" s="9"/>
      <c r="L96" s="9"/>
      <c r="M96" s="9"/>
    </row>
    <row r="97" spans="1:18" ht="12.75" customHeight="1" x14ac:dyDescent="0.2">
      <c r="A97" s="4"/>
      <c r="C97" s="61" t="s">
        <v>220</v>
      </c>
      <c r="D97" s="10" t="s">
        <v>113</v>
      </c>
      <c r="E97" s="53">
        <f t="shared" ref="E97:M97" si="41">IF(E45&gt;2,"n.v.t.",E69)</f>
        <v>0.17336485421591805</v>
      </c>
      <c r="F97" s="53">
        <f t="shared" si="41"/>
        <v>0.17336485421591805</v>
      </c>
      <c r="G97" s="53">
        <f t="shared" si="41"/>
        <v>0.17336485421591805</v>
      </c>
      <c r="H97" s="53">
        <f t="shared" si="41"/>
        <v>0.15276929059496697</v>
      </c>
      <c r="I97" s="53">
        <f t="shared" si="41"/>
        <v>0.14014524143202955</v>
      </c>
      <c r="J97" s="53">
        <f t="shared" si="41"/>
        <v>0.15276929059496697</v>
      </c>
      <c r="K97" s="53">
        <f t="shared" si="41"/>
        <v>0.23664565540089924</v>
      </c>
      <c r="L97" s="53">
        <f t="shared" si="41"/>
        <v>0.17336485421591805</v>
      </c>
      <c r="M97" s="53">
        <f t="shared" si="41"/>
        <v>0.14014524143202955</v>
      </c>
    </row>
    <row r="98" spans="1:18" ht="12.75" hidden="1" customHeight="1" x14ac:dyDescent="0.2">
      <c r="A98" s="4"/>
      <c r="C98" s="61"/>
      <c r="D98" s="10"/>
      <c r="E98" s="53">
        <f t="shared" ref="E98:M98" si="42">E69</f>
        <v>0.17336485421591805</v>
      </c>
      <c r="F98" s="53">
        <f t="shared" si="42"/>
        <v>0.17336485421591805</v>
      </c>
      <c r="G98" s="53">
        <f t="shared" si="42"/>
        <v>0.17336485421591805</v>
      </c>
      <c r="H98" s="53">
        <f t="shared" si="42"/>
        <v>0.15276929059496697</v>
      </c>
      <c r="I98" s="53">
        <f t="shared" si="42"/>
        <v>0.14014524143202955</v>
      </c>
      <c r="J98" s="53">
        <f t="shared" si="42"/>
        <v>0.15276929059496697</v>
      </c>
      <c r="K98" s="53">
        <f t="shared" si="42"/>
        <v>0.23664565540089924</v>
      </c>
      <c r="L98" s="53">
        <f t="shared" si="42"/>
        <v>0.17336485421591805</v>
      </c>
      <c r="M98" s="53">
        <f t="shared" si="42"/>
        <v>0.14014524143202955</v>
      </c>
    </row>
    <row r="99" spans="1:18" ht="12.75" customHeight="1" x14ac:dyDescent="0.2">
      <c r="A99" s="4"/>
      <c r="C99" s="61" t="s">
        <v>221</v>
      </c>
      <c r="D99" s="56" t="s">
        <v>113</v>
      </c>
      <c r="E99" s="53">
        <f t="shared" ref="E99:M99" si="43">IF(E45&gt;2,"n.v.t.",(E67*1000)/(E32*E24*E12)/(2*$G$4))</f>
        <v>0.27962073260631942</v>
      </c>
      <c r="F99" s="53">
        <f t="shared" si="43"/>
        <v>0.27962073260631942</v>
      </c>
      <c r="G99" s="53">
        <f t="shared" si="43"/>
        <v>0.27962073260631942</v>
      </c>
      <c r="H99" s="53">
        <f t="shared" si="43"/>
        <v>0.21646555049157359</v>
      </c>
      <c r="I99" s="53">
        <f t="shared" si="43"/>
        <v>0.1822051795963327</v>
      </c>
      <c r="J99" s="53">
        <f t="shared" si="43"/>
        <v>0.21646555049157359</v>
      </c>
      <c r="K99" s="53">
        <f t="shared" si="43"/>
        <v>0.4925137903861308</v>
      </c>
      <c r="L99" s="53">
        <f t="shared" si="43"/>
        <v>0.27962073260631942</v>
      </c>
      <c r="M99" s="53">
        <f t="shared" si="43"/>
        <v>0.1822051795963327</v>
      </c>
      <c r="N99" s="47"/>
      <c r="O99" s="47"/>
      <c r="P99" s="47"/>
      <c r="Q99" s="47"/>
      <c r="R99" s="47"/>
    </row>
    <row r="100" spans="1:18" ht="12.75" hidden="1" customHeight="1" x14ac:dyDescent="0.2">
      <c r="A100" s="4"/>
      <c r="C100" s="61"/>
      <c r="D100" s="56"/>
      <c r="E100" s="53">
        <f t="shared" ref="E100:M100" si="44">(E67*1000)/(E32*E24*E12)/(2*$G$4)</f>
        <v>0.27962073260631942</v>
      </c>
      <c r="F100" s="53">
        <f t="shared" si="44"/>
        <v>0.27962073260631942</v>
      </c>
      <c r="G100" s="53">
        <f t="shared" si="44"/>
        <v>0.27962073260631942</v>
      </c>
      <c r="H100" s="53">
        <f t="shared" si="44"/>
        <v>0.21646555049157359</v>
      </c>
      <c r="I100" s="53">
        <f t="shared" si="44"/>
        <v>0.1822051795963327</v>
      </c>
      <c r="J100" s="53">
        <f t="shared" si="44"/>
        <v>0.21646555049157359</v>
      </c>
      <c r="K100" s="53">
        <f t="shared" si="44"/>
        <v>0.4925137903861308</v>
      </c>
      <c r="L100" s="53">
        <f t="shared" si="44"/>
        <v>0.27962073260631942</v>
      </c>
      <c r="M100" s="53">
        <f t="shared" si="44"/>
        <v>0.1822051795963327</v>
      </c>
      <c r="N100" s="47"/>
      <c r="O100" s="47"/>
      <c r="P100" s="47"/>
      <c r="Q100" s="47"/>
      <c r="R100" s="47"/>
    </row>
    <row r="101" spans="1:18" ht="12.75" customHeight="1" x14ac:dyDescent="0.2">
      <c r="A101" s="4"/>
      <c r="C101" s="5" t="s">
        <v>222</v>
      </c>
      <c r="D101" s="10" t="s">
        <v>113</v>
      </c>
      <c r="E101" s="11">
        <f t="shared" ref="E101:M101" si="45">IF(E45&gt;2,"n.v.t.",(E28-(2*E23*E25))/E28)</f>
        <v>0.33333333333333331</v>
      </c>
      <c r="F101" s="11">
        <f t="shared" si="45"/>
        <v>0.33333333333333331</v>
      </c>
      <c r="G101" s="11">
        <f t="shared" si="45"/>
        <v>0.33333333333333331</v>
      </c>
      <c r="H101" s="11">
        <f t="shared" si="45"/>
        <v>0.37336814621409919</v>
      </c>
      <c r="I101" s="11">
        <f t="shared" si="45"/>
        <v>0.40718562874251496</v>
      </c>
      <c r="J101" s="11">
        <f t="shared" si="45"/>
        <v>0.37336814621409919</v>
      </c>
      <c r="K101" s="11">
        <f t="shared" si="45"/>
        <v>0.27199191102123355</v>
      </c>
      <c r="L101" s="11">
        <f t="shared" si="45"/>
        <v>0.33333333333333331</v>
      </c>
      <c r="M101" s="11">
        <f t="shared" si="45"/>
        <v>0.40718562874251496</v>
      </c>
      <c r="N101" s="59"/>
      <c r="O101" s="59"/>
      <c r="P101" s="59"/>
      <c r="Q101" s="59"/>
      <c r="R101" s="59"/>
    </row>
    <row r="102" spans="1:18" ht="12.75" hidden="1" customHeight="1" x14ac:dyDescent="0.2">
      <c r="A102" s="4"/>
      <c r="C102" s="5"/>
      <c r="D102" s="10"/>
      <c r="E102" s="11">
        <f t="shared" ref="E102:M102" si="46">(E28-(2*E23*E25))/E28</f>
        <v>0.33333333333333331</v>
      </c>
      <c r="F102" s="11">
        <f t="shared" si="46"/>
        <v>0.33333333333333331</v>
      </c>
      <c r="G102" s="11">
        <f t="shared" si="46"/>
        <v>0.33333333333333331</v>
      </c>
      <c r="H102" s="11">
        <f t="shared" si="46"/>
        <v>0.37336814621409919</v>
      </c>
      <c r="I102" s="11">
        <f t="shared" si="46"/>
        <v>0.40718562874251496</v>
      </c>
      <c r="J102" s="11">
        <f t="shared" si="46"/>
        <v>0.37336814621409919</v>
      </c>
      <c r="K102" s="11">
        <f t="shared" si="46"/>
        <v>0.27199191102123355</v>
      </c>
      <c r="L102" s="11">
        <f t="shared" si="46"/>
        <v>0.33333333333333331</v>
      </c>
      <c r="M102" s="11">
        <f t="shared" si="46"/>
        <v>0.40718562874251496</v>
      </c>
      <c r="N102" s="59"/>
      <c r="O102" s="59"/>
      <c r="P102" s="59"/>
      <c r="Q102" s="59"/>
      <c r="R102" s="59"/>
    </row>
    <row r="103" spans="1:18" ht="12.75" customHeight="1" x14ac:dyDescent="0.2">
      <c r="A103" s="4"/>
      <c r="C103" s="61" t="s">
        <v>223</v>
      </c>
      <c r="D103" s="10" t="s">
        <v>177</v>
      </c>
      <c r="E103" s="47">
        <f t="shared" ref="E103:M103" si="47">IF(E45&gt;2,"n.v.t.",IF(AND(E97&lt;=0.25,E99&lt;=1),E74,E73*E12*((1-E97)/(1-(0.5*E101)))/10^6))</f>
        <v>1510.11</v>
      </c>
      <c r="F103" s="47">
        <f t="shared" si="47"/>
        <v>1510.11</v>
      </c>
      <c r="G103" s="47">
        <f t="shared" si="47"/>
        <v>1510.11</v>
      </c>
      <c r="H103" s="47">
        <f t="shared" si="47"/>
        <v>1957.08</v>
      </c>
      <c r="I103" s="47">
        <f t="shared" si="47"/>
        <v>2403.58</v>
      </c>
      <c r="J103" s="47">
        <f t="shared" si="47"/>
        <v>1957.08</v>
      </c>
      <c r="K103" s="47">
        <f t="shared" si="47"/>
        <v>759.52</v>
      </c>
      <c r="L103" s="47">
        <f t="shared" si="47"/>
        <v>1510.11</v>
      </c>
      <c r="M103" s="47">
        <f t="shared" si="47"/>
        <v>2403.58</v>
      </c>
    </row>
    <row r="104" spans="1:18" ht="12.75" hidden="1" customHeight="1" x14ac:dyDescent="0.2">
      <c r="A104" s="4"/>
      <c r="C104" s="61" t="s">
        <v>223</v>
      </c>
      <c r="D104" s="10"/>
      <c r="E104" s="47">
        <f t="shared" ref="E104:M104" si="48">IF(AND(E98&lt;=0.25,E100&lt;=1),E74,E73*E12*((1-E98)/(1-(0.5*E102)))/10^6)</f>
        <v>1510.11</v>
      </c>
      <c r="F104" s="47">
        <f t="shared" si="48"/>
        <v>1510.11</v>
      </c>
      <c r="G104" s="47">
        <f t="shared" si="48"/>
        <v>1510.11</v>
      </c>
      <c r="H104" s="47">
        <f t="shared" si="48"/>
        <v>1957.08</v>
      </c>
      <c r="I104" s="47">
        <f t="shared" si="48"/>
        <v>2403.58</v>
      </c>
      <c r="J104" s="47">
        <f t="shared" si="48"/>
        <v>1957.08</v>
      </c>
      <c r="K104" s="47">
        <f t="shared" si="48"/>
        <v>759.52</v>
      </c>
      <c r="L104" s="47">
        <f t="shared" si="48"/>
        <v>1510.11</v>
      </c>
      <c r="M104" s="47">
        <f t="shared" si="48"/>
        <v>2403.58</v>
      </c>
    </row>
    <row r="105" spans="1:18" ht="12.75" customHeight="1" x14ac:dyDescent="0.2">
      <c r="A105" s="4" t="s">
        <v>181</v>
      </c>
      <c r="C105" s="61" t="s">
        <v>224</v>
      </c>
      <c r="D105" s="10" t="s">
        <v>113</v>
      </c>
      <c r="E105" s="59">
        <f t="shared" ref="E105:M105" si="49">IF(E45&gt;2,0,E72/E103)</f>
        <v>0.72842375720973973</v>
      </c>
      <c r="F105" s="59">
        <f t="shared" si="49"/>
        <v>0.72842375720973973</v>
      </c>
      <c r="G105" s="59">
        <f t="shared" si="49"/>
        <v>0.25494831502340892</v>
      </c>
      <c r="H105" s="59">
        <f t="shared" si="49"/>
        <v>0.19672164653463325</v>
      </c>
      <c r="I105" s="59">
        <f t="shared" si="49"/>
        <v>0.16017773487880582</v>
      </c>
      <c r="J105" s="59">
        <f t="shared" si="49"/>
        <v>0.19672164653463325</v>
      </c>
      <c r="K105" s="59">
        <f t="shared" si="49"/>
        <v>0.50689909416473566</v>
      </c>
      <c r="L105" s="59">
        <f t="shared" si="49"/>
        <v>0.25494831502340892</v>
      </c>
      <c r="M105" s="59">
        <f t="shared" si="49"/>
        <v>0.16017773487880582</v>
      </c>
    </row>
    <row r="106" spans="1:18" ht="12.75" hidden="1" customHeight="1" x14ac:dyDescent="0.2">
      <c r="A106" s="4"/>
      <c r="C106" s="61"/>
      <c r="E106" s="59">
        <f t="shared" ref="E106:M106" si="50">E72/E104</f>
        <v>0.72842375720973973</v>
      </c>
      <c r="F106" s="59">
        <f t="shared" si="50"/>
        <v>0.72842375720973973</v>
      </c>
      <c r="G106" s="59">
        <f t="shared" si="50"/>
        <v>0.25494831502340892</v>
      </c>
      <c r="H106" s="59">
        <f t="shared" si="50"/>
        <v>0.19672164653463325</v>
      </c>
      <c r="I106" s="59">
        <f t="shared" si="50"/>
        <v>0.16017773487880582</v>
      </c>
      <c r="J106" s="59">
        <f t="shared" si="50"/>
        <v>0.19672164653463325</v>
      </c>
      <c r="K106" s="59">
        <f t="shared" si="50"/>
        <v>0.50689909416473566</v>
      </c>
      <c r="L106" s="59">
        <f t="shared" si="50"/>
        <v>0.25494831502340892</v>
      </c>
      <c r="M106" s="59">
        <f t="shared" si="50"/>
        <v>0.16017773487880582</v>
      </c>
    </row>
    <row r="107" spans="1:18" ht="12.75" customHeight="1" x14ac:dyDescent="0.2">
      <c r="A107" s="4"/>
      <c r="C107" s="61"/>
      <c r="D107" s="20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</row>
    <row r="108" spans="1:18" ht="12.75" customHeight="1" x14ac:dyDescent="0.2">
      <c r="A108" s="14" t="s">
        <v>225</v>
      </c>
      <c r="C108" s="63"/>
      <c r="D108" s="10"/>
      <c r="E108" s="53" t="str">
        <f t="shared" ref="E108:M108" si="51">IF(E45&gt;2,"klopt","n.v.t.")</f>
        <v>n.v.t.</v>
      </c>
      <c r="F108" s="53" t="str">
        <f t="shared" si="51"/>
        <v>n.v.t.</v>
      </c>
      <c r="G108" s="53" t="str">
        <f t="shared" si="51"/>
        <v>n.v.t.</v>
      </c>
      <c r="H108" s="53" t="str">
        <f t="shared" si="51"/>
        <v>n.v.t.</v>
      </c>
      <c r="I108" s="53" t="str">
        <f t="shared" si="51"/>
        <v>n.v.t.</v>
      </c>
      <c r="J108" s="53" t="str">
        <f t="shared" si="51"/>
        <v>n.v.t.</v>
      </c>
      <c r="K108" s="53" t="str">
        <f t="shared" si="51"/>
        <v>n.v.t.</v>
      </c>
      <c r="L108" s="53" t="str">
        <f t="shared" si="51"/>
        <v>n.v.t.</v>
      </c>
      <c r="M108" s="53" t="str">
        <f t="shared" si="51"/>
        <v>n.v.t.</v>
      </c>
      <c r="N108" s="9"/>
      <c r="O108" s="9"/>
      <c r="P108" s="9"/>
      <c r="Q108" s="9"/>
      <c r="R108" s="9"/>
    </row>
    <row r="109" spans="1:18" ht="12.75" customHeight="1" x14ac:dyDescent="0.2">
      <c r="A109" s="4"/>
      <c r="C109" s="61" t="s">
        <v>226</v>
      </c>
      <c r="D109" s="10" t="s">
        <v>113</v>
      </c>
      <c r="E109" s="59">
        <f t="shared" ref="E109:M109" si="52">IF(E45&lt;3,0,(E67*1000)/(E28*E12)+(E72*10^6/(E26*E12)))</f>
        <v>0</v>
      </c>
      <c r="F109" s="59">
        <f t="shared" si="52"/>
        <v>0</v>
      </c>
      <c r="G109" s="59">
        <f t="shared" si="52"/>
        <v>0</v>
      </c>
      <c r="H109" s="59">
        <f t="shared" si="52"/>
        <v>0</v>
      </c>
      <c r="I109" s="59">
        <f t="shared" si="52"/>
        <v>0</v>
      </c>
      <c r="J109" s="59">
        <f t="shared" si="52"/>
        <v>0</v>
      </c>
      <c r="K109" s="59">
        <f t="shared" si="52"/>
        <v>0</v>
      </c>
      <c r="L109" s="59">
        <f t="shared" si="52"/>
        <v>0</v>
      </c>
      <c r="M109" s="59">
        <f t="shared" si="52"/>
        <v>0</v>
      </c>
      <c r="N109" s="48"/>
      <c r="O109" s="48"/>
      <c r="P109" s="48"/>
      <c r="Q109" s="48"/>
      <c r="R109" s="48"/>
    </row>
    <row r="110" spans="1:18" ht="12.75" customHeight="1" x14ac:dyDescent="0.2">
      <c r="A110" s="6"/>
      <c r="C110" s="61"/>
      <c r="D110" s="20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</row>
    <row r="111" spans="1:18" ht="12.75" customHeight="1" x14ac:dyDescent="0.2">
      <c r="A111" s="75" t="s">
        <v>227</v>
      </c>
      <c r="C111" s="61"/>
      <c r="D111" s="10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</row>
    <row r="112" spans="1:18" ht="12.75" customHeight="1" x14ac:dyDescent="0.2">
      <c r="A112" s="14" t="s">
        <v>217</v>
      </c>
      <c r="C112" s="63"/>
      <c r="E112" s="53" t="str">
        <f t="shared" ref="E112:M112" si="53">IF(E45&lt;3,"klopt","n.v.t.")</f>
        <v>klopt</v>
      </c>
      <c r="F112" s="53" t="str">
        <f t="shared" si="53"/>
        <v>klopt</v>
      </c>
      <c r="G112" s="53" t="str">
        <f t="shared" si="53"/>
        <v>klopt</v>
      </c>
      <c r="H112" s="53" t="str">
        <f t="shared" si="53"/>
        <v>klopt</v>
      </c>
      <c r="I112" s="53" t="str">
        <f t="shared" si="53"/>
        <v>klopt</v>
      </c>
      <c r="J112" s="53" t="str">
        <f t="shared" si="53"/>
        <v>klopt</v>
      </c>
      <c r="K112" s="53" t="str">
        <f t="shared" si="53"/>
        <v>klopt</v>
      </c>
      <c r="L112" s="53" t="str">
        <f t="shared" si="53"/>
        <v>klopt</v>
      </c>
      <c r="M112" s="53" t="str">
        <f t="shared" si="53"/>
        <v>klopt</v>
      </c>
    </row>
    <row r="113" spans="1:18" ht="12.75" customHeight="1" x14ac:dyDescent="0.2">
      <c r="A113" s="50"/>
      <c r="C113" s="61" t="s">
        <v>205</v>
      </c>
      <c r="D113" s="10" t="s">
        <v>113</v>
      </c>
      <c r="E113" s="53">
        <f t="shared" ref="E113:M113" si="54">IF(E112="n.v.t.",E112,E87)</f>
        <v>0.73139123727704292</v>
      </c>
      <c r="F113" s="53">
        <f t="shared" si="54"/>
        <v>0.73139123727704292</v>
      </c>
      <c r="G113" s="53">
        <f t="shared" si="54"/>
        <v>0.36569561863852146</v>
      </c>
      <c r="H113" s="53">
        <f t="shared" si="54"/>
        <v>0.29563418411668685</v>
      </c>
      <c r="I113" s="53">
        <f t="shared" si="54"/>
        <v>0.31558862846306035</v>
      </c>
      <c r="J113" s="53">
        <f t="shared" si="54"/>
        <v>0.29563418411668685</v>
      </c>
      <c r="K113" s="53">
        <f t="shared" si="54"/>
        <v>0.5791051332297158</v>
      </c>
      <c r="L113" s="53">
        <f t="shared" si="54"/>
        <v>0.36569561863852146</v>
      </c>
      <c r="M113" s="53">
        <f t="shared" si="54"/>
        <v>0.31558862846306035</v>
      </c>
    </row>
    <row r="114" spans="1:18" ht="12.75" customHeight="1" x14ac:dyDescent="0.2">
      <c r="A114" s="50"/>
      <c r="C114" s="61" t="s">
        <v>228</v>
      </c>
      <c r="D114" s="10" t="s">
        <v>113</v>
      </c>
      <c r="E114" s="9" t="str">
        <f t="shared" ref="E114:M114" si="55">IF(E112="n.v.t.",E112,IF(E113&gt;0.5,"ja","nee"))</f>
        <v>ja</v>
      </c>
      <c r="F114" s="9" t="str">
        <f t="shared" si="55"/>
        <v>ja</v>
      </c>
      <c r="G114" s="9" t="str">
        <f t="shared" si="55"/>
        <v>nee</v>
      </c>
      <c r="H114" s="9" t="str">
        <f t="shared" si="55"/>
        <v>nee</v>
      </c>
      <c r="I114" s="9" t="str">
        <f t="shared" si="55"/>
        <v>nee</v>
      </c>
      <c r="J114" s="9" t="str">
        <f t="shared" si="55"/>
        <v>nee</v>
      </c>
      <c r="K114" s="9" t="str">
        <f t="shared" si="55"/>
        <v>ja</v>
      </c>
      <c r="L114" s="9" t="str">
        <f t="shared" si="55"/>
        <v>nee</v>
      </c>
      <c r="M114" s="9" t="str">
        <f t="shared" si="55"/>
        <v>nee</v>
      </c>
    </row>
    <row r="115" spans="1:18" ht="12.75" customHeight="1" x14ac:dyDescent="0.2">
      <c r="A115" s="6"/>
      <c r="C115" s="7" t="s">
        <v>212</v>
      </c>
      <c r="D115" s="10" t="s">
        <v>113</v>
      </c>
      <c r="E115" s="73">
        <f t="shared" ref="E115:M115" si="56">IF(E112="n.v.t.",E112,IF(E113&lt;=0.5,0,((((2*E57)/E21)/E79)-1)^2))</f>
        <v>0.10876952383767438</v>
      </c>
      <c r="F115" s="73">
        <f t="shared" si="56"/>
        <v>0.10876952383767438</v>
      </c>
      <c r="G115" s="73">
        <f t="shared" si="56"/>
        <v>0</v>
      </c>
      <c r="H115" s="73">
        <f t="shared" si="56"/>
        <v>0</v>
      </c>
      <c r="I115" s="73">
        <f t="shared" si="56"/>
        <v>0</v>
      </c>
      <c r="J115" s="73">
        <f t="shared" si="56"/>
        <v>0</v>
      </c>
      <c r="K115" s="73">
        <f t="shared" si="56"/>
        <v>2.8003596043619907E-3</v>
      </c>
      <c r="L115" s="73">
        <f t="shared" si="56"/>
        <v>0</v>
      </c>
      <c r="M115" s="73">
        <f t="shared" si="56"/>
        <v>0</v>
      </c>
      <c r="N115" s="47"/>
      <c r="O115" s="47"/>
      <c r="P115" s="47"/>
      <c r="Q115" s="47"/>
      <c r="R115" s="47"/>
    </row>
    <row r="116" spans="1:18" ht="12.75" customHeight="1" x14ac:dyDescent="0.2">
      <c r="A116" s="6"/>
      <c r="C116" s="61" t="s">
        <v>229</v>
      </c>
      <c r="D116" s="56" t="s">
        <v>78</v>
      </c>
      <c r="E116" s="47">
        <f t="shared" ref="E116:M116" si="57">IF(E112="n.v.t.",E112,((E28*E12)-(E115*E33*E12))/($G$4*1000))</f>
        <v>6061.6581096409536</v>
      </c>
      <c r="F116" s="47">
        <f t="shared" si="57"/>
        <v>6061.6581096409536</v>
      </c>
      <c r="G116" s="47">
        <f t="shared" si="57"/>
        <v>6345</v>
      </c>
      <c r="H116" s="47">
        <f t="shared" si="57"/>
        <v>7200.4</v>
      </c>
      <c r="I116" s="47">
        <f t="shared" si="57"/>
        <v>7849</v>
      </c>
      <c r="J116" s="47">
        <f t="shared" si="57"/>
        <v>7200.4</v>
      </c>
      <c r="K116" s="47">
        <f t="shared" si="57"/>
        <v>4643.6934084508239</v>
      </c>
      <c r="L116" s="47">
        <f t="shared" si="57"/>
        <v>6345</v>
      </c>
      <c r="M116" s="47">
        <f t="shared" si="57"/>
        <v>7849</v>
      </c>
      <c r="N116" s="47"/>
      <c r="O116" s="47"/>
      <c r="P116" s="47"/>
      <c r="Q116" s="47"/>
      <c r="R116" s="47"/>
    </row>
    <row r="117" spans="1:18" ht="12.75" customHeight="1" x14ac:dyDescent="0.2">
      <c r="A117" s="6"/>
      <c r="C117" s="5" t="s">
        <v>230</v>
      </c>
      <c r="D117" s="10" t="s">
        <v>113</v>
      </c>
      <c r="E117" s="59">
        <f t="shared" ref="E117:M117" si="58">IF(E112="n.v.t.",E112,IF(((E28-(2*E23*E25))/E28)&lt;0.5,((E28-(2*E23*E25))/E28),0.5))</f>
        <v>0.33333333333333331</v>
      </c>
      <c r="F117" s="59">
        <f t="shared" si="58"/>
        <v>0.33333333333333331</v>
      </c>
      <c r="G117" s="59">
        <f t="shared" si="58"/>
        <v>0.33333333333333331</v>
      </c>
      <c r="H117" s="59">
        <f t="shared" si="58"/>
        <v>0.37336814621409919</v>
      </c>
      <c r="I117" s="59">
        <f t="shared" si="58"/>
        <v>0.40718562874251496</v>
      </c>
      <c r="J117" s="59">
        <f t="shared" si="58"/>
        <v>0.37336814621409919</v>
      </c>
      <c r="K117" s="59">
        <f t="shared" si="58"/>
        <v>0.27199191102123355</v>
      </c>
      <c r="L117" s="59">
        <f t="shared" si="58"/>
        <v>0.33333333333333331</v>
      </c>
      <c r="M117" s="59">
        <f t="shared" si="58"/>
        <v>0.40718562874251496</v>
      </c>
      <c r="N117" s="59"/>
      <c r="O117" s="59"/>
      <c r="P117" s="59"/>
      <c r="Q117" s="59"/>
      <c r="R117" s="59"/>
    </row>
    <row r="118" spans="1:18" ht="12.75" customHeight="1" x14ac:dyDescent="0.2">
      <c r="A118" s="6"/>
      <c r="C118" s="5" t="s">
        <v>231</v>
      </c>
      <c r="D118" s="10" t="s">
        <v>113</v>
      </c>
      <c r="E118" s="53">
        <f t="shared" ref="E118:M118" si="59">IF(E112="n.v.t.",E112,E117*(1-E115))</f>
        <v>0.29707682538744185</v>
      </c>
      <c r="F118" s="53">
        <f t="shared" si="59"/>
        <v>0.29707682538744185</v>
      </c>
      <c r="G118" s="53">
        <f t="shared" si="59"/>
        <v>0.33333333333333331</v>
      </c>
      <c r="H118" s="53">
        <f t="shared" si="59"/>
        <v>0.37336814621409919</v>
      </c>
      <c r="I118" s="53">
        <f t="shared" si="59"/>
        <v>0.40718562874251496</v>
      </c>
      <c r="J118" s="53">
        <f t="shared" si="59"/>
        <v>0.37336814621409919</v>
      </c>
      <c r="K118" s="53">
        <f t="shared" si="59"/>
        <v>0.27123023586089645</v>
      </c>
      <c r="L118" s="53">
        <f t="shared" si="59"/>
        <v>0.33333333333333331</v>
      </c>
      <c r="M118" s="53">
        <f t="shared" si="59"/>
        <v>0.40718562874251496</v>
      </c>
    </row>
    <row r="119" spans="1:18" ht="12.75" customHeight="1" x14ac:dyDescent="0.2">
      <c r="A119" s="50"/>
      <c r="C119" s="61" t="s">
        <v>232</v>
      </c>
      <c r="D119" s="10" t="s">
        <v>177</v>
      </c>
      <c r="E119" s="47">
        <f t="shared" ref="E119:M119" si="60">IF(E112="n.v.t.",E112,((E73-((E115*E33^2)/(4*E24)))*E12/$G$4)/10^6)</f>
        <v>1459.4512120220963</v>
      </c>
      <c r="F119" s="47">
        <f t="shared" si="60"/>
        <v>1459.4512120220963</v>
      </c>
      <c r="G119" s="47">
        <f t="shared" si="60"/>
        <v>1510.11</v>
      </c>
      <c r="H119" s="47">
        <f t="shared" si="60"/>
        <v>1957.08</v>
      </c>
      <c r="I119" s="47">
        <f t="shared" si="60"/>
        <v>2403.58</v>
      </c>
      <c r="J119" s="47">
        <f t="shared" si="60"/>
        <v>1957.08</v>
      </c>
      <c r="K119" s="47">
        <f t="shared" si="60"/>
        <v>758.92284924362536</v>
      </c>
      <c r="L119" s="47">
        <f t="shared" si="60"/>
        <v>1510.11</v>
      </c>
      <c r="M119" s="47">
        <f t="shared" si="60"/>
        <v>2403.58</v>
      </c>
    </row>
    <row r="120" spans="1:18" ht="12.75" customHeight="1" x14ac:dyDescent="0.2">
      <c r="A120" s="6"/>
      <c r="B120" s="58"/>
      <c r="C120" s="61" t="s">
        <v>233</v>
      </c>
      <c r="D120" s="10" t="s">
        <v>113</v>
      </c>
      <c r="E120" s="59">
        <f t="shared" ref="E120:M120" si="61">IF(E112="n.v.t.",0,((E72/E119)+((E67/E116)-(E118/2))/(1-(E118/2))))</f>
        <v>0.79238273936349179</v>
      </c>
      <c r="F120" s="59">
        <f t="shared" si="61"/>
        <v>0.79238273936349179</v>
      </c>
      <c r="G120" s="59">
        <f t="shared" si="61"/>
        <v>0.26298614008251059</v>
      </c>
      <c r="H120" s="59">
        <f t="shared" si="61"/>
        <v>0.15502225102218495</v>
      </c>
      <c r="I120" s="59">
        <f t="shared" si="61"/>
        <v>8.051048163932413E-2</v>
      </c>
      <c r="J120" s="59">
        <f t="shared" si="61"/>
        <v>0.15502225102218495</v>
      </c>
      <c r="K120" s="59">
        <f t="shared" si="61"/>
        <v>0.62445095450030041</v>
      </c>
      <c r="L120" s="59">
        <f t="shared" si="61"/>
        <v>0.26298614008251059</v>
      </c>
      <c r="M120" s="59">
        <f t="shared" si="61"/>
        <v>8.051048163932413E-2</v>
      </c>
      <c r="N120" s="59"/>
      <c r="O120" s="59"/>
      <c r="P120" s="59"/>
      <c r="Q120" s="59"/>
      <c r="R120" s="59"/>
    </row>
    <row r="121" spans="1:18" ht="12.75" customHeight="1" x14ac:dyDescent="0.2">
      <c r="A121" s="6"/>
      <c r="C121" s="61"/>
      <c r="D121" s="10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</row>
    <row r="122" spans="1:18" ht="12.75" customHeight="1" x14ac:dyDescent="0.2">
      <c r="A122" s="14" t="s">
        <v>225</v>
      </c>
      <c r="E122" s="53" t="str">
        <f t="shared" ref="E122:M122" si="62">IF(E45&gt;2,"klopt","n.v.t.")</f>
        <v>n.v.t.</v>
      </c>
      <c r="F122" s="53" t="str">
        <f t="shared" si="62"/>
        <v>n.v.t.</v>
      </c>
      <c r="G122" s="53" t="str">
        <f t="shared" si="62"/>
        <v>n.v.t.</v>
      </c>
      <c r="H122" s="53" t="str">
        <f t="shared" si="62"/>
        <v>n.v.t.</v>
      </c>
      <c r="I122" s="53" t="str">
        <f t="shared" si="62"/>
        <v>n.v.t.</v>
      </c>
      <c r="J122" s="53" t="str">
        <f t="shared" si="62"/>
        <v>n.v.t.</v>
      </c>
      <c r="K122" s="53" t="str">
        <f t="shared" si="62"/>
        <v>n.v.t.</v>
      </c>
      <c r="L122" s="53" t="str">
        <f t="shared" si="62"/>
        <v>n.v.t.</v>
      </c>
      <c r="M122" s="53" t="str">
        <f t="shared" si="62"/>
        <v>n.v.t.</v>
      </c>
    </row>
    <row r="123" spans="1:18" ht="12.75" customHeight="1" x14ac:dyDescent="0.2">
      <c r="A123" s="4"/>
      <c r="C123" s="61" t="s">
        <v>234</v>
      </c>
      <c r="D123" s="10" t="s">
        <v>113</v>
      </c>
      <c r="E123" s="53" t="str">
        <f t="shared" ref="E123:M123" si="63">IF(E122="n.v.t.",E122,(E72*10^6/(((E23*E22^3)-(E23*E32^3))/(6*E22)*E12)))</f>
        <v>n.v.t.</v>
      </c>
      <c r="F123" s="53" t="str">
        <f t="shared" si="63"/>
        <v>n.v.t.</v>
      </c>
      <c r="G123" s="53" t="str">
        <f t="shared" si="63"/>
        <v>n.v.t.</v>
      </c>
      <c r="H123" s="53" t="str">
        <f t="shared" si="63"/>
        <v>n.v.t.</v>
      </c>
      <c r="I123" s="53" t="str">
        <f t="shared" si="63"/>
        <v>n.v.t.</v>
      </c>
      <c r="J123" s="53" t="str">
        <f t="shared" si="63"/>
        <v>n.v.t.</v>
      </c>
      <c r="K123" s="53" t="str">
        <f t="shared" si="63"/>
        <v>n.v.t.</v>
      </c>
      <c r="L123" s="53" t="str">
        <f t="shared" si="63"/>
        <v>n.v.t.</v>
      </c>
      <c r="M123" s="53" t="str">
        <f t="shared" si="63"/>
        <v>n.v.t.</v>
      </c>
    </row>
    <row r="124" spans="1:18" ht="12.75" hidden="1" customHeight="1" x14ac:dyDescent="0.2">
      <c r="A124" s="4"/>
      <c r="C124" s="61" t="s">
        <v>235</v>
      </c>
      <c r="D124" s="10"/>
      <c r="E124" s="53">
        <f t="shared" ref="E124:M124" si="64">(((E23*E22^3)-(E23*E32^3))/(6*E22)*E12)/10^6</f>
        <v>1146.33</v>
      </c>
      <c r="F124" s="53">
        <f t="shared" si="64"/>
        <v>1146.33</v>
      </c>
      <c r="G124" s="53">
        <f t="shared" si="64"/>
        <v>1146.33</v>
      </c>
      <c r="H124" s="53">
        <f t="shared" si="64"/>
        <v>1439.2162742857145</v>
      </c>
      <c r="I124" s="53">
        <f t="shared" si="64"/>
        <v>1711.8735975</v>
      </c>
      <c r="J124" s="53">
        <f t="shared" si="64"/>
        <v>1439.2162742857145</v>
      </c>
      <c r="K124" s="53">
        <f t="shared" si="64"/>
        <v>598.83263999999997</v>
      </c>
      <c r="L124" s="53">
        <f t="shared" si="64"/>
        <v>1146.33</v>
      </c>
      <c r="M124" s="53">
        <f t="shared" si="64"/>
        <v>1711.8735975</v>
      </c>
    </row>
    <row r="125" spans="1:18" ht="12.75" customHeight="1" x14ac:dyDescent="0.2">
      <c r="A125" s="50"/>
      <c r="C125" s="77" t="s">
        <v>236</v>
      </c>
      <c r="D125" s="10" t="s">
        <v>113</v>
      </c>
      <c r="E125" s="53" t="str">
        <f t="shared" ref="E125:M125" si="65">IF(E122="n.v.t.",E122,IF((E32/E24)&gt;(72*E15/1),"voldoet niet","voldoet"))</f>
        <v>n.v.t.</v>
      </c>
      <c r="F125" s="53" t="str">
        <f t="shared" si="65"/>
        <v>n.v.t.</v>
      </c>
      <c r="G125" s="53" t="str">
        <f t="shared" si="65"/>
        <v>n.v.t.</v>
      </c>
      <c r="H125" s="53" t="str">
        <f t="shared" si="65"/>
        <v>n.v.t.</v>
      </c>
      <c r="I125" s="53" t="str">
        <f t="shared" si="65"/>
        <v>n.v.t.</v>
      </c>
      <c r="J125" s="53" t="str">
        <f t="shared" si="65"/>
        <v>n.v.t.</v>
      </c>
      <c r="K125" s="53" t="str">
        <f t="shared" si="65"/>
        <v>n.v.t.</v>
      </c>
      <c r="L125" s="53" t="str">
        <f t="shared" si="65"/>
        <v>n.v.t.</v>
      </c>
      <c r="M125" s="53" t="str">
        <f t="shared" si="65"/>
        <v>n.v.t.</v>
      </c>
      <c r="N125" s="53"/>
      <c r="O125" s="53"/>
      <c r="P125" s="53"/>
      <c r="Q125" s="53"/>
      <c r="R125" s="53"/>
    </row>
    <row r="126" spans="1:18" ht="12.75" hidden="1" customHeight="1" x14ac:dyDescent="0.2">
      <c r="A126" s="50"/>
      <c r="C126" s="61" t="s">
        <v>237</v>
      </c>
      <c r="D126" s="10" t="s">
        <v>113</v>
      </c>
      <c r="E126" s="53" t="str">
        <f t="shared" ref="E126:M126" si="66">IF(OR(E122="n.v.t.",E125="voldoet"),"n.v.t.",E106)</f>
        <v>n.v.t.</v>
      </c>
      <c r="F126" s="53" t="str">
        <f t="shared" si="66"/>
        <v>n.v.t.</v>
      </c>
      <c r="G126" s="53" t="str">
        <f t="shared" si="66"/>
        <v>n.v.t.</v>
      </c>
      <c r="H126" s="53" t="str">
        <f t="shared" si="66"/>
        <v>n.v.t.</v>
      </c>
      <c r="I126" s="53" t="str">
        <f t="shared" si="66"/>
        <v>n.v.t.</v>
      </c>
      <c r="J126" s="53" t="str">
        <f t="shared" si="66"/>
        <v>n.v.t.</v>
      </c>
      <c r="K126" s="53" t="str">
        <f t="shared" si="66"/>
        <v>n.v.t.</v>
      </c>
      <c r="L126" s="53" t="str">
        <f t="shared" si="66"/>
        <v>n.v.t.</v>
      </c>
      <c r="M126" s="53" t="str">
        <f t="shared" si="66"/>
        <v>n.v.t.</v>
      </c>
      <c r="N126" s="53"/>
      <c r="O126" s="53"/>
      <c r="P126" s="53"/>
      <c r="Q126" s="53"/>
      <c r="R126" s="53"/>
    </row>
    <row r="127" spans="1:18" ht="12.75" hidden="1" customHeight="1" x14ac:dyDescent="0.2">
      <c r="A127" s="50"/>
      <c r="C127" s="61" t="s">
        <v>238</v>
      </c>
      <c r="D127" s="10"/>
      <c r="E127" s="53">
        <f t="shared" ref="E127:M127" si="67">IF(E122="n.v.t.",0,IF(AND(E123&gt;1,E126&lt;1),2,1))</f>
        <v>0</v>
      </c>
      <c r="F127" s="53">
        <f t="shared" si="67"/>
        <v>0</v>
      </c>
      <c r="G127" s="53">
        <f t="shared" si="67"/>
        <v>0</v>
      </c>
      <c r="H127" s="53">
        <f t="shared" si="67"/>
        <v>0</v>
      </c>
      <c r="I127" s="53">
        <f t="shared" si="67"/>
        <v>0</v>
      </c>
      <c r="J127" s="53">
        <f t="shared" si="67"/>
        <v>0</v>
      </c>
      <c r="K127" s="53">
        <f t="shared" si="67"/>
        <v>0</v>
      </c>
      <c r="L127" s="53">
        <f t="shared" si="67"/>
        <v>0</v>
      </c>
      <c r="M127" s="53">
        <f t="shared" si="67"/>
        <v>0</v>
      </c>
      <c r="N127" s="53"/>
      <c r="O127" s="53"/>
      <c r="P127" s="53"/>
      <c r="Q127" s="53"/>
      <c r="R127" s="53"/>
    </row>
    <row r="128" spans="1:18" ht="12.75" customHeight="1" x14ac:dyDescent="0.2">
      <c r="C128" s="61" t="s">
        <v>239</v>
      </c>
      <c r="D128" s="10" t="s">
        <v>113</v>
      </c>
      <c r="E128" s="59" t="str">
        <f t="shared" ref="E128:M128" si="68">IF(E127=2,E72/(E124+(E104-E124)*(1-(((2*E78)/(E28*(E12/SQRT(3)))/$G$4/10000)-1)^2)),"n.v.t.")</f>
        <v>n.v.t.</v>
      </c>
      <c r="F128" s="59" t="str">
        <f t="shared" si="68"/>
        <v>n.v.t.</v>
      </c>
      <c r="G128" s="59" t="str">
        <f t="shared" si="68"/>
        <v>n.v.t.</v>
      </c>
      <c r="H128" s="59" t="str">
        <f t="shared" si="68"/>
        <v>n.v.t.</v>
      </c>
      <c r="I128" s="59" t="str">
        <f t="shared" si="68"/>
        <v>n.v.t.</v>
      </c>
      <c r="J128" s="59" t="str">
        <f t="shared" si="68"/>
        <v>n.v.t.</v>
      </c>
      <c r="K128" s="59" t="str">
        <f t="shared" si="68"/>
        <v>n.v.t.</v>
      </c>
      <c r="L128" s="59" t="str">
        <f t="shared" si="68"/>
        <v>n.v.t.</v>
      </c>
      <c r="M128" s="59" t="str">
        <f t="shared" si="68"/>
        <v>n.v.t.</v>
      </c>
      <c r="N128" s="59"/>
      <c r="O128" s="59"/>
      <c r="P128" s="59"/>
      <c r="Q128" s="59"/>
      <c r="R128" s="59"/>
    </row>
    <row r="129" spans="1:19" ht="12.75" hidden="1" customHeight="1" x14ac:dyDescent="0.2">
      <c r="A129" s="6"/>
      <c r="C129" s="61"/>
      <c r="D129" s="10"/>
      <c r="E129" s="59">
        <f t="shared" ref="E129:M129" si="69">IF(AND(E122="klopt",E128="n.v.t."),E123,0)</f>
        <v>0</v>
      </c>
      <c r="F129" s="59">
        <f t="shared" si="69"/>
        <v>0</v>
      </c>
      <c r="G129" s="59">
        <f t="shared" si="69"/>
        <v>0</v>
      </c>
      <c r="H129" s="59">
        <f t="shared" si="69"/>
        <v>0</v>
      </c>
      <c r="I129" s="59">
        <f t="shared" si="69"/>
        <v>0</v>
      </c>
      <c r="J129" s="59">
        <f t="shared" si="69"/>
        <v>0</v>
      </c>
      <c r="K129" s="59">
        <f t="shared" si="69"/>
        <v>0</v>
      </c>
      <c r="L129" s="59">
        <f t="shared" si="69"/>
        <v>0</v>
      </c>
      <c r="M129" s="59">
        <f t="shared" si="69"/>
        <v>0</v>
      </c>
      <c r="N129" s="59"/>
      <c r="O129" s="59"/>
      <c r="P129" s="59"/>
      <c r="Q129" s="59"/>
      <c r="R129" s="59"/>
    </row>
    <row r="130" spans="1:19" ht="12.75" customHeight="1" x14ac:dyDescent="0.2">
      <c r="A130" s="6"/>
      <c r="C130" s="61"/>
      <c r="D130" s="10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</row>
    <row r="131" spans="1:19" ht="12.75" customHeight="1" x14ac:dyDescent="0.2">
      <c r="A131" s="79" t="s">
        <v>240</v>
      </c>
      <c r="C131" s="63"/>
      <c r="I131" s="9"/>
      <c r="J131" s="9"/>
      <c r="K131" s="9"/>
      <c r="L131" s="9"/>
      <c r="M131" s="9"/>
    </row>
    <row r="132" spans="1:19" ht="12.75" customHeight="1" x14ac:dyDescent="0.2">
      <c r="A132" s="4" t="s">
        <v>241</v>
      </c>
      <c r="C132" s="63"/>
      <c r="D132" s="10" t="s">
        <v>113</v>
      </c>
      <c r="E132" s="11">
        <f t="shared" ref="E132:M132" si="70">E63</f>
        <v>0</v>
      </c>
      <c r="F132" s="11">
        <f t="shared" si="70"/>
        <v>0.35317515501078284</v>
      </c>
      <c r="G132" s="11">
        <f t="shared" si="70"/>
        <v>0.35317515501078284</v>
      </c>
      <c r="H132" s="11">
        <f t="shared" si="70"/>
        <v>0.27251483502633173</v>
      </c>
      <c r="I132" s="11">
        <f t="shared" si="70"/>
        <v>0.22189123446414652</v>
      </c>
      <c r="J132" s="11">
        <f t="shared" si="70"/>
        <v>0.27251483502633173</v>
      </c>
      <c r="K132" s="11">
        <f t="shared" si="70"/>
        <v>0.7021978793624043</v>
      </c>
      <c r="L132" s="11">
        <f t="shared" si="70"/>
        <v>0.35317515501078284</v>
      </c>
      <c r="M132" s="11">
        <f t="shared" si="70"/>
        <v>0.22189123446414652</v>
      </c>
    </row>
    <row r="133" spans="1:19" ht="12.75" customHeight="1" x14ac:dyDescent="0.2">
      <c r="A133" s="1" t="s">
        <v>184</v>
      </c>
      <c r="C133" s="62"/>
      <c r="D133" s="10" t="s">
        <v>113</v>
      </c>
      <c r="E133" s="11">
        <f t="shared" ref="E133:M133" si="71">E69</f>
        <v>0.17336485421591805</v>
      </c>
      <c r="F133" s="11">
        <f t="shared" si="71"/>
        <v>0.17336485421591805</v>
      </c>
      <c r="G133" s="11">
        <f t="shared" si="71"/>
        <v>0.17336485421591805</v>
      </c>
      <c r="H133" s="11">
        <f t="shared" si="71"/>
        <v>0.15276929059496697</v>
      </c>
      <c r="I133" s="11">
        <f t="shared" si="71"/>
        <v>0.14014524143202955</v>
      </c>
      <c r="J133" s="11">
        <f t="shared" si="71"/>
        <v>0.15276929059496697</v>
      </c>
      <c r="K133" s="11">
        <f t="shared" si="71"/>
        <v>0.23664565540089924</v>
      </c>
      <c r="L133" s="11">
        <f t="shared" si="71"/>
        <v>0.17336485421591805</v>
      </c>
      <c r="M133" s="11">
        <f t="shared" si="71"/>
        <v>0.14014524143202955</v>
      </c>
    </row>
    <row r="134" spans="1:19" ht="12.75" customHeight="1" x14ac:dyDescent="0.2">
      <c r="A134" t="s">
        <v>191</v>
      </c>
      <c r="C134" s="5"/>
      <c r="D134" s="10" t="s">
        <v>113</v>
      </c>
      <c r="E134" s="11">
        <f t="shared" ref="E134:M134" si="72">E75</f>
        <v>0.72842375720973973</v>
      </c>
      <c r="F134" s="11">
        <f t="shared" si="72"/>
        <v>0.72842375720973973</v>
      </c>
      <c r="G134" s="11">
        <f t="shared" si="72"/>
        <v>0.25494831502340892</v>
      </c>
      <c r="H134" s="11">
        <f t="shared" si="72"/>
        <v>0.19672164653463325</v>
      </c>
      <c r="I134" s="11">
        <f t="shared" si="72"/>
        <v>0.16017773487880582</v>
      </c>
      <c r="J134" s="11">
        <f t="shared" si="72"/>
        <v>0.19672164653463325</v>
      </c>
      <c r="K134" s="11">
        <f t="shared" si="72"/>
        <v>0.50689909416473566</v>
      </c>
      <c r="L134" s="11">
        <f t="shared" si="72"/>
        <v>0.25494831502340892</v>
      </c>
      <c r="M134" s="11">
        <f t="shared" si="72"/>
        <v>0.16017773487880582</v>
      </c>
      <c r="N134" s="47"/>
      <c r="O134" s="47"/>
      <c r="P134" s="47"/>
      <c r="Q134" s="47"/>
      <c r="R134" s="47"/>
    </row>
    <row r="135" spans="1:19" ht="12.75" customHeight="1" x14ac:dyDescent="0.2">
      <c r="A135" t="s">
        <v>199</v>
      </c>
      <c r="C135" s="7"/>
      <c r="D135" s="10" t="s">
        <v>113</v>
      </c>
      <c r="E135" s="11">
        <f t="shared" ref="E135:M135" si="73">E80</f>
        <v>0.73139123727704292</v>
      </c>
      <c r="F135" s="11">
        <f t="shared" si="73"/>
        <v>0.73139123727704292</v>
      </c>
      <c r="G135" s="11">
        <f t="shared" si="73"/>
        <v>0.36569561863852146</v>
      </c>
      <c r="H135" s="11">
        <f t="shared" si="73"/>
        <v>0.29563418411668685</v>
      </c>
      <c r="I135" s="11">
        <f t="shared" si="73"/>
        <v>0.31558862846306035</v>
      </c>
      <c r="J135" s="11">
        <f t="shared" si="73"/>
        <v>0.29563418411668685</v>
      </c>
      <c r="K135" s="11">
        <f t="shared" si="73"/>
        <v>0.5791051332297158</v>
      </c>
      <c r="L135" s="11">
        <f t="shared" si="73"/>
        <v>0.36569561863852146</v>
      </c>
      <c r="M135" s="11">
        <f t="shared" si="73"/>
        <v>0.31558862846306035</v>
      </c>
      <c r="N135" s="53"/>
      <c r="O135" s="53"/>
      <c r="P135" s="53"/>
      <c r="Q135" s="53"/>
      <c r="R135" s="53"/>
    </row>
    <row r="136" spans="1:19" ht="12.75" customHeight="1" x14ac:dyDescent="0.2">
      <c r="A136" t="s">
        <v>209</v>
      </c>
      <c r="C136" s="5"/>
      <c r="D136" s="10" t="s">
        <v>113</v>
      </c>
      <c r="E136" s="53">
        <f t="shared" ref="E136:M136" si="74">E91</f>
        <v>0.74262729863464483</v>
      </c>
      <c r="F136" s="53">
        <f t="shared" si="74"/>
        <v>0.74262729863464483</v>
      </c>
      <c r="G136" s="53">
        <f t="shared" si="74"/>
        <v>0.25494831502340892</v>
      </c>
      <c r="H136" s="53">
        <f t="shared" si="74"/>
        <v>0.19672164653463325</v>
      </c>
      <c r="I136" s="53">
        <f t="shared" si="74"/>
        <v>0.16017773487880582</v>
      </c>
      <c r="J136" s="53">
        <f t="shared" si="74"/>
        <v>0.19672164653463325</v>
      </c>
      <c r="K136" s="53">
        <f t="shared" si="74"/>
        <v>0.50708282432626561</v>
      </c>
      <c r="L136" s="53">
        <f t="shared" si="74"/>
        <v>0.25494831502340892</v>
      </c>
      <c r="M136" s="53">
        <f t="shared" si="74"/>
        <v>0.16017773487880582</v>
      </c>
      <c r="N136" s="59"/>
      <c r="O136" s="59"/>
      <c r="P136" s="59"/>
      <c r="Q136" s="59"/>
      <c r="R136" s="59"/>
    </row>
    <row r="137" spans="1:19" ht="12.75" customHeight="1" x14ac:dyDescent="0.2">
      <c r="A137" t="s">
        <v>215</v>
      </c>
      <c r="C137" s="63"/>
      <c r="D137" s="10" t="s">
        <v>113</v>
      </c>
      <c r="E137" s="11">
        <f t="shared" ref="E137:M137" si="75">IF(E94="klopt",E105,E109)</f>
        <v>0.72842375720973973</v>
      </c>
      <c r="F137" s="11">
        <f t="shared" si="75"/>
        <v>0.72842375720973973</v>
      </c>
      <c r="G137" s="11">
        <f t="shared" si="75"/>
        <v>0.25494831502340892</v>
      </c>
      <c r="H137" s="11">
        <f t="shared" si="75"/>
        <v>0.19672164653463325</v>
      </c>
      <c r="I137" s="11">
        <f t="shared" si="75"/>
        <v>0.16017773487880582</v>
      </c>
      <c r="J137" s="11">
        <f t="shared" si="75"/>
        <v>0.19672164653463325</v>
      </c>
      <c r="K137" s="11">
        <f t="shared" si="75"/>
        <v>0.50689909416473566</v>
      </c>
      <c r="L137" s="11">
        <f t="shared" si="75"/>
        <v>0.25494831502340892</v>
      </c>
      <c r="M137" s="11">
        <f t="shared" si="75"/>
        <v>0.16017773487880582</v>
      </c>
    </row>
    <row r="138" spans="1:19" ht="12.75" customHeight="1" x14ac:dyDescent="0.2">
      <c r="A138" t="s">
        <v>242</v>
      </c>
      <c r="C138" s="5"/>
      <c r="D138" s="10" t="s">
        <v>113</v>
      </c>
      <c r="E138" s="11">
        <f t="shared" ref="E138:M138" si="76">IF(E112="klopt",E120,E129)</f>
        <v>0.79238273936349179</v>
      </c>
      <c r="F138" s="11">
        <f t="shared" si="76"/>
        <v>0.79238273936349179</v>
      </c>
      <c r="G138" s="11">
        <f t="shared" si="76"/>
        <v>0.26298614008251059</v>
      </c>
      <c r="H138" s="11">
        <f t="shared" si="76"/>
        <v>0.15502225102218495</v>
      </c>
      <c r="I138" s="11">
        <f t="shared" si="76"/>
        <v>8.051048163932413E-2</v>
      </c>
      <c r="J138" s="11">
        <f t="shared" si="76"/>
        <v>0.15502225102218495</v>
      </c>
      <c r="K138" s="11">
        <f t="shared" si="76"/>
        <v>0.62445095450030041</v>
      </c>
      <c r="L138" s="11">
        <f t="shared" si="76"/>
        <v>0.26298614008251059</v>
      </c>
      <c r="M138" s="11">
        <f t="shared" si="76"/>
        <v>8.051048163932413E-2</v>
      </c>
      <c r="N138" s="9"/>
      <c r="O138" s="9"/>
      <c r="P138" s="9"/>
      <c r="Q138" s="9"/>
      <c r="R138" s="9"/>
    </row>
    <row r="139" spans="1:19" ht="12.75" customHeight="1" x14ac:dyDescent="0.2">
      <c r="D139" s="10" t="s">
        <v>243</v>
      </c>
      <c r="E139" s="59">
        <f t="shared" ref="E139:M139" si="77">MAX(E132:E138)</f>
        <v>0.79238273936349179</v>
      </c>
      <c r="F139" s="59">
        <f t="shared" si="77"/>
        <v>0.79238273936349179</v>
      </c>
      <c r="G139" s="59">
        <f t="shared" si="77"/>
        <v>0.36569561863852146</v>
      </c>
      <c r="H139" s="59">
        <f t="shared" si="77"/>
        <v>0.29563418411668685</v>
      </c>
      <c r="I139" s="59">
        <f t="shared" si="77"/>
        <v>0.31558862846306035</v>
      </c>
      <c r="J139" s="59">
        <f t="shared" si="77"/>
        <v>0.29563418411668685</v>
      </c>
      <c r="K139" s="59">
        <f t="shared" si="77"/>
        <v>0.7021978793624043</v>
      </c>
      <c r="L139" s="59">
        <f t="shared" si="77"/>
        <v>0.36569561863852146</v>
      </c>
      <c r="M139" s="59">
        <f t="shared" si="77"/>
        <v>0.31558862846306035</v>
      </c>
      <c r="N139" s="59"/>
      <c r="O139" s="59"/>
      <c r="P139" s="59"/>
      <c r="Q139" s="59"/>
      <c r="R139" s="59"/>
      <c r="S139" s="59"/>
    </row>
    <row r="140" spans="1:19" x14ac:dyDescent="0.2">
      <c r="E140" s="60" t="str">
        <f t="shared" ref="E140:M140" si="78">IF(E139&lt;=1,"voldoet","voldoet niet")</f>
        <v>voldoet</v>
      </c>
      <c r="F140" s="60" t="str">
        <f t="shared" si="78"/>
        <v>voldoet</v>
      </c>
      <c r="G140" s="60" t="str">
        <f t="shared" si="78"/>
        <v>voldoet</v>
      </c>
      <c r="H140" s="60" t="str">
        <f t="shared" si="78"/>
        <v>voldoet</v>
      </c>
      <c r="I140" s="60" t="str">
        <f t="shared" si="78"/>
        <v>voldoet</v>
      </c>
      <c r="J140" s="60" t="str">
        <f t="shared" si="78"/>
        <v>voldoet</v>
      </c>
      <c r="K140" s="60" t="str">
        <f t="shared" si="78"/>
        <v>voldoet</v>
      </c>
      <c r="L140" s="60" t="str">
        <f t="shared" si="78"/>
        <v>voldoet</v>
      </c>
      <c r="M140" s="60" t="str">
        <f t="shared" si="78"/>
        <v>voldoet</v>
      </c>
      <c r="N140" s="60"/>
      <c r="O140" s="60"/>
      <c r="P140" s="60"/>
      <c r="Q140" s="60"/>
      <c r="R140" s="60"/>
    </row>
  </sheetData>
  <conditionalFormatting sqref="E63:M63">
    <cfRule type="cellIs" dxfId="17" priority="13" operator="greaterThan">
      <formula>1</formula>
    </cfRule>
    <cfRule type="cellIs" dxfId="16" priority="14" operator="lessThan">
      <formula>1</formula>
    </cfRule>
  </conditionalFormatting>
  <conditionalFormatting sqref="E69:M69">
    <cfRule type="cellIs" dxfId="15" priority="15" operator="greaterThan">
      <formula>1</formula>
    </cfRule>
    <cfRule type="cellIs" dxfId="14" priority="16" operator="lessThan">
      <formula>1</formula>
    </cfRule>
  </conditionalFormatting>
  <conditionalFormatting sqref="E75:M75 E139:S139">
    <cfRule type="cellIs" dxfId="13" priority="17" operator="greaterThan">
      <formula>1</formula>
    </cfRule>
    <cfRule type="cellIs" dxfId="12" priority="18" operator="lessThan">
      <formula>1</formula>
    </cfRule>
  </conditionalFormatting>
  <conditionalFormatting sqref="E80:M80">
    <cfRule type="cellIs" dxfId="11" priority="11" operator="greaterThan">
      <formula>1</formula>
    </cfRule>
    <cfRule type="cellIs" dxfId="10" priority="12" operator="lessThan">
      <formula>1</formula>
    </cfRule>
  </conditionalFormatting>
  <conditionalFormatting sqref="E91:M91">
    <cfRule type="cellIs" dxfId="9" priority="9" operator="greaterThan">
      <formula>1</formula>
    </cfRule>
    <cfRule type="cellIs" dxfId="8" priority="10" operator="lessThan">
      <formula>1</formula>
    </cfRule>
  </conditionalFormatting>
  <conditionalFormatting sqref="E105:M106">
    <cfRule type="cellIs" dxfId="7" priority="3" operator="greaterThan">
      <formula>1</formula>
    </cfRule>
    <cfRule type="cellIs" dxfId="6" priority="4" operator="lessThan">
      <formula>1</formula>
    </cfRule>
  </conditionalFormatting>
  <conditionalFormatting sqref="E109:M109">
    <cfRule type="cellIs" dxfId="5" priority="7" operator="greaterThan">
      <formula>1</formula>
    </cfRule>
    <cfRule type="cellIs" dxfId="4" priority="8" operator="lessThan">
      <formula>1</formula>
    </cfRule>
  </conditionalFormatting>
  <conditionalFormatting sqref="E120:M120">
    <cfRule type="cellIs" dxfId="3" priority="5" operator="greaterThan">
      <formula>1</formula>
    </cfRule>
    <cfRule type="cellIs" dxfId="2" priority="6" operator="lessThan">
      <formula>1</formula>
    </cfRule>
  </conditionalFormatting>
  <conditionalFormatting sqref="E129:M129">
    <cfRule type="cellIs" dxfId="1" priority="1" operator="greaterThan">
      <formula>1</formula>
    </cfRule>
    <cfRule type="cellIs" dxfId="0" priority="2" operator="lessThan">
      <formula>1</formula>
    </cfRule>
  </conditionalFormatting>
  <pageMargins left="0.70866141732283461" right="0.82677165354330706" top="1.377952755905512" bottom="0.70866141732283461" header="0.31496062992125978" footer="0.31496062992125978"/>
  <pageSetup paperSize="8" scale="60" fitToWidth="0" orientation="portrait" r:id="rId1"/>
  <headerFooter>
    <oddHeader>&amp;C&amp;G
&amp;R
Pagina &amp;P van &amp;N</oddHeader>
    <oddFooter>&amp;L&amp;"-,Vet"&amp;8 &amp;K002C5FENGINEERING EN MONITORING VOOR
GWW EN GEOTECHNIEK &amp;R&amp;"-,Standaard"&amp;8 Op al onze werkzaamheden is DNR 2011 van toepassing.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Q61"/>
  <sheetViews>
    <sheetView topLeftCell="K1" zoomScale="85" zoomScaleNormal="85" workbookViewId="0">
      <selection activeCell="W3" sqref="W3"/>
    </sheetView>
  </sheetViews>
  <sheetFormatPr defaultRowHeight="12.75" x14ac:dyDescent="0.2"/>
  <cols>
    <col min="3" max="3" width="12.7109375" bestFit="1" customWidth="1"/>
    <col min="5" max="5" width="16.5703125" bestFit="1" customWidth="1"/>
    <col min="10" max="10" width="12.42578125" bestFit="1" customWidth="1"/>
    <col min="11" max="11" width="8" bestFit="1" customWidth="1"/>
    <col min="12" max="12" width="11.140625" bestFit="1" customWidth="1"/>
    <col min="16" max="16" width="8.42578125" bestFit="1" customWidth="1"/>
    <col min="31" max="31" width="19.5703125" customWidth="1"/>
    <col min="32" max="32" width="12" bestFit="1" customWidth="1"/>
  </cols>
  <sheetData>
    <row r="1" spans="1:43" x14ac:dyDescent="0.2">
      <c r="A1" s="239" t="s">
        <v>43</v>
      </c>
      <c r="B1" s="240"/>
      <c r="C1" s="240"/>
      <c r="D1" s="240"/>
      <c r="E1" s="240"/>
      <c r="F1" s="240"/>
      <c r="G1" s="240"/>
      <c r="H1" s="111"/>
      <c r="I1" s="239" t="s">
        <v>46</v>
      </c>
      <c r="J1" s="240"/>
      <c r="K1" s="240"/>
      <c r="L1" s="240"/>
      <c r="M1" s="240"/>
      <c r="N1" s="240"/>
      <c r="O1" s="240"/>
      <c r="P1" s="240"/>
      <c r="Q1" s="240"/>
      <c r="R1" s="111"/>
      <c r="S1" s="115" t="s">
        <v>55</v>
      </c>
      <c r="T1" s="115" t="s">
        <v>57</v>
      </c>
      <c r="U1" s="115" t="s">
        <v>58</v>
      </c>
      <c r="V1" s="115" t="s">
        <v>23</v>
      </c>
      <c r="W1" s="115" t="s">
        <v>59</v>
      </c>
      <c r="X1" s="115" t="s">
        <v>61</v>
      </c>
      <c r="Y1" s="115" t="s">
        <v>61</v>
      </c>
      <c r="Z1" s="239" t="s">
        <v>65</v>
      </c>
      <c r="AA1" s="240"/>
      <c r="AC1" s="111" t="s">
        <v>396</v>
      </c>
      <c r="AD1" s="111" t="s">
        <v>397</v>
      </c>
      <c r="AE1" s="111" t="s">
        <v>137</v>
      </c>
      <c r="AF1" s="111" t="s">
        <v>398</v>
      </c>
      <c r="AG1" s="111" t="s">
        <v>399</v>
      </c>
      <c r="AH1" s="111" t="s">
        <v>399</v>
      </c>
    </row>
    <row r="2" spans="1:43" x14ac:dyDescent="0.2">
      <c r="A2" s="115" t="s">
        <v>56</v>
      </c>
      <c r="B2" s="115" t="s">
        <v>400</v>
      </c>
      <c r="C2" s="115" t="s">
        <v>61</v>
      </c>
      <c r="D2" s="115" t="s">
        <v>401</v>
      </c>
      <c r="E2" s="115" t="s">
        <v>402</v>
      </c>
      <c r="F2" s="115" t="s">
        <v>403</v>
      </c>
      <c r="G2" s="115" t="s">
        <v>181</v>
      </c>
      <c r="H2" s="111"/>
      <c r="I2" s="115" t="s">
        <v>400</v>
      </c>
      <c r="J2" s="115" t="s">
        <v>404</v>
      </c>
      <c r="K2" s="115" t="s">
        <v>43</v>
      </c>
      <c r="L2" s="115" t="s">
        <v>405</v>
      </c>
      <c r="M2" s="115" t="s">
        <v>181</v>
      </c>
      <c r="N2" s="115" t="s">
        <v>401</v>
      </c>
      <c r="O2" s="115" t="s">
        <v>402</v>
      </c>
      <c r="P2" s="115" t="s">
        <v>403</v>
      </c>
      <c r="Q2" s="115" t="s">
        <v>181</v>
      </c>
      <c r="R2" s="111"/>
      <c r="S2" s="115"/>
      <c r="T2" s="115"/>
      <c r="U2" s="115"/>
      <c r="V2" s="115"/>
      <c r="W2" s="115" t="s">
        <v>75</v>
      </c>
      <c r="X2" s="115" t="s">
        <v>77</v>
      </c>
      <c r="Y2" s="115" t="s">
        <v>79</v>
      </c>
      <c r="Z2" s="116" t="s">
        <v>81</v>
      </c>
      <c r="AA2" s="116" t="s">
        <v>82</v>
      </c>
      <c r="AC2" s="111"/>
      <c r="AD2" s="111"/>
      <c r="AE2" s="111"/>
      <c r="AF2" s="111" t="s">
        <v>127</v>
      </c>
      <c r="AG2" s="111" t="s">
        <v>81</v>
      </c>
      <c r="AH2" s="111" t="s">
        <v>406</v>
      </c>
    </row>
    <row r="3" spans="1:43" s="36" customFormat="1" ht="12" customHeight="1" x14ac:dyDescent="0.2">
      <c r="A3" s="112" t="str">
        <f>'C - overzicht'!C11</f>
        <v>schoor</v>
      </c>
      <c r="B3" s="112">
        <f>'C - overzicht'!B11</f>
        <v>0</v>
      </c>
      <c r="C3" s="112" t="str">
        <f>IF('C - overzicht'!K11&gt;'C - overzicht'!M11,ROUND('C - overzicht'!K11,0)&amp;" [UGT]",'C - overzicht'!M11&amp;" [BGT]")</f>
        <v>0 [BGT]</v>
      </c>
      <c r="D3" s="112">
        <f>'C - overzicht'!Y11</f>
        <v>7</v>
      </c>
      <c r="E3" s="112" t="str">
        <f>'C - overzicht'!Z11&amp;"x "&amp;'C - overzicht'!AB11</f>
        <v>1x 435,5</v>
      </c>
      <c r="F3" s="114">
        <f>'C - overzicht'!AD11</f>
        <v>0</v>
      </c>
      <c r="G3" s="114">
        <f>'C - overzicht'!AE11</f>
        <v>0</v>
      </c>
      <c r="H3" s="112"/>
      <c r="I3" s="112">
        <f>'C - overzicht'!B11</f>
        <v>0</v>
      </c>
      <c r="J3" s="117">
        <f>'C - overzicht'!V11</f>
        <v>0</v>
      </c>
      <c r="K3" s="112">
        <f>'C - overzicht'!W11</f>
        <v>20</v>
      </c>
      <c r="L3" s="117">
        <f>250*K3*'C - overzicht'!$V$5/10^3</f>
        <v>1775</v>
      </c>
      <c r="M3" s="114">
        <f>'C - overzicht'!X11</f>
        <v>0</v>
      </c>
      <c r="N3" s="112">
        <f>'C - overzicht'!AF11</f>
        <v>5</v>
      </c>
      <c r="O3" s="112" t="str">
        <f>"2x "&amp;'C - overzicht'!AI11</f>
        <v>2x 250</v>
      </c>
      <c r="P3" s="114">
        <f>'C - overzicht'!AJ11</f>
        <v>0</v>
      </c>
      <c r="Q3" s="114">
        <f>'C - overzicht'!AK11</f>
        <v>0</v>
      </c>
      <c r="R3" s="111"/>
      <c r="S3" s="112">
        <f>'C - overzicht'!B11</f>
        <v>0</v>
      </c>
      <c r="T3" s="115">
        <f>'C - overzicht'!D11</f>
        <v>0</v>
      </c>
      <c r="U3" s="115">
        <f>'C - overzicht'!E11</f>
        <v>0</v>
      </c>
      <c r="V3" s="118">
        <f>'C - overzicht'!F11</f>
        <v>355</v>
      </c>
      <c r="W3" s="119">
        <f>'C - overzicht'!G11</f>
        <v>0</v>
      </c>
      <c r="X3" s="115">
        <f>'C - overzicht'!J11</f>
        <v>0</v>
      </c>
      <c r="Y3" s="115">
        <f>'C - overzicht'!M11</f>
        <v>0</v>
      </c>
      <c r="Z3" s="119" t="e">
        <f>'C - overzicht'!O11</f>
        <v>#DIV/0!</v>
      </c>
      <c r="AA3" s="119" t="e">
        <f>'C - overzicht'!P11</f>
        <v>#DIV/0!</v>
      </c>
      <c r="AC3" s="112" t="str">
        <f>'D - Gording'!E9</f>
        <v>A</v>
      </c>
      <c r="AD3" s="112" t="str">
        <f>'D - Gording'!E8</f>
        <v>1 t/m 5</v>
      </c>
      <c r="AE3" s="112" t="str">
        <f>'invoer gording'!B8</f>
        <v>HEB 600</v>
      </c>
      <c r="AF3" s="113">
        <f>'D - Gording'!E11</f>
        <v>235</v>
      </c>
      <c r="AG3" s="114">
        <f>'D - Gording'!E139</f>
        <v>0.79238273936349179</v>
      </c>
      <c r="AH3" s="114">
        <f>'D - Gording'!E63</f>
        <v>8.1734821588209772E-2</v>
      </c>
      <c r="AJ3" s="33"/>
      <c r="AK3" s="33"/>
      <c r="AL3" s="33"/>
      <c r="AM3" s="33"/>
      <c r="AN3" s="33"/>
      <c r="AO3" s="33"/>
      <c r="AP3" s="33"/>
      <c r="AQ3" s="33"/>
    </row>
    <row r="4" spans="1:43" s="36" customFormat="1" ht="12" customHeight="1" x14ac:dyDescent="0.2">
      <c r="A4" s="112" t="str">
        <f>'C - overzicht'!C12</f>
        <v>schoor</v>
      </c>
      <c r="B4" s="112">
        <f>'C - overzicht'!B12</f>
        <v>0</v>
      </c>
      <c r="C4" s="112" t="str">
        <f>IF('C - overzicht'!K12&gt;'C - overzicht'!M12,ROUND('C - overzicht'!K12,0)&amp;" [UGT]",'C - overzicht'!M12&amp;" [BGT]")</f>
        <v>0 [BGT]</v>
      </c>
      <c r="D4" s="112">
        <f>'C - overzicht'!Y12</f>
        <v>10</v>
      </c>
      <c r="E4" s="112" t="str">
        <f>'C - overzicht'!Z12&amp;"x "&amp;'C - overzicht'!AB12</f>
        <v>2x 1150</v>
      </c>
      <c r="F4" s="114">
        <f>'C - overzicht'!AD12</f>
        <v>0</v>
      </c>
      <c r="G4" s="114">
        <f>'C - overzicht'!AE12</f>
        <v>0</v>
      </c>
      <c r="H4" s="112"/>
      <c r="I4" s="112">
        <f>'C - overzicht'!B12</f>
        <v>0</v>
      </c>
      <c r="J4" s="117">
        <f>'C - overzicht'!V12</f>
        <v>0</v>
      </c>
      <c r="K4" s="112">
        <f>'C - overzicht'!W12</f>
        <v>20</v>
      </c>
      <c r="L4" s="117">
        <f>250*K4*'C - overzicht'!$V$5/10^3</f>
        <v>1775</v>
      </c>
      <c r="M4" s="114">
        <f>'C - overzicht'!X12</f>
        <v>0</v>
      </c>
      <c r="N4" s="112">
        <f>'C - overzicht'!AF12</f>
        <v>9</v>
      </c>
      <c r="O4" s="112" t="str">
        <f>"2x "&amp;'C - overzicht'!AI12</f>
        <v>2x 600</v>
      </c>
      <c r="P4" s="114">
        <f>'C - overzicht'!AJ12</f>
        <v>0</v>
      </c>
      <c r="Q4" s="114">
        <f>'C - overzicht'!AK12</f>
        <v>0</v>
      </c>
      <c r="R4" s="111"/>
      <c r="S4" s="112">
        <f>'C - overzicht'!B12</f>
        <v>0</v>
      </c>
      <c r="T4" s="115">
        <f>'C - overzicht'!D12</f>
        <v>0</v>
      </c>
      <c r="U4" s="115">
        <f>'C - overzicht'!E12</f>
        <v>0</v>
      </c>
      <c r="V4" s="118">
        <f>'C - overzicht'!F12</f>
        <v>355</v>
      </c>
      <c r="W4" s="115">
        <f>'C - overzicht'!G12</f>
        <v>0</v>
      </c>
      <c r="X4" s="115">
        <f>'C - overzicht'!J12</f>
        <v>0</v>
      </c>
      <c r="Y4" s="115">
        <f>'C - overzicht'!M12</f>
        <v>0</v>
      </c>
      <c r="Z4" s="119" t="e">
        <f>'C - overzicht'!O12</f>
        <v>#DIV/0!</v>
      </c>
      <c r="AA4" s="119" t="e">
        <f>'C - overzicht'!P12</f>
        <v>#DIV/0!</v>
      </c>
      <c r="AC4" s="112" t="str">
        <f>'D - Gording'!F9</f>
        <v>B</v>
      </c>
      <c r="AD4" s="112" t="str">
        <f>'D - Gording'!F8</f>
        <v>6 t/m 10</v>
      </c>
      <c r="AE4" s="112" t="str">
        <f>'invoer gording'!C8</f>
        <v>HEB 600</v>
      </c>
      <c r="AF4" s="113">
        <f>'D - Gording'!F11</f>
        <v>235</v>
      </c>
      <c r="AG4" s="114">
        <f>'D - Gording'!F139</f>
        <v>0.79238273936349179</v>
      </c>
      <c r="AH4" s="114">
        <f>'D - Gording'!F63</f>
        <v>0.35317515501078284</v>
      </c>
      <c r="AJ4" s="33"/>
      <c r="AK4" s="33"/>
      <c r="AL4" s="33"/>
      <c r="AM4" s="33"/>
      <c r="AN4" s="33"/>
      <c r="AO4" s="33"/>
      <c r="AP4" s="33"/>
      <c r="AQ4" s="33"/>
    </row>
    <row r="5" spans="1:43" s="36" customFormat="1" ht="12" customHeight="1" x14ac:dyDescent="0.2">
      <c r="A5" s="112" t="str">
        <f>'C - overzicht'!C13</f>
        <v>schoor</v>
      </c>
      <c r="B5" s="112">
        <f>'C - overzicht'!B13</f>
        <v>0</v>
      </c>
      <c r="C5" s="112" t="str">
        <f>IF('C - overzicht'!K13&gt;'C - overzicht'!M13,ROUND('C - overzicht'!K13,0)&amp;" [UGT]",'C - overzicht'!M13&amp;" [BGT]")</f>
        <v>0 [BGT]</v>
      </c>
      <c r="D5" s="112">
        <f>'C - overzicht'!Y13</f>
        <v>8</v>
      </c>
      <c r="E5" s="112" t="str">
        <f>'C - overzicht'!Z13&amp;"x "&amp;'C - overzicht'!AB13</f>
        <v>2x 900</v>
      </c>
      <c r="F5" s="114">
        <f>'C - overzicht'!AD13</f>
        <v>0</v>
      </c>
      <c r="G5" s="114">
        <f>'C - overzicht'!AE13</f>
        <v>0</v>
      </c>
      <c r="H5" s="112"/>
      <c r="I5" s="112">
        <f>'C - overzicht'!B13</f>
        <v>0</v>
      </c>
      <c r="J5" s="117">
        <f>'C - overzicht'!V13</f>
        <v>0</v>
      </c>
      <c r="K5" s="112">
        <f>'C - overzicht'!W13</f>
        <v>30</v>
      </c>
      <c r="L5" s="117">
        <f>250*K5*'C - overzicht'!$V$5/10^3</f>
        <v>2662.5</v>
      </c>
      <c r="M5" s="114">
        <f>'C - overzicht'!X13</f>
        <v>0</v>
      </c>
      <c r="N5" s="112">
        <f>'C - overzicht'!AF13</f>
        <v>9</v>
      </c>
      <c r="O5" s="112" t="str">
        <f>"2x "&amp;'C - overzicht'!AI13</f>
        <v>2x 500</v>
      </c>
      <c r="P5" s="114">
        <f>'C - overzicht'!AJ13</f>
        <v>0</v>
      </c>
      <c r="Q5" s="114">
        <f>'C - overzicht'!AK13</f>
        <v>0</v>
      </c>
      <c r="R5" s="111"/>
      <c r="S5" s="112">
        <f>'C - overzicht'!B13</f>
        <v>0</v>
      </c>
      <c r="T5" s="115">
        <f>'C - overzicht'!D13</f>
        <v>0</v>
      </c>
      <c r="U5" s="115">
        <f>'C - overzicht'!E13</f>
        <v>0</v>
      </c>
      <c r="V5" s="118">
        <f>'C - overzicht'!F13</f>
        <v>355</v>
      </c>
      <c r="W5" s="115">
        <f>'C - overzicht'!G13</f>
        <v>0</v>
      </c>
      <c r="X5" s="115">
        <f>'C - overzicht'!J13</f>
        <v>0</v>
      </c>
      <c r="Y5" s="115">
        <f>'C - overzicht'!M13</f>
        <v>0</v>
      </c>
      <c r="Z5" s="119" t="e">
        <f>'C - overzicht'!O13</f>
        <v>#DIV/0!</v>
      </c>
      <c r="AA5" s="119" t="e">
        <f>'C - overzicht'!P13</f>
        <v>#DIV/0!</v>
      </c>
      <c r="AC5" s="112" t="str">
        <f>'D - Gording'!G9</f>
        <v>C</v>
      </c>
      <c r="AD5" s="112" t="str">
        <f>'D - Gording'!G8</f>
        <v>11 t/m 15</v>
      </c>
      <c r="AE5" s="112" t="str">
        <f>'invoer gording'!D8</f>
        <v>HEB 600</v>
      </c>
      <c r="AF5" s="113">
        <f>'D - Gording'!G11</f>
        <v>235</v>
      </c>
      <c r="AG5" s="114">
        <f>'D - Gording'!G139</f>
        <v>0.36569561863852146</v>
      </c>
      <c r="AH5" s="114">
        <f>'D - Gording'!G63</f>
        <v>0.35317515501078284</v>
      </c>
      <c r="AJ5" s="33"/>
      <c r="AK5" s="33"/>
      <c r="AL5" s="33"/>
      <c r="AM5" s="33"/>
      <c r="AN5" s="33"/>
      <c r="AO5" s="33"/>
      <c r="AP5" s="33"/>
      <c r="AQ5" s="33"/>
    </row>
    <row r="6" spans="1:43" s="36" customFormat="1" ht="12" customHeight="1" x14ac:dyDescent="0.2">
      <c r="A6" s="112" t="str">
        <f>'C - overzicht'!C14</f>
        <v>schoor</v>
      </c>
      <c r="B6" s="112">
        <f>'C - overzicht'!B14</f>
        <v>0</v>
      </c>
      <c r="C6" s="112" t="str">
        <f>IF('C - overzicht'!K14&gt;'C - overzicht'!M14,ROUND('C - overzicht'!K14,0)&amp;" [UGT]",'C - overzicht'!M14&amp;" [BGT]")</f>
        <v>0 [BGT]</v>
      </c>
      <c r="D6" s="112">
        <f>'C - overzicht'!Y14</f>
        <v>8</v>
      </c>
      <c r="E6" s="112" t="str">
        <f>'C - overzicht'!Z14&amp;"x "&amp;'C - overzicht'!AB14</f>
        <v>2x 1150</v>
      </c>
      <c r="F6" s="114">
        <f>'C - overzicht'!AD14</f>
        <v>0</v>
      </c>
      <c r="G6" s="114">
        <f>'C - overzicht'!AE14</f>
        <v>0</v>
      </c>
      <c r="H6" s="112"/>
      <c r="I6" s="112">
        <f>'C - overzicht'!B14</f>
        <v>0</v>
      </c>
      <c r="J6" s="117">
        <f>'C - overzicht'!V14</f>
        <v>0</v>
      </c>
      <c r="K6" s="112">
        <f>'C - overzicht'!W14</f>
        <v>30</v>
      </c>
      <c r="L6" s="117">
        <f>250*K6*'C - overzicht'!$V$5/10^3</f>
        <v>2662.5</v>
      </c>
      <c r="M6" s="114">
        <f>'C - overzicht'!X14</f>
        <v>0</v>
      </c>
      <c r="N6" s="112">
        <f>'C - overzicht'!AF14</f>
        <v>9</v>
      </c>
      <c r="O6" s="112" t="str">
        <f>"2x "&amp;'C - overzicht'!AI14</f>
        <v>2x 500</v>
      </c>
      <c r="P6" s="114">
        <f>'C - overzicht'!AJ14</f>
        <v>0</v>
      </c>
      <c r="Q6" s="114">
        <f>'C - overzicht'!AK14</f>
        <v>0</v>
      </c>
      <c r="R6" s="111"/>
      <c r="S6" s="112">
        <f>'C - overzicht'!B14</f>
        <v>0</v>
      </c>
      <c r="T6" s="115">
        <f>'C - overzicht'!D14</f>
        <v>0</v>
      </c>
      <c r="U6" s="115">
        <f>'C - overzicht'!E14</f>
        <v>0</v>
      </c>
      <c r="V6" s="118">
        <f>'C - overzicht'!F14</f>
        <v>355</v>
      </c>
      <c r="W6" s="115">
        <f>'C - overzicht'!G14</f>
        <v>0</v>
      </c>
      <c r="X6" s="115">
        <f>'C - overzicht'!J14</f>
        <v>0</v>
      </c>
      <c r="Y6" s="115">
        <f>'C - overzicht'!M14</f>
        <v>0</v>
      </c>
      <c r="Z6" s="119" t="e">
        <f>'C - overzicht'!O14</f>
        <v>#DIV/0!</v>
      </c>
      <c r="AA6" s="119" t="e">
        <f>'C - overzicht'!P14</f>
        <v>#DIV/0!</v>
      </c>
      <c r="AC6" s="112" t="str">
        <f>'D - Gording'!H9</f>
        <v>D</v>
      </c>
      <c r="AD6" s="112" t="str">
        <f>'D - Gording'!H8</f>
        <v>16 t/m 20</v>
      </c>
      <c r="AE6" s="112" t="str">
        <f>'invoer gording'!E8</f>
        <v>HEB 700</v>
      </c>
      <c r="AF6" s="113">
        <f>'D - Gording'!H11</f>
        <v>235</v>
      </c>
      <c r="AG6" s="114">
        <f>'D - Gording'!H139</f>
        <v>0.29563418411668685</v>
      </c>
      <c r="AH6" s="114">
        <f>'D - Gording'!H63</f>
        <v>0.27251483502633173</v>
      </c>
      <c r="AJ6" s="33"/>
      <c r="AK6" s="33"/>
      <c r="AL6" s="33"/>
      <c r="AM6" s="33"/>
      <c r="AN6" s="33"/>
      <c r="AO6" s="33"/>
      <c r="AP6" s="33"/>
      <c r="AQ6" s="33"/>
    </row>
    <row r="7" spans="1:43" s="36" customFormat="1" ht="12" customHeight="1" x14ac:dyDescent="0.2">
      <c r="A7" s="112" t="str">
        <f>'C - overzicht'!C15</f>
        <v>schoor</v>
      </c>
      <c r="B7" s="112">
        <f>'C - overzicht'!B15</f>
        <v>0</v>
      </c>
      <c r="C7" s="112" t="str">
        <f>IF('C - overzicht'!K15&gt;'C - overzicht'!M15,ROUND('C - overzicht'!K15,0)&amp;" [UGT]",'C - overzicht'!M15&amp;" [BGT]")</f>
        <v>0 [BGT]</v>
      </c>
      <c r="D7" s="112">
        <f>'C - overzicht'!Y15</f>
        <v>10</v>
      </c>
      <c r="E7" s="112" t="str">
        <f>'C - overzicht'!Z15&amp;"x "&amp;'C - overzicht'!AB15</f>
        <v>2x 600</v>
      </c>
      <c r="F7" s="114">
        <f>'C - overzicht'!AD15</f>
        <v>0</v>
      </c>
      <c r="G7" s="114">
        <f>'C - overzicht'!AE15</f>
        <v>0</v>
      </c>
      <c r="H7" s="112"/>
      <c r="I7" s="112">
        <f>'C - overzicht'!B15</f>
        <v>0</v>
      </c>
      <c r="J7" s="117">
        <f>'C - overzicht'!V15</f>
        <v>0</v>
      </c>
      <c r="K7" s="112">
        <f>'C - overzicht'!W15</f>
        <v>30</v>
      </c>
      <c r="L7" s="117">
        <f>250*K7*'C - overzicht'!$V$5/10^3</f>
        <v>2662.5</v>
      </c>
      <c r="M7" s="114">
        <f>'C - overzicht'!X15</f>
        <v>0</v>
      </c>
      <c r="N7" s="112">
        <f>'C - overzicht'!AF15</f>
        <v>9</v>
      </c>
      <c r="O7" s="112" t="str">
        <f>"2x "&amp;'C - overzicht'!AI15</f>
        <v>2x 600</v>
      </c>
      <c r="P7" s="114">
        <f>'C - overzicht'!AJ15</f>
        <v>0</v>
      </c>
      <c r="Q7" s="114">
        <f>'C - overzicht'!AK15</f>
        <v>0</v>
      </c>
      <c r="R7" s="111"/>
      <c r="S7" s="112">
        <f>'C - overzicht'!B15</f>
        <v>0</v>
      </c>
      <c r="T7" s="115">
        <f>'C - overzicht'!D15</f>
        <v>0</v>
      </c>
      <c r="U7" s="115">
        <f>'C - overzicht'!E15</f>
        <v>0</v>
      </c>
      <c r="V7" s="118">
        <f>'C - overzicht'!F15</f>
        <v>355</v>
      </c>
      <c r="W7" s="115">
        <f>'C - overzicht'!G15</f>
        <v>0</v>
      </c>
      <c r="X7" s="115">
        <f>'C - overzicht'!J15</f>
        <v>0</v>
      </c>
      <c r="Y7" s="115">
        <f>'C - overzicht'!M15</f>
        <v>0</v>
      </c>
      <c r="Z7" s="119" t="e">
        <f>'C - overzicht'!O15</f>
        <v>#DIV/0!</v>
      </c>
      <c r="AA7" s="119" t="e">
        <f>'C - overzicht'!P15</f>
        <v>#DIV/0!</v>
      </c>
      <c r="AC7" s="112" t="str">
        <f>'D - Gording'!I9</f>
        <v>E</v>
      </c>
      <c r="AD7" s="112" t="str">
        <f>'D - Gording'!I8</f>
        <v>21 t/m 25</v>
      </c>
      <c r="AE7" s="112" t="str">
        <f>'invoer gording'!F8</f>
        <v>HEB 800</v>
      </c>
      <c r="AF7" s="113">
        <f>'D - Gording'!I11</f>
        <v>235</v>
      </c>
      <c r="AG7" s="114">
        <f>'D - Gording'!I139</f>
        <v>0.31558862846306035</v>
      </c>
      <c r="AH7" s="114">
        <f>'D - Gording'!I63</f>
        <v>0.22189123446414652</v>
      </c>
      <c r="AJ7" s="33"/>
      <c r="AK7" s="33"/>
      <c r="AL7" s="33"/>
      <c r="AM7" s="33"/>
      <c r="AN7" s="33"/>
      <c r="AO7" s="33"/>
      <c r="AP7" s="33"/>
      <c r="AQ7" s="33"/>
    </row>
    <row r="8" spans="1:43" s="36" customFormat="1" ht="12" customHeight="1" x14ac:dyDescent="0.2">
      <c r="A8" s="112" t="str">
        <f>'C - overzicht'!C16</f>
        <v>schoor</v>
      </c>
      <c r="B8" s="112">
        <f>'C - overzicht'!B16</f>
        <v>0</v>
      </c>
      <c r="C8" s="112" t="str">
        <f>IF('C - overzicht'!K16&gt;'C - overzicht'!M16,ROUND('C - overzicht'!K16,0)&amp;" [UGT]",'C - overzicht'!M16&amp;" [BGT]")</f>
        <v>0 [BGT]</v>
      </c>
      <c r="D8" s="112">
        <f>'C - overzicht'!Y16</f>
        <v>10</v>
      </c>
      <c r="E8" s="112" t="str">
        <f>'C - overzicht'!Z16&amp;"x "&amp;'C - overzicht'!AB16</f>
        <v>2x 600</v>
      </c>
      <c r="F8" s="114">
        <f>'C - overzicht'!AD16</f>
        <v>0</v>
      </c>
      <c r="G8" s="114">
        <f>'C - overzicht'!AE16</f>
        <v>0</v>
      </c>
      <c r="H8" s="112"/>
      <c r="I8" s="112">
        <f>'C - overzicht'!B16</f>
        <v>0</v>
      </c>
      <c r="J8" s="117">
        <f>'C - overzicht'!V16</f>
        <v>0</v>
      </c>
      <c r="K8" s="112">
        <f>'C - overzicht'!W16</f>
        <v>30</v>
      </c>
      <c r="L8" s="117">
        <f>250*K8*'C - overzicht'!$V$5/10^3</f>
        <v>2662.5</v>
      </c>
      <c r="M8" s="114">
        <f>'C - overzicht'!X16</f>
        <v>0</v>
      </c>
      <c r="N8" s="112">
        <f>'C - overzicht'!AF16</f>
        <v>9</v>
      </c>
      <c r="O8" s="112" t="str">
        <f>"2x "&amp;'C - overzicht'!AI16</f>
        <v>2x 600</v>
      </c>
      <c r="P8" s="114">
        <f>'C - overzicht'!AJ16</f>
        <v>0</v>
      </c>
      <c r="Q8" s="114">
        <f>'C - overzicht'!AK16</f>
        <v>0</v>
      </c>
      <c r="R8" s="111"/>
      <c r="S8" s="112">
        <f>'C - overzicht'!B16</f>
        <v>0</v>
      </c>
      <c r="T8" s="115">
        <f>'C - overzicht'!D16</f>
        <v>0</v>
      </c>
      <c r="U8" s="115">
        <f>'C - overzicht'!E16</f>
        <v>0</v>
      </c>
      <c r="V8" s="118">
        <f>'C - overzicht'!F16</f>
        <v>355</v>
      </c>
      <c r="W8" s="115">
        <f>'C - overzicht'!G16</f>
        <v>0</v>
      </c>
      <c r="X8" s="115">
        <f>'C - overzicht'!J16</f>
        <v>0</v>
      </c>
      <c r="Y8" s="115">
        <f>'C - overzicht'!M16</f>
        <v>0</v>
      </c>
      <c r="Z8" s="119" t="e">
        <f>'C - overzicht'!O16</f>
        <v>#DIV/0!</v>
      </c>
      <c r="AA8" s="119" t="e">
        <f>'C - overzicht'!P16</f>
        <v>#DIV/0!</v>
      </c>
      <c r="AC8" s="112" t="str">
        <f>'D - Gording'!J9</f>
        <v>F</v>
      </c>
      <c r="AD8" s="112" t="str">
        <f>'D - Gording'!J8</f>
        <v>26 t/m 30</v>
      </c>
      <c r="AE8" s="112" t="str">
        <f>'invoer gording'!G8</f>
        <v>HEB 700</v>
      </c>
      <c r="AF8" s="113">
        <f>'D - Gording'!J11</f>
        <v>235</v>
      </c>
      <c r="AG8" s="114">
        <f>'D - Gording'!J139</f>
        <v>0.29563418411668685</v>
      </c>
      <c r="AH8" s="114">
        <f>'D - Gording'!J63</f>
        <v>0.27251483502633173</v>
      </c>
      <c r="AJ8" s="33"/>
      <c r="AK8" s="33"/>
      <c r="AL8" s="33"/>
      <c r="AM8" s="33"/>
      <c r="AN8" s="33"/>
      <c r="AO8" s="33"/>
      <c r="AP8" s="33"/>
      <c r="AQ8" s="33"/>
    </row>
    <row r="9" spans="1:43" s="36" customFormat="1" ht="12" customHeight="1" x14ac:dyDescent="0.2">
      <c r="A9" s="112" t="str">
        <f>'C - overzicht'!C17</f>
        <v>schoor</v>
      </c>
      <c r="B9" s="112">
        <f>'C - overzicht'!B17</f>
        <v>0</v>
      </c>
      <c r="C9" s="112" t="str">
        <f>IF('C - overzicht'!K17&gt;'C - overzicht'!M17,ROUND('C - overzicht'!K17,0)&amp;" [UGT]",'C - overzicht'!M17&amp;" [BGT]")</f>
        <v>0 [BGT]</v>
      </c>
      <c r="D9" s="112">
        <f>'C - overzicht'!Y17</f>
        <v>8</v>
      </c>
      <c r="E9" s="112" t="str">
        <f>'C - overzicht'!Z17&amp;"x "&amp;'C - overzicht'!AB17</f>
        <v>2x 600</v>
      </c>
      <c r="F9" s="114">
        <f>'C - overzicht'!AD17</f>
        <v>0</v>
      </c>
      <c r="G9" s="114">
        <f>'C - overzicht'!AE17</f>
        <v>0</v>
      </c>
      <c r="H9" s="112"/>
      <c r="I9" s="112">
        <f>'C - overzicht'!B17</f>
        <v>0</v>
      </c>
      <c r="J9" s="117">
        <f>'C - overzicht'!V17</f>
        <v>0</v>
      </c>
      <c r="K9" s="112">
        <f>'C - overzicht'!W17</f>
        <v>30</v>
      </c>
      <c r="L9" s="117">
        <f>250*K9*'C - overzicht'!$V$5/10^3</f>
        <v>2662.5</v>
      </c>
      <c r="M9" s="114">
        <f>'C - overzicht'!X17</f>
        <v>0</v>
      </c>
      <c r="N9" s="112">
        <f>'C - overzicht'!AF17</f>
        <v>9</v>
      </c>
      <c r="O9" s="112" t="str">
        <f>"2x "&amp;'C - overzicht'!AI17</f>
        <v>2x 500</v>
      </c>
      <c r="P9" s="114">
        <f>'C - overzicht'!AJ17</f>
        <v>0</v>
      </c>
      <c r="Q9" s="114">
        <f>'C - overzicht'!AK17</f>
        <v>0</v>
      </c>
      <c r="R9" s="111"/>
      <c r="S9" s="112">
        <f>'C - overzicht'!B17</f>
        <v>0</v>
      </c>
      <c r="T9" s="115">
        <f>'C - overzicht'!D17</f>
        <v>0</v>
      </c>
      <c r="U9" s="115">
        <f>'C - overzicht'!E17</f>
        <v>0</v>
      </c>
      <c r="V9" s="118">
        <f>'C - overzicht'!F17</f>
        <v>355</v>
      </c>
      <c r="W9" s="115">
        <f>'C - overzicht'!G17</f>
        <v>0</v>
      </c>
      <c r="X9" s="115">
        <f>'C - overzicht'!J17</f>
        <v>0</v>
      </c>
      <c r="Y9" s="115">
        <f>'C - overzicht'!M17</f>
        <v>0</v>
      </c>
      <c r="Z9" s="119" t="e">
        <f>'C - overzicht'!O17</f>
        <v>#DIV/0!</v>
      </c>
      <c r="AA9" s="119" t="e">
        <f>'C - overzicht'!P17</f>
        <v>#DIV/0!</v>
      </c>
      <c r="AC9" s="112" t="str">
        <f>'D - Gording'!K9</f>
        <v>G</v>
      </c>
      <c r="AD9" s="112" t="str">
        <f>'D - Gording'!K8</f>
        <v>31 t/m 35</v>
      </c>
      <c r="AE9" s="112" t="str">
        <f>'invoer gording'!H8</f>
        <v>HEB 400</v>
      </c>
      <c r="AF9" s="113">
        <f>'D - Gording'!K11</f>
        <v>235</v>
      </c>
      <c r="AG9" s="114">
        <f>'D - Gording'!K139</f>
        <v>0.62445095450030041</v>
      </c>
      <c r="AH9" s="114">
        <f>'D - Gording'!K63</f>
        <v>0.7021978793624043</v>
      </c>
      <c r="AJ9" s="33"/>
      <c r="AK9" s="33"/>
      <c r="AL9" s="33"/>
      <c r="AM9" s="33"/>
      <c r="AN9" s="33"/>
      <c r="AO9" s="33"/>
      <c r="AP9" s="33"/>
      <c r="AQ9" s="33"/>
    </row>
    <row r="10" spans="1:43" s="36" customFormat="1" ht="12" customHeight="1" x14ac:dyDescent="0.2">
      <c r="A10" s="112" t="str">
        <f>'C - overzicht'!C18</f>
        <v>schoor</v>
      </c>
      <c r="B10" s="112">
        <f>'C - overzicht'!B18</f>
        <v>0</v>
      </c>
      <c r="C10" s="112" t="str">
        <f>IF('C - overzicht'!K18&gt;'C - overzicht'!M18,ROUND('C - overzicht'!K18,0)&amp;" [UGT]",'C - overzicht'!M18&amp;" [BGT]")</f>
        <v>0 [BGT]</v>
      </c>
      <c r="D10" s="112">
        <f>'C - overzicht'!Y18</f>
        <v>8</v>
      </c>
      <c r="E10" s="112" t="str">
        <f>'C - overzicht'!Z18&amp;"x "&amp;'C - overzicht'!AB18</f>
        <v>2x 600</v>
      </c>
      <c r="F10" s="114">
        <f>'C - overzicht'!AD18</f>
        <v>0</v>
      </c>
      <c r="G10" s="114">
        <f>'C - overzicht'!AE18</f>
        <v>0</v>
      </c>
      <c r="H10" s="112"/>
      <c r="I10" s="112">
        <f>'C - overzicht'!B18</f>
        <v>0</v>
      </c>
      <c r="J10" s="117">
        <f>'C - overzicht'!V18</f>
        <v>0</v>
      </c>
      <c r="K10" s="112">
        <f>'C - overzicht'!W18</f>
        <v>30</v>
      </c>
      <c r="L10" s="117">
        <f>250*K10*'C - overzicht'!$V$5/10^3</f>
        <v>2662.5</v>
      </c>
      <c r="M10" s="114">
        <f>'C - overzicht'!X18</f>
        <v>0</v>
      </c>
      <c r="N10" s="112">
        <f>'C - overzicht'!AF18</f>
        <v>9</v>
      </c>
      <c r="O10" s="112" t="str">
        <f>"2x "&amp;'C - overzicht'!AI18</f>
        <v>2x 500</v>
      </c>
      <c r="P10" s="114">
        <f>'C - overzicht'!AJ18</f>
        <v>0</v>
      </c>
      <c r="Q10" s="114">
        <f>'C - overzicht'!AK18</f>
        <v>0</v>
      </c>
      <c r="R10" s="111"/>
      <c r="S10" s="112">
        <f>'C - overzicht'!B18</f>
        <v>0</v>
      </c>
      <c r="T10" s="115">
        <f>'C - overzicht'!D18</f>
        <v>0</v>
      </c>
      <c r="U10" s="115">
        <f>'C - overzicht'!E18</f>
        <v>0</v>
      </c>
      <c r="V10" s="118">
        <f>'C - overzicht'!F18</f>
        <v>355</v>
      </c>
      <c r="W10" s="115">
        <f>'C - overzicht'!G18</f>
        <v>0</v>
      </c>
      <c r="X10" s="115">
        <f>'C - overzicht'!J18</f>
        <v>0</v>
      </c>
      <c r="Y10" s="115">
        <f>'C - overzicht'!M18</f>
        <v>0</v>
      </c>
      <c r="Z10" s="119" t="e">
        <f>'C - overzicht'!O18</f>
        <v>#DIV/0!</v>
      </c>
      <c r="AA10" s="119" t="e">
        <f>'C - overzicht'!P18</f>
        <v>#DIV/0!</v>
      </c>
      <c r="AC10" s="112" t="str">
        <f>'D - Gording'!L9</f>
        <v>H</v>
      </c>
      <c r="AD10" s="112" t="str">
        <f>'D - Gording'!L8</f>
        <v>36 t/m 40</v>
      </c>
      <c r="AE10" s="112" t="str">
        <f>'invoer gording'!I8</f>
        <v>HEB 600</v>
      </c>
      <c r="AF10" s="113">
        <f>'D - Gording'!L11</f>
        <v>235</v>
      </c>
      <c r="AG10" s="114">
        <f>'D - Gording'!L139</f>
        <v>0.36569561863852146</v>
      </c>
      <c r="AH10" s="114">
        <f>'D - Gording'!L63</f>
        <v>0.35317515501078284</v>
      </c>
      <c r="AJ10" s="33"/>
      <c r="AK10" s="33"/>
      <c r="AL10" s="33"/>
      <c r="AM10" s="33"/>
      <c r="AN10" s="33"/>
      <c r="AO10" s="33"/>
      <c r="AP10" s="33"/>
      <c r="AQ10" s="33"/>
    </row>
    <row r="11" spans="1:43" s="36" customFormat="1" ht="12" customHeight="1" x14ac:dyDescent="0.2">
      <c r="A11" s="112" t="str">
        <f>'C - overzicht'!C19</f>
        <v>schoor</v>
      </c>
      <c r="B11" s="112">
        <f>'C - overzicht'!B19</f>
        <v>0</v>
      </c>
      <c r="C11" s="112" t="str">
        <f>IF('C - overzicht'!K19&gt;'C - overzicht'!M19,ROUND('C - overzicht'!K19,0)&amp;" [UGT]",'C - overzicht'!M19&amp;" [BGT]")</f>
        <v>0 [BGT]</v>
      </c>
      <c r="D11" s="112">
        <f>'C - overzicht'!Y19</f>
        <v>8</v>
      </c>
      <c r="E11" s="112" t="str">
        <f>'C - overzicht'!Z19&amp;"x "&amp;'C - overzicht'!AB19</f>
        <v>2x 600</v>
      </c>
      <c r="F11" s="114">
        <f>'C - overzicht'!AD19</f>
        <v>0</v>
      </c>
      <c r="G11" s="114">
        <f>'C - overzicht'!AE19</f>
        <v>0</v>
      </c>
      <c r="H11" s="112"/>
      <c r="I11" s="112">
        <f>'C - overzicht'!B19</f>
        <v>0</v>
      </c>
      <c r="J11" s="117">
        <f>'C - overzicht'!V19</f>
        <v>0</v>
      </c>
      <c r="K11" s="112">
        <f>'C - overzicht'!W19</f>
        <v>30</v>
      </c>
      <c r="L11" s="117">
        <f>250*K11*'C - overzicht'!$V$5/10^3</f>
        <v>2662.5</v>
      </c>
      <c r="M11" s="114">
        <f>'C - overzicht'!X19</f>
        <v>0</v>
      </c>
      <c r="N11" s="112">
        <f>'C - overzicht'!AF19</f>
        <v>9</v>
      </c>
      <c r="O11" s="112" t="str">
        <f>"2x "&amp;'C - overzicht'!AI19</f>
        <v>2x 600</v>
      </c>
      <c r="P11" s="114">
        <f>'C - overzicht'!AJ19</f>
        <v>0</v>
      </c>
      <c r="Q11" s="114">
        <f>'C - overzicht'!AK19</f>
        <v>0</v>
      </c>
      <c r="R11" s="111"/>
      <c r="S11" s="112">
        <f>'C - overzicht'!B19</f>
        <v>0</v>
      </c>
      <c r="T11" s="115">
        <f>'C - overzicht'!D19</f>
        <v>0</v>
      </c>
      <c r="U11" s="115">
        <f>'C - overzicht'!E19</f>
        <v>0</v>
      </c>
      <c r="V11" s="118">
        <f>'C - overzicht'!F19</f>
        <v>355</v>
      </c>
      <c r="W11" s="115">
        <f>'C - overzicht'!G19</f>
        <v>0</v>
      </c>
      <c r="X11" s="115">
        <f>'C - overzicht'!J19</f>
        <v>0</v>
      </c>
      <c r="Y11" s="115">
        <f>'C - overzicht'!M19</f>
        <v>0</v>
      </c>
      <c r="Z11" s="119" t="e">
        <f>'C - overzicht'!O19</f>
        <v>#DIV/0!</v>
      </c>
      <c r="AA11" s="119" t="e">
        <f>'C - overzicht'!P19</f>
        <v>#DIV/0!</v>
      </c>
      <c r="AC11" s="112" t="str">
        <f>'D - Gording'!M9</f>
        <v>I</v>
      </c>
      <c r="AD11" s="112" t="str">
        <f>'D - Gording'!M8</f>
        <v>41 t/m 45</v>
      </c>
      <c r="AE11" s="112" t="str">
        <f>'invoer gording'!J8</f>
        <v>HEB 800</v>
      </c>
      <c r="AF11" s="113">
        <f>'D - Gording'!M11</f>
        <v>235</v>
      </c>
      <c r="AG11" s="114">
        <f>'D - Gording'!M139</f>
        <v>0.31558862846306035</v>
      </c>
      <c r="AH11" s="114">
        <f>'D - Gording'!M63</f>
        <v>0.22189123446414652</v>
      </c>
      <c r="AJ11" s="33"/>
      <c r="AK11" s="33"/>
      <c r="AL11" s="33"/>
      <c r="AM11" s="33"/>
      <c r="AN11" s="33"/>
      <c r="AO11" s="33"/>
      <c r="AP11" s="33"/>
      <c r="AQ11" s="33"/>
    </row>
    <row r="12" spans="1:43" s="36" customFormat="1" ht="12" customHeight="1" x14ac:dyDescent="0.2">
      <c r="A12" s="112" t="str">
        <f>'C - overzicht'!C20</f>
        <v>schoor</v>
      </c>
      <c r="B12" s="112">
        <f>'C - overzicht'!B20</f>
        <v>0</v>
      </c>
      <c r="C12" s="112" t="str">
        <f>IF('C - overzicht'!K20&gt;'C - overzicht'!M20,ROUND('C - overzicht'!K20,0)&amp;" [UGT]",'C - overzicht'!M20&amp;" [BGT]")</f>
        <v>0 [BGT]</v>
      </c>
      <c r="D12" s="112">
        <f>'C - overzicht'!Y20</f>
        <v>8</v>
      </c>
      <c r="E12" s="112" t="str">
        <f>'C - overzicht'!Z20&amp;"x "&amp;'C - overzicht'!AB20</f>
        <v>2x 600</v>
      </c>
      <c r="F12" s="114">
        <f>'C - overzicht'!AD20</f>
        <v>0</v>
      </c>
      <c r="G12" s="114">
        <f>'C - overzicht'!AE20</f>
        <v>0</v>
      </c>
      <c r="H12" s="112"/>
      <c r="I12" s="112">
        <f>'C - overzicht'!B20</f>
        <v>0</v>
      </c>
      <c r="J12" s="117">
        <f>'C - overzicht'!V20</f>
        <v>0</v>
      </c>
      <c r="K12" s="112">
        <f>'C - overzicht'!W20</f>
        <v>30</v>
      </c>
      <c r="L12" s="117">
        <f>250*K12*'C - overzicht'!$V$5/10^3</f>
        <v>2662.5</v>
      </c>
      <c r="M12" s="114">
        <f>'C - overzicht'!X20</f>
        <v>0</v>
      </c>
      <c r="N12" s="112">
        <f>'C - overzicht'!AF20</f>
        <v>9</v>
      </c>
      <c r="O12" s="112" t="str">
        <f>"2x "&amp;'C - overzicht'!AI20</f>
        <v>2x 600</v>
      </c>
      <c r="P12" s="114">
        <f>'C - overzicht'!AJ20</f>
        <v>0</v>
      </c>
      <c r="Q12" s="114">
        <f>'C - overzicht'!AK20</f>
        <v>0</v>
      </c>
      <c r="R12" s="111"/>
      <c r="S12" s="112">
        <f>'C - overzicht'!B20</f>
        <v>0</v>
      </c>
      <c r="T12" s="115">
        <f>'C - overzicht'!D20</f>
        <v>0</v>
      </c>
      <c r="U12" s="115">
        <f>'C - overzicht'!E20</f>
        <v>0</v>
      </c>
      <c r="V12" s="118">
        <f>'C - overzicht'!F20</f>
        <v>355</v>
      </c>
      <c r="W12" s="115">
        <f>'C - overzicht'!G20</f>
        <v>0</v>
      </c>
      <c r="X12" s="115">
        <f>'C - overzicht'!J20</f>
        <v>0</v>
      </c>
      <c r="Y12" s="115">
        <f>'C - overzicht'!M20</f>
        <v>0</v>
      </c>
      <c r="Z12" s="119" t="e">
        <f>'C - overzicht'!O20</f>
        <v>#DIV/0!</v>
      </c>
      <c r="AA12" s="119" t="e">
        <f>'C - overzicht'!P20</f>
        <v>#DIV/0!</v>
      </c>
      <c r="AC12" s="110"/>
      <c r="AD12" s="110"/>
      <c r="AE12" s="110"/>
      <c r="AF12" s="110"/>
      <c r="AG12" s="110"/>
      <c r="AH12" s="110"/>
    </row>
    <row r="13" spans="1:43" s="36" customFormat="1" ht="12" customHeight="1" x14ac:dyDescent="0.2">
      <c r="A13" s="112" t="str">
        <f>'C - overzicht'!C21</f>
        <v>schoor</v>
      </c>
      <c r="B13" s="112">
        <f>'C - overzicht'!B21</f>
        <v>0</v>
      </c>
      <c r="C13" s="112" t="str">
        <f>IF('C - overzicht'!K21&gt;'C - overzicht'!M21,ROUND('C - overzicht'!K21,0)&amp;" [UGT]",'C - overzicht'!M21&amp;" [BGT]")</f>
        <v>0 [BGT]</v>
      </c>
      <c r="D13" s="112">
        <f>'C - overzicht'!Y21</f>
        <v>6</v>
      </c>
      <c r="E13" s="112" t="str">
        <f>'C - overzicht'!Z21&amp;"x "&amp;'C - overzicht'!AB21</f>
        <v>2x 600</v>
      </c>
      <c r="F13" s="114">
        <f>'C - overzicht'!AD21</f>
        <v>0</v>
      </c>
      <c r="G13" s="114">
        <f>'C - overzicht'!AE21</f>
        <v>0</v>
      </c>
      <c r="H13" s="112"/>
      <c r="I13" s="112">
        <f>'C - overzicht'!B21</f>
        <v>0</v>
      </c>
      <c r="J13" s="117">
        <f>'C - overzicht'!V21</f>
        <v>0</v>
      </c>
      <c r="K13" s="112">
        <f>'C - overzicht'!W21</f>
        <v>30</v>
      </c>
      <c r="L13" s="117">
        <f>250*K13*'C - overzicht'!$V$5/10^3</f>
        <v>2662.5</v>
      </c>
      <c r="M13" s="114">
        <f>'C - overzicht'!X21</f>
        <v>0</v>
      </c>
      <c r="N13" s="112">
        <f>'C - overzicht'!AF21</f>
        <v>9</v>
      </c>
      <c r="O13" s="112" t="str">
        <f>"2x "&amp;'C - overzicht'!AI21</f>
        <v>2x 500</v>
      </c>
      <c r="P13" s="114">
        <f>'C - overzicht'!AJ21</f>
        <v>0</v>
      </c>
      <c r="Q13" s="114">
        <f>'C - overzicht'!AK21</f>
        <v>0</v>
      </c>
      <c r="R13" s="111"/>
      <c r="S13" s="112">
        <f>'C - overzicht'!B21</f>
        <v>0</v>
      </c>
      <c r="T13" s="115">
        <f>'C - overzicht'!D21</f>
        <v>0</v>
      </c>
      <c r="U13" s="115">
        <f>'C - overzicht'!E21</f>
        <v>0</v>
      </c>
      <c r="V13" s="118">
        <f>'C - overzicht'!F21</f>
        <v>355</v>
      </c>
      <c r="W13" s="115">
        <f>'C - overzicht'!G21</f>
        <v>0</v>
      </c>
      <c r="X13" s="115">
        <f>'C - overzicht'!J21</f>
        <v>0</v>
      </c>
      <c r="Y13" s="115">
        <f>'C - overzicht'!M21</f>
        <v>0</v>
      </c>
      <c r="Z13" s="119" t="e">
        <f>'C - overzicht'!O21</f>
        <v>#DIV/0!</v>
      </c>
      <c r="AA13" s="119" t="e">
        <f>'C - overzicht'!P21</f>
        <v>#DIV/0!</v>
      </c>
    </row>
    <row r="14" spans="1:43" s="36" customFormat="1" ht="12" customHeight="1" x14ac:dyDescent="0.2">
      <c r="A14" s="112" t="str">
        <f>'C - overzicht'!C22</f>
        <v>schoor</v>
      </c>
      <c r="B14" s="112">
        <f>'C - overzicht'!B22</f>
        <v>0</v>
      </c>
      <c r="C14" s="112" t="str">
        <f>IF('C - overzicht'!K22&gt;'C - overzicht'!M22,ROUND('C - overzicht'!K22,0)&amp;" [UGT]",'C - overzicht'!M22&amp;" [BGT]")</f>
        <v>0 [BGT]</v>
      </c>
      <c r="D14" s="112">
        <f>'C - overzicht'!Y22</f>
        <v>6</v>
      </c>
      <c r="E14" s="112" t="str">
        <f>'C - overzicht'!Z22&amp;"x "&amp;'C - overzicht'!AB22</f>
        <v>2x 600</v>
      </c>
      <c r="F14" s="114">
        <f>'C - overzicht'!AD22</f>
        <v>0</v>
      </c>
      <c r="G14" s="114">
        <f>'C - overzicht'!AE22</f>
        <v>0</v>
      </c>
      <c r="H14" s="112"/>
      <c r="I14" s="112">
        <f>'C - overzicht'!B22</f>
        <v>0</v>
      </c>
      <c r="J14" s="117">
        <f>'C - overzicht'!V22</f>
        <v>0</v>
      </c>
      <c r="K14" s="112">
        <f>'C - overzicht'!W22</f>
        <v>30</v>
      </c>
      <c r="L14" s="117">
        <f>250*K14*'C - overzicht'!$V$5/10^3</f>
        <v>2662.5</v>
      </c>
      <c r="M14" s="114">
        <f>'C - overzicht'!X22</f>
        <v>0</v>
      </c>
      <c r="N14" s="112">
        <f>'C - overzicht'!AF22</f>
        <v>9</v>
      </c>
      <c r="O14" s="112" t="str">
        <f>"2x "&amp;'C - overzicht'!AI22</f>
        <v>2x 500</v>
      </c>
      <c r="P14" s="114">
        <f>'C - overzicht'!AJ22</f>
        <v>0</v>
      </c>
      <c r="Q14" s="114">
        <f>'C - overzicht'!AK22</f>
        <v>0</v>
      </c>
      <c r="R14" s="111"/>
      <c r="S14" s="112">
        <f>'C - overzicht'!B22</f>
        <v>0</v>
      </c>
      <c r="T14" s="115">
        <f>'C - overzicht'!D22</f>
        <v>0</v>
      </c>
      <c r="U14" s="115">
        <f>'C - overzicht'!E22</f>
        <v>0</v>
      </c>
      <c r="V14" s="118">
        <f>'C - overzicht'!F22</f>
        <v>355</v>
      </c>
      <c r="W14" s="115">
        <f>'C - overzicht'!G22</f>
        <v>0</v>
      </c>
      <c r="X14" s="115">
        <f>'C - overzicht'!J22</f>
        <v>0</v>
      </c>
      <c r="Y14" s="115">
        <f>'C - overzicht'!M22</f>
        <v>0</v>
      </c>
      <c r="Z14" s="119" t="e">
        <f>'C - overzicht'!O22</f>
        <v>#DIV/0!</v>
      </c>
      <c r="AA14" s="119" t="e">
        <f>'C - overzicht'!P22</f>
        <v>#DIV/0!</v>
      </c>
    </row>
    <row r="15" spans="1:43" s="36" customFormat="1" ht="12" customHeight="1" x14ac:dyDescent="0.2">
      <c r="A15" s="112" t="str">
        <f>'C - overzicht'!C23</f>
        <v>schoor</v>
      </c>
      <c r="B15" s="112">
        <f>'C - overzicht'!B23</f>
        <v>0</v>
      </c>
      <c r="C15" s="112" t="str">
        <f>IF('C - overzicht'!K23&gt;'C - overzicht'!M23,ROUND('C - overzicht'!K23,0)&amp;" [UGT]",'C - overzicht'!M23&amp;" [BGT]")</f>
        <v>0 [BGT]</v>
      </c>
      <c r="D15" s="112">
        <f>'C - overzicht'!Y23</f>
        <v>8</v>
      </c>
      <c r="E15" s="112" t="str">
        <f>'C - overzicht'!Z23&amp;"x "&amp;'C - overzicht'!AB23</f>
        <v>2x 600</v>
      </c>
      <c r="F15" s="114">
        <f>'C - overzicht'!AD23</f>
        <v>0</v>
      </c>
      <c r="G15" s="114">
        <f>'C - overzicht'!AE23</f>
        <v>0</v>
      </c>
      <c r="H15" s="112"/>
      <c r="I15" s="112">
        <f>'C - overzicht'!B23</f>
        <v>0</v>
      </c>
      <c r="J15" s="117">
        <f>'C - overzicht'!V23</f>
        <v>0</v>
      </c>
      <c r="K15" s="112">
        <f>'C - overzicht'!W23</f>
        <v>30</v>
      </c>
      <c r="L15" s="117">
        <f>250*K15*'C - overzicht'!$V$5/10^3</f>
        <v>2662.5</v>
      </c>
      <c r="M15" s="114">
        <f>'C - overzicht'!X23</f>
        <v>0</v>
      </c>
      <c r="N15" s="112">
        <f>'C - overzicht'!AF23</f>
        <v>9</v>
      </c>
      <c r="O15" s="112" t="str">
        <f>"2x "&amp;'C - overzicht'!AI23</f>
        <v>2x 600</v>
      </c>
      <c r="P15" s="114">
        <f>'C - overzicht'!AJ23</f>
        <v>0</v>
      </c>
      <c r="Q15" s="114">
        <f>'C - overzicht'!AK23</f>
        <v>0</v>
      </c>
      <c r="R15" s="111"/>
      <c r="S15" s="112">
        <f>'C - overzicht'!B23</f>
        <v>0</v>
      </c>
      <c r="T15" s="115">
        <f>'C - overzicht'!D23</f>
        <v>0</v>
      </c>
      <c r="U15" s="115">
        <f>'C - overzicht'!E23</f>
        <v>0</v>
      </c>
      <c r="V15" s="118">
        <f>'C - overzicht'!F23</f>
        <v>355</v>
      </c>
      <c r="W15" s="115">
        <f>'C - overzicht'!G23</f>
        <v>0</v>
      </c>
      <c r="X15" s="115">
        <f>'C - overzicht'!J23</f>
        <v>0</v>
      </c>
      <c r="Y15" s="115">
        <f>'C - overzicht'!M23</f>
        <v>0</v>
      </c>
      <c r="Z15" s="119" t="e">
        <f>'C - overzicht'!O23</f>
        <v>#DIV/0!</v>
      </c>
      <c r="AA15" s="119" t="e">
        <f>'C - overzicht'!P23</f>
        <v>#DIV/0!</v>
      </c>
    </row>
    <row r="16" spans="1:43" s="36" customFormat="1" ht="12" customHeight="1" x14ac:dyDescent="0.2">
      <c r="A16" s="112" t="str">
        <f>'C - overzicht'!C24</f>
        <v>schoor</v>
      </c>
      <c r="B16" s="112">
        <f>'C - overzicht'!B24</f>
        <v>0</v>
      </c>
      <c r="C16" s="112" t="str">
        <f>IF('C - overzicht'!K24&gt;'C - overzicht'!M24,ROUND('C - overzicht'!K24,0)&amp;" [UGT]",'C - overzicht'!M24&amp;" [BGT]")</f>
        <v>0 [BGT]</v>
      </c>
      <c r="D16" s="112">
        <f>'C - overzicht'!Y24</f>
        <v>6</v>
      </c>
      <c r="E16" s="112" t="str">
        <f>'C - overzicht'!Z24&amp;"x "&amp;'C - overzicht'!AB24</f>
        <v>2x 600</v>
      </c>
      <c r="F16" s="114">
        <f>'C - overzicht'!AD24</f>
        <v>0</v>
      </c>
      <c r="G16" s="114">
        <f>'C - overzicht'!AE24</f>
        <v>0</v>
      </c>
      <c r="H16" s="112"/>
      <c r="I16" s="112">
        <f>'C - overzicht'!B24</f>
        <v>0</v>
      </c>
      <c r="J16" s="117">
        <f>'C - overzicht'!V24</f>
        <v>0</v>
      </c>
      <c r="K16" s="112">
        <f>'C - overzicht'!W24</f>
        <v>30</v>
      </c>
      <c r="L16" s="117">
        <f>250*K16*'C - overzicht'!$V$5/10^3</f>
        <v>2662.5</v>
      </c>
      <c r="M16" s="114">
        <f>'C - overzicht'!X24</f>
        <v>0</v>
      </c>
      <c r="N16" s="112">
        <f>'C - overzicht'!AF24</f>
        <v>9</v>
      </c>
      <c r="O16" s="112" t="str">
        <f>"2x "&amp;'C - overzicht'!AI24</f>
        <v>2x 500</v>
      </c>
      <c r="P16" s="114">
        <f>'C - overzicht'!AJ24</f>
        <v>0</v>
      </c>
      <c r="Q16" s="114">
        <f>'C - overzicht'!AK24</f>
        <v>0</v>
      </c>
      <c r="R16" s="111"/>
      <c r="S16" s="112">
        <f>'C - overzicht'!B24</f>
        <v>0</v>
      </c>
      <c r="T16" s="115">
        <f>'C - overzicht'!D24</f>
        <v>0</v>
      </c>
      <c r="U16" s="115">
        <f>'C - overzicht'!E24</f>
        <v>0</v>
      </c>
      <c r="V16" s="118">
        <f>'C - overzicht'!F24</f>
        <v>355</v>
      </c>
      <c r="W16" s="115">
        <f>'C - overzicht'!G24</f>
        <v>0</v>
      </c>
      <c r="X16" s="115">
        <f>'C - overzicht'!J24</f>
        <v>0</v>
      </c>
      <c r="Y16" s="115">
        <f>'C - overzicht'!M24</f>
        <v>0</v>
      </c>
      <c r="Z16" s="119" t="e">
        <f>'C - overzicht'!O24</f>
        <v>#DIV/0!</v>
      </c>
      <c r="AA16" s="119" t="e">
        <f>'C - overzicht'!P24</f>
        <v>#DIV/0!</v>
      </c>
    </row>
    <row r="17" spans="1:27" s="36" customFormat="1" ht="12" customHeight="1" x14ac:dyDescent="0.2">
      <c r="A17" s="112" t="str">
        <f>'C - overzicht'!C25</f>
        <v>schoor</v>
      </c>
      <c r="B17" s="112">
        <f>'C - overzicht'!B25</f>
        <v>0</v>
      </c>
      <c r="C17" s="112" t="str">
        <f>IF('C - overzicht'!K25&gt;'C - overzicht'!M25,ROUND('C - overzicht'!K25,0)&amp;" [UGT]",'C - overzicht'!M25&amp;" [BGT]")</f>
        <v>0 [BGT]</v>
      </c>
      <c r="D17" s="112">
        <f>'C - overzicht'!Y25</f>
        <v>6</v>
      </c>
      <c r="E17" s="112" t="str">
        <f>'C - overzicht'!Z25&amp;"x "&amp;'C - overzicht'!AB25</f>
        <v>2x 600</v>
      </c>
      <c r="F17" s="114">
        <f>'C - overzicht'!AD25</f>
        <v>0</v>
      </c>
      <c r="G17" s="114">
        <f>'C - overzicht'!AE25</f>
        <v>0</v>
      </c>
      <c r="H17" s="112"/>
      <c r="I17" s="112">
        <f>'C - overzicht'!B25</f>
        <v>0</v>
      </c>
      <c r="J17" s="117">
        <f>'C - overzicht'!V25</f>
        <v>0</v>
      </c>
      <c r="K17" s="112">
        <f>'C - overzicht'!W25</f>
        <v>30</v>
      </c>
      <c r="L17" s="117">
        <f>250*K17*'C - overzicht'!$V$5/10^3</f>
        <v>2662.5</v>
      </c>
      <c r="M17" s="114">
        <f>'C - overzicht'!X25</f>
        <v>0</v>
      </c>
      <c r="N17" s="112">
        <f>'C - overzicht'!AF25</f>
        <v>9</v>
      </c>
      <c r="O17" s="112" t="str">
        <f>"2x "&amp;'C - overzicht'!AI25</f>
        <v>2x 500</v>
      </c>
      <c r="P17" s="114">
        <f>'C - overzicht'!AJ25</f>
        <v>0</v>
      </c>
      <c r="Q17" s="114">
        <f>'C - overzicht'!AK25</f>
        <v>0</v>
      </c>
      <c r="R17" s="111"/>
      <c r="S17" s="112">
        <f>'C - overzicht'!B25</f>
        <v>0</v>
      </c>
      <c r="T17" s="115">
        <f>'C - overzicht'!D25</f>
        <v>0</v>
      </c>
      <c r="U17" s="115">
        <f>'C - overzicht'!E25</f>
        <v>0</v>
      </c>
      <c r="V17" s="118">
        <f>'C - overzicht'!F25</f>
        <v>355</v>
      </c>
      <c r="W17" s="115">
        <f>'C - overzicht'!G25</f>
        <v>0</v>
      </c>
      <c r="X17" s="115">
        <f>'C - overzicht'!J25</f>
        <v>0</v>
      </c>
      <c r="Y17" s="115">
        <f>'C - overzicht'!M25</f>
        <v>0</v>
      </c>
      <c r="Z17" s="119" t="e">
        <f>'C - overzicht'!O25</f>
        <v>#DIV/0!</v>
      </c>
      <c r="AA17" s="119" t="e">
        <f>'C - overzicht'!P25</f>
        <v>#DIV/0!</v>
      </c>
    </row>
    <row r="18" spans="1:27" s="36" customFormat="1" ht="12" customHeight="1" x14ac:dyDescent="0.2">
      <c r="A18" s="112" t="str">
        <f>'C - overzicht'!C26</f>
        <v>schoor</v>
      </c>
      <c r="B18" s="112">
        <f>'C - overzicht'!B26</f>
        <v>0</v>
      </c>
      <c r="C18" s="112" t="str">
        <f>IF('C - overzicht'!K26&gt;'C - overzicht'!M26,ROUND('C - overzicht'!K26,0)&amp;" [UGT]",'C - overzicht'!M26&amp;" [BGT]")</f>
        <v>0 [BGT]</v>
      </c>
      <c r="D18" s="112">
        <f>'C - overzicht'!Y26</f>
        <v>6</v>
      </c>
      <c r="E18" s="112" t="str">
        <f>'C - overzicht'!Z26&amp;"x "&amp;'C - overzicht'!AB26</f>
        <v>2x 600</v>
      </c>
      <c r="F18" s="114">
        <f>'C - overzicht'!AD26</f>
        <v>0</v>
      </c>
      <c r="G18" s="114">
        <f>'C - overzicht'!AE26</f>
        <v>0</v>
      </c>
      <c r="H18" s="112"/>
      <c r="I18" s="112">
        <f>'C - overzicht'!B26</f>
        <v>0</v>
      </c>
      <c r="J18" s="117">
        <f>'C - overzicht'!V26</f>
        <v>0</v>
      </c>
      <c r="K18" s="112">
        <f>'C - overzicht'!W26</f>
        <v>30</v>
      </c>
      <c r="L18" s="117">
        <f>250*K18*'C - overzicht'!$V$5/10^3</f>
        <v>2662.5</v>
      </c>
      <c r="M18" s="114">
        <f>'C - overzicht'!X26</f>
        <v>0</v>
      </c>
      <c r="N18" s="112">
        <f>'C - overzicht'!AF26</f>
        <v>9</v>
      </c>
      <c r="O18" s="112" t="str">
        <f>"2x "&amp;'C - overzicht'!AI26</f>
        <v>2x 500</v>
      </c>
      <c r="P18" s="114">
        <f>'C - overzicht'!AJ26</f>
        <v>0</v>
      </c>
      <c r="Q18" s="114">
        <f>'C - overzicht'!AK26</f>
        <v>0</v>
      </c>
      <c r="R18" s="111"/>
      <c r="S18" s="112">
        <f>'C - overzicht'!B26</f>
        <v>0</v>
      </c>
      <c r="T18" s="115">
        <f>'C - overzicht'!D26</f>
        <v>0</v>
      </c>
      <c r="U18" s="115">
        <f>'C - overzicht'!E26</f>
        <v>0</v>
      </c>
      <c r="V18" s="118">
        <f>'C - overzicht'!F26</f>
        <v>355</v>
      </c>
      <c r="W18" s="115">
        <f>'C - overzicht'!G26</f>
        <v>0</v>
      </c>
      <c r="X18" s="115">
        <f>'C - overzicht'!J26</f>
        <v>0</v>
      </c>
      <c r="Y18" s="115">
        <f>'C - overzicht'!M26</f>
        <v>0</v>
      </c>
      <c r="Z18" s="119" t="e">
        <f>'C - overzicht'!O26</f>
        <v>#DIV/0!</v>
      </c>
      <c r="AA18" s="119" t="e">
        <f>'C - overzicht'!P26</f>
        <v>#DIV/0!</v>
      </c>
    </row>
    <row r="19" spans="1:27" s="36" customFormat="1" ht="12" hidden="1" customHeight="1" x14ac:dyDescent="0.2">
      <c r="A19" s="112" t="str">
        <f>'C - overzicht'!C27</f>
        <v>schoor</v>
      </c>
      <c r="B19" s="112">
        <f>'C - overzicht'!B27</f>
        <v>0</v>
      </c>
      <c r="C19" s="112" t="str">
        <f>IF('C - overzicht'!K27&gt;'C - overzicht'!M27,ROUND('C - overzicht'!K27,0)&amp;" [UGT]",'C - overzicht'!M27&amp;" [BGT]")</f>
        <v>0 [BGT]</v>
      </c>
      <c r="D19" s="112">
        <f>'C - overzicht'!Y27</f>
        <v>6</v>
      </c>
      <c r="E19" s="112" t="str">
        <f>'C - overzicht'!Z27&amp;"x "&amp;'C - overzicht'!AB27</f>
        <v>2x 600</v>
      </c>
      <c r="F19" s="114">
        <f>'C - overzicht'!AD27</f>
        <v>0</v>
      </c>
      <c r="G19" s="114">
        <f>'C - overzicht'!AE27</f>
        <v>0</v>
      </c>
      <c r="H19" s="112"/>
      <c r="I19" s="112">
        <f>'C - overzicht'!B27</f>
        <v>0</v>
      </c>
      <c r="J19" s="117">
        <f>'C - overzicht'!V27</f>
        <v>0</v>
      </c>
      <c r="K19" s="112">
        <f>'C - overzicht'!W27</f>
        <v>25</v>
      </c>
      <c r="L19" s="117">
        <f>250*K19*'C - overzicht'!$V$5/10^3</f>
        <v>2218.75</v>
      </c>
      <c r="M19" s="114">
        <f>'C - overzicht'!X27</f>
        <v>0</v>
      </c>
      <c r="N19" s="112">
        <f>'C - overzicht'!AF27</f>
        <v>6</v>
      </c>
      <c r="O19" s="112" t="str">
        <f>"2x "&amp;'C - overzicht'!AI27</f>
        <v>2x 500</v>
      </c>
      <c r="P19" s="114">
        <f>'C - overzicht'!AJ27</f>
        <v>0</v>
      </c>
      <c r="Q19" s="114">
        <f>'C - overzicht'!AK27</f>
        <v>0</v>
      </c>
      <c r="R19" s="111"/>
      <c r="S19" s="112">
        <f>'C - overzicht'!B27</f>
        <v>0</v>
      </c>
      <c r="T19" s="115">
        <f>'C - overzicht'!D27</f>
        <v>0</v>
      </c>
      <c r="U19" s="115">
        <f>'C - overzicht'!E27</f>
        <v>0</v>
      </c>
      <c r="V19" s="118">
        <f>'C - overzicht'!F27</f>
        <v>355</v>
      </c>
      <c r="W19" s="115">
        <f>'C - overzicht'!G27</f>
        <v>0</v>
      </c>
      <c r="X19" s="115">
        <f>'C - overzicht'!J27</f>
        <v>0</v>
      </c>
      <c r="Y19" s="115">
        <f>'C - overzicht'!M27</f>
        <v>0</v>
      </c>
      <c r="Z19" s="119" t="e">
        <f>'C - overzicht'!O27</f>
        <v>#DIV/0!</v>
      </c>
      <c r="AA19" s="119" t="e">
        <f>'C - overzicht'!P27</f>
        <v>#DIV/0!</v>
      </c>
    </row>
    <row r="20" spans="1:27" s="36" customFormat="1" ht="12" hidden="1" customHeight="1" x14ac:dyDescent="0.2">
      <c r="A20" s="112" t="str">
        <f>'C - overzicht'!C28</f>
        <v>schoor</v>
      </c>
      <c r="B20" s="112">
        <f>'C - overzicht'!B28</f>
        <v>0</v>
      </c>
      <c r="C20" s="112" t="str">
        <f>IF('C - overzicht'!K28&gt;'C - overzicht'!M28,ROUND('C - overzicht'!K28,0)&amp;" [UGT]",'C - overzicht'!M28&amp;" [BGT]")</f>
        <v>0 [BGT]</v>
      </c>
      <c r="D20" s="112">
        <f>'C - overzicht'!Y28</f>
        <v>6</v>
      </c>
      <c r="E20" s="112" t="str">
        <f>'C - overzicht'!Z28&amp;"x "&amp;'C - overzicht'!AB28</f>
        <v>2x 450</v>
      </c>
      <c r="F20" s="114">
        <f>'C - overzicht'!AD28</f>
        <v>0</v>
      </c>
      <c r="G20" s="114">
        <f>'C - overzicht'!AE28</f>
        <v>0</v>
      </c>
      <c r="H20" s="112"/>
      <c r="I20" s="112">
        <f>'C - overzicht'!B28</f>
        <v>0</v>
      </c>
      <c r="J20" s="117">
        <f>'C - overzicht'!V28</f>
        <v>0</v>
      </c>
      <c r="K20" s="112">
        <f>'C - overzicht'!W28</f>
        <v>25</v>
      </c>
      <c r="L20" s="117">
        <f>250*K20*'C - overzicht'!$V$5/10^3</f>
        <v>2218.75</v>
      </c>
      <c r="M20" s="114">
        <f>'C - overzicht'!X28</f>
        <v>0</v>
      </c>
      <c r="N20" s="112">
        <f>'C - overzicht'!AF28</f>
        <v>6</v>
      </c>
      <c r="O20" s="112" t="str">
        <f>"2x "&amp;'C - overzicht'!AI28</f>
        <v>2x 500</v>
      </c>
      <c r="P20" s="114">
        <f>'C - overzicht'!AJ28</f>
        <v>0</v>
      </c>
      <c r="Q20" s="114">
        <f>'C - overzicht'!AK28</f>
        <v>0</v>
      </c>
      <c r="R20" s="111"/>
      <c r="S20" s="112">
        <f>'C - overzicht'!B28</f>
        <v>0</v>
      </c>
      <c r="T20" s="115">
        <f>'C - overzicht'!D28</f>
        <v>0</v>
      </c>
      <c r="U20" s="115">
        <f>'C - overzicht'!E28</f>
        <v>0</v>
      </c>
      <c r="V20" s="118">
        <f>'C - overzicht'!F28</f>
        <v>355</v>
      </c>
      <c r="W20" s="115">
        <f>'C - overzicht'!G28</f>
        <v>0</v>
      </c>
      <c r="X20" s="115">
        <f>'C - overzicht'!J28</f>
        <v>0</v>
      </c>
      <c r="Y20" s="115">
        <f>'C - overzicht'!M28</f>
        <v>0</v>
      </c>
      <c r="Z20" s="119" t="e">
        <f>'C - overzicht'!O28</f>
        <v>#DIV/0!</v>
      </c>
      <c r="AA20" s="119" t="e">
        <f>'C - overzicht'!P28</f>
        <v>#DIV/0!</v>
      </c>
    </row>
    <row r="21" spans="1:27" s="36" customFormat="1" ht="12" hidden="1" customHeight="1" x14ac:dyDescent="0.2">
      <c r="A21" s="112" t="str">
        <f>'C - overzicht'!C29</f>
        <v>schoor</v>
      </c>
      <c r="B21" s="112">
        <f>'C - overzicht'!B29</f>
        <v>0</v>
      </c>
      <c r="C21" s="112" t="str">
        <f>IF('C - overzicht'!K29&gt;'C - overzicht'!M29,ROUND('C - overzicht'!K29,0)&amp;" [UGT]",'C - overzicht'!M29&amp;" [BGT]")</f>
        <v>0 [BGT]</v>
      </c>
      <c r="D21" s="112">
        <f>'C - overzicht'!Y29</f>
        <v>6</v>
      </c>
      <c r="E21" s="112" t="str">
        <f>'C - overzicht'!Z29&amp;"x "&amp;'C - overzicht'!AB29</f>
        <v>2x 450</v>
      </c>
      <c r="F21" s="114">
        <f>'C - overzicht'!AD29</f>
        <v>0</v>
      </c>
      <c r="G21" s="114">
        <f>'C - overzicht'!AE29</f>
        <v>0</v>
      </c>
      <c r="H21" s="112"/>
      <c r="I21" s="112">
        <f>'C - overzicht'!B29</f>
        <v>0</v>
      </c>
      <c r="J21" s="117">
        <f>'C - overzicht'!V29</f>
        <v>0</v>
      </c>
      <c r="K21" s="112">
        <f>'C - overzicht'!W29</f>
        <v>25</v>
      </c>
      <c r="L21" s="117">
        <f>250*K21*'C - overzicht'!$V$5/10^3</f>
        <v>2218.75</v>
      </c>
      <c r="M21" s="114">
        <f>'C - overzicht'!X29</f>
        <v>0</v>
      </c>
      <c r="N21" s="112">
        <f>'C - overzicht'!AF29</f>
        <v>6</v>
      </c>
      <c r="O21" s="112" t="str">
        <f>"2x "&amp;'C - overzicht'!AI29</f>
        <v>2x 500</v>
      </c>
      <c r="P21" s="114">
        <f>'C - overzicht'!AJ29</f>
        <v>0</v>
      </c>
      <c r="Q21" s="114">
        <f>'C - overzicht'!AK29</f>
        <v>0</v>
      </c>
      <c r="R21" s="111"/>
      <c r="S21" s="112">
        <f>'C - overzicht'!B29</f>
        <v>0</v>
      </c>
      <c r="T21" s="115">
        <f>'C - overzicht'!D29</f>
        <v>0</v>
      </c>
      <c r="U21" s="115">
        <f>'C - overzicht'!E29</f>
        <v>0</v>
      </c>
      <c r="V21" s="118">
        <f>'C - overzicht'!F29</f>
        <v>355</v>
      </c>
      <c r="W21" s="115">
        <f>'C - overzicht'!G29</f>
        <v>0</v>
      </c>
      <c r="X21" s="115">
        <f>'C - overzicht'!J29</f>
        <v>0</v>
      </c>
      <c r="Y21" s="115">
        <f>'C - overzicht'!M29</f>
        <v>0</v>
      </c>
      <c r="Z21" s="119" t="e">
        <f>'C - overzicht'!O29</f>
        <v>#DIV/0!</v>
      </c>
      <c r="AA21" s="119" t="e">
        <f>'C - overzicht'!P29</f>
        <v>#DIV/0!</v>
      </c>
    </row>
    <row r="22" spans="1:27" s="36" customFormat="1" ht="12" hidden="1" customHeight="1" x14ac:dyDescent="0.2">
      <c r="A22" s="112" t="str">
        <f>'C - overzicht'!C30</f>
        <v>schoor</v>
      </c>
      <c r="B22" s="112">
        <f>'C - overzicht'!B30</f>
        <v>0</v>
      </c>
      <c r="C22" s="112" t="str">
        <f>IF('C - overzicht'!K30&gt;'C - overzicht'!M30,ROUND('C - overzicht'!K30,0)&amp;" [UGT]",'C - overzicht'!M30&amp;" [BGT]")</f>
        <v>0 [BGT]</v>
      </c>
      <c r="D22" s="112">
        <f>'C - overzicht'!Y30</f>
        <v>6</v>
      </c>
      <c r="E22" s="112" t="str">
        <f>'C - overzicht'!Z30&amp;"x "&amp;'C - overzicht'!AB30</f>
        <v>2x 450</v>
      </c>
      <c r="F22" s="114">
        <f>'C - overzicht'!AD30</f>
        <v>0</v>
      </c>
      <c r="G22" s="114">
        <f>'C - overzicht'!AE30</f>
        <v>0</v>
      </c>
      <c r="H22" s="112"/>
      <c r="I22" s="112">
        <f>'C - overzicht'!B30</f>
        <v>0</v>
      </c>
      <c r="J22" s="117">
        <f>'C - overzicht'!V30</f>
        <v>0</v>
      </c>
      <c r="K22" s="112">
        <f>'C - overzicht'!W30</f>
        <v>25</v>
      </c>
      <c r="L22" s="117">
        <f>250*K22*'C - overzicht'!$V$5/10^3</f>
        <v>2218.75</v>
      </c>
      <c r="M22" s="114">
        <f>'C - overzicht'!X30</f>
        <v>0</v>
      </c>
      <c r="N22" s="112">
        <f>'C - overzicht'!AF30</f>
        <v>6</v>
      </c>
      <c r="O22" s="112" t="str">
        <f>"2x "&amp;'C - overzicht'!AI30</f>
        <v>2x 500</v>
      </c>
      <c r="P22" s="114">
        <f>'C - overzicht'!AJ30</f>
        <v>0</v>
      </c>
      <c r="Q22" s="114">
        <f>'C - overzicht'!AK30</f>
        <v>0</v>
      </c>
      <c r="R22" s="111"/>
      <c r="S22" s="112">
        <f>'C - overzicht'!B30</f>
        <v>0</v>
      </c>
      <c r="T22" s="115">
        <f>'C - overzicht'!D30</f>
        <v>0</v>
      </c>
      <c r="U22" s="115">
        <f>'C - overzicht'!E30</f>
        <v>0</v>
      </c>
      <c r="V22" s="118">
        <f>'C - overzicht'!F30</f>
        <v>355</v>
      </c>
      <c r="W22" s="115">
        <f>'C - overzicht'!G30</f>
        <v>0</v>
      </c>
      <c r="X22" s="115">
        <f>'C - overzicht'!J30</f>
        <v>0</v>
      </c>
      <c r="Y22" s="115">
        <f>'C - overzicht'!M30</f>
        <v>0</v>
      </c>
      <c r="Z22" s="119" t="e">
        <f>'C - overzicht'!O30</f>
        <v>#DIV/0!</v>
      </c>
      <c r="AA22" s="119" t="e">
        <f>'C - overzicht'!P30</f>
        <v>#DIV/0!</v>
      </c>
    </row>
    <row r="23" spans="1:27" s="36" customFormat="1" ht="12" hidden="1" customHeight="1" x14ac:dyDescent="0.2">
      <c r="A23" s="112" t="str">
        <f>'C - overzicht'!C31</f>
        <v>schoor</v>
      </c>
      <c r="B23" s="112">
        <f>'C - overzicht'!B31</f>
        <v>0</v>
      </c>
      <c r="C23" s="112" t="str">
        <f>IF('C - overzicht'!K31&gt;'C - overzicht'!M31,ROUND('C - overzicht'!K31,0)&amp;" [UGT]",'C - overzicht'!M31&amp;" [BGT]")</f>
        <v>0 [BGT]</v>
      </c>
      <c r="D23" s="112">
        <f>'C - overzicht'!Y31</f>
        <v>6</v>
      </c>
      <c r="E23" s="112" t="str">
        <f>'C - overzicht'!Z31&amp;"x "&amp;'C - overzicht'!AB31</f>
        <v>2x 450</v>
      </c>
      <c r="F23" s="114">
        <f>'C - overzicht'!AD31</f>
        <v>0</v>
      </c>
      <c r="G23" s="114">
        <f>'C - overzicht'!AE31</f>
        <v>0</v>
      </c>
      <c r="H23" s="112"/>
      <c r="I23" s="112">
        <f>'C - overzicht'!B31</f>
        <v>0</v>
      </c>
      <c r="J23" s="117">
        <f>'C - overzicht'!V31</f>
        <v>0</v>
      </c>
      <c r="K23" s="112">
        <f>'C - overzicht'!W31</f>
        <v>25</v>
      </c>
      <c r="L23" s="117">
        <f>250*K23*'C - overzicht'!$V$5/10^3</f>
        <v>2218.75</v>
      </c>
      <c r="M23" s="114">
        <f>'C - overzicht'!X31</f>
        <v>0</v>
      </c>
      <c r="N23" s="112">
        <f>'C - overzicht'!AF31</f>
        <v>6</v>
      </c>
      <c r="O23" s="112" t="str">
        <f>"2x "&amp;'C - overzicht'!AI31</f>
        <v>2x 500</v>
      </c>
      <c r="P23" s="114">
        <f>'C - overzicht'!AJ31</f>
        <v>0</v>
      </c>
      <c r="Q23" s="114">
        <f>'C - overzicht'!AK31</f>
        <v>0</v>
      </c>
      <c r="R23" s="111"/>
      <c r="S23" s="112">
        <f>'C - overzicht'!B31</f>
        <v>0</v>
      </c>
      <c r="T23" s="115">
        <f>'C - overzicht'!D31</f>
        <v>0</v>
      </c>
      <c r="U23" s="115">
        <f>'C - overzicht'!E31</f>
        <v>0</v>
      </c>
      <c r="V23" s="118">
        <f>'C - overzicht'!F31</f>
        <v>355</v>
      </c>
      <c r="W23" s="115">
        <f>'C - overzicht'!G31</f>
        <v>0</v>
      </c>
      <c r="X23" s="115">
        <f>'C - overzicht'!J31</f>
        <v>0</v>
      </c>
      <c r="Y23" s="115">
        <f>'C - overzicht'!M31</f>
        <v>0</v>
      </c>
      <c r="Z23" s="119" t="e">
        <f>'C - overzicht'!O31</f>
        <v>#DIV/0!</v>
      </c>
      <c r="AA23" s="119" t="e">
        <f>'C - overzicht'!P31</f>
        <v>#DIV/0!</v>
      </c>
    </row>
    <row r="24" spans="1:27" s="36" customFormat="1" ht="12" hidden="1" customHeight="1" x14ac:dyDescent="0.2">
      <c r="A24" s="112" t="str">
        <f>'C - overzicht'!C32</f>
        <v>schoor</v>
      </c>
      <c r="B24" s="112">
        <f>'C - overzicht'!B32</f>
        <v>0</v>
      </c>
      <c r="C24" s="112" t="str">
        <f>IF('C - overzicht'!K32&gt;'C - overzicht'!M32,ROUND('C - overzicht'!K32,0)&amp;" [UGT]",'C - overzicht'!M32&amp;" [BGT]")</f>
        <v>0 [BGT]</v>
      </c>
      <c r="D24" s="112">
        <f>'C - overzicht'!Y32</f>
        <v>6</v>
      </c>
      <c r="E24" s="112" t="str">
        <f>'C - overzicht'!Z32&amp;"x "&amp;'C - overzicht'!AB32</f>
        <v>2x 450</v>
      </c>
      <c r="F24" s="114">
        <f>'C - overzicht'!AD32</f>
        <v>0</v>
      </c>
      <c r="G24" s="114">
        <f>'C - overzicht'!AE32</f>
        <v>0</v>
      </c>
      <c r="H24" s="112"/>
      <c r="I24" s="112">
        <f>'C - overzicht'!B32</f>
        <v>0</v>
      </c>
      <c r="J24" s="117">
        <f>'C - overzicht'!V32</f>
        <v>0</v>
      </c>
      <c r="K24" s="112">
        <f>'C - overzicht'!W32</f>
        <v>25</v>
      </c>
      <c r="L24" s="117">
        <f>250*K24*'C - overzicht'!$V$5/10^3</f>
        <v>2218.75</v>
      </c>
      <c r="M24" s="114">
        <f>'C - overzicht'!X32</f>
        <v>0</v>
      </c>
      <c r="N24" s="112">
        <f>'C - overzicht'!AF32</f>
        <v>6</v>
      </c>
      <c r="O24" s="112" t="str">
        <f>"2x "&amp;'C - overzicht'!AI32</f>
        <v>2x 500</v>
      </c>
      <c r="P24" s="114">
        <f>'C - overzicht'!AJ32</f>
        <v>0</v>
      </c>
      <c r="Q24" s="114">
        <f>'C - overzicht'!AK32</f>
        <v>0</v>
      </c>
      <c r="R24" s="111"/>
      <c r="S24" s="112">
        <f>'C - overzicht'!B32</f>
        <v>0</v>
      </c>
      <c r="T24" s="115">
        <f>'C - overzicht'!D32</f>
        <v>0</v>
      </c>
      <c r="U24" s="115">
        <f>'C - overzicht'!E32</f>
        <v>0</v>
      </c>
      <c r="V24" s="118">
        <f>'C - overzicht'!F32</f>
        <v>355</v>
      </c>
      <c r="W24" s="115">
        <f>'C - overzicht'!G32</f>
        <v>0</v>
      </c>
      <c r="X24" s="115">
        <f>'C - overzicht'!J32</f>
        <v>0</v>
      </c>
      <c r="Y24" s="115">
        <f>'C - overzicht'!M32</f>
        <v>0</v>
      </c>
      <c r="Z24" s="119" t="e">
        <f>'C - overzicht'!O32</f>
        <v>#DIV/0!</v>
      </c>
      <c r="AA24" s="119" t="e">
        <f>'C - overzicht'!P32</f>
        <v>#DIV/0!</v>
      </c>
    </row>
    <row r="25" spans="1:27" s="36" customFormat="1" ht="12" hidden="1" customHeight="1" x14ac:dyDescent="0.2">
      <c r="A25" s="112" t="str">
        <f>'C - overzicht'!C33</f>
        <v>schoor</v>
      </c>
      <c r="B25" s="112">
        <f>'C - overzicht'!B33</f>
        <v>0</v>
      </c>
      <c r="C25" s="112" t="str">
        <f>IF('C - overzicht'!K33&gt;'C - overzicht'!M33,ROUND('C - overzicht'!K33,0)&amp;" [UGT]",'C - overzicht'!M33&amp;" [BGT]")</f>
        <v>0 [BGT]</v>
      </c>
      <c r="D25" s="112">
        <f>'C - overzicht'!Y33</f>
        <v>6</v>
      </c>
      <c r="E25" s="112" t="str">
        <f>'C - overzicht'!Z33&amp;"x "&amp;'C - overzicht'!AB33</f>
        <v>2x 450</v>
      </c>
      <c r="F25" s="114">
        <f>'C - overzicht'!AD33</f>
        <v>0</v>
      </c>
      <c r="G25" s="114">
        <f>'C - overzicht'!AE33</f>
        <v>0</v>
      </c>
      <c r="H25" s="112"/>
      <c r="I25" s="112">
        <f>'C - overzicht'!B33</f>
        <v>0</v>
      </c>
      <c r="J25" s="117">
        <f>'C - overzicht'!V33</f>
        <v>0</v>
      </c>
      <c r="K25" s="112">
        <f>'C - overzicht'!W33</f>
        <v>25</v>
      </c>
      <c r="L25" s="117">
        <f>250*K25*'C - overzicht'!$V$5/10^3</f>
        <v>2218.75</v>
      </c>
      <c r="M25" s="114">
        <f>'C - overzicht'!X33</f>
        <v>0</v>
      </c>
      <c r="N25" s="112">
        <f>'C - overzicht'!AF33</f>
        <v>6</v>
      </c>
      <c r="O25" s="112" t="str">
        <f>"2x "&amp;'C - overzicht'!AI33</f>
        <v>2x 500</v>
      </c>
      <c r="P25" s="114">
        <f>'C - overzicht'!AJ33</f>
        <v>0</v>
      </c>
      <c r="Q25" s="114">
        <f>'C - overzicht'!AK33</f>
        <v>0</v>
      </c>
      <c r="R25" s="111"/>
      <c r="S25" s="112">
        <f>'C - overzicht'!B33</f>
        <v>0</v>
      </c>
      <c r="T25" s="115">
        <f>'C - overzicht'!D33</f>
        <v>0</v>
      </c>
      <c r="U25" s="115">
        <f>'C - overzicht'!E33</f>
        <v>0</v>
      </c>
      <c r="V25" s="118">
        <f>'C - overzicht'!F33</f>
        <v>355</v>
      </c>
      <c r="W25" s="115">
        <f>'C - overzicht'!G33</f>
        <v>0</v>
      </c>
      <c r="X25" s="115">
        <f>'C - overzicht'!J33</f>
        <v>0</v>
      </c>
      <c r="Y25" s="115">
        <f>'C - overzicht'!M33</f>
        <v>0</v>
      </c>
      <c r="Z25" s="119" t="e">
        <f>'C - overzicht'!O33</f>
        <v>#DIV/0!</v>
      </c>
      <c r="AA25" s="119" t="e">
        <f>'C - overzicht'!P33</f>
        <v>#DIV/0!</v>
      </c>
    </row>
    <row r="26" spans="1:27" s="36" customFormat="1" ht="12" hidden="1" customHeight="1" x14ac:dyDescent="0.2">
      <c r="A26" s="112" t="str">
        <f>'C - overzicht'!C34</f>
        <v>schoor</v>
      </c>
      <c r="B26" s="112">
        <f>'C - overzicht'!B34</f>
        <v>0</v>
      </c>
      <c r="C26" s="112" t="str">
        <f>IF('C - overzicht'!K34&gt;'C - overzicht'!M34,ROUND('C - overzicht'!K34,0)&amp;" [UGT]",'C - overzicht'!M34&amp;" [BGT]")</f>
        <v>0 [BGT]</v>
      </c>
      <c r="D26" s="112">
        <f>'C - overzicht'!Y34</f>
        <v>6</v>
      </c>
      <c r="E26" s="112" t="str">
        <f>'C - overzicht'!Z34&amp;"x "&amp;'C - overzicht'!AB34</f>
        <v>2x 450</v>
      </c>
      <c r="F26" s="114">
        <f>'C - overzicht'!AD34</f>
        <v>0</v>
      </c>
      <c r="G26" s="114">
        <f>'C - overzicht'!AE34</f>
        <v>0</v>
      </c>
      <c r="H26" s="112"/>
      <c r="I26" s="112">
        <f>'C - overzicht'!B34</f>
        <v>0</v>
      </c>
      <c r="J26" s="117">
        <f>'C - overzicht'!V34</f>
        <v>0</v>
      </c>
      <c r="K26" s="112">
        <f>'C - overzicht'!W34</f>
        <v>25</v>
      </c>
      <c r="L26" s="117">
        <f>250*K26*'C - overzicht'!$V$5/10^3</f>
        <v>2218.75</v>
      </c>
      <c r="M26" s="114">
        <f>'C - overzicht'!X34</f>
        <v>0</v>
      </c>
      <c r="N26" s="112">
        <f>'C - overzicht'!AF34</f>
        <v>6</v>
      </c>
      <c r="O26" s="112" t="str">
        <f>"2x "&amp;'C - overzicht'!AI34</f>
        <v>2x 500</v>
      </c>
      <c r="P26" s="114">
        <f>'C - overzicht'!AJ34</f>
        <v>0</v>
      </c>
      <c r="Q26" s="114">
        <f>'C - overzicht'!AK34</f>
        <v>0</v>
      </c>
      <c r="R26" s="111"/>
      <c r="S26" s="112">
        <f>'C - overzicht'!B34</f>
        <v>0</v>
      </c>
      <c r="T26" s="115">
        <f>'C - overzicht'!D34</f>
        <v>0</v>
      </c>
      <c r="U26" s="115">
        <f>'C - overzicht'!E34</f>
        <v>0</v>
      </c>
      <c r="V26" s="118">
        <f>'C - overzicht'!F34</f>
        <v>355</v>
      </c>
      <c r="W26" s="115">
        <f>'C - overzicht'!G34</f>
        <v>0</v>
      </c>
      <c r="X26" s="115">
        <f>'C - overzicht'!J34</f>
        <v>0</v>
      </c>
      <c r="Y26" s="115">
        <f>'C - overzicht'!M34</f>
        <v>0</v>
      </c>
      <c r="Z26" s="119" t="e">
        <f>'C - overzicht'!O34</f>
        <v>#DIV/0!</v>
      </c>
      <c r="AA26" s="119" t="e">
        <f>'C - overzicht'!P34</f>
        <v>#DIV/0!</v>
      </c>
    </row>
    <row r="27" spans="1:27" s="36" customFormat="1" ht="12" hidden="1" customHeight="1" x14ac:dyDescent="0.2">
      <c r="A27" s="112" t="str">
        <f>'C - overzicht'!C35</f>
        <v>schoor</v>
      </c>
      <c r="B27" s="112">
        <f>'C - overzicht'!B35</f>
        <v>0</v>
      </c>
      <c r="C27" s="112" t="str">
        <f>IF('C - overzicht'!K35&gt;'C - overzicht'!M35,ROUND('C - overzicht'!K35,0)&amp;" [UGT]",'C - overzicht'!M35&amp;" [BGT]")</f>
        <v>0 [BGT]</v>
      </c>
      <c r="D27" s="112">
        <f>'C - overzicht'!Y35</f>
        <v>6</v>
      </c>
      <c r="E27" s="112" t="str">
        <f>'C - overzicht'!Z35&amp;"x "&amp;'C - overzicht'!AB35</f>
        <v>2x 450</v>
      </c>
      <c r="F27" s="114">
        <f>'C - overzicht'!AD35</f>
        <v>0</v>
      </c>
      <c r="G27" s="114">
        <f>'C - overzicht'!AE35</f>
        <v>0</v>
      </c>
      <c r="H27" s="112"/>
      <c r="I27" s="112">
        <f>'C - overzicht'!B35</f>
        <v>0</v>
      </c>
      <c r="J27" s="117">
        <f>'C - overzicht'!V35</f>
        <v>0</v>
      </c>
      <c r="K27" s="112">
        <f>'C - overzicht'!W35</f>
        <v>25</v>
      </c>
      <c r="L27" s="117">
        <f>250*K27*'C - overzicht'!$V$5/10^3</f>
        <v>2218.75</v>
      </c>
      <c r="M27" s="114">
        <f>'C - overzicht'!X35</f>
        <v>0</v>
      </c>
      <c r="N27" s="112">
        <f>'C - overzicht'!AF35</f>
        <v>6</v>
      </c>
      <c r="O27" s="112" t="str">
        <f>"2x "&amp;'C - overzicht'!AI35</f>
        <v>2x 500</v>
      </c>
      <c r="P27" s="114">
        <f>'C - overzicht'!AJ35</f>
        <v>0</v>
      </c>
      <c r="Q27" s="114">
        <f>'C - overzicht'!AK35</f>
        <v>0</v>
      </c>
      <c r="R27" s="111"/>
      <c r="S27" s="112">
        <f>'C - overzicht'!B35</f>
        <v>0</v>
      </c>
      <c r="T27" s="115">
        <f>'C - overzicht'!D35</f>
        <v>0</v>
      </c>
      <c r="U27" s="115">
        <f>'C - overzicht'!E35</f>
        <v>0</v>
      </c>
      <c r="V27" s="118">
        <f>'C - overzicht'!F35</f>
        <v>355</v>
      </c>
      <c r="W27" s="115">
        <f>'C - overzicht'!G35</f>
        <v>0</v>
      </c>
      <c r="X27" s="115">
        <f>'C - overzicht'!J35</f>
        <v>0</v>
      </c>
      <c r="Y27" s="115">
        <f>'C - overzicht'!M35</f>
        <v>0</v>
      </c>
      <c r="Z27" s="119" t="e">
        <f>'C - overzicht'!O35</f>
        <v>#DIV/0!</v>
      </c>
      <c r="AA27" s="119" t="e">
        <f>'C - overzicht'!P35</f>
        <v>#DIV/0!</v>
      </c>
    </row>
    <row r="28" spans="1:27" s="36" customFormat="1" ht="12" hidden="1" customHeight="1" x14ac:dyDescent="0.2">
      <c r="A28" s="112" t="str">
        <f>'C - overzicht'!C36</f>
        <v>schoor</v>
      </c>
      <c r="B28" s="112">
        <f>'C - overzicht'!B36</f>
        <v>0</v>
      </c>
      <c r="C28" s="112" t="str">
        <f>IF('C - overzicht'!K36&gt;'C - overzicht'!M36,ROUND('C - overzicht'!K36,0)&amp;" [UGT]",'C - overzicht'!M36&amp;" [BGT]")</f>
        <v>0 [BGT]</v>
      </c>
      <c r="D28" s="112">
        <f>'C - overzicht'!Y36</f>
        <v>6</v>
      </c>
      <c r="E28" s="112" t="str">
        <f>'C - overzicht'!Z36&amp;"x "&amp;'C - overzicht'!AB36</f>
        <v>2x 450</v>
      </c>
      <c r="F28" s="114">
        <f>'C - overzicht'!AD36</f>
        <v>0</v>
      </c>
      <c r="G28" s="114">
        <f>'C - overzicht'!AE36</f>
        <v>0</v>
      </c>
      <c r="H28" s="112"/>
      <c r="I28" s="112">
        <f>'C - overzicht'!B36</f>
        <v>0</v>
      </c>
      <c r="J28" s="117">
        <f>'C - overzicht'!V36</f>
        <v>0</v>
      </c>
      <c r="K28" s="112">
        <f>'C - overzicht'!W36</f>
        <v>25</v>
      </c>
      <c r="L28" s="117">
        <f>250*K28*'C - overzicht'!$V$5/10^3</f>
        <v>2218.75</v>
      </c>
      <c r="M28" s="114">
        <f>'C - overzicht'!X36</f>
        <v>0</v>
      </c>
      <c r="N28" s="112">
        <f>'C - overzicht'!AF36</f>
        <v>6</v>
      </c>
      <c r="O28" s="112" t="str">
        <f>"2x "&amp;'C - overzicht'!AI36</f>
        <v>2x 500</v>
      </c>
      <c r="P28" s="114">
        <f>'C - overzicht'!AJ36</f>
        <v>0</v>
      </c>
      <c r="Q28" s="114">
        <f>'C - overzicht'!AK36</f>
        <v>0</v>
      </c>
      <c r="R28" s="111"/>
      <c r="S28" s="112">
        <f>'C - overzicht'!B36</f>
        <v>0</v>
      </c>
      <c r="T28" s="115">
        <f>'C - overzicht'!D36</f>
        <v>0</v>
      </c>
      <c r="U28" s="115">
        <f>'C - overzicht'!E36</f>
        <v>0</v>
      </c>
      <c r="V28" s="118">
        <f>'C - overzicht'!F43</f>
        <v>355</v>
      </c>
      <c r="W28" s="115">
        <f>'C - overzicht'!G36</f>
        <v>0</v>
      </c>
      <c r="X28" s="115">
        <f>'C - overzicht'!J36</f>
        <v>0</v>
      </c>
      <c r="Y28" s="115">
        <f>'C - overzicht'!M36</f>
        <v>0</v>
      </c>
      <c r="Z28" s="119" t="e">
        <f>'C - overzicht'!O36</f>
        <v>#DIV/0!</v>
      </c>
      <c r="AA28" s="119" t="e">
        <f>'C - overzicht'!P36</f>
        <v>#DIV/0!</v>
      </c>
    </row>
    <row r="29" spans="1:27" s="36" customFormat="1" ht="11.25" customHeight="1" x14ac:dyDescent="0.2">
      <c r="A29" s="33"/>
      <c r="B29" s="33"/>
      <c r="C29" s="33"/>
      <c r="D29" s="33"/>
      <c r="E29" s="33"/>
      <c r="F29" s="34"/>
      <c r="G29" s="34"/>
      <c r="H29" s="33"/>
      <c r="I29" s="33"/>
      <c r="J29" s="35"/>
      <c r="K29" s="33"/>
      <c r="L29" s="35"/>
      <c r="M29" s="34"/>
      <c r="N29" s="33"/>
      <c r="O29" s="33"/>
      <c r="P29" s="34"/>
      <c r="Q29" s="34"/>
      <c r="Z29" s="69"/>
      <c r="AA29" s="69"/>
    </row>
    <row r="30" spans="1:27" s="36" customFormat="1" ht="11.25" customHeight="1" x14ac:dyDescent="0.2">
      <c r="A30" s="33" t="s">
        <v>407</v>
      </c>
      <c r="B30" s="33"/>
      <c r="C30" s="33"/>
      <c r="D30" s="33"/>
      <c r="E30" s="33"/>
      <c r="F30" s="34"/>
      <c r="G30" s="34"/>
      <c r="H30" s="33"/>
      <c r="I30" s="33"/>
      <c r="J30" s="35"/>
      <c r="K30" s="33"/>
      <c r="L30" s="35"/>
      <c r="M30" s="34"/>
      <c r="N30" s="33"/>
      <c r="O30" s="33"/>
      <c r="P30" s="34"/>
      <c r="Q30" s="34"/>
    </row>
    <row r="31" spans="1:27" s="36" customFormat="1" ht="11.25" customHeight="1" x14ac:dyDescent="0.2">
      <c r="A31" s="33" t="s">
        <v>64</v>
      </c>
      <c r="B31" s="33" t="s">
        <v>57</v>
      </c>
      <c r="C31" s="33" t="s">
        <v>58</v>
      </c>
      <c r="D31" s="33" t="s">
        <v>59</v>
      </c>
      <c r="E31" s="33" t="s">
        <v>23</v>
      </c>
      <c r="F31" s="34"/>
      <c r="G31" s="34"/>
      <c r="H31" s="33"/>
      <c r="I31" s="33"/>
      <c r="J31" s="35"/>
      <c r="K31" s="33"/>
      <c r="L31" s="35"/>
      <c r="M31" s="34"/>
      <c r="N31" s="33"/>
      <c r="O31" s="33"/>
      <c r="P31" s="34"/>
      <c r="Q31" s="34"/>
    </row>
    <row r="32" spans="1:27" s="36" customFormat="1" ht="11.25" customHeight="1" x14ac:dyDescent="0.2">
      <c r="A32" s="33"/>
      <c r="B32" s="33"/>
      <c r="C32" s="33"/>
      <c r="D32" s="33"/>
      <c r="E32" s="33"/>
      <c r="F32" s="34"/>
      <c r="G32" s="34"/>
      <c r="H32" s="33"/>
      <c r="I32" s="33"/>
      <c r="J32" s="35"/>
      <c r="K32" s="33"/>
      <c r="L32" s="35"/>
      <c r="M32" s="34"/>
      <c r="N32" s="33"/>
      <c r="O32" s="33"/>
      <c r="P32" s="34"/>
      <c r="Q32" s="34"/>
    </row>
    <row r="33" spans="1:17" s="36" customFormat="1" ht="11.25" customHeight="1" x14ac:dyDescent="0.2">
      <c r="Q33" s="34"/>
    </row>
    <row r="34" spans="1:17" s="36" customFormat="1" ht="11.25" customHeight="1" x14ac:dyDescent="0.2">
      <c r="Q34" s="34"/>
    </row>
    <row r="35" spans="1:17" s="36" customFormat="1" ht="11.25" customHeight="1" x14ac:dyDescent="0.2">
      <c r="A35" s="33"/>
      <c r="B35" s="33"/>
      <c r="C35" s="33"/>
      <c r="D35" s="33"/>
      <c r="E35" s="33"/>
      <c r="F35" s="34"/>
      <c r="G35" s="34"/>
      <c r="H35" s="33"/>
      <c r="I35" s="33"/>
      <c r="J35" s="35"/>
      <c r="K35" s="33"/>
      <c r="L35" s="35"/>
      <c r="M35" s="34"/>
      <c r="N35" s="33"/>
      <c r="O35" s="33"/>
      <c r="P35" s="34"/>
      <c r="Q35" s="34"/>
    </row>
    <row r="36" spans="1:17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1:17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1:17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17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1:17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1:17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9"/>
      <c r="J51" s="9"/>
      <c r="K51" s="9"/>
      <c r="L51" s="9"/>
      <c r="M51" s="9"/>
      <c r="N51" s="9"/>
      <c r="O51" s="9"/>
      <c r="P51" s="9"/>
      <c r="Q51" s="9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9"/>
      <c r="J52" s="9"/>
      <c r="K52" s="9"/>
      <c r="L52" s="9"/>
      <c r="M52" s="9"/>
      <c r="N52" s="9"/>
      <c r="O52" s="9"/>
      <c r="P52" s="9"/>
      <c r="Q52" s="9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9"/>
      <c r="J53" s="9"/>
      <c r="K53" s="9"/>
      <c r="L53" s="9"/>
      <c r="M53" s="9"/>
      <c r="N53" s="9"/>
      <c r="O53" s="9"/>
      <c r="P53" s="9"/>
      <c r="Q53" s="9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9"/>
      <c r="J54" s="9"/>
      <c r="K54" s="9"/>
      <c r="L54" s="9"/>
      <c r="M54" s="9"/>
      <c r="N54" s="9"/>
      <c r="O54" s="9"/>
      <c r="P54" s="9"/>
      <c r="Q54" s="9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9"/>
      <c r="J55" s="9"/>
      <c r="K55" s="9"/>
      <c r="L55" s="9"/>
      <c r="M55" s="9"/>
      <c r="N55" s="9"/>
      <c r="O55" s="9"/>
      <c r="P55" s="9"/>
      <c r="Q55" s="9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9"/>
      <c r="J56" s="9"/>
      <c r="K56" s="9"/>
      <c r="L56" s="9"/>
      <c r="M56" s="9"/>
      <c r="N56" s="9"/>
      <c r="O56" s="9"/>
      <c r="P56" s="9"/>
      <c r="Q56" s="9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9"/>
      <c r="J57" s="9"/>
      <c r="K57" s="9"/>
      <c r="L57" s="9"/>
      <c r="M57" s="9"/>
      <c r="N57" s="9"/>
      <c r="O57" s="9"/>
      <c r="P57" s="9"/>
      <c r="Q57" s="9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9"/>
      <c r="J58" s="9"/>
      <c r="K58" s="9"/>
      <c r="L58" s="9"/>
      <c r="M58" s="9"/>
      <c r="N58" s="9"/>
      <c r="O58" s="9"/>
      <c r="P58" s="9"/>
      <c r="Q58" s="9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9"/>
      <c r="J59" s="9"/>
      <c r="K59" s="9"/>
      <c r="L59" s="9"/>
      <c r="M59" s="9"/>
      <c r="N59" s="9"/>
      <c r="O59" s="9"/>
      <c r="P59" s="9"/>
      <c r="Q59" s="9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9"/>
      <c r="J60" s="9"/>
      <c r="K60" s="9"/>
      <c r="L60" s="9"/>
      <c r="M60" s="9"/>
      <c r="N60" s="9"/>
      <c r="O60" s="9"/>
      <c r="P60" s="9"/>
      <c r="Q60" s="9"/>
    </row>
    <row r="61" spans="1:17" x14ac:dyDescent="0.2">
      <c r="A61" s="37"/>
      <c r="B61" s="37"/>
      <c r="C61" s="37"/>
      <c r="D61" s="37"/>
      <c r="E61" s="37"/>
      <c r="F61" s="37"/>
      <c r="G61" s="37"/>
      <c r="H61" s="37"/>
      <c r="I61" s="9"/>
      <c r="J61" s="9"/>
      <c r="K61" s="9"/>
      <c r="L61" s="9"/>
      <c r="M61" s="9"/>
      <c r="N61" s="9"/>
      <c r="O61" s="9"/>
      <c r="P61" s="9"/>
      <c r="Q61" s="9"/>
    </row>
  </sheetData>
  <autoFilter ref="A2:A28" xr:uid="{00000000-0009-0000-0000-000007000000}">
    <filterColumn colId="0">
      <filters>
        <filter val="schoor"/>
      </filters>
    </filterColumn>
  </autoFilter>
  <mergeCells count="3">
    <mergeCell ref="A1:G1"/>
    <mergeCell ref="Z1:AA1"/>
    <mergeCell ref="I1:Q1"/>
  </mergeCells>
  <pageMargins left="0.7" right="0.7" top="0.75" bottom="0.75" header="0.3" footer="0.3"/>
  <pageSetup paperSize="9" orientation="portrait" horizontalDpi="30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3"/>
  <dimension ref="A1:CA41"/>
  <sheetViews>
    <sheetView workbookViewId="0">
      <pane xSplit="1" topLeftCell="AI1" activePane="topRight" state="frozen"/>
      <selection pane="topRight" activeCell="BK33" sqref="BK33"/>
    </sheetView>
  </sheetViews>
  <sheetFormatPr defaultRowHeight="12.75" x14ac:dyDescent="0.2"/>
  <cols>
    <col min="11" max="58" width="4.28515625" customWidth="1"/>
    <col min="62" max="62" width="10.7109375" bestFit="1" customWidth="1"/>
    <col min="69" max="69" width="12" bestFit="1" customWidth="1"/>
    <col min="70" max="70" width="12.7109375" bestFit="1" customWidth="1"/>
    <col min="71" max="72" width="14.42578125" bestFit="1" customWidth="1"/>
    <col min="73" max="73" width="9.5703125" bestFit="1" customWidth="1"/>
    <col min="76" max="76" width="9.42578125" bestFit="1" customWidth="1"/>
  </cols>
  <sheetData>
    <row r="1" spans="1:79" x14ac:dyDescent="0.2">
      <c r="A1" t="s">
        <v>48</v>
      </c>
      <c r="C1">
        <f>'C - overzicht'!V6</f>
        <v>1</v>
      </c>
    </row>
    <row r="2" spans="1:79" x14ac:dyDescent="0.2">
      <c r="A2" t="s">
        <v>408</v>
      </c>
      <c r="C2">
        <v>300</v>
      </c>
    </row>
    <row r="3" spans="1:79" x14ac:dyDescent="0.2">
      <c r="H3" s="15" t="s">
        <v>409</v>
      </c>
      <c r="J3" s="15"/>
      <c r="K3" s="15"/>
      <c r="N3" s="15"/>
      <c r="Q3" s="15"/>
      <c r="T3" s="15"/>
      <c r="W3" s="15"/>
      <c r="Z3" s="15"/>
      <c r="AC3" s="15"/>
      <c r="AF3" s="15"/>
      <c r="AI3" s="15"/>
      <c r="AL3" s="15"/>
      <c r="AO3" s="15"/>
      <c r="AR3" s="15"/>
      <c r="AU3" s="15"/>
      <c r="AX3" s="15"/>
      <c r="BA3" s="15"/>
      <c r="BD3" s="15"/>
      <c r="BG3" s="15"/>
      <c r="BJ3" s="29"/>
      <c r="BM3" s="15"/>
      <c r="BP3" s="15"/>
    </row>
    <row r="4" spans="1:79" x14ac:dyDescent="0.2">
      <c r="H4" s="15" t="s">
        <v>410</v>
      </c>
      <c r="J4" s="15"/>
      <c r="K4" s="15"/>
      <c r="N4" s="15"/>
      <c r="Q4" s="15"/>
      <c r="T4" s="15"/>
      <c r="W4" s="15"/>
      <c r="Z4" s="15"/>
      <c r="AC4" s="15"/>
      <c r="AF4" s="15"/>
      <c r="AI4" s="15"/>
      <c r="AL4" s="15"/>
      <c r="AO4" s="15"/>
      <c r="AR4" s="15"/>
      <c r="AU4" s="15"/>
      <c r="AX4" s="15"/>
      <c r="BA4" s="15"/>
      <c r="BD4" s="15"/>
      <c r="BG4" s="15"/>
      <c r="BJ4" s="15"/>
      <c r="BM4" s="15"/>
      <c r="BP4" s="15"/>
    </row>
    <row r="5" spans="1:79" x14ac:dyDescent="0.2">
      <c r="A5" s="21" t="s">
        <v>411</v>
      </c>
      <c r="B5" s="21" t="s">
        <v>412</v>
      </c>
      <c r="C5" s="22" t="s">
        <v>413</v>
      </c>
      <c r="D5" s="22" t="s">
        <v>414</v>
      </c>
      <c r="E5" s="22" t="s">
        <v>415</v>
      </c>
      <c r="F5" s="22" t="s">
        <v>59</v>
      </c>
      <c r="G5" s="23"/>
      <c r="H5" s="24" t="s">
        <v>90</v>
      </c>
      <c r="I5" s="22" t="s">
        <v>91</v>
      </c>
      <c r="J5" s="25"/>
      <c r="K5" s="24" t="s">
        <v>416</v>
      </c>
      <c r="L5" s="22" t="s">
        <v>417</v>
      </c>
      <c r="M5" s="26" t="s">
        <v>418</v>
      </c>
      <c r="N5" s="24" t="s">
        <v>419</v>
      </c>
      <c r="O5" s="22" t="s">
        <v>420</v>
      </c>
      <c r="P5" s="26" t="s">
        <v>421</v>
      </c>
      <c r="Q5" s="24" t="s">
        <v>422</v>
      </c>
      <c r="R5" s="22" t="s">
        <v>423</v>
      </c>
      <c r="S5" s="26" t="s">
        <v>424</v>
      </c>
      <c r="T5" s="24" t="s">
        <v>425</v>
      </c>
      <c r="U5" s="22" t="s">
        <v>426</v>
      </c>
      <c r="V5" s="26" t="s">
        <v>427</v>
      </c>
      <c r="W5" s="24" t="s">
        <v>428</v>
      </c>
      <c r="X5" s="22" t="s">
        <v>429</v>
      </c>
      <c r="Y5" s="26" t="s">
        <v>430</v>
      </c>
      <c r="Z5" s="24" t="s">
        <v>431</v>
      </c>
      <c r="AA5" s="22" t="s">
        <v>432</v>
      </c>
      <c r="AB5" s="26" t="s">
        <v>433</v>
      </c>
      <c r="AC5" s="24" t="s">
        <v>434</v>
      </c>
      <c r="AD5" s="22" t="s">
        <v>435</v>
      </c>
      <c r="AE5" s="26" t="s">
        <v>436</v>
      </c>
      <c r="AF5" s="24" t="s">
        <v>437</v>
      </c>
      <c r="AG5" s="22" t="s">
        <v>438</v>
      </c>
      <c r="AH5" s="26" t="s">
        <v>439</v>
      </c>
      <c r="AI5" s="24" t="s">
        <v>440</v>
      </c>
      <c r="AJ5" s="22" t="s">
        <v>441</v>
      </c>
      <c r="AK5" s="26" t="s">
        <v>442</v>
      </c>
      <c r="AL5" s="24" t="s">
        <v>443</v>
      </c>
      <c r="AM5" s="22" t="s">
        <v>444</v>
      </c>
      <c r="AN5" s="26" t="s">
        <v>445</v>
      </c>
      <c r="AO5" s="24" t="s">
        <v>446</v>
      </c>
      <c r="AP5" s="22" t="s">
        <v>447</v>
      </c>
      <c r="AQ5" s="26" t="s">
        <v>448</v>
      </c>
      <c r="AR5" s="24" t="s">
        <v>449</v>
      </c>
      <c r="AS5" s="22" t="s">
        <v>450</v>
      </c>
      <c r="AT5" s="26" t="s">
        <v>451</v>
      </c>
      <c r="AU5" s="24" t="s">
        <v>452</v>
      </c>
      <c r="AV5" s="22" t="s">
        <v>453</v>
      </c>
      <c r="AW5" s="26" t="s">
        <v>454</v>
      </c>
      <c r="AX5" s="24" t="s">
        <v>455</v>
      </c>
      <c r="AY5" s="22" t="s">
        <v>456</v>
      </c>
      <c r="AZ5" s="26" t="s">
        <v>457</v>
      </c>
      <c r="BA5" s="24" t="s">
        <v>458</v>
      </c>
      <c r="BB5" s="22" t="s">
        <v>459</v>
      </c>
      <c r="BC5" s="26" t="s">
        <v>460</v>
      </c>
      <c r="BD5" s="24" t="s">
        <v>461</v>
      </c>
      <c r="BE5" s="22" t="s">
        <v>462</v>
      </c>
      <c r="BF5" s="26" t="s">
        <v>463</v>
      </c>
      <c r="BG5" s="27" t="s">
        <v>464</v>
      </c>
      <c r="BH5" s="26" t="s">
        <v>465</v>
      </c>
      <c r="BI5" s="26" t="s">
        <v>466</v>
      </c>
      <c r="BJ5" s="28" t="s">
        <v>467</v>
      </c>
      <c r="BK5" s="26" t="s">
        <v>468</v>
      </c>
      <c r="BL5" s="26" t="s">
        <v>469</v>
      </c>
      <c r="BM5" s="25"/>
      <c r="BN5" s="23"/>
      <c r="BP5" s="31" t="s">
        <v>470</v>
      </c>
      <c r="BQ5" s="9" t="s">
        <v>84</v>
      </c>
      <c r="BR5" s="9" t="s">
        <v>471</v>
      </c>
      <c r="BS5" s="9" t="s">
        <v>472</v>
      </c>
      <c r="BT5" s="9" t="s">
        <v>473</v>
      </c>
      <c r="BU5" s="9" t="s">
        <v>474</v>
      </c>
      <c r="BV5" s="9" t="s">
        <v>475</v>
      </c>
      <c r="BW5" s="9" t="s">
        <v>59</v>
      </c>
      <c r="BX5" s="9" t="s">
        <v>469</v>
      </c>
      <c r="BY5" s="9" t="s">
        <v>476</v>
      </c>
      <c r="CA5" s="9" t="s">
        <v>469</v>
      </c>
    </row>
    <row r="6" spans="1:79" x14ac:dyDescent="0.2">
      <c r="A6" s="9">
        <f>'C - overzicht'!B11</f>
        <v>0</v>
      </c>
      <c r="B6" s="9">
        <f>'C - overzicht'!D11</f>
        <v>0</v>
      </c>
      <c r="C6" s="8">
        <f>'C - overzicht'!H11</f>
        <v>0</v>
      </c>
      <c r="D6" s="8">
        <f>'C - overzicht'!I11</f>
        <v>0</v>
      </c>
      <c r="E6" s="2">
        <f>'C - overzicht'!Z11</f>
        <v>1</v>
      </c>
      <c r="F6" s="2">
        <f>'C - overzicht'!AB11</f>
        <v>435.5</v>
      </c>
      <c r="H6" s="17" t="e">
        <f t="shared" ref="H6:H30" si="0">(B6/SIN(MAX(C6:D6)*PI()/180))/2</f>
        <v>#DIV/0!</v>
      </c>
      <c r="I6" s="2">
        <f t="shared" ref="I6:I30" si="1">B6/2</f>
        <v>0</v>
      </c>
      <c r="J6" s="15"/>
      <c r="K6" s="16">
        <f t="shared" ref="K6:K30" si="2">$C$2*$C$1/2</f>
        <v>150</v>
      </c>
      <c r="L6" s="2" t="e">
        <f t="shared" ref="L6:L30" si="3">SQRT(1-(K6/$I6)^2)*$H6</f>
        <v>#DIV/0!</v>
      </c>
      <c r="M6" s="2"/>
      <c r="N6" s="15">
        <f t="shared" ref="N6:N30" si="4">K6-($C$2*$C$1/2)/15</f>
        <v>140</v>
      </c>
      <c r="O6" s="2" t="e">
        <f t="shared" ref="O6:O30" si="5">SQRT(1-(N6/$I6)^2)*$H6</f>
        <v>#DIV/0!</v>
      </c>
      <c r="P6" s="18" t="e">
        <f t="shared" ref="P6:P30" si="6">SQRT((K6-N6)^2+(L6-O6)^2)</f>
        <v>#DIV/0!</v>
      </c>
      <c r="Q6" s="15">
        <f t="shared" ref="Q6:Q30" si="7">N6-($C$2*$C$1/2)/15</f>
        <v>130</v>
      </c>
      <c r="R6" s="2" t="e">
        <f t="shared" ref="R6:R30" si="8">SQRT(1-(Q6/$I6)^2)*$H6</f>
        <v>#DIV/0!</v>
      </c>
      <c r="S6" s="18" t="e">
        <f t="shared" ref="S6:S30" si="9">SQRT((N6-Q6)^2+(O6-R6)^2)</f>
        <v>#DIV/0!</v>
      </c>
      <c r="T6" s="15">
        <f t="shared" ref="T6:T30" si="10">Q6-($C$2*$C$1/2)/15</f>
        <v>120</v>
      </c>
      <c r="U6" s="2" t="e">
        <f t="shared" ref="U6:U30" si="11">SQRT(1-(T6/$I6)^2)*$H6</f>
        <v>#DIV/0!</v>
      </c>
      <c r="V6" s="18" t="e">
        <f t="shared" ref="V6:V30" si="12">SQRT((Q6-T6)^2+(R6-U6)^2)</f>
        <v>#DIV/0!</v>
      </c>
      <c r="W6" s="15">
        <f t="shared" ref="W6:W30" si="13">T6-($C$2*$C$1/2)/15</f>
        <v>110</v>
      </c>
      <c r="X6" s="2" t="e">
        <f t="shared" ref="X6:X30" si="14">SQRT(1-(W6/$I6)^2)*$H6</f>
        <v>#DIV/0!</v>
      </c>
      <c r="Y6" s="18" t="e">
        <f t="shared" ref="Y6:Y30" si="15">SQRT((T6-W6)^2+(U6-X6)^2)</f>
        <v>#DIV/0!</v>
      </c>
      <c r="Z6" s="15">
        <f t="shared" ref="Z6:Z30" si="16">W6-($C$2*$C$1/2)/15</f>
        <v>100</v>
      </c>
      <c r="AA6" s="2" t="e">
        <f t="shared" ref="AA6:AA30" si="17">SQRT(1-(Z6/$I6)^2)*$H6</f>
        <v>#DIV/0!</v>
      </c>
      <c r="AB6" s="18" t="e">
        <f t="shared" ref="AB6:AB30" si="18">SQRT((W6-Z6)^2+(X6-AA6)^2)</f>
        <v>#DIV/0!</v>
      </c>
      <c r="AC6" s="15">
        <f t="shared" ref="AC6:AC30" si="19">Z6-($C$2*$C$1/2)/15</f>
        <v>90</v>
      </c>
      <c r="AD6" s="2" t="e">
        <f t="shared" ref="AD6:AD30" si="20">SQRT(1-(AC6/$I6)^2)*$H6</f>
        <v>#DIV/0!</v>
      </c>
      <c r="AE6" s="18" t="e">
        <f t="shared" ref="AE6:AE30" si="21">SQRT((Z6-AC6)^2+(AA6-AD6)^2)</f>
        <v>#DIV/0!</v>
      </c>
      <c r="AF6" s="15">
        <f t="shared" ref="AF6:AF30" si="22">AC6-($C$2*$C$1/2)/15</f>
        <v>80</v>
      </c>
      <c r="AG6" s="2" t="e">
        <f t="shared" ref="AG6:AG30" si="23">SQRT(1-(AF6/$I6)^2)*$H6</f>
        <v>#DIV/0!</v>
      </c>
      <c r="AH6" s="18" t="e">
        <f t="shared" ref="AH6:AH30" si="24">SQRT((AC6-AF6)^2+(AD6-AG6)^2)</f>
        <v>#DIV/0!</v>
      </c>
      <c r="AI6" s="15">
        <f t="shared" ref="AI6:AI30" si="25">AF6-($C$2*$C$1/2)/15</f>
        <v>70</v>
      </c>
      <c r="AJ6" s="2" t="e">
        <f t="shared" ref="AJ6:AJ30" si="26">SQRT(1-(AI6/$I6)^2)*$H6</f>
        <v>#DIV/0!</v>
      </c>
      <c r="AK6" s="18" t="e">
        <f t="shared" ref="AK6:AK30" si="27">SQRT((AF6-AI6)^2+(AG6-AJ6)^2)</f>
        <v>#DIV/0!</v>
      </c>
      <c r="AL6" s="15">
        <f t="shared" ref="AL6:AL30" si="28">AI6-($C$2*$C$1/2)/15</f>
        <v>60</v>
      </c>
      <c r="AM6" s="2" t="e">
        <f t="shared" ref="AM6:AM30" si="29">SQRT(1-(AL6/$I6)^2)*$H6</f>
        <v>#DIV/0!</v>
      </c>
      <c r="AN6" s="18" t="e">
        <f t="shared" ref="AN6:AN30" si="30">SQRT((AI6-AL6)^2+(AJ6-AM6)^2)</f>
        <v>#DIV/0!</v>
      </c>
      <c r="AO6" s="15">
        <f t="shared" ref="AO6:AO30" si="31">AL6-($C$2*$C$1/2)/15</f>
        <v>50</v>
      </c>
      <c r="AP6" s="2" t="e">
        <f t="shared" ref="AP6:AP30" si="32">SQRT(1-(AO6/$I6)^2)*$H6</f>
        <v>#DIV/0!</v>
      </c>
      <c r="AQ6" s="18" t="e">
        <f t="shared" ref="AQ6:AQ30" si="33">SQRT((AL6-AO6)^2+(AM6-AP6)^2)</f>
        <v>#DIV/0!</v>
      </c>
      <c r="AR6" s="15">
        <f t="shared" ref="AR6:AR30" si="34">AO6-($C$2*$C$1/2)/15</f>
        <v>40</v>
      </c>
      <c r="AS6" s="2" t="e">
        <f t="shared" ref="AS6:AS30" si="35">SQRT(1-(AR6/$I6)^2)*$H6</f>
        <v>#DIV/0!</v>
      </c>
      <c r="AT6" s="18" t="e">
        <f t="shared" ref="AT6:AT30" si="36">SQRT((AO6-AR6)^2+(AP6-AS6)^2)</f>
        <v>#DIV/0!</v>
      </c>
      <c r="AU6" s="15">
        <f t="shared" ref="AU6:AU30" si="37">AR6-($C$2*$C$1/2)/15</f>
        <v>30</v>
      </c>
      <c r="AV6" s="2" t="e">
        <f t="shared" ref="AV6:AV30" si="38">SQRT(1-(AU6/$I6)^2)*$H6</f>
        <v>#DIV/0!</v>
      </c>
      <c r="AW6" s="18" t="e">
        <f t="shared" ref="AW6:AW30" si="39">SQRT((AR6-AU6)^2+(AS6-AV6)^2)</f>
        <v>#DIV/0!</v>
      </c>
      <c r="AX6" s="15">
        <f t="shared" ref="AX6:AX30" si="40">AU6-($C$2*$C$1/2)/15</f>
        <v>20</v>
      </c>
      <c r="AY6" s="2" t="e">
        <f t="shared" ref="AY6:AY30" si="41">SQRT(1-(AX6/$I6)^2)*$H6</f>
        <v>#DIV/0!</v>
      </c>
      <c r="AZ6" s="18" t="e">
        <f t="shared" ref="AZ6:AZ30" si="42">SQRT((AU6-AX6)^2+(AV6-AY6)^2)</f>
        <v>#DIV/0!</v>
      </c>
      <c r="BA6" s="15">
        <f t="shared" ref="BA6:BA30" si="43">AX6-($C$2*$C$1/2)/15</f>
        <v>10</v>
      </c>
      <c r="BB6" s="2" t="e">
        <f t="shared" ref="BB6:BB30" si="44">SQRT(1-(BA6/$I6)^2)*$H6</f>
        <v>#DIV/0!</v>
      </c>
      <c r="BC6" s="18" t="e">
        <f t="shared" ref="BC6:BC30" si="45">SQRT((AX6-BA6)^2+(AY6-BB6)^2)</f>
        <v>#DIV/0!</v>
      </c>
      <c r="BD6" s="15">
        <f t="shared" ref="BD6:BD30" si="46">BA6-($C$2*$C$1/2)/15</f>
        <v>0</v>
      </c>
      <c r="BE6" s="2" t="e">
        <f t="shared" ref="BE6:BE30" si="47">SQRT(1-(BD6/$I6)^2)*$H6</f>
        <v>#DIV/0!</v>
      </c>
      <c r="BF6" s="18" t="e">
        <f t="shared" ref="BF6:BF30" si="48">SQRT((BA6-BD6)^2+(BB6-BE6)^2)</f>
        <v>#DIV/0!</v>
      </c>
      <c r="BG6" s="19" t="e">
        <f t="shared" ref="BG6:BG30" si="49">SUM(P6+S6+V6+Y6+AB6+AE6+AH6+AK6+AN6+AQ6+AT6+AW6+AZ6+BC6+BF6)</f>
        <v>#DIV/0!</v>
      </c>
      <c r="BH6" s="8" t="e">
        <f t="shared" ref="BH6:BH30" si="50">BG6*2</f>
        <v>#DIV/0!</v>
      </c>
      <c r="BI6" s="20" t="e">
        <f t="shared" ref="BI6:BI30" si="51">IF((F6-BH6)&lt;0,0,F6-BH6)</f>
        <v>#DIV/0!</v>
      </c>
      <c r="BJ6" s="17" t="e">
        <f t="shared" ref="BJ6:BJ30" si="52">DEGREES(ATAN((K6-N6)/(O6-L6)))</f>
        <v>#DIV/0!</v>
      </c>
      <c r="BK6" s="12" t="e">
        <f t="shared" ref="BK6:BK30" si="53">SIN(BJ6*PI()/180)*BI6</f>
        <v>#DIV/0!</v>
      </c>
      <c r="BL6" s="20" t="e">
        <f t="shared" ref="BL6:BL30" si="54">BK6+$C$2*$C$1</f>
        <v>#DIV/0!</v>
      </c>
      <c r="BM6" s="15">
        <f t="shared" ref="BM6:BM30" si="55">IF(B6&lt;$C$1*$C$2,$C$1*$C$2,BL6)</f>
        <v>300</v>
      </c>
      <c r="BN6">
        <f t="shared" ref="BN6:BN30" si="56">IF(E6=1,B6-(0.5*B6-0.5*($C$1*$C$2))+50,BM6)</f>
        <v>200</v>
      </c>
      <c r="BO6" s="30">
        <f t="shared" ref="BO6:BO30" si="57">MAX(BM6:BN6)</f>
        <v>300</v>
      </c>
      <c r="BP6" s="31">
        <f>B6</f>
        <v>0</v>
      </c>
      <c r="BQ6" s="9">
        <f>MAX((BP6/2-(C1*C2)/2),0)</f>
        <v>0</v>
      </c>
      <c r="BR6" s="9" t="e">
        <f t="shared" ref="BR6:BR30" si="58">PI()*(3*(H6+I6)-SQRT((H6+3*I6)*(3*H6+I6)))</f>
        <v>#DIV/0!</v>
      </c>
      <c r="BS6" s="9" t="e">
        <f>BH6*2+(BR6-(BH6*2))/2</f>
        <v>#DIV/0!</v>
      </c>
      <c r="BT6" s="9" t="e">
        <f>BR6</f>
        <v>#DIV/0!</v>
      </c>
      <c r="BU6" s="9">
        <f>E6</f>
        <v>1</v>
      </c>
      <c r="BV6" s="9">
        <f>F6</f>
        <v>435.5</v>
      </c>
      <c r="BW6" s="9">
        <f>BU6*BV6</f>
        <v>435.5</v>
      </c>
      <c r="BX6" s="9" t="e">
        <f>IF(BW6&gt;BS6,BP6+100,BP6-BQ6+50)</f>
        <v>#DIV/0!</v>
      </c>
      <c r="BY6" s="2">
        <f>C1*C2</f>
        <v>300</v>
      </c>
      <c r="BZ6" s="3"/>
      <c r="CA6" t="e">
        <f>IF(E6=1,MAX(BX6,BY6),BL6)</f>
        <v>#DIV/0!</v>
      </c>
    </row>
    <row r="7" spans="1:79" x14ac:dyDescent="0.2">
      <c r="A7" s="9">
        <f>'C - overzicht'!B12</f>
        <v>0</v>
      </c>
      <c r="B7" s="9">
        <f>'C - overzicht'!D12</f>
        <v>0</v>
      </c>
      <c r="C7" s="8">
        <f>'C - overzicht'!H12</f>
        <v>0</v>
      </c>
      <c r="D7" s="8">
        <f>'C - overzicht'!I12</f>
        <v>0</v>
      </c>
      <c r="E7" s="2">
        <f>'C - overzicht'!Z12</f>
        <v>2</v>
      </c>
      <c r="F7" s="2">
        <f>'C - overzicht'!AB12</f>
        <v>1150</v>
      </c>
      <c r="H7" s="17" t="e">
        <f t="shared" si="0"/>
        <v>#DIV/0!</v>
      </c>
      <c r="I7" s="2">
        <f t="shared" si="1"/>
        <v>0</v>
      </c>
      <c r="J7" s="15"/>
      <c r="K7" s="16">
        <f t="shared" si="2"/>
        <v>150</v>
      </c>
      <c r="L7" s="2" t="e">
        <f t="shared" si="3"/>
        <v>#DIV/0!</v>
      </c>
      <c r="M7" s="2"/>
      <c r="N7" s="15">
        <f t="shared" si="4"/>
        <v>140</v>
      </c>
      <c r="O7" s="2" t="e">
        <f t="shared" si="5"/>
        <v>#DIV/0!</v>
      </c>
      <c r="P7" s="18" t="e">
        <f t="shared" si="6"/>
        <v>#DIV/0!</v>
      </c>
      <c r="Q7" s="15">
        <f t="shared" si="7"/>
        <v>130</v>
      </c>
      <c r="R7" s="2" t="e">
        <f t="shared" si="8"/>
        <v>#DIV/0!</v>
      </c>
      <c r="S7" s="18" t="e">
        <f t="shared" si="9"/>
        <v>#DIV/0!</v>
      </c>
      <c r="T7" s="15">
        <f t="shared" si="10"/>
        <v>120</v>
      </c>
      <c r="U7" s="2" t="e">
        <f t="shared" si="11"/>
        <v>#DIV/0!</v>
      </c>
      <c r="V7" s="18" t="e">
        <f t="shared" si="12"/>
        <v>#DIV/0!</v>
      </c>
      <c r="W7" s="15">
        <f t="shared" si="13"/>
        <v>110</v>
      </c>
      <c r="X7" s="2" t="e">
        <f t="shared" si="14"/>
        <v>#DIV/0!</v>
      </c>
      <c r="Y7" s="18" t="e">
        <f t="shared" si="15"/>
        <v>#DIV/0!</v>
      </c>
      <c r="Z7" s="15">
        <f t="shared" si="16"/>
        <v>100</v>
      </c>
      <c r="AA7" s="2" t="e">
        <f t="shared" si="17"/>
        <v>#DIV/0!</v>
      </c>
      <c r="AB7" s="18" t="e">
        <f t="shared" si="18"/>
        <v>#DIV/0!</v>
      </c>
      <c r="AC7" s="15">
        <f t="shared" si="19"/>
        <v>90</v>
      </c>
      <c r="AD7" s="2" t="e">
        <f t="shared" si="20"/>
        <v>#DIV/0!</v>
      </c>
      <c r="AE7" s="18" t="e">
        <f t="shared" si="21"/>
        <v>#DIV/0!</v>
      </c>
      <c r="AF7" s="15">
        <f t="shared" si="22"/>
        <v>80</v>
      </c>
      <c r="AG7" s="2" t="e">
        <f t="shared" si="23"/>
        <v>#DIV/0!</v>
      </c>
      <c r="AH7" s="18" t="e">
        <f t="shared" si="24"/>
        <v>#DIV/0!</v>
      </c>
      <c r="AI7" s="15">
        <f t="shared" si="25"/>
        <v>70</v>
      </c>
      <c r="AJ7" s="2" t="e">
        <f t="shared" si="26"/>
        <v>#DIV/0!</v>
      </c>
      <c r="AK7" s="18" t="e">
        <f t="shared" si="27"/>
        <v>#DIV/0!</v>
      </c>
      <c r="AL7" s="15">
        <f t="shared" si="28"/>
        <v>60</v>
      </c>
      <c r="AM7" s="2" t="e">
        <f t="shared" si="29"/>
        <v>#DIV/0!</v>
      </c>
      <c r="AN7" s="18" t="e">
        <f t="shared" si="30"/>
        <v>#DIV/0!</v>
      </c>
      <c r="AO7" s="15">
        <f t="shared" si="31"/>
        <v>50</v>
      </c>
      <c r="AP7" s="2" t="e">
        <f t="shared" si="32"/>
        <v>#DIV/0!</v>
      </c>
      <c r="AQ7" s="18" t="e">
        <f t="shared" si="33"/>
        <v>#DIV/0!</v>
      </c>
      <c r="AR7" s="15">
        <f t="shared" si="34"/>
        <v>40</v>
      </c>
      <c r="AS7" s="2" t="e">
        <f t="shared" si="35"/>
        <v>#DIV/0!</v>
      </c>
      <c r="AT7" s="18" t="e">
        <f t="shared" si="36"/>
        <v>#DIV/0!</v>
      </c>
      <c r="AU7" s="15">
        <f t="shared" si="37"/>
        <v>30</v>
      </c>
      <c r="AV7" s="2" t="e">
        <f t="shared" si="38"/>
        <v>#DIV/0!</v>
      </c>
      <c r="AW7" s="18" t="e">
        <f t="shared" si="39"/>
        <v>#DIV/0!</v>
      </c>
      <c r="AX7" s="15">
        <f t="shared" si="40"/>
        <v>20</v>
      </c>
      <c r="AY7" s="2" t="e">
        <f t="shared" si="41"/>
        <v>#DIV/0!</v>
      </c>
      <c r="AZ7" s="18" t="e">
        <f t="shared" si="42"/>
        <v>#DIV/0!</v>
      </c>
      <c r="BA7" s="15">
        <f t="shared" si="43"/>
        <v>10</v>
      </c>
      <c r="BB7" s="2" t="e">
        <f t="shared" si="44"/>
        <v>#DIV/0!</v>
      </c>
      <c r="BC7" s="18" t="e">
        <f t="shared" si="45"/>
        <v>#DIV/0!</v>
      </c>
      <c r="BD7" s="15">
        <f t="shared" si="46"/>
        <v>0</v>
      </c>
      <c r="BE7" s="2" t="e">
        <f t="shared" si="47"/>
        <v>#DIV/0!</v>
      </c>
      <c r="BF7" s="18" t="e">
        <f t="shared" si="48"/>
        <v>#DIV/0!</v>
      </c>
      <c r="BG7" s="19" t="e">
        <f t="shared" si="49"/>
        <v>#DIV/0!</v>
      </c>
      <c r="BH7" s="8" t="e">
        <f t="shared" si="50"/>
        <v>#DIV/0!</v>
      </c>
      <c r="BI7" s="20" t="e">
        <f t="shared" si="51"/>
        <v>#DIV/0!</v>
      </c>
      <c r="BJ7" s="17" t="e">
        <f t="shared" si="52"/>
        <v>#DIV/0!</v>
      </c>
      <c r="BK7" s="12" t="e">
        <f t="shared" si="53"/>
        <v>#DIV/0!</v>
      </c>
      <c r="BL7" s="20" t="e">
        <f t="shared" si="54"/>
        <v>#DIV/0!</v>
      </c>
      <c r="BM7" s="15">
        <f t="shared" si="55"/>
        <v>300</v>
      </c>
      <c r="BN7">
        <f t="shared" si="56"/>
        <v>300</v>
      </c>
      <c r="BO7" s="30">
        <f t="shared" si="57"/>
        <v>300</v>
      </c>
      <c r="BP7" s="15"/>
      <c r="BR7" s="9" t="e">
        <f t="shared" si="58"/>
        <v>#DIV/0!</v>
      </c>
    </row>
    <row r="8" spans="1:79" x14ac:dyDescent="0.2">
      <c r="A8" s="9">
        <f>'C - overzicht'!B13</f>
        <v>0</v>
      </c>
      <c r="B8" s="9">
        <f>'C - overzicht'!D13</f>
        <v>0</v>
      </c>
      <c r="C8" s="8">
        <f>'C - overzicht'!H13</f>
        <v>0</v>
      </c>
      <c r="D8" s="8">
        <f>'C - overzicht'!I13</f>
        <v>0</v>
      </c>
      <c r="E8" s="2">
        <f>'C - overzicht'!Z13</f>
        <v>2</v>
      </c>
      <c r="F8" s="2">
        <f>'C - overzicht'!AB13</f>
        <v>900</v>
      </c>
      <c r="H8" s="17" t="e">
        <f t="shared" si="0"/>
        <v>#DIV/0!</v>
      </c>
      <c r="I8" s="2">
        <f t="shared" si="1"/>
        <v>0</v>
      </c>
      <c r="J8" s="15"/>
      <c r="K8" s="16">
        <f t="shared" si="2"/>
        <v>150</v>
      </c>
      <c r="L8" s="2" t="e">
        <f t="shared" si="3"/>
        <v>#DIV/0!</v>
      </c>
      <c r="M8" s="2"/>
      <c r="N8" s="15">
        <f t="shared" si="4"/>
        <v>140</v>
      </c>
      <c r="O8" s="2" t="e">
        <f t="shared" si="5"/>
        <v>#DIV/0!</v>
      </c>
      <c r="P8" s="18" t="e">
        <f t="shared" si="6"/>
        <v>#DIV/0!</v>
      </c>
      <c r="Q8" s="15">
        <f t="shared" si="7"/>
        <v>130</v>
      </c>
      <c r="R8" s="2" t="e">
        <f t="shared" si="8"/>
        <v>#DIV/0!</v>
      </c>
      <c r="S8" s="18" t="e">
        <f t="shared" si="9"/>
        <v>#DIV/0!</v>
      </c>
      <c r="T8" s="15">
        <f t="shared" si="10"/>
        <v>120</v>
      </c>
      <c r="U8" s="2" t="e">
        <f t="shared" si="11"/>
        <v>#DIV/0!</v>
      </c>
      <c r="V8" s="18" t="e">
        <f t="shared" si="12"/>
        <v>#DIV/0!</v>
      </c>
      <c r="W8" s="15">
        <f t="shared" si="13"/>
        <v>110</v>
      </c>
      <c r="X8" s="2" t="e">
        <f t="shared" si="14"/>
        <v>#DIV/0!</v>
      </c>
      <c r="Y8" s="18" t="e">
        <f t="shared" si="15"/>
        <v>#DIV/0!</v>
      </c>
      <c r="Z8" s="15">
        <f t="shared" si="16"/>
        <v>100</v>
      </c>
      <c r="AA8" s="2" t="e">
        <f t="shared" si="17"/>
        <v>#DIV/0!</v>
      </c>
      <c r="AB8" s="18" t="e">
        <f t="shared" si="18"/>
        <v>#DIV/0!</v>
      </c>
      <c r="AC8" s="15">
        <f t="shared" si="19"/>
        <v>90</v>
      </c>
      <c r="AD8" s="2" t="e">
        <f t="shared" si="20"/>
        <v>#DIV/0!</v>
      </c>
      <c r="AE8" s="18" t="e">
        <f t="shared" si="21"/>
        <v>#DIV/0!</v>
      </c>
      <c r="AF8" s="15">
        <f t="shared" si="22"/>
        <v>80</v>
      </c>
      <c r="AG8" s="2" t="e">
        <f t="shared" si="23"/>
        <v>#DIV/0!</v>
      </c>
      <c r="AH8" s="18" t="e">
        <f t="shared" si="24"/>
        <v>#DIV/0!</v>
      </c>
      <c r="AI8" s="15">
        <f t="shared" si="25"/>
        <v>70</v>
      </c>
      <c r="AJ8" s="2" t="e">
        <f t="shared" si="26"/>
        <v>#DIV/0!</v>
      </c>
      <c r="AK8" s="18" t="e">
        <f t="shared" si="27"/>
        <v>#DIV/0!</v>
      </c>
      <c r="AL8" s="15">
        <f t="shared" si="28"/>
        <v>60</v>
      </c>
      <c r="AM8" s="2" t="e">
        <f t="shared" si="29"/>
        <v>#DIV/0!</v>
      </c>
      <c r="AN8" s="18" t="e">
        <f t="shared" si="30"/>
        <v>#DIV/0!</v>
      </c>
      <c r="AO8" s="15">
        <f t="shared" si="31"/>
        <v>50</v>
      </c>
      <c r="AP8" s="2" t="e">
        <f t="shared" si="32"/>
        <v>#DIV/0!</v>
      </c>
      <c r="AQ8" s="18" t="e">
        <f t="shared" si="33"/>
        <v>#DIV/0!</v>
      </c>
      <c r="AR8" s="15">
        <f t="shared" si="34"/>
        <v>40</v>
      </c>
      <c r="AS8" s="2" t="e">
        <f t="shared" si="35"/>
        <v>#DIV/0!</v>
      </c>
      <c r="AT8" s="18" t="e">
        <f t="shared" si="36"/>
        <v>#DIV/0!</v>
      </c>
      <c r="AU8" s="15">
        <f t="shared" si="37"/>
        <v>30</v>
      </c>
      <c r="AV8" s="2" t="e">
        <f t="shared" si="38"/>
        <v>#DIV/0!</v>
      </c>
      <c r="AW8" s="18" t="e">
        <f t="shared" si="39"/>
        <v>#DIV/0!</v>
      </c>
      <c r="AX8" s="15">
        <f t="shared" si="40"/>
        <v>20</v>
      </c>
      <c r="AY8" s="2" t="e">
        <f t="shared" si="41"/>
        <v>#DIV/0!</v>
      </c>
      <c r="AZ8" s="18" t="e">
        <f t="shared" si="42"/>
        <v>#DIV/0!</v>
      </c>
      <c r="BA8" s="15">
        <f t="shared" si="43"/>
        <v>10</v>
      </c>
      <c r="BB8" s="2" t="e">
        <f t="shared" si="44"/>
        <v>#DIV/0!</v>
      </c>
      <c r="BC8" s="18" t="e">
        <f t="shared" si="45"/>
        <v>#DIV/0!</v>
      </c>
      <c r="BD8" s="15">
        <f t="shared" si="46"/>
        <v>0</v>
      </c>
      <c r="BE8" s="2" t="e">
        <f t="shared" si="47"/>
        <v>#DIV/0!</v>
      </c>
      <c r="BF8" s="18" t="e">
        <f t="shared" si="48"/>
        <v>#DIV/0!</v>
      </c>
      <c r="BG8" s="19" t="e">
        <f t="shared" si="49"/>
        <v>#DIV/0!</v>
      </c>
      <c r="BH8" s="8" t="e">
        <f t="shared" si="50"/>
        <v>#DIV/0!</v>
      </c>
      <c r="BI8" s="20" t="e">
        <f t="shared" si="51"/>
        <v>#DIV/0!</v>
      </c>
      <c r="BJ8" s="17" t="e">
        <f t="shared" si="52"/>
        <v>#DIV/0!</v>
      </c>
      <c r="BK8" s="12" t="e">
        <f t="shared" si="53"/>
        <v>#DIV/0!</v>
      </c>
      <c r="BL8" s="20" t="e">
        <f t="shared" si="54"/>
        <v>#DIV/0!</v>
      </c>
      <c r="BM8" s="15">
        <f t="shared" si="55"/>
        <v>300</v>
      </c>
      <c r="BN8">
        <f t="shared" si="56"/>
        <v>300</v>
      </c>
      <c r="BO8" s="30">
        <f t="shared" si="57"/>
        <v>300</v>
      </c>
      <c r="BP8" s="15"/>
      <c r="BR8" s="9" t="e">
        <f t="shared" si="58"/>
        <v>#DIV/0!</v>
      </c>
    </row>
    <row r="9" spans="1:79" x14ac:dyDescent="0.2">
      <c r="A9" s="9">
        <f>'C - overzicht'!B14</f>
        <v>0</v>
      </c>
      <c r="B9" s="9">
        <f>'C - overzicht'!D14</f>
        <v>0</v>
      </c>
      <c r="C9" s="8">
        <f>'C - overzicht'!H14</f>
        <v>0</v>
      </c>
      <c r="D9" s="8">
        <f>'C - overzicht'!I14</f>
        <v>0</v>
      </c>
      <c r="E9" s="2">
        <f>'C - overzicht'!Z14</f>
        <v>2</v>
      </c>
      <c r="F9" s="2">
        <f>'C - overzicht'!AB14</f>
        <v>1150</v>
      </c>
      <c r="H9" s="17" t="e">
        <f t="shared" si="0"/>
        <v>#DIV/0!</v>
      </c>
      <c r="I9" s="2">
        <f t="shared" si="1"/>
        <v>0</v>
      </c>
      <c r="J9" s="15"/>
      <c r="K9" s="16">
        <f t="shared" si="2"/>
        <v>150</v>
      </c>
      <c r="L9" s="2" t="e">
        <f t="shared" si="3"/>
        <v>#DIV/0!</v>
      </c>
      <c r="M9" s="2"/>
      <c r="N9" s="15">
        <f t="shared" si="4"/>
        <v>140</v>
      </c>
      <c r="O9" s="2" t="e">
        <f t="shared" si="5"/>
        <v>#DIV/0!</v>
      </c>
      <c r="P9" s="18" t="e">
        <f t="shared" si="6"/>
        <v>#DIV/0!</v>
      </c>
      <c r="Q9" s="15">
        <f t="shared" si="7"/>
        <v>130</v>
      </c>
      <c r="R9" s="2" t="e">
        <f t="shared" si="8"/>
        <v>#DIV/0!</v>
      </c>
      <c r="S9" s="18" t="e">
        <f t="shared" si="9"/>
        <v>#DIV/0!</v>
      </c>
      <c r="T9" s="15">
        <f t="shared" si="10"/>
        <v>120</v>
      </c>
      <c r="U9" s="2" t="e">
        <f t="shared" si="11"/>
        <v>#DIV/0!</v>
      </c>
      <c r="V9" s="18" t="e">
        <f t="shared" si="12"/>
        <v>#DIV/0!</v>
      </c>
      <c r="W9" s="15">
        <f t="shared" si="13"/>
        <v>110</v>
      </c>
      <c r="X9" s="2" t="e">
        <f t="shared" si="14"/>
        <v>#DIV/0!</v>
      </c>
      <c r="Y9" s="18" t="e">
        <f t="shared" si="15"/>
        <v>#DIV/0!</v>
      </c>
      <c r="Z9" s="15">
        <f t="shared" si="16"/>
        <v>100</v>
      </c>
      <c r="AA9" s="2" t="e">
        <f t="shared" si="17"/>
        <v>#DIV/0!</v>
      </c>
      <c r="AB9" s="18" t="e">
        <f t="shared" si="18"/>
        <v>#DIV/0!</v>
      </c>
      <c r="AC9" s="15">
        <f t="shared" si="19"/>
        <v>90</v>
      </c>
      <c r="AD9" s="2" t="e">
        <f t="shared" si="20"/>
        <v>#DIV/0!</v>
      </c>
      <c r="AE9" s="18" t="e">
        <f t="shared" si="21"/>
        <v>#DIV/0!</v>
      </c>
      <c r="AF9" s="15">
        <f t="shared" si="22"/>
        <v>80</v>
      </c>
      <c r="AG9" s="2" t="e">
        <f t="shared" si="23"/>
        <v>#DIV/0!</v>
      </c>
      <c r="AH9" s="18" t="e">
        <f t="shared" si="24"/>
        <v>#DIV/0!</v>
      </c>
      <c r="AI9" s="15">
        <f t="shared" si="25"/>
        <v>70</v>
      </c>
      <c r="AJ9" s="2" t="e">
        <f t="shared" si="26"/>
        <v>#DIV/0!</v>
      </c>
      <c r="AK9" s="18" t="e">
        <f t="shared" si="27"/>
        <v>#DIV/0!</v>
      </c>
      <c r="AL9" s="15">
        <f t="shared" si="28"/>
        <v>60</v>
      </c>
      <c r="AM9" s="2" t="e">
        <f t="shared" si="29"/>
        <v>#DIV/0!</v>
      </c>
      <c r="AN9" s="18" t="e">
        <f t="shared" si="30"/>
        <v>#DIV/0!</v>
      </c>
      <c r="AO9" s="15">
        <f t="shared" si="31"/>
        <v>50</v>
      </c>
      <c r="AP9" s="2" t="e">
        <f t="shared" si="32"/>
        <v>#DIV/0!</v>
      </c>
      <c r="AQ9" s="18" t="e">
        <f t="shared" si="33"/>
        <v>#DIV/0!</v>
      </c>
      <c r="AR9" s="15">
        <f t="shared" si="34"/>
        <v>40</v>
      </c>
      <c r="AS9" s="2" t="e">
        <f t="shared" si="35"/>
        <v>#DIV/0!</v>
      </c>
      <c r="AT9" s="18" t="e">
        <f t="shared" si="36"/>
        <v>#DIV/0!</v>
      </c>
      <c r="AU9" s="15">
        <f t="shared" si="37"/>
        <v>30</v>
      </c>
      <c r="AV9" s="2" t="e">
        <f t="shared" si="38"/>
        <v>#DIV/0!</v>
      </c>
      <c r="AW9" s="18" t="e">
        <f t="shared" si="39"/>
        <v>#DIV/0!</v>
      </c>
      <c r="AX9" s="15">
        <f t="shared" si="40"/>
        <v>20</v>
      </c>
      <c r="AY9" s="2" t="e">
        <f t="shared" si="41"/>
        <v>#DIV/0!</v>
      </c>
      <c r="AZ9" s="18" t="e">
        <f t="shared" si="42"/>
        <v>#DIV/0!</v>
      </c>
      <c r="BA9" s="15">
        <f t="shared" si="43"/>
        <v>10</v>
      </c>
      <c r="BB9" s="2" t="e">
        <f t="shared" si="44"/>
        <v>#DIV/0!</v>
      </c>
      <c r="BC9" s="18" t="e">
        <f t="shared" si="45"/>
        <v>#DIV/0!</v>
      </c>
      <c r="BD9" s="15">
        <f t="shared" si="46"/>
        <v>0</v>
      </c>
      <c r="BE9" s="2" t="e">
        <f t="shared" si="47"/>
        <v>#DIV/0!</v>
      </c>
      <c r="BF9" s="18" t="e">
        <f t="shared" si="48"/>
        <v>#DIV/0!</v>
      </c>
      <c r="BG9" s="19" t="e">
        <f t="shared" si="49"/>
        <v>#DIV/0!</v>
      </c>
      <c r="BH9" s="8" t="e">
        <f t="shared" si="50"/>
        <v>#DIV/0!</v>
      </c>
      <c r="BI9" s="20" t="e">
        <f t="shared" si="51"/>
        <v>#DIV/0!</v>
      </c>
      <c r="BJ9" s="17" t="e">
        <f t="shared" si="52"/>
        <v>#DIV/0!</v>
      </c>
      <c r="BK9" s="12" t="e">
        <f t="shared" si="53"/>
        <v>#DIV/0!</v>
      </c>
      <c r="BL9" s="20" t="e">
        <f t="shared" si="54"/>
        <v>#DIV/0!</v>
      </c>
      <c r="BM9" s="15">
        <f t="shared" si="55"/>
        <v>300</v>
      </c>
      <c r="BN9">
        <f t="shared" si="56"/>
        <v>300</v>
      </c>
      <c r="BO9" s="30">
        <f t="shared" si="57"/>
        <v>300</v>
      </c>
      <c r="BP9" s="15"/>
      <c r="BR9" s="9" t="e">
        <f t="shared" si="58"/>
        <v>#DIV/0!</v>
      </c>
    </row>
    <row r="10" spans="1:79" x14ac:dyDescent="0.2">
      <c r="A10" s="9">
        <f>'C - overzicht'!B15</f>
        <v>0</v>
      </c>
      <c r="B10" s="9">
        <f>'C - overzicht'!D15</f>
        <v>0</v>
      </c>
      <c r="C10" s="8">
        <f>'C - overzicht'!H15</f>
        <v>0</v>
      </c>
      <c r="D10" s="8">
        <f>'C - overzicht'!I15</f>
        <v>0</v>
      </c>
      <c r="E10" s="2">
        <f>'C - overzicht'!Z15</f>
        <v>2</v>
      </c>
      <c r="F10" s="2">
        <f>'C - overzicht'!AB15</f>
        <v>600</v>
      </c>
      <c r="H10" s="17" t="e">
        <f t="shared" si="0"/>
        <v>#DIV/0!</v>
      </c>
      <c r="I10" s="2">
        <f t="shared" si="1"/>
        <v>0</v>
      </c>
      <c r="J10" s="15"/>
      <c r="K10" s="16">
        <f t="shared" si="2"/>
        <v>150</v>
      </c>
      <c r="L10" s="2" t="e">
        <f t="shared" si="3"/>
        <v>#DIV/0!</v>
      </c>
      <c r="M10" s="2"/>
      <c r="N10" s="15">
        <f t="shared" si="4"/>
        <v>140</v>
      </c>
      <c r="O10" s="2" t="e">
        <f t="shared" si="5"/>
        <v>#DIV/0!</v>
      </c>
      <c r="P10" s="18" t="e">
        <f t="shared" si="6"/>
        <v>#DIV/0!</v>
      </c>
      <c r="Q10" s="15">
        <f t="shared" si="7"/>
        <v>130</v>
      </c>
      <c r="R10" s="2" t="e">
        <f t="shared" si="8"/>
        <v>#DIV/0!</v>
      </c>
      <c r="S10" s="18" t="e">
        <f t="shared" si="9"/>
        <v>#DIV/0!</v>
      </c>
      <c r="T10" s="15">
        <f t="shared" si="10"/>
        <v>120</v>
      </c>
      <c r="U10" s="2" t="e">
        <f t="shared" si="11"/>
        <v>#DIV/0!</v>
      </c>
      <c r="V10" s="18" t="e">
        <f t="shared" si="12"/>
        <v>#DIV/0!</v>
      </c>
      <c r="W10" s="15">
        <f t="shared" si="13"/>
        <v>110</v>
      </c>
      <c r="X10" s="2" t="e">
        <f t="shared" si="14"/>
        <v>#DIV/0!</v>
      </c>
      <c r="Y10" s="18" t="e">
        <f t="shared" si="15"/>
        <v>#DIV/0!</v>
      </c>
      <c r="Z10" s="15">
        <f t="shared" si="16"/>
        <v>100</v>
      </c>
      <c r="AA10" s="2" t="e">
        <f t="shared" si="17"/>
        <v>#DIV/0!</v>
      </c>
      <c r="AB10" s="18" t="e">
        <f t="shared" si="18"/>
        <v>#DIV/0!</v>
      </c>
      <c r="AC10" s="15">
        <f t="shared" si="19"/>
        <v>90</v>
      </c>
      <c r="AD10" s="2" t="e">
        <f t="shared" si="20"/>
        <v>#DIV/0!</v>
      </c>
      <c r="AE10" s="18" t="e">
        <f t="shared" si="21"/>
        <v>#DIV/0!</v>
      </c>
      <c r="AF10" s="15">
        <f t="shared" si="22"/>
        <v>80</v>
      </c>
      <c r="AG10" s="2" t="e">
        <f t="shared" si="23"/>
        <v>#DIV/0!</v>
      </c>
      <c r="AH10" s="18" t="e">
        <f t="shared" si="24"/>
        <v>#DIV/0!</v>
      </c>
      <c r="AI10" s="15">
        <f t="shared" si="25"/>
        <v>70</v>
      </c>
      <c r="AJ10" s="2" t="e">
        <f t="shared" si="26"/>
        <v>#DIV/0!</v>
      </c>
      <c r="AK10" s="18" t="e">
        <f t="shared" si="27"/>
        <v>#DIV/0!</v>
      </c>
      <c r="AL10" s="15">
        <f t="shared" si="28"/>
        <v>60</v>
      </c>
      <c r="AM10" s="2" t="e">
        <f t="shared" si="29"/>
        <v>#DIV/0!</v>
      </c>
      <c r="AN10" s="18" t="e">
        <f t="shared" si="30"/>
        <v>#DIV/0!</v>
      </c>
      <c r="AO10" s="15">
        <f t="shared" si="31"/>
        <v>50</v>
      </c>
      <c r="AP10" s="2" t="e">
        <f t="shared" si="32"/>
        <v>#DIV/0!</v>
      </c>
      <c r="AQ10" s="18" t="e">
        <f t="shared" si="33"/>
        <v>#DIV/0!</v>
      </c>
      <c r="AR10" s="15">
        <f t="shared" si="34"/>
        <v>40</v>
      </c>
      <c r="AS10" s="2" t="e">
        <f t="shared" si="35"/>
        <v>#DIV/0!</v>
      </c>
      <c r="AT10" s="18" t="e">
        <f t="shared" si="36"/>
        <v>#DIV/0!</v>
      </c>
      <c r="AU10" s="15">
        <f t="shared" si="37"/>
        <v>30</v>
      </c>
      <c r="AV10" s="2" t="e">
        <f t="shared" si="38"/>
        <v>#DIV/0!</v>
      </c>
      <c r="AW10" s="18" t="e">
        <f t="shared" si="39"/>
        <v>#DIV/0!</v>
      </c>
      <c r="AX10" s="15">
        <f t="shared" si="40"/>
        <v>20</v>
      </c>
      <c r="AY10" s="2" t="e">
        <f t="shared" si="41"/>
        <v>#DIV/0!</v>
      </c>
      <c r="AZ10" s="18" t="e">
        <f t="shared" si="42"/>
        <v>#DIV/0!</v>
      </c>
      <c r="BA10" s="15">
        <f t="shared" si="43"/>
        <v>10</v>
      </c>
      <c r="BB10" s="2" t="e">
        <f t="shared" si="44"/>
        <v>#DIV/0!</v>
      </c>
      <c r="BC10" s="18" t="e">
        <f t="shared" si="45"/>
        <v>#DIV/0!</v>
      </c>
      <c r="BD10" s="15">
        <f t="shared" si="46"/>
        <v>0</v>
      </c>
      <c r="BE10" s="2" t="e">
        <f t="shared" si="47"/>
        <v>#DIV/0!</v>
      </c>
      <c r="BF10" s="18" t="e">
        <f t="shared" si="48"/>
        <v>#DIV/0!</v>
      </c>
      <c r="BG10" s="19" t="e">
        <f t="shared" si="49"/>
        <v>#DIV/0!</v>
      </c>
      <c r="BH10" s="8" t="e">
        <f t="shared" si="50"/>
        <v>#DIV/0!</v>
      </c>
      <c r="BI10" s="20" t="e">
        <f t="shared" si="51"/>
        <v>#DIV/0!</v>
      </c>
      <c r="BJ10" s="17" t="e">
        <f t="shared" si="52"/>
        <v>#DIV/0!</v>
      </c>
      <c r="BK10" s="12" t="e">
        <f t="shared" si="53"/>
        <v>#DIV/0!</v>
      </c>
      <c r="BL10" s="20" t="e">
        <f t="shared" si="54"/>
        <v>#DIV/0!</v>
      </c>
      <c r="BM10" s="15">
        <f t="shared" si="55"/>
        <v>300</v>
      </c>
      <c r="BN10">
        <f t="shared" si="56"/>
        <v>300</v>
      </c>
      <c r="BO10" s="30">
        <f t="shared" si="57"/>
        <v>300</v>
      </c>
      <c r="BP10" s="15"/>
      <c r="BR10" s="9" t="e">
        <f t="shared" si="58"/>
        <v>#DIV/0!</v>
      </c>
    </row>
    <row r="11" spans="1:79" x14ac:dyDescent="0.2">
      <c r="A11" s="9">
        <f>'C - overzicht'!B16</f>
        <v>0</v>
      </c>
      <c r="B11" s="9">
        <f>'C - overzicht'!D16</f>
        <v>0</v>
      </c>
      <c r="C11" s="8">
        <f>'C - overzicht'!H16</f>
        <v>0</v>
      </c>
      <c r="D11" s="8">
        <f>'C - overzicht'!I16</f>
        <v>0</v>
      </c>
      <c r="E11" s="2">
        <f>'C - overzicht'!Z16</f>
        <v>2</v>
      </c>
      <c r="F11" s="2">
        <f>'C - overzicht'!AB16</f>
        <v>600</v>
      </c>
      <c r="H11" s="17" t="e">
        <f t="shared" si="0"/>
        <v>#DIV/0!</v>
      </c>
      <c r="I11" s="2">
        <f t="shared" si="1"/>
        <v>0</v>
      </c>
      <c r="J11" s="15"/>
      <c r="K11" s="16">
        <f t="shared" si="2"/>
        <v>150</v>
      </c>
      <c r="L11" s="2" t="e">
        <f t="shared" si="3"/>
        <v>#DIV/0!</v>
      </c>
      <c r="M11" s="2"/>
      <c r="N11" s="15">
        <f t="shared" si="4"/>
        <v>140</v>
      </c>
      <c r="O11" s="2" t="e">
        <f t="shared" si="5"/>
        <v>#DIV/0!</v>
      </c>
      <c r="P11" s="18" t="e">
        <f t="shared" si="6"/>
        <v>#DIV/0!</v>
      </c>
      <c r="Q11" s="15">
        <f t="shared" si="7"/>
        <v>130</v>
      </c>
      <c r="R11" s="2" t="e">
        <f t="shared" si="8"/>
        <v>#DIV/0!</v>
      </c>
      <c r="S11" s="18" t="e">
        <f t="shared" si="9"/>
        <v>#DIV/0!</v>
      </c>
      <c r="T11" s="15">
        <f t="shared" si="10"/>
        <v>120</v>
      </c>
      <c r="U11" s="2" t="e">
        <f t="shared" si="11"/>
        <v>#DIV/0!</v>
      </c>
      <c r="V11" s="18" t="e">
        <f t="shared" si="12"/>
        <v>#DIV/0!</v>
      </c>
      <c r="W11" s="15">
        <f t="shared" si="13"/>
        <v>110</v>
      </c>
      <c r="X11" s="2" t="e">
        <f t="shared" si="14"/>
        <v>#DIV/0!</v>
      </c>
      <c r="Y11" s="18" t="e">
        <f t="shared" si="15"/>
        <v>#DIV/0!</v>
      </c>
      <c r="Z11" s="15">
        <f t="shared" si="16"/>
        <v>100</v>
      </c>
      <c r="AA11" s="2" t="e">
        <f t="shared" si="17"/>
        <v>#DIV/0!</v>
      </c>
      <c r="AB11" s="18" t="e">
        <f t="shared" si="18"/>
        <v>#DIV/0!</v>
      </c>
      <c r="AC11" s="15">
        <f t="shared" si="19"/>
        <v>90</v>
      </c>
      <c r="AD11" s="2" t="e">
        <f t="shared" si="20"/>
        <v>#DIV/0!</v>
      </c>
      <c r="AE11" s="18" t="e">
        <f t="shared" si="21"/>
        <v>#DIV/0!</v>
      </c>
      <c r="AF11" s="15">
        <f t="shared" si="22"/>
        <v>80</v>
      </c>
      <c r="AG11" s="2" t="e">
        <f t="shared" si="23"/>
        <v>#DIV/0!</v>
      </c>
      <c r="AH11" s="18" t="e">
        <f t="shared" si="24"/>
        <v>#DIV/0!</v>
      </c>
      <c r="AI11" s="15">
        <f t="shared" si="25"/>
        <v>70</v>
      </c>
      <c r="AJ11" s="2" t="e">
        <f t="shared" si="26"/>
        <v>#DIV/0!</v>
      </c>
      <c r="AK11" s="18" t="e">
        <f t="shared" si="27"/>
        <v>#DIV/0!</v>
      </c>
      <c r="AL11" s="15">
        <f t="shared" si="28"/>
        <v>60</v>
      </c>
      <c r="AM11" s="2" t="e">
        <f t="shared" si="29"/>
        <v>#DIV/0!</v>
      </c>
      <c r="AN11" s="18" t="e">
        <f t="shared" si="30"/>
        <v>#DIV/0!</v>
      </c>
      <c r="AO11" s="15">
        <f t="shared" si="31"/>
        <v>50</v>
      </c>
      <c r="AP11" s="2" t="e">
        <f t="shared" si="32"/>
        <v>#DIV/0!</v>
      </c>
      <c r="AQ11" s="18" t="e">
        <f t="shared" si="33"/>
        <v>#DIV/0!</v>
      </c>
      <c r="AR11" s="15">
        <f t="shared" si="34"/>
        <v>40</v>
      </c>
      <c r="AS11" s="2" t="e">
        <f t="shared" si="35"/>
        <v>#DIV/0!</v>
      </c>
      <c r="AT11" s="18" t="e">
        <f t="shared" si="36"/>
        <v>#DIV/0!</v>
      </c>
      <c r="AU11" s="15">
        <f t="shared" si="37"/>
        <v>30</v>
      </c>
      <c r="AV11" s="2" t="e">
        <f t="shared" si="38"/>
        <v>#DIV/0!</v>
      </c>
      <c r="AW11" s="18" t="e">
        <f t="shared" si="39"/>
        <v>#DIV/0!</v>
      </c>
      <c r="AX11" s="15">
        <f t="shared" si="40"/>
        <v>20</v>
      </c>
      <c r="AY11" s="2" t="e">
        <f t="shared" si="41"/>
        <v>#DIV/0!</v>
      </c>
      <c r="AZ11" s="18" t="e">
        <f t="shared" si="42"/>
        <v>#DIV/0!</v>
      </c>
      <c r="BA11" s="15">
        <f t="shared" si="43"/>
        <v>10</v>
      </c>
      <c r="BB11" s="2" t="e">
        <f t="shared" si="44"/>
        <v>#DIV/0!</v>
      </c>
      <c r="BC11" s="18" t="e">
        <f t="shared" si="45"/>
        <v>#DIV/0!</v>
      </c>
      <c r="BD11" s="15">
        <f t="shared" si="46"/>
        <v>0</v>
      </c>
      <c r="BE11" s="2" t="e">
        <f t="shared" si="47"/>
        <v>#DIV/0!</v>
      </c>
      <c r="BF11" s="18" t="e">
        <f t="shared" si="48"/>
        <v>#DIV/0!</v>
      </c>
      <c r="BG11" s="19" t="e">
        <f t="shared" si="49"/>
        <v>#DIV/0!</v>
      </c>
      <c r="BH11" s="8" t="e">
        <f t="shared" si="50"/>
        <v>#DIV/0!</v>
      </c>
      <c r="BI11" s="20" t="e">
        <f t="shared" si="51"/>
        <v>#DIV/0!</v>
      </c>
      <c r="BJ11" s="17" t="e">
        <f t="shared" si="52"/>
        <v>#DIV/0!</v>
      </c>
      <c r="BK11" s="12" t="e">
        <f t="shared" si="53"/>
        <v>#DIV/0!</v>
      </c>
      <c r="BL11" s="20" t="e">
        <f t="shared" si="54"/>
        <v>#DIV/0!</v>
      </c>
      <c r="BM11" s="15">
        <f t="shared" si="55"/>
        <v>300</v>
      </c>
      <c r="BN11">
        <f t="shared" si="56"/>
        <v>300</v>
      </c>
      <c r="BO11" s="30">
        <f t="shared" si="57"/>
        <v>300</v>
      </c>
      <c r="BP11" s="15"/>
      <c r="BR11" s="9" t="e">
        <f t="shared" si="58"/>
        <v>#DIV/0!</v>
      </c>
    </row>
    <row r="12" spans="1:79" x14ac:dyDescent="0.2">
      <c r="A12" s="9">
        <f>'C - overzicht'!B17</f>
        <v>0</v>
      </c>
      <c r="B12" s="9">
        <f>'C - overzicht'!D17</f>
        <v>0</v>
      </c>
      <c r="C12" s="8">
        <f>'C - overzicht'!H17</f>
        <v>0</v>
      </c>
      <c r="D12" s="8">
        <f>'C - overzicht'!I17</f>
        <v>0</v>
      </c>
      <c r="E12" s="2">
        <f>'C - overzicht'!Z17</f>
        <v>2</v>
      </c>
      <c r="F12" s="2">
        <f>'C - overzicht'!AB17</f>
        <v>600</v>
      </c>
      <c r="H12" s="17" t="e">
        <f t="shared" si="0"/>
        <v>#DIV/0!</v>
      </c>
      <c r="I12" s="2">
        <f t="shared" si="1"/>
        <v>0</v>
      </c>
      <c r="J12" s="15"/>
      <c r="K12" s="16">
        <f t="shared" si="2"/>
        <v>150</v>
      </c>
      <c r="L12" s="2" t="e">
        <f t="shared" si="3"/>
        <v>#DIV/0!</v>
      </c>
      <c r="M12" s="2"/>
      <c r="N12" s="15">
        <f t="shared" si="4"/>
        <v>140</v>
      </c>
      <c r="O12" s="2" t="e">
        <f t="shared" si="5"/>
        <v>#DIV/0!</v>
      </c>
      <c r="P12" s="18" t="e">
        <f t="shared" si="6"/>
        <v>#DIV/0!</v>
      </c>
      <c r="Q12" s="15">
        <f t="shared" si="7"/>
        <v>130</v>
      </c>
      <c r="R12" s="2" t="e">
        <f t="shared" si="8"/>
        <v>#DIV/0!</v>
      </c>
      <c r="S12" s="18" t="e">
        <f t="shared" si="9"/>
        <v>#DIV/0!</v>
      </c>
      <c r="T12" s="15">
        <f t="shared" si="10"/>
        <v>120</v>
      </c>
      <c r="U12" s="2" t="e">
        <f t="shared" si="11"/>
        <v>#DIV/0!</v>
      </c>
      <c r="V12" s="18" t="e">
        <f t="shared" si="12"/>
        <v>#DIV/0!</v>
      </c>
      <c r="W12" s="15">
        <f t="shared" si="13"/>
        <v>110</v>
      </c>
      <c r="X12" s="2" t="e">
        <f t="shared" si="14"/>
        <v>#DIV/0!</v>
      </c>
      <c r="Y12" s="18" t="e">
        <f t="shared" si="15"/>
        <v>#DIV/0!</v>
      </c>
      <c r="Z12" s="15">
        <f t="shared" si="16"/>
        <v>100</v>
      </c>
      <c r="AA12" s="2" t="e">
        <f t="shared" si="17"/>
        <v>#DIV/0!</v>
      </c>
      <c r="AB12" s="18" t="e">
        <f t="shared" si="18"/>
        <v>#DIV/0!</v>
      </c>
      <c r="AC12" s="15">
        <f t="shared" si="19"/>
        <v>90</v>
      </c>
      <c r="AD12" s="2" t="e">
        <f t="shared" si="20"/>
        <v>#DIV/0!</v>
      </c>
      <c r="AE12" s="18" t="e">
        <f t="shared" si="21"/>
        <v>#DIV/0!</v>
      </c>
      <c r="AF12" s="15">
        <f t="shared" si="22"/>
        <v>80</v>
      </c>
      <c r="AG12" s="2" t="e">
        <f t="shared" si="23"/>
        <v>#DIV/0!</v>
      </c>
      <c r="AH12" s="18" t="e">
        <f t="shared" si="24"/>
        <v>#DIV/0!</v>
      </c>
      <c r="AI12" s="15">
        <f t="shared" si="25"/>
        <v>70</v>
      </c>
      <c r="AJ12" s="2" t="e">
        <f t="shared" si="26"/>
        <v>#DIV/0!</v>
      </c>
      <c r="AK12" s="18" t="e">
        <f t="shared" si="27"/>
        <v>#DIV/0!</v>
      </c>
      <c r="AL12" s="15">
        <f t="shared" si="28"/>
        <v>60</v>
      </c>
      <c r="AM12" s="2" t="e">
        <f t="shared" si="29"/>
        <v>#DIV/0!</v>
      </c>
      <c r="AN12" s="18" t="e">
        <f t="shared" si="30"/>
        <v>#DIV/0!</v>
      </c>
      <c r="AO12" s="15">
        <f t="shared" si="31"/>
        <v>50</v>
      </c>
      <c r="AP12" s="2" t="e">
        <f t="shared" si="32"/>
        <v>#DIV/0!</v>
      </c>
      <c r="AQ12" s="18" t="e">
        <f t="shared" si="33"/>
        <v>#DIV/0!</v>
      </c>
      <c r="AR12" s="15">
        <f t="shared" si="34"/>
        <v>40</v>
      </c>
      <c r="AS12" s="2" t="e">
        <f t="shared" si="35"/>
        <v>#DIV/0!</v>
      </c>
      <c r="AT12" s="18" t="e">
        <f t="shared" si="36"/>
        <v>#DIV/0!</v>
      </c>
      <c r="AU12" s="15">
        <f t="shared" si="37"/>
        <v>30</v>
      </c>
      <c r="AV12" s="2" t="e">
        <f t="shared" si="38"/>
        <v>#DIV/0!</v>
      </c>
      <c r="AW12" s="18" t="e">
        <f t="shared" si="39"/>
        <v>#DIV/0!</v>
      </c>
      <c r="AX12" s="15">
        <f t="shared" si="40"/>
        <v>20</v>
      </c>
      <c r="AY12" s="2" t="e">
        <f t="shared" si="41"/>
        <v>#DIV/0!</v>
      </c>
      <c r="AZ12" s="18" t="e">
        <f t="shared" si="42"/>
        <v>#DIV/0!</v>
      </c>
      <c r="BA12" s="15">
        <f t="shared" si="43"/>
        <v>10</v>
      </c>
      <c r="BB12" s="2" t="e">
        <f t="shared" si="44"/>
        <v>#DIV/0!</v>
      </c>
      <c r="BC12" s="18" t="e">
        <f t="shared" si="45"/>
        <v>#DIV/0!</v>
      </c>
      <c r="BD12" s="15">
        <f t="shared" si="46"/>
        <v>0</v>
      </c>
      <c r="BE12" s="2" t="e">
        <f t="shared" si="47"/>
        <v>#DIV/0!</v>
      </c>
      <c r="BF12" s="18" t="e">
        <f t="shared" si="48"/>
        <v>#DIV/0!</v>
      </c>
      <c r="BG12" s="19" t="e">
        <f t="shared" si="49"/>
        <v>#DIV/0!</v>
      </c>
      <c r="BH12" s="8" t="e">
        <f t="shared" si="50"/>
        <v>#DIV/0!</v>
      </c>
      <c r="BI12" s="20" t="e">
        <f t="shared" si="51"/>
        <v>#DIV/0!</v>
      </c>
      <c r="BJ12" s="17" t="e">
        <f t="shared" si="52"/>
        <v>#DIV/0!</v>
      </c>
      <c r="BK12" s="12" t="e">
        <f t="shared" si="53"/>
        <v>#DIV/0!</v>
      </c>
      <c r="BL12" s="20" t="e">
        <f t="shared" si="54"/>
        <v>#DIV/0!</v>
      </c>
      <c r="BM12" s="15">
        <f t="shared" si="55"/>
        <v>300</v>
      </c>
      <c r="BN12">
        <f t="shared" si="56"/>
        <v>300</v>
      </c>
      <c r="BO12" s="30">
        <f t="shared" si="57"/>
        <v>300</v>
      </c>
      <c r="BP12" s="15"/>
      <c r="BR12" s="9" t="e">
        <f t="shared" si="58"/>
        <v>#DIV/0!</v>
      </c>
    </row>
    <row r="13" spans="1:79" x14ac:dyDescent="0.2">
      <c r="A13" s="9">
        <f>'C - overzicht'!B18</f>
        <v>0</v>
      </c>
      <c r="B13" s="9">
        <f>'C - overzicht'!D18</f>
        <v>0</v>
      </c>
      <c r="C13" s="8">
        <f>'C - overzicht'!H18</f>
        <v>0</v>
      </c>
      <c r="D13" s="8">
        <f>'C - overzicht'!I18</f>
        <v>0</v>
      </c>
      <c r="E13" s="2">
        <f>'C - overzicht'!Z18</f>
        <v>2</v>
      </c>
      <c r="F13" s="2">
        <f>'C - overzicht'!AB18</f>
        <v>600</v>
      </c>
      <c r="H13" s="17" t="e">
        <f t="shared" si="0"/>
        <v>#DIV/0!</v>
      </c>
      <c r="I13" s="2">
        <f t="shared" si="1"/>
        <v>0</v>
      </c>
      <c r="J13" s="15"/>
      <c r="K13" s="16">
        <f t="shared" si="2"/>
        <v>150</v>
      </c>
      <c r="L13" s="2" t="e">
        <f t="shared" si="3"/>
        <v>#DIV/0!</v>
      </c>
      <c r="M13" s="2"/>
      <c r="N13" s="15">
        <f t="shared" si="4"/>
        <v>140</v>
      </c>
      <c r="O13" s="2" t="e">
        <f t="shared" si="5"/>
        <v>#DIV/0!</v>
      </c>
      <c r="P13" s="18" t="e">
        <f t="shared" si="6"/>
        <v>#DIV/0!</v>
      </c>
      <c r="Q13" s="15">
        <f t="shared" si="7"/>
        <v>130</v>
      </c>
      <c r="R13" s="2" t="e">
        <f t="shared" si="8"/>
        <v>#DIV/0!</v>
      </c>
      <c r="S13" s="18" t="e">
        <f t="shared" si="9"/>
        <v>#DIV/0!</v>
      </c>
      <c r="T13" s="15">
        <f t="shared" si="10"/>
        <v>120</v>
      </c>
      <c r="U13" s="2" t="e">
        <f t="shared" si="11"/>
        <v>#DIV/0!</v>
      </c>
      <c r="V13" s="18" t="e">
        <f t="shared" si="12"/>
        <v>#DIV/0!</v>
      </c>
      <c r="W13" s="15">
        <f t="shared" si="13"/>
        <v>110</v>
      </c>
      <c r="X13" s="2" t="e">
        <f t="shared" si="14"/>
        <v>#DIV/0!</v>
      </c>
      <c r="Y13" s="18" t="e">
        <f t="shared" si="15"/>
        <v>#DIV/0!</v>
      </c>
      <c r="Z13" s="15">
        <f t="shared" si="16"/>
        <v>100</v>
      </c>
      <c r="AA13" s="2" t="e">
        <f t="shared" si="17"/>
        <v>#DIV/0!</v>
      </c>
      <c r="AB13" s="18" t="e">
        <f t="shared" si="18"/>
        <v>#DIV/0!</v>
      </c>
      <c r="AC13" s="15">
        <f t="shared" si="19"/>
        <v>90</v>
      </c>
      <c r="AD13" s="2" t="e">
        <f t="shared" si="20"/>
        <v>#DIV/0!</v>
      </c>
      <c r="AE13" s="18" t="e">
        <f t="shared" si="21"/>
        <v>#DIV/0!</v>
      </c>
      <c r="AF13" s="15">
        <f t="shared" si="22"/>
        <v>80</v>
      </c>
      <c r="AG13" s="2" t="e">
        <f t="shared" si="23"/>
        <v>#DIV/0!</v>
      </c>
      <c r="AH13" s="18" t="e">
        <f t="shared" si="24"/>
        <v>#DIV/0!</v>
      </c>
      <c r="AI13" s="15">
        <f t="shared" si="25"/>
        <v>70</v>
      </c>
      <c r="AJ13" s="2" t="e">
        <f t="shared" si="26"/>
        <v>#DIV/0!</v>
      </c>
      <c r="AK13" s="18" t="e">
        <f t="shared" si="27"/>
        <v>#DIV/0!</v>
      </c>
      <c r="AL13" s="15">
        <f t="shared" si="28"/>
        <v>60</v>
      </c>
      <c r="AM13" s="2" t="e">
        <f t="shared" si="29"/>
        <v>#DIV/0!</v>
      </c>
      <c r="AN13" s="18" t="e">
        <f t="shared" si="30"/>
        <v>#DIV/0!</v>
      </c>
      <c r="AO13" s="15">
        <f t="shared" si="31"/>
        <v>50</v>
      </c>
      <c r="AP13" s="2" t="e">
        <f t="shared" si="32"/>
        <v>#DIV/0!</v>
      </c>
      <c r="AQ13" s="18" t="e">
        <f t="shared" si="33"/>
        <v>#DIV/0!</v>
      </c>
      <c r="AR13" s="15">
        <f t="shared" si="34"/>
        <v>40</v>
      </c>
      <c r="AS13" s="2" t="e">
        <f t="shared" si="35"/>
        <v>#DIV/0!</v>
      </c>
      <c r="AT13" s="18" t="e">
        <f t="shared" si="36"/>
        <v>#DIV/0!</v>
      </c>
      <c r="AU13" s="15">
        <f t="shared" si="37"/>
        <v>30</v>
      </c>
      <c r="AV13" s="2" t="e">
        <f t="shared" si="38"/>
        <v>#DIV/0!</v>
      </c>
      <c r="AW13" s="18" t="e">
        <f t="shared" si="39"/>
        <v>#DIV/0!</v>
      </c>
      <c r="AX13" s="15">
        <f t="shared" si="40"/>
        <v>20</v>
      </c>
      <c r="AY13" s="2" t="e">
        <f t="shared" si="41"/>
        <v>#DIV/0!</v>
      </c>
      <c r="AZ13" s="18" t="e">
        <f t="shared" si="42"/>
        <v>#DIV/0!</v>
      </c>
      <c r="BA13" s="15">
        <f t="shared" si="43"/>
        <v>10</v>
      </c>
      <c r="BB13" s="2" t="e">
        <f t="shared" si="44"/>
        <v>#DIV/0!</v>
      </c>
      <c r="BC13" s="18" t="e">
        <f t="shared" si="45"/>
        <v>#DIV/0!</v>
      </c>
      <c r="BD13" s="15">
        <f t="shared" si="46"/>
        <v>0</v>
      </c>
      <c r="BE13" s="2" t="e">
        <f t="shared" si="47"/>
        <v>#DIV/0!</v>
      </c>
      <c r="BF13" s="18" t="e">
        <f t="shared" si="48"/>
        <v>#DIV/0!</v>
      </c>
      <c r="BG13" s="19" t="e">
        <f t="shared" si="49"/>
        <v>#DIV/0!</v>
      </c>
      <c r="BH13" s="8" t="e">
        <f t="shared" si="50"/>
        <v>#DIV/0!</v>
      </c>
      <c r="BI13" s="20" t="e">
        <f t="shared" si="51"/>
        <v>#DIV/0!</v>
      </c>
      <c r="BJ13" s="17" t="e">
        <f t="shared" si="52"/>
        <v>#DIV/0!</v>
      </c>
      <c r="BK13" s="12" t="e">
        <f t="shared" si="53"/>
        <v>#DIV/0!</v>
      </c>
      <c r="BL13" s="20" t="e">
        <f t="shared" si="54"/>
        <v>#DIV/0!</v>
      </c>
      <c r="BM13" s="15">
        <f t="shared" si="55"/>
        <v>300</v>
      </c>
      <c r="BN13">
        <f t="shared" si="56"/>
        <v>300</v>
      </c>
      <c r="BO13" s="30">
        <f t="shared" si="57"/>
        <v>300</v>
      </c>
      <c r="BP13" s="15"/>
      <c r="BR13" s="9" t="e">
        <f t="shared" si="58"/>
        <v>#DIV/0!</v>
      </c>
    </row>
    <row r="14" spans="1:79" x14ac:dyDescent="0.2">
      <c r="A14" s="9">
        <f>'C - overzicht'!B19</f>
        <v>0</v>
      </c>
      <c r="B14" s="9">
        <f>'C - overzicht'!D19</f>
        <v>0</v>
      </c>
      <c r="C14" s="8">
        <f>'C - overzicht'!H19</f>
        <v>0</v>
      </c>
      <c r="D14" s="8">
        <f>'C - overzicht'!I19</f>
        <v>0</v>
      </c>
      <c r="E14" s="2">
        <f>'C - overzicht'!Z19</f>
        <v>2</v>
      </c>
      <c r="F14" s="2">
        <f>'C - overzicht'!AB19</f>
        <v>600</v>
      </c>
      <c r="H14" s="17" t="e">
        <f t="shared" si="0"/>
        <v>#DIV/0!</v>
      </c>
      <c r="I14" s="2">
        <f t="shared" si="1"/>
        <v>0</v>
      </c>
      <c r="J14" s="15"/>
      <c r="K14" s="16">
        <f t="shared" si="2"/>
        <v>150</v>
      </c>
      <c r="L14" s="2" t="e">
        <f t="shared" si="3"/>
        <v>#DIV/0!</v>
      </c>
      <c r="M14" s="2"/>
      <c r="N14" s="15">
        <f t="shared" si="4"/>
        <v>140</v>
      </c>
      <c r="O14" s="2" t="e">
        <f t="shared" si="5"/>
        <v>#DIV/0!</v>
      </c>
      <c r="P14" s="18" t="e">
        <f t="shared" si="6"/>
        <v>#DIV/0!</v>
      </c>
      <c r="Q14" s="15">
        <f t="shared" si="7"/>
        <v>130</v>
      </c>
      <c r="R14" s="2" t="e">
        <f t="shared" si="8"/>
        <v>#DIV/0!</v>
      </c>
      <c r="S14" s="18" t="e">
        <f t="shared" si="9"/>
        <v>#DIV/0!</v>
      </c>
      <c r="T14" s="15">
        <f t="shared" si="10"/>
        <v>120</v>
      </c>
      <c r="U14" s="2" t="e">
        <f t="shared" si="11"/>
        <v>#DIV/0!</v>
      </c>
      <c r="V14" s="18" t="e">
        <f t="shared" si="12"/>
        <v>#DIV/0!</v>
      </c>
      <c r="W14" s="15">
        <f t="shared" si="13"/>
        <v>110</v>
      </c>
      <c r="X14" s="2" t="e">
        <f t="shared" si="14"/>
        <v>#DIV/0!</v>
      </c>
      <c r="Y14" s="18" t="e">
        <f t="shared" si="15"/>
        <v>#DIV/0!</v>
      </c>
      <c r="Z14" s="15">
        <f t="shared" si="16"/>
        <v>100</v>
      </c>
      <c r="AA14" s="2" t="e">
        <f t="shared" si="17"/>
        <v>#DIV/0!</v>
      </c>
      <c r="AB14" s="18" t="e">
        <f t="shared" si="18"/>
        <v>#DIV/0!</v>
      </c>
      <c r="AC14" s="15">
        <f t="shared" si="19"/>
        <v>90</v>
      </c>
      <c r="AD14" s="2" t="e">
        <f t="shared" si="20"/>
        <v>#DIV/0!</v>
      </c>
      <c r="AE14" s="18" t="e">
        <f t="shared" si="21"/>
        <v>#DIV/0!</v>
      </c>
      <c r="AF14" s="15">
        <f t="shared" si="22"/>
        <v>80</v>
      </c>
      <c r="AG14" s="2" t="e">
        <f t="shared" si="23"/>
        <v>#DIV/0!</v>
      </c>
      <c r="AH14" s="18" t="e">
        <f t="shared" si="24"/>
        <v>#DIV/0!</v>
      </c>
      <c r="AI14" s="15">
        <f t="shared" si="25"/>
        <v>70</v>
      </c>
      <c r="AJ14" s="2" t="e">
        <f t="shared" si="26"/>
        <v>#DIV/0!</v>
      </c>
      <c r="AK14" s="18" t="e">
        <f t="shared" si="27"/>
        <v>#DIV/0!</v>
      </c>
      <c r="AL14" s="15">
        <f t="shared" si="28"/>
        <v>60</v>
      </c>
      <c r="AM14" s="2" t="e">
        <f t="shared" si="29"/>
        <v>#DIV/0!</v>
      </c>
      <c r="AN14" s="18" t="e">
        <f t="shared" si="30"/>
        <v>#DIV/0!</v>
      </c>
      <c r="AO14" s="15">
        <f t="shared" si="31"/>
        <v>50</v>
      </c>
      <c r="AP14" s="2" t="e">
        <f t="shared" si="32"/>
        <v>#DIV/0!</v>
      </c>
      <c r="AQ14" s="18" t="e">
        <f t="shared" si="33"/>
        <v>#DIV/0!</v>
      </c>
      <c r="AR14" s="15">
        <f t="shared" si="34"/>
        <v>40</v>
      </c>
      <c r="AS14" s="2" t="e">
        <f t="shared" si="35"/>
        <v>#DIV/0!</v>
      </c>
      <c r="AT14" s="18" t="e">
        <f t="shared" si="36"/>
        <v>#DIV/0!</v>
      </c>
      <c r="AU14" s="15">
        <f t="shared" si="37"/>
        <v>30</v>
      </c>
      <c r="AV14" s="2" t="e">
        <f t="shared" si="38"/>
        <v>#DIV/0!</v>
      </c>
      <c r="AW14" s="18" t="e">
        <f t="shared" si="39"/>
        <v>#DIV/0!</v>
      </c>
      <c r="AX14" s="15">
        <f t="shared" si="40"/>
        <v>20</v>
      </c>
      <c r="AY14" s="2" t="e">
        <f t="shared" si="41"/>
        <v>#DIV/0!</v>
      </c>
      <c r="AZ14" s="18" t="e">
        <f t="shared" si="42"/>
        <v>#DIV/0!</v>
      </c>
      <c r="BA14" s="15">
        <f t="shared" si="43"/>
        <v>10</v>
      </c>
      <c r="BB14" s="2" t="e">
        <f t="shared" si="44"/>
        <v>#DIV/0!</v>
      </c>
      <c r="BC14" s="18" t="e">
        <f t="shared" si="45"/>
        <v>#DIV/0!</v>
      </c>
      <c r="BD14" s="15">
        <f t="shared" si="46"/>
        <v>0</v>
      </c>
      <c r="BE14" s="2" t="e">
        <f t="shared" si="47"/>
        <v>#DIV/0!</v>
      </c>
      <c r="BF14" s="18" t="e">
        <f t="shared" si="48"/>
        <v>#DIV/0!</v>
      </c>
      <c r="BG14" s="19" t="e">
        <f t="shared" si="49"/>
        <v>#DIV/0!</v>
      </c>
      <c r="BH14" s="8" t="e">
        <f t="shared" si="50"/>
        <v>#DIV/0!</v>
      </c>
      <c r="BI14" s="20" t="e">
        <f t="shared" si="51"/>
        <v>#DIV/0!</v>
      </c>
      <c r="BJ14" s="17" t="e">
        <f t="shared" si="52"/>
        <v>#DIV/0!</v>
      </c>
      <c r="BK14" s="12" t="e">
        <f t="shared" si="53"/>
        <v>#DIV/0!</v>
      </c>
      <c r="BL14" s="20" t="e">
        <f t="shared" si="54"/>
        <v>#DIV/0!</v>
      </c>
      <c r="BM14" s="15">
        <f t="shared" si="55"/>
        <v>300</v>
      </c>
      <c r="BN14">
        <f t="shared" si="56"/>
        <v>300</v>
      </c>
      <c r="BO14" s="30">
        <f t="shared" si="57"/>
        <v>300</v>
      </c>
      <c r="BP14" s="15"/>
      <c r="BR14" s="9" t="e">
        <f t="shared" si="58"/>
        <v>#DIV/0!</v>
      </c>
    </row>
    <row r="15" spans="1:79" x14ac:dyDescent="0.2">
      <c r="A15" s="9">
        <f>'C - overzicht'!B20</f>
        <v>0</v>
      </c>
      <c r="B15" s="9">
        <f>'C - overzicht'!D20</f>
        <v>0</v>
      </c>
      <c r="C15" s="8">
        <f>'C - overzicht'!H20</f>
        <v>0</v>
      </c>
      <c r="D15" s="8">
        <f>'C - overzicht'!I20</f>
        <v>0</v>
      </c>
      <c r="E15" s="2">
        <f>'C - overzicht'!Z20</f>
        <v>2</v>
      </c>
      <c r="F15" s="2">
        <f>'C - overzicht'!AB20</f>
        <v>600</v>
      </c>
      <c r="H15" s="17" t="e">
        <f t="shared" si="0"/>
        <v>#DIV/0!</v>
      </c>
      <c r="I15" s="2">
        <f t="shared" si="1"/>
        <v>0</v>
      </c>
      <c r="J15" s="15"/>
      <c r="K15" s="16">
        <f t="shared" si="2"/>
        <v>150</v>
      </c>
      <c r="L15" s="2" t="e">
        <f t="shared" si="3"/>
        <v>#DIV/0!</v>
      </c>
      <c r="M15" s="2"/>
      <c r="N15" s="15">
        <f t="shared" si="4"/>
        <v>140</v>
      </c>
      <c r="O15" s="2" t="e">
        <f t="shared" si="5"/>
        <v>#DIV/0!</v>
      </c>
      <c r="P15" s="18" t="e">
        <f t="shared" si="6"/>
        <v>#DIV/0!</v>
      </c>
      <c r="Q15" s="15">
        <f t="shared" si="7"/>
        <v>130</v>
      </c>
      <c r="R15" s="2" t="e">
        <f t="shared" si="8"/>
        <v>#DIV/0!</v>
      </c>
      <c r="S15" s="18" t="e">
        <f t="shared" si="9"/>
        <v>#DIV/0!</v>
      </c>
      <c r="T15" s="15">
        <f t="shared" si="10"/>
        <v>120</v>
      </c>
      <c r="U15" s="2" t="e">
        <f t="shared" si="11"/>
        <v>#DIV/0!</v>
      </c>
      <c r="V15" s="18" t="e">
        <f t="shared" si="12"/>
        <v>#DIV/0!</v>
      </c>
      <c r="W15" s="15">
        <f t="shared" si="13"/>
        <v>110</v>
      </c>
      <c r="X15" s="2" t="e">
        <f t="shared" si="14"/>
        <v>#DIV/0!</v>
      </c>
      <c r="Y15" s="18" t="e">
        <f t="shared" si="15"/>
        <v>#DIV/0!</v>
      </c>
      <c r="Z15" s="15">
        <f t="shared" si="16"/>
        <v>100</v>
      </c>
      <c r="AA15" s="2" t="e">
        <f t="shared" si="17"/>
        <v>#DIV/0!</v>
      </c>
      <c r="AB15" s="18" t="e">
        <f t="shared" si="18"/>
        <v>#DIV/0!</v>
      </c>
      <c r="AC15" s="15">
        <f t="shared" si="19"/>
        <v>90</v>
      </c>
      <c r="AD15" s="2" t="e">
        <f t="shared" si="20"/>
        <v>#DIV/0!</v>
      </c>
      <c r="AE15" s="18" t="e">
        <f t="shared" si="21"/>
        <v>#DIV/0!</v>
      </c>
      <c r="AF15" s="15">
        <f t="shared" si="22"/>
        <v>80</v>
      </c>
      <c r="AG15" s="2" t="e">
        <f t="shared" si="23"/>
        <v>#DIV/0!</v>
      </c>
      <c r="AH15" s="18" t="e">
        <f t="shared" si="24"/>
        <v>#DIV/0!</v>
      </c>
      <c r="AI15" s="15">
        <f t="shared" si="25"/>
        <v>70</v>
      </c>
      <c r="AJ15" s="2" t="e">
        <f t="shared" si="26"/>
        <v>#DIV/0!</v>
      </c>
      <c r="AK15" s="18" t="e">
        <f t="shared" si="27"/>
        <v>#DIV/0!</v>
      </c>
      <c r="AL15" s="15">
        <f t="shared" si="28"/>
        <v>60</v>
      </c>
      <c r="AM15" s="2" t="e">
        <f t="shared" si="29"/>
        <v>#DIV/0!</v>
      </c>
      <c r="AN15" s="18" t="e">
        <f t="shared" si="30"/>
        <v>#DIV/0!</v>
      </c>
      <c r="AO15" s="15">
        <f t="shared" si="31"/>
        <v>50</v>
      </c>
      <c r="AP15" s="2" t="e">
        <f t="shared" si="32"/>
        <v>#DIV/0!</v>
      </c>
      <c r="AQ15" s="18" t="e">
        <f t="shared" si="33"/>
        <v>#DIV/0!</v>
      </c>
      <c r="AR15" s="15">
        <f t="shared" si="34"/>
        <v>40</v>
      </c>
      <c r="AS15" s="2" t="e">
        <f t="shared" si="35"/>
        <v>#DIV/0!</v>
      </c>
      <c r="AT15" s="18" t="e">
        <f t="shared" si="36"/>
        <v>#DIV/0!</v>
      </c>
      <c r="AU15" s="15">
        <f t="shared" si="37"/>
        <v>30</v>
      </c>
      <c r="AV15" s="2" t="e">
        <f t="shared" si="38"/>
        <v>#DIV/0!</v>
      </c>
      <c r="AW15" s="18" t="e">
        <f t="shared" si="39"/>
        <v>#DIV/0!</v>
      </c>
      <c r="AX15" s="15">
        <f t="shared" si="40"/>
        <v>20</v>
      </c>
      <c r="AY15" s="2" t="e">
        <f t="shared" si="41"/>
        <v>#DIV/0!</v>
      </c>
      <c r="AZ15" s="18" t="e">
        <f t="shared" si="42"/>
        <v>#DIV/0!</v>
      </c>
      <c r="BA15" s="15">
        <f t="shared" si="43"/>
        <v>10</v>
      </c>
      <c r="BB15" s="2" t="e">
        <f t="shared" si="44"/>
        <v>#DIV/0!</v>
      </c>
      <c r="BC15" s="18" t="e">
        <f t="shared" si="45"/>
        <v>#DIV/0!</v>
      </c>
      <c r="BD15" s="15">
        <f t="shared" si="46"/>
        <v>0</v>
      </c>
      <c r="BE15" s="2" t="e">
        <f t="shared" si="47"/>
        <v>#DIV/0!</v>
      </c>
      <c r="BF15" s="18" t="e">
        <f t="shared" si="48"/>
        <v>#DIV/0!</v>
      </c>
      <c r="BG15" s="19" t="e">
        <f t="shared" si="49"/>
        <v>#DIV/0!</v>
      </c>
      <c r="BH15" s="8" t="e">
        <f t="shared" si="50"/>
        <v>#DIV/0!</v>
      </c>
      <c r="BI15" s="20" t="e">
        <f t="shared" si="51"/>
        <v>#DIV/0!</v>
      </c>
      <c r="BJ15" s="17" t="e">
        <f t="shared" si="52"/>
        <v>#DIV/0!</v>
      </c>
      <c r="BK15" s="12" t="e">
        <f t="shared" si="53"/>
        <v>#DIV/0!</v>
      </c>
      <c r="BL15" s="20" t="e">
        <f t="shared" si="54"/>
        <v>#DIV/0!</v>
      </c>
      <c r="BM15" s="15">
        <f t="shared" si="55"/>
        <v>300</v>
      </c>
      <c r="BN15">
        <f t="shared" si="56"/>
        <v>300</v>
      </c>
      <c r="BO15" s="30">
        <f t="shared" si="57"/>
        <v>300</v>
      </c>
      <c r="BP15" s="15"/>
      <c r="BR15" s="9" t="e">
        <f t="shared" si="58"/>
        <v>#DIV/0!</v>
      </c>
    </row>
    <row r="16" spans="1:79" x14ac:dyDescent="0.2">
      <c r="A16" s="9">
        <f>'C - overzicht'!B21</f>
        <v>0</v>
      </c>
      <c r="B16" s="9">
        <f>'C - overzicht'!D21</f>
        <v>0</v>
      </c>
      <c r="C16" s="8">
        <f>'C - overzicht'!H21</f>
        <v>0</v>
      </c>
      <c r="D16" s="8">
        <f>'C - overzicht'!I21</f>
        <v>0</v>
      </c>
      <c r="E16" s="2">
        <f>'C - overzicht'!Z21</f>
        <v>2</v>
      </c>
      <c r="F16" s="2">
        <f>'C - overzicht'!AB21</f>
        <v>600</v>
      </c>
      <c r="H16" s="17" t="e">
        <f t="shared" si="0"/>
        <v>#DIV/0!</v>
      </c>
      <c r="I16" s="2">
        <f t="shared" si="1"/>
        <v>0</v>
      </c>
      <c r="J16" s="15"/>
      <c r="K16" s="16">
        <f t="shared" si="2"/>
        <v>150</v>
      </c>
      <c r="L16" s="2" t="e">
        <f t="shared" si="3"/>
        <v>#DIV/0!</v>
      </c>
      <c r="M16" s="2"/>
      <c r="N16" s="15">
        <f t="shared" si="4"/>
        <v>140</v>
      </c>
      <c r="O16" s="2" t="e">
        <f t="shared" si="5"/>
        <v>#DIV/0!</v>
      </c>
      <c r="P16" s="18" t="e">
        <f t="shared" si="6"/>
        <v>#DIV/0!</v>
      </c>
      <c r="Q16" s="15">
        <f t="shared" si="7"/>
        <v>130</v>
      </c>
      <c r="R16" s="2" t="e">
        <f t="shared" si="8"/>
        <v>#DIV/0!</v>
      </c>
      <c r="S16" s="18" t="e">
        <f t="shared" si="9"/>
        <v>#DIV/0!</v>
      </c>
      <c r="T16" s="15">
        <f t="shared" si="10"/>
        <v>120</v>
      </c>
      <c r="U16" s="2" t="e">
        <f t="shared" si="11"/>
        <v>#DIV/0!</v>
      </c>
      <c r="V16" s="18" t="e">
        <f t="shared" si="12"/>
        <v>#DIV/0!</v>
      </c>
      <c r="W16" s="15">
        <f t="shared" si="13"/>
        <v>110</v>
      </c>
      <c r="X16" s="2" t="e">
        <f t="shared" si="14"/>
        <v>#DIV/0!</v>
      </c>
      <c r="Y16" s="18" t="e">
        <f t="shared" si="15"/>
        <v>#DIV/0!</v>
      </c>
      <c r="Z16" s="15">
        <f t="shared" si="16"/>
        <v>100</v>
      </c>
      <c r="AA16" s="2" t="e">
        <f t="shared" si="17"/>
        <v>#DIV/0!</v>
      </c>
      <c r="AB16" s="18" t="e">
        <f t="shared" si="18"/>
        <v>#DIV/0!</v>
      </c>
      <c r="AC16" s="15">
        <f t="shared" si="19"/>
        <v>90</v>
      </c>
      <c r="AD16" s="2" t="e">
        <f t="shared" si="20"/>
        <v>#DIV/0!</v>
      </c>
      <c r="AE16" s="18" t="e">
        <f t="shared" si="21"/>
        <v>#DIV/0!</v>
      </c>
      <c r="AF16" s="15">
        <f t="shared" si="22"/>
        <v>80</v>
      </c>
      <c r="AG16" s="2" t="e">
        <f t="shared" si="23"/>
        <v>#DIV/0!</v>
      </c>
      <c r="AH16" s="18" t="e">
        <f t="shared" si="24"/>
        <v>#DIV/0!</v>
      </c>
      <c r="AI16" s="15">
        <f t="shared" si="25"/>
        <v>70</v>
      </c>
      <c r="AJ16" s="2" t="e">
        <f t="shared" si="26"/>
        <v>#DIV/0!</v>
      </c>
      <c r="AK16" s="18" t="e">
        <f t="shared" si="27"/>
        <v>#DIV/0!</v>
      </c>
      <c r="AL16" s="15">
        <f t="shared" si="28"/>
        <v>60</v>
      </c>
      <c r="AM16" s="2" t="e">
        <f t="shared" si="29"/>
        <v>#DIV/0!</v>
      </c>
      <c r="AN16" s="18" t="e">
        <f t="shared" si="30"/>
        <v>#DIV/0!</v>
      </c>
      <c r="AO16" s="15">
        <f t="shared" si="31"/>
        <v>50</v>
      </c>
      <c r="AP16" s="2" t="e">
        <f t="shared" si="32"/>
        <v>#DIV/0!</v>
      </c>
      <c r="AQ16" s="18" t="e">
        <f t="shared" si="33"/>
        <v>#DIV/0!</v>
      </c>
      <c r="AR16" s="15">
        <f t="shared" si="34"/>
        <v>40</v>
      </c>
      <c r="AS16" s="2" t="e">
        <f t="shared" si="35"/>
        <v>#DIV/0!</v>
      </c>
      <c r="AT16" s="18" t="e">
        <f t="shared" si="36"/>
        <v>#DIV/0!</v>
      </c>
      <c r="AU16" s="15">
        <f t="shared" si="37"/>
        <v>30</v>
      </c>
      <c r="AV16" s="2" t="e">
        <f t="shared" si="38"/>
        <v>#DIV/0!</v>
      </c>
      <c r="AW16" s="18" t="e">
        <f t="shared" si="39"/>
        <v>#DIV/0!</v>
      </c>
      <c r="AX16" s="15">
        <f t="shared" si="40"/>
        <v>20</v>
      </c>
      <c r="AY16" s="2" t="e">
        <f t="shared" si="41"/>
        <v>#DIV/0!</v>
      </c>
      <c r="AZ16" s="18" t="e">
        <f t="shared" si="42"/>
        <v>#DIV/0!</v>
      </c>
      <c r="BA16" s="15">
        <f t="shared" si="43"/>
        <v>10</v>
      </c>
      <c r="BB16" s="2" t="e">
        <f t="shared" si="44"/>
        <v>#DIV/0!</v>
      </c>
      <c r="BC16" s="18" t="e">
        <f t="shared" si="45"/>
        <v>#DIV/0!</v>
      </c>
      <c r="BD16" s="15">
        <f t="shared" si="46"/>
        <v>0</v>
      </c>
      <c r="BE16" s="2" t="e">
        <f t="shared" si="47"/>
        <v>#DIV/0!</v>
      </c>
      <c r="BF16" s="18" t="e">
        <f t="shared" si="48"/>
        <v>#DIV/0!</v>
      </c>
      <c r="BG16" s="19" t="e">
        <f t="shared" si="49"/>
        <v>#DIV/0!</v>
      </c>
      <c r="BH16" s="8" t="e">
        <f t="shared" si="50"/>
        <v>#DIV/0!</v>
      </c>
      <c r="BI16" s="20" t="e">
        <f t="shared" si="51"/>
        <v>#DIV/0!</v>
      </c>
      <c r="BJ16" s="17" t="e">
        <f t="shared" si="52"/>
        <v>#DIV/0!</v>
      </c>
      <c r="BK16" s="12" t="e">
        <f t="shared" si="53"/>
        <v>#DIV/0!</v>
      </c>
      <c r="BL16" s="20" t="e">
        <f t="shared" si="54"/>
        <v>#DIV/0!</v>
      </c>
      <c r="BM16" s="15">
        <f t="shared" si="55"/>
        <v>300</v>
      </c>
      <c r="BN16">
        <f t="shared" si="56"/>
        <v>300</v>
      </c>
      <c r="BO16" s="30">
        <f t="shared" si="57"/>
        <v>300</v>
      </c>
      <c r="BP16" s="15"/>
      <c r="BR16" s="9" t="e">
        <f t="shared" si="58"/>
        <v>#DIV/0!</v>
      </c>
    </row>
    <row r="17" spans="1:70" x14ac:dyDescent="0.2">
      <c r="A17" s="9">
        <f>'C - overzicht'!B22</f>
        <v>0</v>
      </c>
      <c r="B17" s="9">
        <f>'C - overzicht'!D22</f>
        <v>0</v>
      </c>
      <c r="C17" s="8">
        <f>'C - overzicht'!H22</f>
        <v>0</v>
      </c>
      <c r="D17" s="8">
        <f>'C - overzicht'!I22</f>
        <v>0</v>
      </c>
      <c r="E17" s="2">
        <f>'C - overzicht'!Z22</f>
        <v>2</v>
      </c>
      <c r="F17" s="2">
        <f>'C - overzicht'!AB22</f>
        <v>600</v>
      </c>
      <c r="H17" s="17" t="e">
        <f t="shared" si="0"/>
        <v>#DIV/0!</v>
      </c>
      <c r="I17" s="2">
        <f t="shared" si="1"/>
        <v>0</v>
      </c>
      <c r="J17" s="15"/>
      <c r="K17" s="16">
        <f t="shared" si="2"/>
        <v>150</v>
      </c>
      <c r="L17" s="2" t="e">
        <f t="shared" si="3"/>
        <v>#DIV/0!</v>
      </c>
      <c r="M17" s="2"/>
      <c r="N17" s="15">
        <f t="shared" si="4"/>
        <v>140</v>
      </c>
      <c r="O17" s="2" t="e">
        <f t="shared" si="5"/>
        <v>#DIV/0!</v>
      </c>
      <c r="P17" s="18" t="e">
        <f t="shared" si="6"/>
        <v>#DIV/0!</v>
      </c>
      <c r="Q17" s="15">
        <f t="shared" si="7"/>
        <v>130</v>
      </c>
      <c r="R17" s="2" t="e">
        <f t="shared" si="8"/>
        <v>#DIV/0!</v>
      </c>
      <c r="S17" s="18" t="e">
        <f t="shared" si="9"/>
        <v>#DIV/0!</v>
      </c>
      <c r="T17" s="15">
        <f t="shared" si="10"/>
        <v>120</v>
      </c>
      <c r="U17" s="2" t="e">
        <f t="shared" si="11"/>
        <v>#DIV/0!</v>
      </c>
      <c r="V17" s="18" t="e">
        <f t="shared" si="12"/>
        <v>#DIV/0!</v>
      </c>
      <c r="W17" s="15">
        <f t="shared" si="13"/>
        <v>110</v>
      </c>
      <c r="X17" s="2" t="e">
        <f t="shared" si="14"/>
        <v>#DIV/0!</v>
      </c>
      <c r="Y17" s="18" t="e">
        <f t="shared" si="15"/>
        <v>#DIV/0!</v>
      </c>
      <c r="Z17" s="15">
        <f t="shared" si="16"/>
        <v>100</v>
      </c>
      <c r="AA17" s="2" t="e">
        <f t="shared" si="17"/>
        <v>#DIV/0!</v>
      </c>
      <c r="AB17" s="18" t="e">
        <f t="shared" si="18"/>
        <v>#DIV/0!</v>
      </c>
      <c r="AC17" s="15">
        <f t="shared" si="19"/>
        <v>90</v>
      </c>
      <c r="AD17" s="2" t="e">
        <f t="shared" si="20"/>
        <v>#DIV/0!</v>
      </c>
      <c r="AE17" s="18" t="e">
        <f t="shared" si="21"/>
        <v>#DIV/0!</v>
      </c>
      <c r="AF17" s="15">
        <f t="shared" si="22"/>
        <v>80</v>
      </c>
      <c r="AG17" s="2" t="e">
        <f t="shared" si="23"/>
        <v>#DIV/0!</v>
      </c>
      <c r="AH17" s="18" t="e">
        <f t="shared" si="24"/>
        <v>#DIV/0!</v>
      </c>
      <c r="AI17" s="15">
        <f t="shared" si="25"/>
        <v>70</v>
      </c>
      <c r="AJ17" s="2" t="e">
        <f t="shared" si="26"/>
        <v>#DIV/0!</v>
      </c>
      <c r="AK17" s="18" t="e">
        <f t="shared" si="27"/>
        <v>#DIV/0!</v>
      </c>
      <c r="AL17" s="15">
        <f t="shared" si="28"/>
        <v>60</v>
      </c>
      <c r="AM17" s="2" t="e">
        <f t="shared" si="29"/>
        <v>#DIV/0!</v>
      </c>
      <c r="AN17" s="18" t="e">
        <f t="shared" si="30"/>
        <v>#DIV/0!</v>
      </c>
      <c r="AO17" s="15">
        <f t="shared" si="31"/>
        <v>50</v>
      </c>
      <c r="AP17" s="2" t="e">
        <f t="shared" si="32"/>
        <v>#DIV/0!</v>
      </c>
      <c r="AQ17" s="18" t="e">
        <f t="shared" si="33"/>
        <v>#DIV/0!</v>
      </c>
      <c r="AR17" s="15">
        <f t="shared" si="34"/>
        <v>40</v>
      </c>
      <c r="AS17" s="2" t="e">
        <f t="shared" si="35"/>
        <v>#DIV/0!</v>
      </c>
      <c r="AT17" s="18" t="e">
        <f t="shared" si="36"/>
        <v>#DIV/0!</v>
      </c>
      <c r="AU17" s="15">
        <f t="shared" si="37"/>
        <v>30</v>
      </c>
      <c r="AV17" s="2" t="e">
        <f t="shared" si="38"/>
        <v>#DIV/0!</v>
      </c>
      <c r="AW17" s="18" t="e">
        <f t="shared" si="39"/>
        <v>#DIV/0!</v>
      </c>
      <c r="AX17" s="15">
        <f t="shared" si="40"/>
        <v>20</v>
      </c>
      <c r="AY17" s="2" t="e">
        <f t="shared" si="41"/>
        <v>#DIV/0!</v>
      </c>
      <c r="AZ17" s="18" t="e">
        <f t="shared" si="42"/>
        <v>#DIV/0!</v>
      </c>
      <c r="BA17" s="15">
        <f t="shared" si="43"/>
        <v>10</v>
      </c>
      <c r="BB17" s="2" t="e">
        <f t="shared" si="44"/>
        <v>#DIV/0!</v>
      </c>
      <c r="BC17" s="18" t="e">
        <f t="shared" si="45"/>
        <v>#DIV/0!</v>
      </c>
      <c r="BD17" s="15">
        <f t="shared" si="46"/>
        <v>0</v>
      </c>
      <c r="BE17" s="2" t="e">
        <f t="shared" si="47"/>
        <v>#DIV/0!</v>
      </c>
      <c r="BF17" s="18" t="e">
        <f t="shared" si="48"/>
        <v>#DIV/0!</v>
      </c>
      <c r="BG17" s="19" t="e">
        <f t="shared" si="49"/>
        <v>#DIV/0!</v>
      </c>
      <c r="BH17" s="8" t="e">
        <f t="shared" si="50"/>
        <v>#DIV/0!</v>
      </c>
      <c r="BI17" s="20" t="e">
        <f t="shared" si="51"/>
        <v>#DIV/0!</v>
      </c>
      <c r="BJ17" s="17" t="e">
        <f t="shared" si="52"/>
        <v>#DIV/0!</v>
      </c>
      <c r="BK17" s="12" t="e">
        <f t="shared" si="53"/>
        <v>#DIV/0!</v>
      </c>
      <c r="BL17" s="20" t="e">
        <f t="shared" si="54"/>
        <v>#DIV/0!</v>
      </c>
      <c r="BM17" s="15">
        <f t="shared" si="55"/>
        <v>300</v>
      </c>
      <c r="BN17">
        <f t="shared" si="56"/>
        <v>300</v>
      </c>
      <c r="BO17" s="30">
        <f t="shared" si="57"/>
        <v>300</v>
      </c>
      <c r="BP17" s="15"/>
      <c r="BR17" s="9" t="e">
        <f t="shared" si="58"/>
        <v>#DIV/0!</v>
      </c>
    </row>
    <row r="18" spans="1:70" x14ac:dyDescent="0.2">
      <c r="A18" s="9">
        <f>'C - overzicht'!B23</f>
        <v>0</v>
      </c>
      <c r="B18" s="9">
        <f>'C - overzicht'!D23</f>
        <v>0</v>
      </c>
      <c r="C18" s="8">
        <f>'C - overzicht'!H23</f>
        <v>0</v>
      </c>
      <c r="D18" s="8">
        <f>'C - overzicht'!I23</f>
        <v>0</v>
      </c>
      <c r="E18" s="2">
        <f>'C - overzicht'!Z23</f>
        <v>2</v>
      </c>
      <c r="F18" s="2">
        <f>'C - overzicht'!AB23</f>
        <v>600</v>
      </c>
      <c r="H18" s="17" t="e">
        <f t="shared" si="0"/>
        <v>#DIV/0!</v>
      </c>
      <c r="I18" s="2">
        <f t="shared" si="1"/>
        <v>0</v>
      </c>
      <c r="J18" s="15"/>
      <c r="K18" s="16">
        <f t="shared" si="2"/>
        <v>150</v>
      </c>
      <c r="L18" s="2" t="e">
        <f t="shared" si="3"/>
        <v>#DIV/0!</v>
      </c>
      <c r="M18" s="2"/>
      <c r="N18" s="15">
        <f t="shared" si="4"/>
        <v>140</v>
      </c>
      <c r="O18" s="2" t="e">
        <f t="shared" si="5"/>
        <v>#DIV/0!</v>
      </c>
      <c r="P18" s="18" t="e">
        <f t="shared" si="6"/>
        <v>#DIV/0!</v>
      </c>
      <c r="Q18" s="15">
        <f t="shared" si="7"/>
        <v>130</v>
      </c>
      <c r="R18" s="2" t="e">
        <f t="shared" si="8"/>
        <v>#DIV/0!</v>
      </c>
      <c r="S18" s="18" t="e">
        <f t="shared" si="9"/>
        <v>#DIV/0!</v>
      </c>
      <c r="T18" s="15">
        <f t="shared" si="10"/>
        <v>120</v>
      </c>
      <c r="U18" s="2" t="e">
        <f t="shared" si="11"/>
        <v>#DIV/0!</v>
      </c>
      <c r="V18" s="18" t="e">
        <f t="shared" si="12"/>
        <v>#DIV/0!</v>
      </c>
      <c r="W18" s="15">
        <f t="shared" si="13"/>
        <v>110</v>
      </c>
      <c r="X18" s="2" t="e">
        <f t="shared" si="14"/>
        <v>#DIV/0!</v>
      </c>
      <c r="Y18" s="18" t="e">
        <f t="shared" si="15"/>
        <v>#DIV/0!</v>
      </c>
      <c r="Z18" s="15">
        <f t="shared" si="16"/>
        <v>100</v>
      </c>
      <c r="AA18" s="2" t="e">
        <f t="shared" si="17"/>
        <v>#DIV/0!</v>
      </c>
      <c r="AB18" s="18" t="e">
        <f t="shared" si="18"/>
        <v>#DIV/0!</v>
      </c>
      <c r="AC18" s="15">
        <f t="shared" si="19"/>
        <v>90</v>
      </c>
      <c r="AD18" s="2" t="e">
        <f t="shared" si="20"/>
        <v>#DIV/0!</v>
      </c>
      <c r="AE18" s="18" t="e">
        <f t="shared" si="21"/>
        <v>#DIV/0!</v>
      </c>
      <c r="AF18" s="15">
        <f t="shared" si="22"/>
        <v>80</v>
      </c>
      <c r="AG18" s="2" t="e">
        <f t="shared" si="23"/>
        <v>#DIV/0!</v>
      </c>
      <c r="AH18" s="18" t="e">
        <f t="shared" si="24"/>
        <v>#DIV/0!</v>
      </c>
      <c r="AI18" s="15">
        <f t="shared" si="25"/>
        <v>70</v>
      </c>
      <c r="AJ18" s="2" t="e">
        <f t="shared" si="26"/>
        <v>#DIV/0!</v>
      </c>
      <c r="AK18" s="18" t="e">
        <f t="shared" si="27"/>
        <v>#DIV/0!</v>
      </c>
      <c r="AL18" s="15">
        <f t="shared" si="28"/>
        <v>60</v>
      </c>
      <c r="AM18" s="2" t="e">
        <f t="shared" si="29"/>
        <v>#DIV/0!</v>
      </c>
      <c r="AN18" s="18" t="e">
        <f t="shared" si="30"/>
        <v>#DIV/0!</v>
      </c>
      <c r="AO18" s="15">
        <f t="shared" si="31"/>
        <v>50</v>
      </c>
      <c r="AP18" s="2" t="e">
        <f t="shared" si="32"/>
        <v>#DIV/0!</v>
      </c>
      <c r="AQ18" s="18" t="e">
        <f t="shared" si="33"/>
        <v>#DIV/0!</v>
      </c>
      <c r="AR18" s="15">
        <f t="shared" si="34"/>
        <v>40</v>
      </c>
      <c r="AS18" s="2" t="e">
        <f t="shared" si="35"/>
        <v>#DIV/0!</v>
      </c>
      <c r="AT18" s="18" t="e">
        <f t="shared" si="36"/>
        <v>#DIV/0!</v>
      </c>
      <c r="AU18" s="15">
        <f t="shared" si="37"/>
        <v>30</v>
      </c>
      <c r="AV18" s="2" t="e">
        <f t="shared" si="38"/>
        <v>#DIV/0!</v>
      </c>
      <c r="AW18" s="18" t="e">
        <f t="shared" si="39"/>
        <v>#DIV/0!</v>
      </c>
      <c r="AX18" s="15">
        <f t="shared" si="40"/>
        <v>20</v>
      </c>
      <c r="AY18" s="2" t="e">
        <f t="shared" si="41"/>
        <v>#DIV/0!</v>
      </c>
      <c r="AZ18" s="18" t="e">
        <f t="shared" si="42"/>
        <v>#DIV/0!</v>
      </c>
      <c r="BA18" s="15">
        <f t="shared" si="43"/>
        <v>10</v>
      </c>
      <c r="BB18" s="2" t="e">
        <f t="shared" si="44"/>
        <v>#DIV/0!</v>
      </c>
      <c r="BC18" s="18" t="e">
        <f t="shared" si="45"/>
        <v>#DIV/0!</v>
      </c>
      <c r="BD18" s="15">
        <f t="shared" si="46"/>
        <v>0</v>
      </c>
      <c r="BE18" s="2" t="e">
        <f t="shared" si="47"/>
        <v>#DIV/0!</v>
      </c>
      <c r="BF18" s="18" t="e">
        <f t="shared" si="48"/>
        <v>#DIV/0!</v>
      </c>
      <c r="BG18" s="19" t="e">
        <f t="shared" si="49"/>
        <v>#DIV/0!</v>
      </c>
      <c r="BH18" s="8" t="e">
        <f t="shared" si="50"/>
        <v>#DIV/0!</v>
      </c>
      <c r="BI18" s="20" t="e">
        <f t="shared" si="51"/>
        <v>#DIV/0!</v>
      </c>
      <c r="BJ18" s="17" t="e">
        <f t="shared" si="52"/>
        <v>#DIV/0!</v>
      </c>
      <c r="BK18" s="12" t="e">
        <f t="shared" si="53"/>
        <v>#DIV/0!</v>
      </c>
      <c r="BL18" s="20" t="e">
        <f t="shared" si="54"/>
        <v>#DIV/0!</v>
      </c>
      <c r="BM18" s="15">
        <f t="shared" si="55"/>
        <v>300</v>
      </c>
      <c r="BN18">
        <f t="shared" si="56"/>
        <v>300</v>
      </c>
      <c r="BO18" s="30">
        <f t="shared" si="57"/>
        <v>300</v>
      </c>
      <c r="BP18" s="15"/>
      <c r="BR18" s="9" t="e">
        <f t="shared" si="58"/>
        <v>#DIV/0!</v>
      </c>
    </row>
    <row r="19" spans="1:70" x14ac:dyDescent="0.2">
      <c r="A19" s="9">
        <f>'C - overzicht'!B24</f>
        <v>0</v>
      </c>
      <c r="B19" s="9">
        <f>'C - overzicht'!D24</f>
        <v>0</v>
      </c>
      <c r="C19" s="8">
        <f>'C - overzicht'!H24</f>
        <v>0</v>
      </c>
      <c r="D19" s="8">
        <f>'C - overzicht'!I24</f>
        <v>0</v>
      </c>
      <c r="E19" s="2">
        <f>'C - overzicht'!Z24</f>
        <v>2</v>
      </c>
      <c r="F19" s="2">
        <f>'C - overzicht'!AB24</f>
        <v>600</v>
      </c>
      <c r="H19" s="17" t="e">
        <f t="shared" si="0"/>
        <v>#DIV/0!</v>
      </c>
      <c r="I19" s="2">
        <f t="shared" si="1"/>
        <v>0</v>
      </c>
      <c r="J19" s="15"/>
      <c r="K19" s="16">
        <f t="shared" si="2"/>
        <v>150</v>
      </c>
      <c r="L19" s="2" t="e">
        <f t="shared" si="3"/>
        <v>#DIV/0!</v>
      </c>
      <c r="M19" s="2"/>
      <c r="N19" s="15">
        <f t="shared" si="4"/>
        <v>140</v>
      </c>
      <c r="O19" s="2" t="e">
        <f t="shared" si="5"/>
        <v>#DIV/0!</v>
      </c>
      <c r="P19" s="18" t="e">
        <f t="shared" si="6"/>
        <v>#DIV/0!</v>
      </c>
      <c r="Q19" s="15">
        <f t="shared" si="7"/>
        <v>130</v>
      </c>
      <c r="R19" s="2" t="e">
        <f t="shared" si="8"/>
        <v>#DIV/0!</v>
      </c>
      <c r="S19" s="18" t="e">
        <f t="shared" si="9"/>
        <v>#DIV/0!</v>
      </c>
      <c r="T19" s="15">
        <f t="shared" si="10"/>
        <v>120</v>
      </c>
      <c r="U19" s="2" t="e">
        <f t="shared" si="11"/>
        <v>#DIV/0!</v>
      </c>
      <c r="V19" s="18" t="e">
        <f t="shared" si="12"/>
        <v>#DIV/0!</v>
      </c>
      <c r="W19" s="15">
        <f t="shared" si="13"/>
        <v>110</v>
      </c>
      <c r="X19" s="2" t="e">
        <f t="shared" si="14"/>
        <v>#DIV/0!</v>
      </c>
      <c r="Y19" s="18" t="e">
        <f t="shared" si="15"/>
        <v>#DIV/0!</v>
      </c>
      <c r="Z19" s="15">
        <f t="shared" si="16"/>
        <v>100</v>
      </c>
      <c r="AA19" s="2" t="e">
        <f t="shared" si="17"/>
        <v>#DIV/0!</v>
      </c>
      <c r="AB19" s="18" t="e">
        <f t="shared" si="18"/>
        <v>#DIV/0!</v>
      </c>
      <c r="AC19" s="15">
        <f t="shared" si="19"/>
        <v>90</v>
      </c>
      <c r="AD19" s="2" t="e">
        <f t="shared" si="20"/>
        <v>#DIV/0!</v>
      </c>
      <c r="AE19" s="18" t="e">
        <f t="shared" si="21"/>
        <v>#DIV/0!</v>
      </c>
      <c r="AF19" s="15">
        <f t="shared" si="22"/>
        <v>80</v>
      </c>
      <c r="AG19" s="2" t="e">
        <f t="shared" si="23"/>
        <v>#DIV/0!</v>
      </c>
      <c r="AH19" s="18" t="e">
        <f t="shared" si="24"/>
        <v>#DIV/0!</v>
      </c>
      <c r="AI19" s="15">
        <f t="shared" si="25"/>
        <v>70</v>
      </c>
      <c r="AJ19" s="2" t="e">
        <f t="shared" si="26"/>
        <v>#DIV/0!</v>
      </c>
      <c r="AK19" s="18" t="e">
        <f t="shared" si="27"/>
        <v>#DIV/0!</v>
      </c>
      <c r="AL19" s="15">
        <f t="shared" si="28"/>
        <v>60</v>
      </c>
      <c r="AM19" s="2" t="e">
        <f t="shared" si="29"/>
        <v>#DIV/0!</v>
      </c>
      <c r="AN19" s="18" t="e">
        <f t="shared" si="30"/>
        <v>#DIV/0!</v>
      </c>
      <c r="AO19" s="15">
        <f t="shared" si="31"/>
        <v>50</v>
      </c>
      <c r="AP19" s="2" t="e">
        <f t="shared" si="32"/>
        <v>#DIV/0!</v>
      </c>
      <c r="AQ19" s="18" t="e">
        <f t="shared" si="33"/>
        <v>#DIV/0!</v>
      </c>
      <c r="AR19" s="15">
        <f t="shared" si="34"/>
        <v>40</v>
      </c>
      <c r="AS19" s="2" t="e">
        <f t="shared" si="35"/>
        <v>#DIV/0!</v>
      </c>
      <c r="AT19" s="18" t="e">
        <f t="shared" si="36"/>
        <v>#DIV/0!</v>
      </c>
      <c r="AU19" s="15">
        <f t="shared" si="37"/>
        <v>30</v>
      </c>
      <c r="AV19" s="2" t="e">
        <f t="shared" si="38"/>
        <v>#DIV/0!</v>
      </c>
      <c r="AW19" s="18" t="e">
        <f t="shared" si="39"/>
        <v>#DIV/0!</v>
      </c>
      <c r="AX19" s="15">
        <f t="shared" si="40"/>
        <v>20</v>
      </c>
      <c r="AY19" s="2" t="e">
        <f t="shared" si="41"/>
        <v>#DIV/0!</v>
      </c>
      <c r="AZ19" s="18" t="e">
        <f t="shared" si="42"/>
        <v>#DIV/0!</v>
      </c>
      <c r="BA19" s="15">
        <f t="shared" si="43"/>
        <v>10</v>
      </c>
      <c r="BB19" s="2" t="e">
        <f t="shared" si="44"/>
        <v>#DIV/0!</v>
      </c>
      <c r="BC19" s="18" t="e">
        <f t="shared" si="45"/>
        <v>#DIV/0!</v>
      </c>
      <c r="BD19" s="15">
        <f t="shared" si="46"/>
        <v>0</v>
      </c>
      <c r="BE19" s="2" t="e">
        <f t="shared" si="47"/>
        <v>#DIV/0!</v>
      </c>
      <c r="BF19" s="18" t="e">
        <f t="shared" si="48"/>
        <v>#DIV/0!</v>
      </c>
      <c r="BG19" s="19" t="e">
        <f t="shared" si="49"/>
        <v>#DIV/0!</v>
      </c>
      <c r="BH19" s="8" t="e">
        <f t="shared" si="50"/>
        <v>#DIV/0!</v>
      </c>
      <c r="BI19" s="20" t="e">
        <f t="shared" si="51"/>
        <v>#DIV/0!</v>
      </c>
      <c r="BJ19" s="17" t="e">
        <f t="shared" si="52"/>
        <v>#DIV/0!</v>
      </c>
      <c r="BK19" s="12" t="e">
        <f t="shared" si="53"/>
        <v>#DIV/0!</v>
      </c>
      <c r="BL19" s="20" t="e">
        <f t="shared" si="54"/>
        <v>#DIV/0!</v>
      </c>
      <c r="BM19" s="15">
        <f t="shared" si="55"/>
        <v>300</v>
      </c>
      <c r="BN19">
        <f t="shared" si="56"/>
        <v>300</v>
      </c>
      <c r="BO19" s="30">
        <f t="shared" si="57"/>
        <v>300</v>
      </c>
      <c r="BP19" s="15"/>
      <c r="BR19" s="9" t="e">
        <f t="shared" si="58"/>
        <v>#DIV/0!</v>
      </c>
    </row>
    <row r="20" spans="1:70" x14ac:dyDescent="0.2">
      <c r="A20" s="9">
        <f>'C - overzicht'!B25</f>
        <v>0</v>
      </c>
      <c r="B20" s="9">
        <f>'C - overzicht'!D25</f>
        <v>0</v>
      </c>
      <c r="C20" s="8">
        <f>'C - overzicht'!H25</f>
        <v>0</v>
      </c>
      <c r="D20" s="8">
        <f>'C - overzicht'!I25</f>
        <v>0</v>
      </c>
      <c r="E20" s="2">
        <f>'C - overzicht'!Z25</f>
        <v>2</v>
      </c>
      <c r="F20" s="2">
        <f>'C - overzicht'!AB25</f>
        <v>600</v>
      </c>
      <c r="H20" s="17" t="e">
        <f t="shared" si="0"/>
        <v>#DIV/0!</v>
      </c>
      <c r="I20" s="2">
        <f t="shared" si="1"/>
        <v>0</v>
      </c>
      <c r="J20" s="15"/>
      <c r="K20" s="16">
        <f t="shared" si="2"/>
        <v>150</v>
      </c>
      <c r="L20" s="2" t="e">
        <f t="shared" si="3"/>
        <v>#DIV/0!</v>
      </c>
      <c r="M20" s="2"/>
      <c r="N20" s="15">
        <f t="shared" si="4"/>
        <v>140</v>
      </c>
      <c r="O20" s="2" t="e">
        <f t="shared" si="5"/>
        <v>#DIV/0!</v>
      </c>
      <c r="P20" s="18" t="e">
        <f t="shared" si="6"/>
        <v>#DIV/0!</v>
      </c>
      <c r="Q20" s="15">
        <f t="shared" si="7"/>
        <v>130</v>
      </c>
      <c r="R20" s="2" t="e">
        <f t="shared" si="8"/>
        <v>#DIV/0!</v>
      </c>
      <c r="S20" s="18" t="e">
        <f t="shared" si="9"/>
        <v>#DIV/0!</v>
      </c>
      <c r="T20" s="15">
        <f t="shared" si="10"/>
        <v>120</v>
      </c>
      <c r="U20" s="2" t="e">
        <f t="shared" si="11"/>
        <v>#DIV/0!</v>
      </c>
      <c r="V20" s="18" t="e">
        <f t="shared" si="12"/>
        <v>#DIV/0!</v>
      </c>
      <c r="W20" s="15">
        <f t="shared" si="13"/>
        <v>110</v>
      </c>
      <c r="X20" s="2" t="e">
        <f t="shared" si="14"/>
        <v>#DIV/0!</v>
      </c>
      <c r="Y20" s="18" t="e">
        <f t="shared" si="15"/>
        <v>#DIV/0!</v>
      </c>
      <c r="Z20" s="15">
        <f t="shared" si="16"/>
        <v>100</v>
      </c>
      <c r="AA20" s="2" t="e">
        <f t="shared" si="17"/>
        <v>#DIV/0!</v>
      </c>
      <c r="AB20" s="18" t="e">
        <f t="shared" si="18"/>
        <v>#DIV/0!</v>
      </c>
      <c r="AC20" s="15">
        <f t="shared" si="19"/>
        <v>90</v>
      </c>
      <c r="AD20" s="2" t="e">
        <f t="shared" si="20"/>
        <v>#DIV/0!</v>
      </c>
      <c r="AE20" s="18" t="e">
        <f t="shared" si="21"/>
        <v>#DIV/0!</v>
      </c>
      <c r="AF20" s="15">
        <f t="shared" si="22"/>
        <v>80</v>
      </c>
      <c r="AG20" s="2" t="e">
        <f t="shared" si="23"/>
        <v>#DIV/0!</v>
      </c>
      <c r="AH20" s="18" t="e">
        <f t="shared" si="24"/>
        <v>#DIV/0!</v>
      </c>
      <c r="AI20" s="15">
        <f t="shared" si="25"/>
        <v>70</v>
      </c>
      <c r="AJ20" s="2" t="e">
        <f t="shared" si="26"/>
        <v>#DIV/0!</v>
      </c>
      <c r="AK20" s="18" t="e">
        <f t="shared" si="27"/>
        <v>#DIV/0!</v>
      </c>
      <c r="AL20" s="15">
        <f t="shared" si="28"/>
        <v>60</v>
      </c>
      <c r="AM20" s="2" t="e">
        <f t="shared" si="29"/>
        <v>#DIV/0!</v>
      </c>
      <c r="AN20" s="18" t="e">
        <f t="shared" si="30"/>
        <v>#DIV/0!</v>
      </c>
      <c r="AO20" s="15">
        <f t="shared" si="31"/>
        <v>50</v>
      </c>
      <c r="AP20" s="2" t="e">
        <f t="shared" si="32"/>
        <v>#DIV/0!</v>
      </c>
      <c r="AQ20" s="18" t="e">
        <f t="shared" si="33"/>
        <v>#DIV/0!</v>
      </c>
      <c r="AR20" s="15">
        <f t="shared" si="34"/>
        <v>40</v>
      </c>
      <c r="AS20" s="2" t="e">
        <f t="shared" si="35"/>
        <v>#DIV/0!</v>
      </c>
      <c r="AT20" s="18" t="e">
        <f t="shared" si="36"/>
        <v>#DIV/0!</v>
      </c>
      <c r="AU20" s="15">
        <f t="shared" si="37"/>
        <v>30</v>
      </c>
      <c r="AV20" s="2" t="e">
        <f t="shared" si="38"/>
        <v>#DIV/0!</v>
      </c>
      <c r="AW20" s="18" t="e">
        <f t="shared" si="39"/>
        <v>#DIV/0!</v>
      </c>
      <c r="AX20" s="15">
        <f t="shared" si="40"/>
        <v>20</v>
      </c>
      <c r="AY20" s="2" t="e">
        <f t="shared" si="41"/>
        <v>#DIV/0!</v>
      </c>
      <c r="AZ20" s="18" t="e">
        <f t="shared" si="42"/>
        <v>#DIV/0!</v>
      </c>
      <c r="BA20" s="15">
        <f t="shared" si="43"/>
        <v>10</v>
      </c>
      <c r="BB20" s="2" t="e">
        <f t="shared" si="44"/>
        <v>#DIV/0!</v>
      </c>
      <c r="BC20" s="18" t="e">
        <f t="shared" si="45"/>
        <v>#DIV/0!</v>
      </c>
      <c r="BD20" s="15">
        <f t="shared" si="46"/>
        <v>0</v>
      </c>
      <c r="BE20" s="2" t="e">
        <f t="shared" si="47"/>
        <v>#DIV/0!</v>
      </c>
      <c r="BF20" s="18" t="e">
        <f t="shared" si="48"/>
        <v>#DIV/0!</v>
      </c>
      <c r="BG20" s="19" t="e">
        <f t="shared" si="49"/>
        <v>#DIV/0!</v>
      </c>
      <c r="BH20" s="8" t="e">
        <f t="shared" si="50"/>
        <v>#DIV/0!</v>
      </c>
      <c r="BI20" s="20" t="e">
        <f t="shared" si="51"/>
        <v>#DIV/0!</v>
      </c>
      <c r="BJ20" s="17" t="e">
        <f t="shared" si="52"/>
        <v>#DIV/0!</v>
      </c>
      <c r="BK20" s="12" t="e">
        <f t="shared" si="53"/>
        <v>#DIV/0!</v>
      </c>
      <c r="BL20" s="20" t="e">
        <f t="shared" si="54"/>
        <v>#DIV/0!</v>
      </c>
      <c r="BM20" s="15">
        <f t="shared" si="55"/>
        <v>300</v>
      </c>
      <c r="BN20">
        <f t="shared" si="56"/>
        <v>300</v>
      </c>
      <c r="BO20" s="30">
        <f t="shared" si="57"/>
        <v>300</v>
      </c>
      <c r="BP20" s="15"/>
      <c r="BR20" s="9" t="e">
        <f t="shared" si="58"/>
        <v>#DIV/0!</v>
      </c>
    </row>
    <row r="21" spans="1:70" x14ac:dyDescent="0.2">
      <c r="A21" s="9">
        <f>'C - overzicht'!B26</f>
        <v>0</v>
      </c>
      <c r="B21" s="9">
        <f>'C - overzicht'!D26</f>
        <v>0</v>
      </c>
      <c r="C21" s="8">
        <f>'C - overzicht'!H26</f>
        <v>0</v>
      </c>
      <c r="D21" s="8">
        <f>'C - overzicht'!I26</f>
        <v>0</v>
      </c>
      <c r="E21" s="2">
        <f>'C - overzicht'!Z26</f>
        <v>2</v>
      </c>
      <c r="F21" s="2">
        <f>'C - overzicht'!AB26</f>
        <v>600</v>
      </c>
      <c r="H21" s="17" t="e">
        <f t="shared" si="0"/>
        <v>#DIV/0!</v>
      </c>
      <c r="I21" s="2">
        <f t="shared" si="1"/>
        <v>0</v>
      </c>
      <c r="J21" s="15"/>
      <c r="K21" s="16">
        <f t="shared" si="2"/>
        <v>150</v>
      </c>
      <c r="L21" s="2" t="e">
        <f t="shared" si="3"/>
        <v>#DIV/0!</v>
      </c>
      <c r="M21" s="2"/>
      <c r="N21" s="15">
        <f t="shared" si="4"/>
        <v>140</v>
      </c>
      <c r="O21" s="2" t="e">
        <f t="shared" si="5"/>
        <v>#DIV/0!</v>
      </c>
      <c r="P21" s="18" t="e">
        <f t="shared" si="6"/>
        <v>#DIV/0!</v>
      </c>
      <c r="Q21" s="15">
        <f t="shared" si="7"/>
        <v>130</v>
      </c>
      <c r="R21" s="2" t="e">
        <f t="shared" si="8"/>
        <v>#DIV/0!</v>
      </c>
      <c r="S21" s="18" t="e">
        <f t="shared" si="9"/>
        <v>#DIV/0!</v>
      </c>
      <c r="T21" s="15">
        <f t="shared" si="10"/>
        <v>120</v>
      </c>
      <c r="U21" s="2" t="e">
        <f t="shared" si="11"/>
        <v>#DIV/0!</v>
      </c>
      <c r="V21" s="18" t="e">
        <f t="shared" si="12"/>
        <v>#DIV/0!</v>
      </c>
      <c r="W21" s="15">
        <f t="shared" si="13"/>
        <v>110</v>
      </c>
      <c r="X21" s="2" t="e">
        <f t="shared" si="14"/>
        <v>#DIV/0!</v>
      </c>
      <c r="Y21" s="18" t="e">
        <f t="shared" si="15"/>
        <v>#DIV/0!</v>
      </c>
      <c r="Z21" s="15">
        <f t="shared" si="16"/>
        <v>100</v>
      </c>
      <c r="AA21" s="2" t="e">
        <f t="shared" si="17"/>
        <v>#DIV/0!</v>
      </c>
      <c r="AB21" s="18" t="e">
        <f t="shared" si="18"/>
        <v>#DIV/0!</v>
      </c>
      <c r="AC21" s="15">
        <f t="shared" si="19"/>
        <v>90</v>
      </c>
      <c r="AD21" s="2" t="e">
        <f t="shared" si="20"/>
        <v>#DIV/0!</v>
      </c>
      <c r="AE21" s="18" t="e">
        <f t="shared" si="21"/>
        <v>#DIV/0!</v>
      </c>
      <c r="AF21" s="15">
        <f t="shared" si="22"/>
        <v>80</v>
      </c>
      <c r="AG21" s="2" t="e">
        <f t="shared" si="23"/>
        <v>#DIV/0!</v>
      </c>
      <c r="AH21" s="18" t="e">
        <f t="shared" si="24"/>
        <v>#DIV/0!</v>
      </c>
      <c r="AI21" s="15">
        <f t="shared" si="25"/>
        <v>70</v>
      </c>
      <c r="AJ21" s="2" t="e">
        <f t="shared" si="26"/>
        <v>#DIV/0!</v>
      </c>
      <c r="AK21" s="18" t="e">
        <f t="shared" si="27"/>
        <v>#DIV/0!</v>
      </c>
      <c r="AL21" s="15">
        <f t="shared" si="28"/>
        <v>60</v>
      </c>
      <c r="AM21" s="2" t="e">
        <f t="shared" si="29"/>
        <v>#DIV/0!</v>
      </c>
      <c r="AN21" s="18" t="e">
        <f t="shared" si="30"/>
        <v>#DIV/0!</v>
      </c>
      <c r="AO21" s="15">
        <f t="shared" si="31"/>
        <v>50</v>
      </c>
      <c r="AP21" s="2" t="e">
        <f t="shared" si="32"/>
        <v>#DIV/0!</v>
      </c>
      <c r="AQ21" s="18" t="e">
        <f t="shared" si="33"/>
        <v>#DIV/0!</v>
      </c>
      <c r="AR21" s="15">
        <f t="shared" si="34"/>
        <v>40</v>
      </c>
      <c r="AS21" s="2" t="e">
        <f t="shared" si="35"/>
        <v>#DIV/0!</v>
      </c>
      <c r="AT21" s="18" t="e">
        <f t="shared" si="36"/>
        <v>#DIV/0!</v>
      </c>
      <c r="AU21" s="15">
        <f t="shared" si="37"/>
        <v>30</v>
      </c>
      <c r="AV21" s="2" t="e">
        <f t="shared" si="38"/>
        <v>#DIV/0!</v>
      </c>
      <c r="AW21" s="18" t="e">
        <f t="shared" si="39"/>
        <v>#DIV/0!</v>
      </c>
      <c r="AX21" s="15">
        <f t="shared" si="40"/>
        <v>20</v>
      </c>
      <c r="AY21" s="2" t="e">
        <f t="shared" si="41"/>
        <v>#DIV/0!</v>
      </c>
      <c r="AZ21" s="18" t="e">
        <f t="shared" si="42"/>
        <v>#DIV/0!</v>
      </c>
      <c r="BA21" s="15">
        <f t="shared" si="43"/>
        <v>10</v>
      </c>
      <c r="BB21" s="2" t="e">
        <f t="shared" si="44"/>
        <v>#DIV/0!</v>
      </c>
      <c r="BC21" s="18" t="e">
        <f t="shared" si="45"/>
        <v>#DIV/0!</v>
      </c>
      <c r="BD21" s="15">
        <f t="shared" si="46"/>
        <v>0</v>
      </c>
      <c r="BE21" s="2" t="e">
        <f t="shared" si="47"/>
        <v>#DIV/0!</v>
      </c>
      <c r="BF21" s="18" t="e">
        <f t="shared" si="48"/>
        <v>#DIV/0!</v>
      </c>
      <c r="BG21" s="19" t="e">
        <f t="shared" si="49"/>
        <v>#DIV/0!</v>
      </c>
      <c r="BH21" s="8" t="e">
        <f t="shared" si="50"/>
        <v>#DIV/0!</v>
      </c>
      <c r="BI21" s="20" t="e">
        <f t="shared" si="51"/>
        <v>#DIV/0!</v>
      </c>
      <c r="BJ21" s="17" t="e">
        <f t="shared" si="52"/>
        <v>#DIV/0!</v>
      </c>
      <c r="BK21" s="12" t="e">
        <f t="shared" si="53"/>
        <v>#DIV/0!</v>
      </c>
      <c r="BL21" s="20" t="e">
        <f t="shared" si="54"/>
        <v>#DIV/0!</v>
      </c>
      <c r="BM21" s="15">
        <f t="shared" si="55"/>
        <v>300</v>
      </c>
      <c r="BN21">
        <f t="shared" si="56"/>
        <v>300</v>
      </c>
      <c r="BO21" s="30">
        <f t="shared" si="57"/>
        <v>300</v>
      </c>
      <c r="BP21" s="15"/>
      <c r="BR21" s="9" t="e">
        <f t="shared" si="58"/>
        <v>#DIV/0!</v>
      </c>
    </row>
    <row r="22" spans="1:70" x14ac:dyDescent="0.2">
      <c r="A22" s="9">
        <f>'C - overzicht'!B27</f>
        <v>0</v>
      </c>
      <c r="B22" s="9">
        <f>'C - overzicht'!D27</f>
        <v>0</v>
      </c>
      <c r="C22" s="8">
        <f>'C - overzicht'!H27</f>
        <v>0</v>
      </c>
      <c r="D22" s="8">
        <f>'C - overzicht'!I27</f>
        <v>0</v>
      </c>
      <c r="E22" s="2">
        <f>'C - overzicht'!Z27</f>
        <v>2</v>
      </c>
      <c r="F22" s="2">
        <f>'C - overzicht'!AB27</f>
        <v>600</v>
      </c>
      <c r="H22" s="17" t="e">
        <f t="shared" si="0"/>
        <v>#DIV/0!</v>
      </c>
      <c r="I22" s="2">
        <f t="shared" si="1"/>
        <v>0</v>
      </c>
      <c r="J22" s="15"/>
      <c r="K22" s="16">
        <f t="shared" si="2"/>
        <v>150</v>
      </c>
      <c r="L22" s="2" t="e">
        <f t="shared" si="3"/>
        <v>#DIV/0!</v>
      </c>
      <c r="M22" s="2"/>
      <c r="N22" s="15">
        <f t="shared" si="4"/>
        <v>140</v>
      </c>
      <c r="O22" s="2" t="e">
        <f t="shared" si="5"/>
        <v>#DIV/0!</v>
      </c>
      <c r="P22" s="18" t="e">
        <f t="shared" si="6"/>
        <v>#DIV/0!</v>
      </c>
      <c r="Q22" s="15">
        <f t="shared" si="7"/>
        <v>130</v>
      </c>
      <c r="R22" s="2" t="e">
        <f t="shared" si="8"/>
        <v>#DIV/0!</v>
      </c>
      <c r="S22" s="18" t="e">
        <f t="shared" si="9"/>
        <v>#DIV/0!</v>
      </c>
      <c r="T22" s="15">
        <f t="shared" si="10"/>
        <v>120</v>
      </c>
      <c r="U22" s="2" t="e">
        <f t="shared" si="11"/>
        <v>#DIV/0!</v>
      </c>
      <c r="V22" s="18" t="e">
        <f t="shared" si="12"/>
        <v>#DIV/0!</v>
      </c>
      <c r="W22" s="15">
        <f t="shared" si="13"/>
        <v>110</v>
      </c>
      <c r="X22" s="2" t="e">
        <f t="shared" si="14"/>
        <v>#DIV/0!</v>
      </c>
      <c r="Y22" s="18" t="e">
        <f t="shared" si="15"/>
        <v>#DIV/0!</v>
      </c>
      <c r="Z22" s="15">
        <f t="shared" si="16"/>
        <v>100</v>
      </c>
      <c r="AA22" s="2" t="e">
        <f t="shared" si="17"/>
        <v>#DIV/0!</v>
      </c>
      <c r="AB22" s="18" t="e">
        <f t="shared" si="18"/>
        <v>#DIV/0!</v>
      </c>
      <c r="AC22" s="15">
        <f t="shared" si="19"/>
        <v>90</v>
      </c>
      <c r="AD22" s="2" t="e">
        <f t="shared" si="20"/>
        <v>#DIV/0!</v>
      </c>
      <c r="AE22" s="18" t="e">
        <f t="shared" si="21"/>
        <v>#DIV/0!</v>
      </c>
      <c r="AF22" s="15">
        <f t="shared" si="22"/>
        <v>80</v>
      </c>
      <c r="AG22" s="2" t="e">
        <f t="shared" si="23"/>
        <v>#DIV/0!</v>
      </c>
      <c r="AH22" s="18" t="e">
        <f t="shared" si="24"/>
        <v>#DIV/0!</v>
      </c>
      <c r="AI22" s="15">
        <f t="shared" si="25"/>
        <v>70</v>
      </c>
      <c r="AJ22" s="2" t="e">
        <f t="shared" si="26"/>
        <v>#DIV/0!</v>
      </c>
      <c r="AK22" s="18" t="e">
        <f t="shared" si="27"/>
        <v>#DIV/0!</v>
      </c>
      <c r="AL22" s="15">
        <f t="shared" si="28"/>
        <v>60</v>
      </c>
      <c r="AM22" s="2" t="e">
        <f t="shared" si="29"/>
        <v>#DIV/0!</v>
      </c>
      <c r="AN22" s="18" t="e">
        <f t="shared" si="30"/>
        <v>#DIV/0!</v>
      </c>
      <c r="AO22" s="15">
        <f t="shared" si="31"/>
        <v>50</v>
      </c>
      <c r="AP22" s="2" t="e">
        <f t="shared" si="32"/>
        <v>#DIV/0!</v>
      </c>
      <c r="AQ22" s="18" t="e">
        <f t="shared" si="33"/>
        <v>#DIV/0!</v>
      </c>
      <c r="AR22" s="15">
        <f t="shared" si="34"/>
        <v>40</v>
      </c>
      <c r="AS22" s="2" t="e">
        <f t="shared" si="35"/>
        <v>#DIV/0!</v>
      </c>
      <c r="AT22" s="18" t="e">
        <f t="shared" si="36"/>
        <v>#DIV/0!</v>
      </c>
      <c r="AU22" s="15">
        <f t="shared" si="37"/>
        <v>30</v>
      </c>
      <c r="AV22" s="2" t="e">
        <f t="shared" si="38"/>
        <v>#DIV/0!</v>
      </c>
      <c r="AW22" s="18" t="e">
        <f t="shared" si="39"/>
        <v>#DIV/0!</v>
      </c>
      <c r="AX22" s="15">
        <f t="shared" si="40"/>
        <v>20</v>
      </c>
      <c r="AY22" s="2" t="e">
        <f t="shared" si="41"/>
        <v>#DIV/0!</v>
      </c>
      <c r="AZ22" s="18" t="e">
        <f t="shared" si="42"/>
        <v>#DIV/0!</v>
      </c>
      <c r="BA22" s="15">
        <f t="shared" si="43"/>
        <v>10</v>
      </c>
      <c r="BB22" s="2" t="e">
        <f t="shared" si="44"/>
        <v>#DIV/0!</v>
      </c>
      <c r="BC22" s="18" t="e">
        <f t="shared" si="45"/>
        <v>#DIV/0!</v>
      </c>
      <c r="BD22" s="15">
        <f t="shared" si="46"/>
        <v>0</v>
      </c>
      <c r="BE22" s="2" t="e">
        <f t="shared" si="47"/>
        <v>#DIV/0!</v>
      </c>
      <c r="BF22" s="18" t="e">
        <f t="shared" si="48"/>
        <v>#DIV/0!</v>
      </c>
      <c r="BG22" s="19" t="e">
        <f t="shared" si="49"/>
        <v>#DIV/0!</v>
      </c>
      <c r="BH22" s="8" t="e">
        <f t="shared" si="50"/>
        <v>#DIV/0!</v>
      </c>
      <c r="BI22" s="20" t="e">
        <f t="shared" si="51"/>
        <v>#DIV/0!</v>
      </c>
      <c r="BJ22" s="17" t="e">
        <f t="shared" si="52"/>
        <v>#DIV/0!</v>
      </c>
      <c r="BK22" s="12" t="e">
        <f t="shared" si="53"/>
        <v>#DIV/0!</v>
      </c>
      <c r="BL22" s="20" t="e">
        <f t="shared" si="54"/>
        <v>#DIV/0!</v>
      </c>
      <c r="BM22" s="15">
        <f t="shared" si="55"/>
        <v>300</v>
      </c>
      <c r="BN22">
        <f t="shared" si="56"/>
        <v>300</v>
      </c>
      <c r="BO22" s="30">
        <f t="shared" si="57"/>
        <v>300</v>
      </c>
      <c r="BP22" s="15"/>
      <c r="BR22" s="9" t="e">
        <f t="shared" si="58"/>
        <v>#DIV/0!</v>
      </c>
    </row>
    <row r="23" spans="1:70" x14ac:dyDescent="0.2">
      <c r="A23" s="9">
        <f>'C - overzicht'!B28</f>
        <v>0</v>
      </c>
      <c r="B23" s="9">
        <f>'C - overzicht'!D28</f>
        <v>0</v>
      </c>
      <c r="C23" s="8">
        <f>'C - overzicht'!H28</f>
        <v>0</v>
      </c>
      <c r="D23" s="8">
        <f>'C - overzicht'!I28</f>
        <v>0</v>
      </c>
      <c r="E23" s="2">
        <f>'C - overzicht'!Z28</f>
        <v>2</v>
      </c>
      <c r="F23" s="2">
        <f>'C - overzicht'!AB28</f>
        <v>450</v>
      </c>
      <c r="H23" s="17" t="e">
        <f t="shared" si="0"/>
        <v>#DIV/0!</v>
      </c>
      <c r="I23" s="2">
        <f t="shared" si="1"/>
        <v>0</v>
      </c>
      <c r="J23" s="15"/>
      <c r="K23" s="16">
        <f t="shared" si="2"/>
        <v>150</v>
      </c>
      <c r="L23" s="2" t="e">
        <f t="shared" si="3"/>
        <v>#DIV/0!</v>
      </c>
      <c r="M23" s="2"/>
      <c r="N23" s="15">
        <f t="shared" si="4"/>
        <v>140</v>
      </c>
      <c r="O23" s="2" t="e">
        <f t="shared" si="5"/>
        <v>#DIV/0!</v>
      </c>
      <c r="P23" s="18" t="e">
        <f t="shared" si="6"/>
        <v>#DIV/0!</v>
      </c>
      <c r="Q23" s="15">
        <f t="shared" si="7"/>
        <v>130</v>
      </c>
      <c r="R23" s="2" t="e">
        <f t="shared" si="8"/>
        <v>#DIV/0!</v>
      </c>
      <c r="S23" s="18" t="e">
        <f t="shared" si="9"/>
        <v>#DIV/0!</v>
      </c>
      <c r="T23" s="15">
        <f t="shared" si="10"/>
        <v>120</v>
      </c>
      <c r="U23" s="2" t="e">
        <f t="shared" si="11"/>
        <v>#DIV/0!</v>
      </c>
      <c r="V23" s="18" t="e">
        <f t="shared" si="12"/>
        <v>#DIV/0!</v>
      </c>
      <c r="W23" s="15">
        <f t="shared" si="13"/>
        <v>110</v>
      </c>
      <c r="X23" s="2" t="e">
        <f t="shared" si="14"/>
        <v>#DIV/0!</v>
      </c>
      <c r="Y23" s="18" t="e">
        <f t="shared" si="15"/>
        <v>#DIV/0!</v>
      </c>
      <c r="Z23" s="15">
        <f t="shared" si="16"/>
        <v>100</v>
      </c>
      <c r="AA23" s="2" t="e">
        <f t="shared" si="17"/>
        <v>#DIV/0!</v>
      </c>
      <c r="AB23" s="18" t="e">
        <f t="shared" si="18"/>
        <v>#DIV/0!</v>
      </c>
      <c r="AC23" s="15">
        <f t="shared" si="19"/>
        <v>90</v>
      </c>
      <c r="AD23" s="2" t="e">
        <f t="shared" si="20"/>
        <v>#DIV/0!</v>
      </c>
      <c r="AE23" s="18" t="e">
        <f t="shared" si="21"/>
        <v>#DIV/0!</v>
      </c>
      <c r="AF23" s="15">
        <f t="shared" si="22"/>
        <v>80</v>
      </c>
      <c r="AG23" s="2" t="e">
        <f t="shared" si="23"/>
        <v>#DIV/0!</v>
      </c>
      <c r="AH23" s="18" t="e">
        <f t="shared" si="24"/>
        <v>#DIV/0!</v>
      </c>
      <c r="AI23" s="15">
        <f t="shared" si="25"/>
        <v>70</v>
      </c>
      <c r="AJ23" s="2" t="e">
        <f t="shared" si="26"/>
        <v>#DIV/0!</v>
      </c>
      <c r="AK23" s="18" t="e">
        <f t="shared" si="27"/>
        <v>#DIV/0!</v>
      </c>
      <c r="AL23" s="15">
        <f t="shared" si="28"/>
        <v>60</v>
      </c>
      <c r="AM23" s="2" t="e">
        <f t="shared" si="29"/>
        <v>#DIV/0!</v>
      </c>
      <c r="AN23" s="18" t="e">
        <f t="shared" si="30"/>
        <v>#DIV/0!</v>
      </c>
      <c r="AO23" s="15">
        <f t="shared" si="31"/>
        <v>50</v>
      </c>
      <c r="AP23" s="2" t="e">
        <f t="shared" si="32"/>
        <v>#DIV/0!</v>
      </c>
      <c r="AQ23" s="18" t="e">
        <f t="shared" si="33"/>
        <v>#DIV/0!</v>
      </c>
      <c r="AR23" s="15">
        <f t="shared" si="34"/>
        <v>40</v>
      </c>
      <c r="AS23" s="2" t="e">
        <f t="shared" si="35"/>
        <v>#DIV/0!</v>
      </c>
      <c r="AT23" s="18" t="e">
        <f t="shared" si="36"/>
        <v>#DIV/0!</v>
      </c>
      <c r="AU23" s="15">
        <f t="shared" si="37"/>
        <v>30</v>
      </c>
      <c r="AV23" s="2" t="e">
        <f t="shared" si="38"/>
        <v>#DIV/0!</v>
      </c>
      <c r="AW23" s="18" t="e">
        <f t="shared" si="39"/>
        <v>#DIV/0!</v>
      </c>
      <c r="AX23" s="15">
        <f t="shared" si="40"/>
        <v>20</v>
      </c>
      <c r="AY23" s="2" t="e">
        <f t="shared" si="41"/>
        <v>#DIV/0!</v>
      </c>
      <c r="AZ23" s="18" t="e">
        <f t="shared" si="42"/>
        <v>#DIV/0!</v>
      </c>
      <c r="BA23" s="15">
        <f t="shared" si="43"/>
        <v>10</v>
      </c>
      <c r="BB23" s="2" t="e">
        <f t="shared" si="44"/>
        <v>#DIV/0!</v>
      </c>
      <c r="BC23" s="18" t="e">
        <f t="shared" si="45"/>
        <v>#DIV/0!</v>
      </c>
      <c r="BD23" s="15">
        <f t="shared" si="46"/>
        <v>0</v>
      </c>
      <c r="BE23" s="2" t="e">
        <f t="shared" si="47"/>
        <v>#DIV/0!</v>
      </c>
      <c r="BF23" s="18" t="e">
        <f t="shared" si="48"/>
        <v>#DIV/0!</v>
      </c>
      <c r="BG23" s="19" t="e">
        <f t="shared" si="49"/>
        <v>#DIV/0!</v>
      </c>
      <c r="BH23" s="8" t="e">
        <f t="shared" si="50"/>
        <v>#DIV/0!</v>
      </c>
      <c r="BI23" s="20" t="e">
        <f t="shared" si="51"/>
        <v>#DIV/0!</v>
      </c>
      <c r="BJ23" s="17" t="e">
        <f t="shared" si="52"/>
        <v>#DIV/0!</v>
      </c>
      <c r="BK23" s="12" t="e">
        <f t="shared" si="53"/>
        <v>#DIV/0!</v>
      </c>
      <c r="BL23" s="20" t="e">
        <f t="shared" si="54"/>
        <v>#DIV/0!</v>
      </c>
      <c r="BM23" s="15">
        <f t="shared" si="55"/>
        <v>300</v>
      </c>
      <c r="BN23">
        <f t="shared" si="56"/>
        <v>300</v>
      </c>
      <c r="BO23" s="30">
        <f t="shared" si="57"/>
        <v>300</v>
      </c>
      <c r="BP23" s="15"/>
      <c r="BR23" s="9" t="e">
        <f t="shared" si="58"/>
        <v>#DIV/0!</v>
      </c>
    </row>
    <row r="24" spans="1:70" x14ac:dyDescent="0.2">
      <c r="A24" s="9">
        <f>'C - overzicht'!B29</f>
        <v>0</v>
      </c>
      <c r="B24" s="9">
        <f>'C - overzicht'!D29</f>
        <v>0</v>
      </c>
      <c r="C24" s="8">
        <f>'C - overzicht'!H29</f>
        <v>0</v>
      </c>
      <c r="D24" s="8">
        <f>'C - overzicht'!I29</f>
        <v>0</v>
      </c>
      <c r="E24" s="2">
        <f>'C - overzicht'!Z29</f>
        <v>2</v>
      </c>
      <c r="F24" s="2">
        <f>'C - overzicht'!AB29</f>
        <v>450</v>
      </c>
      <c r="H24" s="17" t="e">
        <f t="shared" si="0"/>
        <v>#DIV/0!</v>
      </c>
      <c r="I24" s="2">
        <f t="shared" si="1"/>
        <v>0</v>
      </c>
      <c r="J24" s="15"/>
      <c r="K24" s="16">
        <f t="shared" si="2"/>
        <v>150</v>
      </c>
      <c r="L24" s="2" t="e">
        <f t="shared" si="3"/>
        <v>#DIV/0!</v>
      </c>
      <c r="M24" s="2"/>
      <c r="N24" s="15">
        <f t="shared" si="4"/>
        <v>140</v>
      </c>
      <c r="O24" s="2" t="e">
        <f t="shared" si="5"/>
        <v>#DIV/0!</v>
      </c>
      <c r="P24" s="18" t="e">
        <f t="shared" si="6"/>
        <v>#DIV/0!</v>
      </c>
      <c r="Q24" s="15">
        <f t="shared" si="7"/>
        <v>130</v>
      </c>
      <c r="R24" s="2" t="e">
        <f t="shared" si="8"/>
        <v>#DIV/0!</v>
      </c>
      <c r="S24" s="18" t="e">
        <f t="shared" si="9"/>
        <v>#DIV/0!</v>
      </c>
      <c r="T24" s="15">
        <f t="shared" si="10"/>
        <v>120</v>
      </c>
      <c r="U24" s="2" t="e">
        <f t="shared" si="11"/>
        <v>#DIV/0!</v>
      </c>
      <c r="V24" s="18" t="e">
        <f t="shared" si="12"/>
        <v>#DIV/0!</v>
      </c>
      <c r="W24" s="15">
        <f t="shared" si="13"/>
        <v>110</v>
      </c>
      <c r="X24" s="2" t="e">
        <f t="shared" si="14"/>
        <v>#DIV/0!</v>
      </c>
      <c r="Y24" s="18" t="e">
        <f t="shared" si="15"/>
        <v>#DIV/0!</v>
      </c>
      <c r="Z24" s="15">
        <f t="shared" si="16"/>
        <v>100</v>
      </c>
      <c r="AA24" s="2" t="e">
        <f t="shared" si="17"/>
        <v>#DIV/0!</v>
      </c>
      <c r="AB24" s="18" t="e">
        <f t="shared" si="18"/>
        <v>#DIV/0!</v>
      </c>
      <c r="AC24" s="15">
        <f t="shared" si="19"/>
        <v>90</v>
      </c>
      <c r="AD24" s="2" t="e">
        <f t="shared" si="20"/>
        <v>#DIV/0!</v>
      </c>
      <c r="AE24" s="18" t="e">
        <f t="shared" si="21"/>
        <v>#DIV/0!</v>
      </c>
      <c r="AF24" s="15">
        <f t="shared" si="22"/>
        <v>80</v>
      </c>
      <c r="AG24" s="2" t="e">
        <f t="shared" si="23"/>
        <v>#DIV/0!</v>
      </c>
      <c r="AH24" s="18" t="e">
        <f t="shared" si="24"/>
        <v>#DIV/0!</v>
      </c>
      <c r="AI24" s="15">
        <f t="shared" si="25"/>
        <v>70</v>
      </c>
      <c r="AJ24" s="2" t="e">
        <f t="shared" si="26"/>
        <v>#DIV/0!</v>
      </c>
      <c r="AK24" s="18" t="e">
        <f t="shared" si="27"/>
        <v>#DIV/0!</v>
      </c>
      <c r="AL24" s="15">
        <f t="shared" si="28"/>
        <v>60</v>
      </c>
      <c r="AM24" s="2" t="e">
        <f t="shared" si="29"/>
        <v>#DIV/0!</v>
      </c>
      <c r="AN24" s="18" t="e">
        <f t="shared" si="30"/>
        <v>#DIV/0!</v>
      </c>
      <c r="AO24" s="15">
        <f t="shared" si="31"/>
        <v>50</v>
      </c>
      <c r="AP24" s="2" t="e">
        <f t="shared" si="32"/>
        <v>#DIV/0!</v>
      </c>
      <c r="AQ24" s="18" t="e">
        <f t="shared" si="33"/>
        <v>#DIV/0!</v>
      </c>
      <c r="AR24" s="15">
        <f t="shared" si="34"/>
        <v>40</v>
      </c>
      <c r="AS24" s="2" t="e">
        <f t="shared" si="35"/>
        <v>#DIV/0!</v>
      </c>
      <c r="AT24" s="18" t="e">
        <f t="shared" si="36"/>
        <v>#DIV/0!</v>
      </c>
      <c r="AU24" s="15">
        <f t="shared" si="37"/>
        <v>30</v>
      </c>
      <c r="AV24" s="2" t="e">
        <f t="shared" si="38"/>
        <v>#DIV/0!</v>
      </c>
      <c r="AW24" s="18" t="e">
        <f t="shared" si="39"/>
        <v>#DIV/0!</v>
      </c>
      <c r="AX24" s="15">
        <f t="shared" si="40"/>
        <v>20</v>
      </c>
      <c r="AY24" s="2" t="e">
        <f t="shared" si="41"/>
        <v>#DIV/0!</v>
      </c>
      <c r="AZ24" s="18" t="e">
        <f t="shared" si="42"/>
        <v>#DIV/0!</v>
      </c>
      <c r="BA24" s="15">
        <f t="shared" si="43"/>
        <v>10</v>
      </c>
      <c r="BB24" s="2" t="e">
        <f t="shared" si="44"/>
        <v>#DIV/0!</v>
      </c>
      <c r="BC24" s="18" t="e">
        <f t="shared" si="45"/>
        <v>#DIV/0!</v>
      </c>
      <c r="BD24" s="15">
        <f t="shared" si="46"/>
        <v>0</v>
      </c>
      <c r="BE24" s="2" t="e">
        <f t="shared" si="47"/>
        <v>#DIV/0!</v>
      </c>
      <c r="BF24" s="18" t="e">
        <f t="shared" si="48"/>
        <v>#DIV/0!</v>
      </c>
      <c r="BG24" s="19" t="e">
        <f t="shared" si="49"/>
        <v>#DIV/0!</v>
      </c>
      <c r="BH24" s="8" t="e">
        <f t="shared" si="50"/>
        <v>#DIV/0!</v>
      </c>
      <c r="BI24" s="20" t="e">
        <f t="shared" si="51"/>
        <v>#DIV/0!</v>
      </c>
      <c r="BJ24" s="17" t="e">
        <f t="shared" si="52"/>
        <v>#DIV/0!</v>
      </c>
      <c r="BK24" s="12" t="e">
        <f t="shared" si="53"/>
        <v>#DIV/0!</v>
      </c>
      <c r="BL24" s="20" t="e">
        <f t="shared" si="54"/>
        <v>#DIV/0!</v>
      </c>
      <c r="BM24" s="15">
        <f t="shared" si="55"/>
        <v>300</v>
      </c>
      <c r="BN24">
        <f t="shared" si="56"/>
        <v>300</v>
      </c>
      <c r="BO24" s="30">
        <f t="shared" si="57"/>
        <v>300</v>
      </c>
      <c r="BP24" s="15"/>
      <c r="BR24" s="9" t="e">
        <f t="shared" si="58"/>
        <v>#DIV/0!</v>
      </c>
    </row>
    <row r="25" spans="1:70" x14ac:dyDescent="0.2">
      <c r="A25" s="9">
        <f>'C - overzicht'!B30</f>
        <v>0</v>
      </c>
      <c r="B25" s="9">
        <f>'C - overzicht'!D30</f>
        <v>0</v>
      </c>
      <c r="C25" s="8">
        <f>'C - overzicht'!H30</f>
        <v>0</v>
      </c>
      <c r="D25" s="8">
        <f>'C - overzicht'!I30</f>
        <v>0</v>
      </c>
      <c r="E25" s="2">
        <f>'C - overzicht'!Z30</f>
        <v>2</v>
      </c>
      <c r="F25" s="2">
        <f>'C - overzicht'!AB30</f>
        <v>450</v>
      </c>
      <c r="H25" s="17" t="e">
        <f t="shared" si="0"/>
        <v>#DIV/0!</v>
      </c>
      <c r="I25" s="2">
        <f t="shared" si="1"/>
        <v>0</v>
      </c>
      <c r="J25" s="15"/>
      <c r="K25" s="16">
        <f t="shared" si="2"/>
        <v>150</v>
      </c>
      <c r="L25" s="2" t="e">
        <f t="shared" si="3"/>
        <v>#DIV/0!</v>
      </c>
      <c r="M25" s="2"/>
      <c r="N25" s="15">
        <f t="shared" si="4"/>
        <v>140</v>
      </c>
      <c r="O25" s="2" t="e">
        <f t="shared" si="5"/>
        <v>#DIV/0!</v>
      </c>
      <c r="P25" s="18" t="e">
        <f t="shared" si="6"/>
        <v>#DIV/0!</v>
      </c>
      <c r="Q25" s="15">
        <f t="shared" si="7"/>
        <v>130</v>
      </c>
      <c r="R25" s="2" t="e">
        <f t="shared" si="8"/>
        <v>#DIV/0!</v>
      </c>
      <c r="S25" s="18" t="e">
        <f t="shared" si="9"/>
        <v>#DIV/0!</v>
      </c>
      <c r="T25" s="15">
        <f t="shared" si="10"/>
        <v>120</v>
      </c>
      <c r="U25" s="2" t="e">
        <f t="shared" si="11"/>
        <v>#DIV/0!</v>
      </c>
      <c r="V25" s="18" t="e">
        <f t="shared" si="12"/>
        <v>#DIV/0!</v>
      </c>
      <c r="W25" s="15">
        <f t="shared" si="13"/>
        <v>110</v>
      </c>
      <c r="X25" s="2" t="e">
        <f t="shared" si="14"/>
        <v>#DIV/0!</v>
      </c>
      <c r="Y25" s="18" t="e">
        <f t="shared" si="15"/>
        <v>#DIV/0!</v>
      </c>
      <c r="Z25" s="15">
        <f t="shared" si="16"/>
        <v>100</v>
      </c>
      <c r="AA25" s="2" t="e">
        <f t="shared" si="17"/>
        <v>#DIV/0!</v>
      </c>
      <c r="AB25" s="18" t="e">
        <f t="shared" si="18"/>
        <v>#DIV/0!</v>
      </c>
      <c r="AC25" s="15">
        <f t="shared" si="19"/>
        <v>90</v>
      </c>
      <c r="AD25" s="2" t="e">
        <f t="shared" si="20"/>
        <v>#DIV/0!</v>
      </c>
      <c r="AE25" s="18" t="e">
        <f t="shared" si="21"/>
        <v>#DIV/0!</v>
      </c>
      <c r="AF25" s="15">
        <f t="shared" si="22"/>
        <v>80</v>
      </c>
      <c r="AG25" s="2" t="e">
        <f t="shared" si="23"/>
        <v>#DIV/0!</v>
      </c>
      <c r="AH25" s="18" t="e">
        <f t="shared" si="24"/>
        <v>#DIV/0!</v>
      </c>
      <c r="AI25" s="15">
        <f t="shared" si="25"/>
        <v>70</v>
      </c>
      <c r="AJ25" s="2" t="e">
        <f t="shared" si="26"/>
        <v>#DIV/0!</v>
      </c>
      <c r="AK25" s="18" t="e">
        <f t="shared" si="27"/>
        <v>#DIV/0!</v>
      </c>
      <c r="AL25" s="15">
        <f t="shared" si="28"/>
        <v>60</v>
      </c>
      <c r="AM25" s="2" t="e">
        <f t="shared" si="29"/>
        <v>#DIV/0!</v>
      </c>
      <c r="AN25" s="18" t="e">
        <f t="shared" si="30"/>
        <v>#DIV/0!</v>
      </c>
      <c r="AO25" s="15">
        <f t="shared" si="31"/>
        <v>50</v>
      </c>
      <c r="AP25" s="2" t="e">
        <f t="shared" si="32"/>
        <v>#DIV/0!</v>
      </c>
      <c r="AQ25" s="18" t="e">
        <f t="shared" si="33"/>
        <v>#DIV/0!</v>
      </c>
      <c r="AR25" s="15">
        <f t="shared" si="34"/>
        <v>40</v>
      </c>
      <c r="AS25" s="2" t="e">
        <f t="shared" si="35"/>
        <v>#DIV/0!</v>
      </c>
      <c r="AT25" s="18" t="e">
        <f t="shared" si="36"/>
        <v>#DIV/0!</v>
      </c>
      <c r="AU25" s="15">
        <f t="shared" si="37"/>
        <v>30</v>
      </c>
      <c r="AV25" s="2" t="e">
        <f t="shared" si="38"/>
        <v>#DIV/0!</v>
      </c>
      <c r="AW25" s="18" t="e">
        <f t="shared" si="39"/>
        <v>#DIV/0!</v>
      </c>
      <c r="AX25" s="15">
        <f t="shared" si="40"/>
        <v>20</v>
      </c>
      <c r="AY25" s="2" t="e">
        <f t="shared" si="41"/>
        <v>#DIV/0!</v>
      </c>
      <c r="AZ25" s="18" t="e">
        <f t="shared" si="42"/>
        <v>#DIV/0!</v>
      </c>
      <c r="BA25" s="15">
        <f t="shared" si="43"/>
        <v>10</v>
      </c>
      <c r="BB25" s="2" t="e">
        <f t="shared" si="44"/>
        <v>#DIV/0!</v>
      </c>
      <c r="BC25" s="18" t="e">
        <f t="shared" si="45"/>
        <v>#DIV/0!</v>
      </c>
      <c r="BD25" s="15">
        <f t="shared" si="46"/>
        <v>0</v>
      </c>
      <c r="BE25" s="2" t="e">
        <f t="shared" si="47"/>
        <v>#DIV/0!</v>
      </c>
      <c r="BF25" s="18" t="e">
        <f t="shared" si="48"/>
        <v>#DIV/0!</v>
      </c>
      <c r="BG25" s="19" t="e">
        <f t="shared" si="49"/>
        <v>#DIV/0!</v>
      </c>
      <c r="BH25" s="8" t="e">
        <f t="shared" si="50"/>
        <v>#DIV/0!</v>
      </c>
      <c r="BI25" s="20" t="e">
        <f t="shared" si="51"/>
        <v>#DIV/0!</v>
      </c>
      <c r="BJ25" s="17" t="e">
        <f t="shared" si="52"/>
        <v>#DIV/0!</v>
      </c>
      <c r="BK25" s="12" t="e">
        <f t="shared" si="53"/>
        <v>#DIV/0!</v>
      </c>
      <c r="BL25" s="20" t="e">
        <f t="shared" si="54"/>
        <v>#DIV/0!</v>
      </c>
      <c r="BM25" s="15">
        <f t="shared" si="55"/>
        <v>300</v>
      </c>
      <c r="BN25">
        <f t="shared" si="56"/>
        <v>300</v>
      </c>
      <c r="BO25" s="30">
        <f t="shared" si="57"/>
        <v>300</v>
      </c>
      <c r="BP25" s="15"/>
      <c r="BR25" s="9" t="e">
        <f t="shared" si="58"/>
        <v>#DIV/0!</v>
      </c>
    </row>
    <row r="26" spans="1:70" x14ac:dyDescent="0.2">
      <c r="A26" s="9" t="e">
        <f>'C - overzicht'!#REF!</f>
        <v>#REF!</v>
      </c>
      <c r="B26" s="9" t="e">
        <f>'C - overzicht'!#REF!</f>
        <v>#REF!</v>
      </c>
      <c r="C26" s="8" t="e">
        <f>'C - overzicht'!#REF!</f>
        <v>#REF!</v>
      </c>
      <c r="D26" s="8" t="e">
        <f>'C - overzicht'!#REF!</f>
        <v>#REF!</v>
      </c>
      <c r="E26" s="2" t="e">
        <f>'C - overzicht'!#REF!</f>
        <v>#REF!</v>
      </c>
      <c r="F26" s="2" t="e">
        <f>'C - overzicht'!#REF!</f>
        <v>#REF!</v>
      </c>
      <c r="H26" s="17" t="e">
        <f t="shared" si="0"/>
        <v>#REF!</v>
      </c>
      <c r="I26" s="2" t="e">
        <f t="shared" si="1"/>
        <v>#REF!</v>
      </c>
      <c r="J26" s="15"/>
      <c r="K26" s="16">
        <f t="shared" si="2"/>
        <v>150</v>
      </c>
      <c r="L26" s="2" t="e">
        <f t="shared" si="3"/>
        <v>#REF!</v>
      </c>
      <c r="M26" s="2"/>
      <c r="N26" s="15">
        <f t="shared" si="4"/>
        <v>140</v>
      </c>
      <c r="O26" s="2" t="e">
        <f t="shared" si="5"/>
        <v>#REF!</v>
      </c>
      <c r="P26" s="18" t="e">
        <f t="shared" si="6"/>
        <v>#REF!</v>
      </c>
      <c r="Q26" s="15">
        <f t="shared" si="7"/>
        <v>130</v>
      </c>
      <c r="R26" s="2" t="e">
        <f t="shared" si="8"/>
        <v>#REF!</v>
      </c>
      <c r="S26" s="18" t="e">
        <f t="shared" si="9"/>
        <v>#REF!</v>
      </c>
      <c r="T26" s="15">
        <f t="shared" si="10"/>
        <v>120</v>
      </c>
      <c r="U26" s="2" t="e">
        <f t="shared" si="11"/>
        <v>#REF!</v>
      </c>
      <c r="V26" s="18" t="e">
        <f t="shared" si="12"/>
        <v>#REF!</v>
      </c>
      <c r="W26" s="15">
        <f t="shared" si="13"/>
        <v>110</v>
      </c>
      <c r="X26" s="2" t="e">
        <f t="shared" si="14"/>
        <v>#REF!</v>
      </c>
      <c r="Y26" s="18" t="e">
        <f t="shared" si="15"/>
        <v>#REF!</v>
      </c>
      <c r="Z26" s="15">
        <f t="shared" si="16"/>
        <v>100</v>
      </c>
      <c r="AA26" s="2" t="e">
        <f t="shared" si="17"/>
        <v>#REF!</v>
      </c>
      <c r="AB26" s="18" t="e">
        <f t="shared" si="18"/>
        <v>#REF!</v>
      </c>
      <c r="AC26" s="15">
        <f t="shared" si="19"/>
        <v>90</v>
      </c>
      <c r="AD26" s="2" t="e">
        <f t="shared" si="20"/>
        <v>#REF!</v>
      </c>
      <c r="AE26" s="18" t="e">
        <f t="shared" si="21"/>
        <v>#REF!</v>
      </c>
      <c r="AF26" s="15">
        <f t="shared" si="22"/>
        <v>80</v>
      </c>
      <c r="AG26" s="2" t="e">
        <f t="shared" si="23"/>
        <v>#REF!</v>
      </c>
      <c r="AH26" s="18" t="e">
        <f t="shared" si="24"/>
        <v>#REF!</v>
      </c>
      <c r="AI26" s="15">
        <f t="shared" si="25"/>
        <v>70</v>
      </c>
      <c r="AJ26" s="2" t="e">
        <f t="shared" si="26"/>
        <v>#REF!</v>
      </c>
      <c r="AK26" s="18" t="e">
        <f t="shared" si="27"/>
        <v>#REF!</v>
      </c>
      <c r="AL26" s="15">
        <f t="shared" si="28"/>
        <v>60</v>
      </c>
      <c r="AM26" s="2" t="e">
        <f t="shared" si="29"/>
        <v>#REF!</v>
      </c>
      <c r="AN26" s="18" t="e">
        <f t="shared" si="30"/>
        <v>#REF!</v>
      </c>
      <c r="AO26" s="15">
        <f t="shared" si="31"/>
        <v>50</v>
      </c>
      <c r="AP26" s="2" t="e">
        <f t="shared" si="32"/>
        <v>#REF!</v>
      </c>
      <c r="AQ26" s="18" t="e">
        <f t="shared" si="33"/>
        <v>#REF!</v>
      </c>
      <c r="AR26" s="15">
        <f t="shared" si="34"/>
        <v>40</v>
      </c>
      <c r="AS26" s="2" t="e">
        <f t="shared" si="35"/>
        <v>#REF!</v>
      </c>
      <c r="AT26" s="18" t="e">
        <f t="shared" si="36"/>
        <v>#REF!</v>
      </c>
      <c r="AU26" s="15">
        <f t="shared" si="37"/>
        <v>30</v>
      </c>
      <c r="AV26" s="2" t="e">
        <f t="shared" si="38"/>
        <v>#REF!</v>
      </c>
      <c r="AW26" s="18" t="e">
        <f t="shared" si="39"/>
        <v>#REF!</v>
      </c>
      <c r="AX26" s="15">
        <f t="shared" si="40"/>
        <v>20</v>
      </c>
      <c r="AY26" s="2" t="e">
        <f t="shared" si="41"/>
        <v>#REF!</v>
      </c>
      <c r="AZ26" s="18" t="e">
        <f t="shared" si="42"/>
        <v>#REF!</v>
      </c>
      <c r="BA26" s="15">
        <f t="shared" si="43"/>
        <v>10</v>
      </c>
      <c r="BB26" s="2" t="e">
        <f t="shared" si="44"/>
        <v>#REF!</v>
      </c>
      <c r="BC26" s="18" t="e">
        <f t="shared" si="45"/>
        <v>#REF!</v>
      </c>
      <c r="BD26" s="15">
        <f t="shared" si="46"/>
        <v>0</v>
      </c>
      <c r="BE26" s="2" t="e">
        <f t="shared" si="47"/>
        <v>#REF!</v>
      </c>
      <c r="BF26" s="18" t="e">
        <f t="shared" si="48"/>
        <v>#REF!</v>
      </c>
      <c r="BG26" s="19" t="e">
        <f t="shared" si="49"/>
        <v>#REF!</v>
      </c>
      <c r="BH26" s="8" t="e">
        <f t="shared" si="50"/>
        <v>#REF!</v>
      </c>
      <c r="BI26" s="20" t="e">
        <f t="shared" si="51"/>
        <v>#REF!</v>
      </c>
      <c r="BJ26" s="17" t="e">
        <f t="shared" si="52"/>
        <v>#REF!</v>
      </c>
      <c r="BK26" s="12" t="e">
        <f t="shared" si="53"/>
        <v>#REF!</v>
      </c>
      <c r="BL26" s="20" t="e">
        <f t="shared" si="54"/>
        <v>#REF!</v>
      </c>
      <c r="BM26" s="15" t="e">
        <f t="shared" si="55"/>
        <v>#REF!</v>
      </c>
      <c r="BN26" t="e">
        <f t="shared" si="56"/>
        <v>#REF!</v>
      </c>
      <c r="BO26" s="30" t="e">
        <f t="shared" si="57"/>
        <v>#REF!</v>
      </c>
      <c r="BP26" s="15"/>
      <c r="BR26" s="9" t="e">
        <f t="shared" si="58"/>
        <v>#REF!</v>
      </c>
    </row>
    <row r="27" spans="1:70" x14ac:dyDescent="0.2">
      <c r="A27" s="9" t="e">
        <f>'C - overzicht'!#REF!</f>
        <v>#REF!</v>
      </c>
      <c r="B27" s="9" t="e">
        <f>'C - overzicht'!#REF!</f>
        <v>#REF!</v>
      </c>
      <c r="C27" s="8" t="e">
        <f>'C - overzicht'!#REF!</f>
        <v>#REF!</v>
      </c>
      <c r="D27" s="8" t="e">
        <f>'C - overzicht'!#REF!</f>
        <v>#REF!</v>
      </c>
      <c r="E27" s="2" t="e">
        <f>'C - overzicht'!#REF!</f>
        <v>#REF!</v>
      </c>
      <c r="F27" s="2" t="e">
        <f>'C - overzicht'!#REF!</f>
        <v>#REF!</v>
      </c>
      <c r="H27" s="17" t="e">
        <f t="shared" si="0"/>
        <v>#REF!</v>
      </c>
      <c r="I27" s="2" t="e">
        <f t="shared" si="1"/>
        <v>#REF!</v>
      </c>
      <c r="J27" s="15"/>
      <c r="K27" s="16">
        <f t="shared" si="2"/>
        <v>150</v>
      </c>
      <c r="L27" s="2" t="e">
        <f t="shared" si="3"/>
        <v>#REF!</v>
      </c>
      <c r="M27" s="2"/>
      <c r="N27" s="15">
        <f t="shared" si="4"/>
        <v>140</v>
      </c>
      <c r="O27" s="2" t="e">
        <f t="shared" si="5"/>
        <v>#REF!</v>
      </c>
      <c r="P27" s="18" t="e">
        <f t="shared" si="6"/>
        <v>#REF!</v>
      </c>
      <c r="Q27" s="15">
        <f t="shared" si="7"/>
        <v>130</v>
      </c>
      <c r="R27" s="2" t="e">
        <f t="shared" si="8"/>
        <v>#REF!</v>
      </c>
      <c r="S27" s="18" t="e">
        <f t="shared" si="9"/>
        <v>#REF!</v>
      </c>
      <c r="T27" s="15">
        <f t="shared" si="10"/>
        <v>120</v>
      </c>
      <c r="U27" s="2" t="e">
        <f t="shared" si="11"/>
        <v>#REF!</v>
      </c>
      <c r="V27" s="18" t="e">
        <f t="shared" si="12"/>
        <v>#REF!</v>
      </c>
      <c r="W27" s="15">
        <f t="shared" si="13"/>
        <v>110</v>
      </c>
      <c r="X27" s="2" t="e">
        <f t="shared" si="14"/>
        <v>#REF!</v>
      </c>
      <c r="Y27" s="18" t="e">
        <f t="shared" si="15"/>
        <v>#REF!</v>
      </c>
      <c r="Z27" s="15">
        <f t="shared" si="16"/>
        <v>100</v>
      </c>
      <c r="AA27" s="2" t="e">
        <f t="shared" si="17"/>
        <v>#REF!</v>
      </c>
      <c r="AB27" s="18" t="e">
        <f t="shared" si="18"/>
        <v>#REF!</v>
      </c>
      <c r="AC27" s="15">
        <f t="shared" si="19"/>
        <v>90</v>
      </c>
      <c r="AD27" s="2" t="e">
        <f t="shared" si="20"/>
        <v>#REF!</v>
      </c>
      <c r="AE27" s="18" t="e">
        <f t="shared" si="21"/>
        <v>#REF!</v>
      </c>
      <c r="AF27" s="15">
        <f t="shared" si="22"/>
        <v>80</v>
      </c>
      <c r="AG27" s="2" t="e">
        <f t="shared" si="23"/>
        <v>#REF!</v>
      </c>
      <c r="AH27" s="18" t="e">
        <f t="shared" si="24"/>
        <v>#REF!</v>
      </c>
      <c r="AI27" s="15">
        <f t="shared" si="25"/>
        <v>70</v>
      </c>
      <c r="AJ27" s="2" t="e">
        <f t="shared" si="26"/>
        <v>#REF!</v>
      </c>
      <c r="AK27" s="18" t="e">
        <f t="shared" si="27"/>
        <v>#REF!</v>
      </c>
      <c r="AL27" s="15">
        <f t="shared" si="28"/>
        <v>60</v>
      </c>
      <c r="AM27" s="2" t="e">
        <f t="shared" si="29"/>
        <v>#REF!</v>
      </c>
      <c r="AN27" s="18" t="e">
        <f t="shared" si="30"/>
        <v>#REF!</v>
      </c>
      <c r="AO27" s="15">
        <f t="shared" si="31"/>
        <v>50</v>
      </c>
      <c r="AP27" s="2" t="e">
        <f t="shared" si="32"/>
        <v>#REF!</v>
      </c>
      <c r="AQ27" s="18" t="e">
        <f t="shared" si="33"/>
        <v>#REF!</v>
      </c>
      <c r="AR27" s="15">
        <f t="shared" si="34"/>
        <v>40</v>
      </c>
      <c r="AS27" s="2" t="e">
        <f t="shared" si="35"/>
        <v>#REF!</v>
      </c>
      <c r="AT27" s="18" t="e">
        <f t="shared" si="36"/>
        <v>#REF!</v>
      </c>
      <c r="AU27" s="15">
        <f t="shared" si="37"/>
        <v>30</v>
      </c>
      <c r="AV27" s="2" t="e">
        <f t="shared" si="38"/>
        <v>#REF!</v>
      </c>
      <c r="AW27" s="18" t="e">
        <f t="shared" si="39"/>
        <v>#REF!</v>
      </c>
      <c r="AX27" s="15">
        <f t="shared" si="40"/>
        <v>20</v>
      </c>
      <c r="AY27" s="2" t="e">
        <f t="shared" si="41"/>
        <v>#REF!</v>
      </c>
      <c r="AZ27" s="18" t="e">
        <f t="shared" si="42"/>
        <v>#REF!</v>
      </c>
      <c r="BA27" s="15">
        <f t="shared" si="43"/>
        <v>10</v>
      </c>
      <c r="BB27" s="2" t="e">
        <f t="shared" si="44"/>
        <v>#REF!</v>
      </c>
      <c r="BC27" s="18" t="e">
        <f t="shared" si="45"/>
        <v>#REF!</v>
      </c>
      <c r="BD27" s="15">
        <f t="shared" si="46"/>
        <v>0</v>
      </c>
      <c r="BE27" s="2" t="e">
        <f t="shared" si="47"/>
        <v>#REF!</v>
      </c>
      <c r="BF27" s="18" t="e">
        <f t="shared" si="48"/>
        <v>#REF!</v>
      </c>
      <c r="BG27" s="19" t="e">
        <f t="shared" si="49"/>
        <v>#REF!</v>
      </c>
      <c r="BH27" s="8" t="e">
        <f t="shared" si="50"/>
        <v>#REF!</v>
      </c>
      <c r="BI27" s="20" t="e">
        <f t="shared" si="51"/>
        <v>#REF!</v>
      </c>
      <c r="BJ27" s="17" t="e">
        <f t="shared" si="52"/>
        <v>#REF!</v>
      </c>
      <c r="BK27" s="12" t="e">
        <f t="shared" si="53"/>
        <v>#REF!</v>
      </c>
      <c r="BL27" s="20" t="e">
        <f t="shared" si="54"/>
        <v>#REF!</v>
      </c>
      <c r="BM27" s="15" t="e">
        <f t="shared" si="55"/>
        <v>#REF!</v>
      </c>
      <c r="BN27" t="e">
        <f t="shared" si="56"/>
        <v>#REF!</v>
      </c>
      <c r="BO27" s="30" t="e">
        <f t="shared" si="57"/>
        <v>#REF!</v>
      </c>
      <c r="BP27" s="15"/>
      <c r="BR27" s="9" t="e">
        <f t="shared" si="58"/>
        <v>#REF!</v>
      </c>
    </row>
    <row r="28" spans="1:70" x14ac:dyDescent="0.2">
      <c r="A28" s="9" t="e">
        <f>'C - overzicht'!#REF!</f>
        <v>#REF!</v>
      </c>
      <c r="B28" s="9" t="e">
        <f>'C - overzicht'!#REF!</f>
        <v>#REF!</v>
      </c>
      <c r="C28" s="8" t="e">
        <f>'C - overzicht'!#REF!</f>
        <v>#REF!</v>
      </c>
      <c r="D28" s="8" t="e">
        <f>'C - overzicht'!#REF!</f>
        <v>#REF!</v>
      </c>
      <c r="E28" s="2" t="e">
        <f>'C - overzicht'!#REF!</f>
        <v>#REF!</v>
      </c>
      <c r="F28" s="2" t="e">
        <f>'C - overzicht'!#REF!</f>
        <v>#REF!</v>
      </c>
      <c r="H28" s="17" t="e">
        <f t="shared" si="0"/>
        <v>#REF!</v>
      </c>
      <c r="I28" s="2" t="e">
        <f t="shared" si="1"/>
        <v>#REF!</v>
      </c>
      <c r="J28" s="15"/>
      <c r="K28" s="16">
        <f t="shared" si="2"/>
        <v>150</v>
      </c>
      <c r="L28" s="2" t="e">
        <f t="shared" si="3"/>
        <v>#REF!</v>
      </c>
      <c r="M28" s="2"/>
      <c r="N28" s="15">
        <f t="shared" si="4"/>
        <v>140</v>
      </c>
      <c r="O28" s="2" t="e">
        <f t="shared" si="5"/>
        <v>#REF!</v>
      </c>
      <c r="P28" s="18" t="e">
        <f t="shared" si="6"/>
        <v>#REF!</v>
      </c>
      <c r="Q28" s="15">
        <f t="shared" si="7"/>
        <v>130</v>
      </c>
      <c r="R28" s="2" t="e">
        <f t="shared" si="8"/>
        <v>#REF!</v>
      </c>
      <c r="S28" s="18" t="e">
        <f t="shared" si="9"/>
        <v>#REF!</v>
      </c>
      <c r="T28" s="15">
        <f t="shared" si="10"/>
        <v>120</v>
      </c>
      <c r="U28" s="2" t="e">
        <f t="shared" si="11"/>
        <v>#REF!</v>
      </c>
      <c r="V28" s="18" t="e">
        <f t="shared" si="12"/>
        <v>#REF!</v>
      </c>
      <c r="W28" s="15">
        <f t="shared" si="13"/>
        <v>110</v>
      </c>
      <c r="X28" s="2" t="e">
        <f t="shared" si="14"/>
        <v>#REF!</v>
      </c>
      <c r="Y28" s="18" t="e">
        <f t="shared" si="15"/>
        <v>#REF!</v>
      </c>
      <c r="Z28" s="15">
        <f t="shared" si="16"/>
        <v>100</v>
      </c>
      <c r="AA28" s="2" t="e">
        <f t="shared" si="17"/>
        <v>#REF!</v>
      </c>
      <c r="AB28" s="18" t="e">
        <f t="shared" si="18"/>
        <v>#REF!</v>
      </c>
      <c r="AC28" s="15">
        <f t="shared" si="19"/>
        <v>90</v>
      </c>
      <c r="AD28" s="2" t="e">
        <f t="shared" si="20"/>
        <v>#REF!</v>
      </c>
      <c r="AE28" s="18" t="e">
        <f t="shared" si="21"/>
        <v>#REF!</v>
      </c>
      <c r="AF28" s="15">
        <f t="shared" si="22"/>
        <v>80</v>
      </c>
      <c r="AG28" s="2" t="e">
        <f t="shared" si="23"/>
        <v>#REF!</v>
      </c>
      <c r="AH28" s="18" t="e">
        <f t="shared" si="24"/>
        <v>#REF!</v>
      </c>
      <c r="AI28" s="15">
        <f t="shared" si="25"/>
        <v>70</v>
      </c>
      <c r="AJ28" s="2" t="e">
        <f t="shared" si="26"/>
        <v>#REF!</v>
      </c>
      <c r="AK28" s="18" t="e">
        <f t="shared" si="27"/>
        <v>#REF!</v>
      </c>
      <c r="AL28" s="15">
        <f t="shared" si="28"/>
        <v>60</v>
      </c>
      <c r="AM28" s="2" t="e">
        <f t="shared" si="29"/>
        <v>#REF!</v>
      </c>
      <c r="AN28" s="18" t="e">
        <f t="shared" si="30"/>
        <v>#REF!</v>
      </c>
      <c r="AO28" s="15">
        <f t="shared" si="31"/>
        <v>50</v>
      </c>
      <c r="AP28" s="2" t="e">
        <f t="shared" si="32"/>
        <v>#REF!</v>
      </c>
      <c r="AQ28" s="18" t="e">
        <f t="shared" si="33"/>
        <v>#REF!</v>
      </c>
      <c r="AR28" s="15">
        <f t="shared" si="34"/>
        <v>40</v>
      </c>
      <c r="AS28" s="2" t="e">
        <f t="shared" si="35"/>
        <v>#REF!</v>
      </c>
      <c r="AT28" s="18" t="e">
        <f t="shared" si="36"/>
        <v>#REF!</v>
      </c>
      <c r="AU28" s="15">
        <f t="shared" si="37"/>
        <v>30</v>
      </c>
      <c r="AV28" s="2" t="e">
        <f t="shared" si="38"/>
        <v>#REF!</v>
      </c>
      <c r="AW28" s="18" t="e">
        <f t="shared" si="39"/>
        <v>#REF!</v>
      </c>
      <c r="AX28" s="15">
        <f t="shared" si="40"/>
        <v>20</v>
      </c>
      <c r="AY28" s="2" t="e">
        <f t="shared" si="41"/>
        <v>#REF!</v>
      </c>
      <c r="AZ28" s="18" t="e">
        <f t="shared" si="42"/>
        <v>#REF!</v>
      </c>
      <c r="BA28" s="15">
        <f t="shared" si="43"/>
        <v>10</v>
      </c>
      <c r="BB28" s="2" t="e">
        <f t="shared" si="44"/>
        <v>#REF!</v>
      </c>
      <c r="BC28" s="18" t="e">
        <f t="shared" si="45"/>
        <v>#REF!</v>
      </c>
      <c r="BD28" s="15">
        <f t="shared" si="46"/>
        <v>0</v>
      </c>
      <c r="BE28" s="2" t="e">
        <f t="shared" si="47"/>
        <v>#REF!</v>
      </c>
      <c r="BF28" s="18" t="e">
        <f t="shared" si="48"/>
        <v>#REF!</v>
      </c>
      <c r="BG28" s="19" t="e">
        <f t="shared" si="49"/>
        <v>#REF!</v>
      </c>
      <c r="BH28" s="8" t="e">
        <f t="shared" si="50"/>
        <v>#REF!</v>
      </c>
      <c r="BI28" s="20" t="e">
        <f t="shared" si="51"/>
        <v>#REF!</v>
      </c>
      <c r="BJ28" s="17" t="e">
        <f t="shared" si="52"/>
        <v>#REF!</v>
      </c>
      <c r="BK28" s="12" t="e">
        <f t="shared" si="53"/>
        <v>#REF!</v>
      </c>
      <c r="BL28" s="20" t="e">
        <f t="shared" si="54"/>
        <v>#REF!</v>
      </c>
      <c r="BM28" s="15" t="e">
        <f t="shared" si="55"/>
        <v>#REF!</v>
      </c>
      <c r="BN28" t="e">
        <f t="shared" si="56"/>
        <v>#REF!</v>
      </c>
      <c r="BO28" s="30" t="e">
        <f t="shared" si="57"/>
        <v>#REF!</v>
      </c>
      <c r="BP28" s="15"/>
      <c r="BR28" s="9" t="e">
        <f t="shared" si="58"/>
        <v>#REF!</v>
      </c>
    </row>
    <row r="29" spans="1:70" x14ac:dyDescent="0.2">
      <c r="A29" s="9" t="e">
        <f>'C - overzicht'!#REF!</f>
        <v>#REF!</v>
      </c>
      <c r="B29" s="9" t="e">
        <f>'C - overzicht'!#REF!</f>
        <v>#REF!</v>
      </c>
      <c r="C29" s="8" t="e">
        <f>'C - overzicht'!#REF!</f>
        <v>#REF!</v>
      </c>
      <c r="D29" s="8" t="e">
        <f>'C - overzicht'!#REF!</f>
        <v>#REF!</v>
      </c>
      <c r="E29" s="2" t="e">
        <f>'C - overzicht'!#REF!</f>
        <v>#REF!</v>
      </c>
      <c r="F29" s="2" t="e">
        <f>'C - overzicht'!#REF!</f>
        <v>#REF!</v>
      </c>
      <c r="H29" s="17" t="e">
        <f t="shared" si="0"/>
        <v>#REF!</v>
      </c>
      <c r="I29" s="2" t="e">
        <f t="shared" si="1"/>
        <v>#REF!</v>
      </c>
      <c r="J29" s="15"/>
      <c r="K29" s="16">
        <f t="shared" si="2"/>
        <v>150</v>
      </c>
      <c r="L29" s="2" t="e">
        <f t="shared" si="3"/>
        <v>#REF!</v>
      </c>
      <c r="M29" s="2"/>
      <c r="N29" s="15">
        <f t="shared" si="4"/>
        <v>140</v>
      </c>
      <c r="O29" s="2" t="e">
        <f t="shared" si="5"/>
        <v>#REF!</v>
      </c>
      <c r="P29" s="18" t="e">
        <f t="shared" si="6"/>
        <v>#REF!</v>
      </c>
      <c r="Q29" s="15">
        <f t="shared" si="7"/>
        <v>130</v>
      </c>
      <c r="R29" s="2" t="e">
        <f t="shared" si="8"/>
        <v>#REF!</v>
      </c>
      <c r="S29" s="18" t="e">
        <f t="shared" si="9"/>
        <v>#REF!</v>
      </c>
      <c r="T29" s="15">
        <f t="shared" si="10"/>
        <v>120</v>
      </c>
      <c r="U29" s="2" t="e">
        <f t="shared" si="11"/>
        <v>#REF!</v>
      </c>
      <c r="V29" s="18" t="e">
        <f t="shared" si="12"/>
        <v>#REF!</v>
      </c>
      <c r="W29" s="15">
        <f t="shared" si="13"/>
        <v>110</v>
      </c>
      <c r="X29" s="2" t="e">
        <f t="shared" si="14"/>
        <v>#REF!</v>
      </c>
      <c r="Y29" s="18" t="e">
        <f t="shared" si="15"/>
        <v>#REF!</v>
      </c>
      <c r="Z29" s="15">
        <f t="shared" si="16"/>
        <v>100</v>
      </c>
      <c r="AA29" s="2" t="e">
        <f t="shared" si="17"/>
        <v>#REF!</v>
      </c>
      <c r="AB29" s="18" t="e">
        <f t="shared" si="18"/>
        <v>#REF!</v>
      </c>
      <c r="AC29" s="15">
        <f t="shared" si="19"/>
        <v>90</v>
      </c>
      <c r="AD29" s="2" t="e">
        <f t="shared" si="20"/>
        <v>#REF!</v>
      </c>
      <c r="AE29" s="18" t="e">
        <f t="shared" si="21"/>
        <v>#REF!</v>
      </c>
      <c r="AF29" s="15">
        <f t="shared" si="22"/>
        <v>80</v>
      </c>
      <c r="AG29" s="2" t="e">
        <f t="shared" si="23"/>
        <v>#REF!</v>
      </c>
      <c r="AH29" s="18" t="e">
        <f t="shared" si="24"/>
        <v>#REF!</v>
      </c>
      <c r="AI29" s="15">
        <f t="shared" si="25"/>
        <v>70</v>
      </c>
      <c r="AJ29" s="2" t="e">
        <f t="shared" si="26"/>
        <v>#REF!</v>
      </c>
      <c r="AK29" s="18" t="e">
        <f t="shared" si="27"/>
        <v>#REF!</v>
      </c>
      <c r="AL29" s="15">
        <f t="shared" si="28"/>
        <v>60</v>
      </c>
      <c r="AM29" s="2" t="e">
        <f t="shared" si="29"/>
        <v>#REF!</v>
      </c>
      <c r="AN29" s="18" t="e">
        <f t="shared" si="30"/>
        <v>#REF!</v>
      </c>
      <c r="AO29" s="15">
        <f t="shared" si="31"/>
        <v>50</v>
      </c>
      <c r="AP29" s="2" t="e">
        <f t="shared" si="32"/>
        <v>#REF!</v>
      </c>
      <c r="AQ29" s="18" t="e">
        <f t="shared" si="33"/>
        <v>#REF!</v>
      </c>
      <c r="AR29" s="15">
        <f t="shared" si="34"/>
        <v>40</v>
      </c>
      <c r="AS29" s="2" t="e">
        <f t="shared" si="35"/>
        <v>#REF!</v>
      </c>
      <c r="AT29" s="18" t="e">
        <f t="shared" si="36"/>
        <v>#REF!</v>
      </c>
      <c r="AU29" s="15">
        <f t="shared" si="37"/>
        <v>30</v>
      </c>
      <c r="AV29" s="2" t="e">
        <f t="shared" si="38"/>
        <v>#REF!</v>
      </c>
      <c r="AW29" s="18" t="e">
        <f t="shared" si="39"/>
        <v>#REF!</v>
      </c>
      <c r="AX29" s="15">
        <f t="shared" si="40"/>
        <v>20</v>
      </c>
      <c r="AY29" s="2" t="e">
        <f t="shared" si="41"/>
        <v>#REF!</v>
      </c>
      <c r="AZ29" s="18" t="e">
        <f t="shared" si="42"/>
        <v>#REF!</v>
      </c>
      <c r="BA29" s="15">
        <f t="shared" si="43"/>
        <v>10</v>
      </c>
      <c r="BB29" s="2" t="e">
        <f t="shared" si="44"/>
        <v>#REF!</v>
      </c>
      <c r="BC29" s="18" t="e">
        <f t="shared" si="45"/>
        <v>#REF!</v>
      </c>
      <c r="BD29" s="15">
        <f t="shared" si="46"/>
        <v>0</v>
      </c>
      <c r="BE29" s="2" t="e">
        <f t="shared" si="47"/>
        <v>#REF!</v>
      </c>
      <c r="BF29" s="18" t="e">
        <f t="shared" si="48"/>
        <v>#REF!</v>
      </c>
      <c r="BG29" s="19" t="e">
        <f t="shared" si="49"/>
        <v>#REF!</v>
      </c>
      <c r="BH29" s="8" t="e">
        <f t="shared" si="50"/>
        <v>#REF!</v>
      </c>
      <c r="BI29" s="20" t="e">
        <f t="shared" si="51"/>
        <v>#REF!</v>
      </c>
      <c r="BJ29" s="17" t="e">
        <f t="shared" si="52"/>
        <v>#REF!</v>
      </c>
      <c r="BK29" s="12" t="e">
        <f t="shared" si="53"/>
        <v>#REF!</v>
      </c>
      <c r="BL29" s="20" t="e">
        <f t="shared" si="54"/>
        <v>#REF!</v>
      </c>
      <c r="BM29" s="15" t="e">
        <f t="shared" si="55"/>
        <v>#REF!</v>
      </c>
      <c r="BN29" t="e">
        <f t="shared" si="56"/>
        <v>#REF!</v>
      </c>
      <c r="BO29" s="30" t="e">
        <f t="shared" si="57"/>
        <v>#REF!</v>
      </c>
      <c r="BP29" s="15"/>
      <c r="BR29" s="9" t="e">
        <f t="shared" si="58"/>
        <v>#REF!</v>
      </c>
    </row>
    <row r="30" spans="1:70" x14ac:dyDescent="0.2">
      <c r="A30" s="9" t="e">
        <f>'C - overzicht'!#REF!</f>
        <v>#REF!</v>
      </c>
      <c r="B30" s="9" t="e">
        <f>'C - overzicht'!#REF!</f>
        <v>#REF!</v>
      </c>
      <c r="C30" s="8" t="e">
        <f>'C - overzicht'!#REF!</f>
        <v>#REF!</v>
      </c>
      <c r="D30" s="8" t="e">
        <f>'C - overzicht'!#REF!</f>
        <v>#REF!</v>
      </c>
      <c r="E30" s="2" t="e">
        <f>'C - overzicht'!#REF!</f>
        <v>#REF!</v>
      </c>
      <c r="F30" s="2" t="e">
        <f>'C - overzicht'!#REF!</f>
        <v>#REF!</v>
      </c>
      <c r="H30" s="17" t="e">
        <f t="shared" si="0"/>
        <v>#REF!</v>
      </c>
      <c r="I30" s="2" t="e">
        <f t="shared" si="1"/>
        <v>#REF!</v>
      </c>
      <c r="J30" s="15"/>
      <c r="K30" s="16">
        <f t="shared" si="2"/>
        <v>150</v>
      </c>
      <c r="L30" s="2" t="e">
        <f t="shared" si="3"/>
        <v>#REF!</v>
      </c>
      <c r="M30" s="2"/>
      <c r="N30" s="15">
        <f t="shared" si="4"/>
        <v>140</v>
      </c>
      <c r="O30" s="2" t="e">
        <f t="shared" si="5"/>
        <v>#REF!</v>
      </c>
      <c r="P30" s="18" t="e">
        <f t="shared" si="6"/>
        <v>#REF!</v>
      </c>
      <c r="Q30" s="15">
        <f t="shared" si="7"/>
        <v>130</v>
      </c>
      <c r="R30" s="2" t="e">
        <f t="shared" si="8"/>
        <v>#REF!</v>
      </c>
      <c r="S30" s="18" t="e">
        <f t="shared" si="9"/>
        <v>#REF!</v>
      </c>
      <c r="T30" s="15">
        <f t="shared" si="10"/>
        <v>120</v>
      </c>
      <c r="U30" s="2" t="e">
        <f t="shared" si="11"/>
        <v>#REF!</v>
      </c>
      <c r="V30" s="18" t="e">
        <f t="shared" si="12"/>
        <v>#REF!</v>
      </c>
      <c r="W30" s="15">
        <f t="shared" si="13"/>
        <v>110</v>
      </c>
      <c r="X30" s="2" t="e">
        <f t="shared" si="14"/>
        <v>#REF!</v>
      </c>
      <c r="Y30" s="18" t="e">
        <f t="shared" si="15"/>
        <v>#REF!</v>
      </c>
      <c r="Z30" s="15">
        <f t="shared" si="16"/>
        <v>100</v>
      </c>
      <c r="AA30" s="2" t="e">
        <f t="shared" si="17"/>
        <v>#REF!</v>
      </c>
      <c r="AB30" s="18" t="e">
        <f t="shared" si="18"/>
        <v>#REF!</v>
      </c>
      <c r="AC30" s="15">
        <f t="shared" si="19"/>
        <v>90</v>
      </c>
      <c r="AD30" s="2" t="e">
        <f t="shared" si="20"/>
        <v>#REF!</v>
      </c>
      <c r="AE30" s="18" t="e">
        <f t="shared" si="21"/>
        <v>#REF!</v>
      </c>
      <c r="AF30" s="15">
        <f t="shared" si="22"/>
        <v>80</v>
      </c>
      <c r="AG30" s="2" t="e">
        <f t="shared" si="23"/>
        <v>#REF!</v>
      </c>
      <c r="AH30" s="18" t="e">
        <f t="shared" si="24"/>
        <v>#REF!</v>
      </c>
      <c r="AI30" s="15">
        <f t="shared" si="25"/>
        <v>70</v>
      </c>
      <c r="AJ30" s="2" t="e">
        <f t="shared" si="26"/>
        <v>#REF!</v>
      </c>
      <c r="AK30" s="18" t="e">
        <f t="shared" si="27"/>
        <v>#REF!</v>
      </c>
      <c r="AL30" s="15">
        <f t="shared" si="28"/>
        <v>60</v>
      </c>
      <c r="AM30" s="2" t="e">
        <f t="shared" si="29"/>
        <v>#REF!</v>
      </c>
      <c r="AN30" s="18" t="e">
        <f t="shared" si="30"/>
        <v>#REF!</v>
      </c>
      <c r="AO30" s="15">
        <f t="shared" si="31"/>
        <v>50</v>
      </c>
      <c r="AP30" s="2" t="e">
        <f t="shared" si="32"/>
        <v>#REF!</v>
      </c>
      <c r="AQ30" s="18" t="e">
        <f t="shared" si="33"/>
        <v>#REF!</v>
      </c>
      <c r="AR30" s="15">
        <f t="shared" si="34"/>
        <v>40</v>
      </c>
      <c r="AS30" s="2" t="e">
        <f t="shared" si="35"/>
        <v>#REF!</v>
      </c>
      <c r="AT30" s="18" t="e">
        <f t="shared" si="36"/>
        <v>#REF!</v>
      </c>
      <c r="AU30" s="15">
        <f t="shared" si="37"/>
        <v>30</v>
      </c>
      <c r="AV30" s="2" t="e">
        <f t="shared" si="38"/>
        <v>#REF!</v>
      </c>
      <c r="AW30" s="18" t="e">
        <f t="shared" si="39"/>
        <v>#REF!</v>
      </c>
      <c r="AX30" s="15">
        <f t="shared" si="40"/>
        <v>20</v>
      </c>
      <c r="AY30" s="2" t="e">
        <f t="shared" si="41"/>
        <v>#REF!</v>
      </c>
      <c r="AZ30" s="18" t="e">
        <f t="shared" si="42"/>
        <v>#REF!</v>
      </c>
      <c r="BA30" s="15">
        <f t="shared" si="43"/>
        <v>10</v>
      </c>
      <c r="BB30" s="2" t="e">
        <f t="shared" si="44"/>
        <v>#REF!</v>
      </c>
      <c r="BC30" s="18" t="e">
        <f t="shared" si="45"/>
        <v>#REF!</v>
      </c>
      <c r="BD30" s="15">
        <f t="shared" si="46"/>
        <v>0</v>
      </c>
      <c r="BE30" s="2" t="e">
        <f t="shared" si="47"/>
        <v>#REF!</v>
      </c>
      <c r="BF30" s="18" t="e">
        <f t="shared" si="48"/>
        <v>#REF!</v>
      </c>
      <c r="BG30" s="19" t="e">
        <f t="shared" si="49"/>
        <v>#REF!</v>
      </c>
      <c r="BH30" s="8" t="e">
        <f t="shared" si="50"/>
        <v>#REF!</v>
      </c>
      <c r="BI30" s="20" t="e">
        <f t="shared" si="51"/>
        <v>#REF!</v>
      </c>
      <c r="BJ30" s="17" t="e">
        <f t="shared" si="52"/>
        <v>#REF!</v>
      </c>
      <c r="BK30" s="12" t="e">
        <f t="shared" si="53"/>
        <v>#REF!</v>
      </c>
      <c r="BL30" s="20" t="e">
        <f t="shared" si="54"/>
        <v>#REF!</v>
      </c>
      <c r="BM30" s="15" t="e">
        <f t="shared" si="55"/>
        <v>#REF!</v>
      </c>
      <c r="BN30" t="e">
        <f t="shared" si="56"/>
        <v>#REF!</v>
      </c>
      <c r="BO30" s="30" t="e">
        <f t="shared" si="57"/>
        <v>#REF!</v>
      </c>
      <c r="BP30" s="15"/>
      <c r="BR30" s="9" t="e">
        <f t="shared" si="58"/>
        <v>#REF!</v>
      </c>
    </row>
    <row r="36" spans="7:73" x14ac:dyDescent="0.2">
      <c r="BO36">
        <v>1</v>
      </c>
    </row>
    <row r="37" spans="7:73" x14ac:dyDescent="0.2">
      <c r="G37" s="18"/>
    </row>
    <row r="38" spans="7:73" x14ac:dyDescent="0.2">
      <c r="BL38" t="s">
        <v>477</v>
      </c>
      <c r="BM38">
        <v>1</v>
      </c>
      <c r="BS38" t="s">
        <v>470</v>
      </c>
      <c r="BT38" t="s">
        <v>84</v>
      </c>
      <c r="BU38" t="s">
        <v>469</v>
      </c>
    </row>
    <row r="39" spans="7:73" x14ac:dyDescent="0.2">
      <c r="BL39" t="s">
        <v>476</v>
      </c>
      <c r="BM39">
        <v>300</v>
      </c>
      <c r="BO39" t="s">
        <v>478</v>
      </c>
      <c r="BP39">
        <f>BM39*BM38</f>
        <v>300</v>
      </c>
      <c r="BS39">
        <v>590</v>
      </c>
      <c r="BT39">
        <f>(BS39/2-(BM38*BM39)/2)</f>
        <v>145</v>
      </c>
      <c r="BU39">
        <f>IF(BT39&gt;0,BS39-BT39+50,BM38*BM39)</f>
        <v>495</v>
      </c>
    </row>
    <row r="41" spans="7:73" x14ac:dyDescent="0.2">
      <c r="BL41" t="s">
        <v>479</v>
      </c>
      <c r="BM41">
        <v>406</v>
      </c>
      <c r="BO41" t="s">
        <v>469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11</vt:i4>
      </vt:variant>
    </vt:vector>
  </HeadingPairs>
  <TitlesOfParts>
    <vt:vector size="22" baseType="lpstr">
      <vt:lpstr>invoer gording</vt:lpstr>
      <vt:lpstr>C - overzicht</vt:lpstr>
      <vt:lpstr>D - Gording</vt:lpstr>
      <vt:lpstr>E -Stempels UGT</vt:lpstr>
      <vt:lpstr>E - Stempels BGT</vt:lpstr>
      <vt:lpstr>F - Inleidingskracht</vt:lpstr>
      <vt:lpstr>F - Gording Inleiding</vt:lpstr>
      <vt:lpstr>Rapport</vt:lpstr>
      <vt:lpstr>tab kopplaat</vt:lpstr>
      <vt:lpstr>tab gording</vt:lpstr>
      <vt:lpstr>Stempels</vt:lpstr>
      <vt:lpstr>'C - overzicht'!Afdrukbereik</vt:lpstr>
      <vt:lpstr>'D - Gording'!Afdrukbereik</vt:lpstr>
      <vt:lpstr>'E - Stempels BGT'!Afdrukbereik</vt:lpstr>
      <vt:lpstr>'E -Stempels UGT'!Afdrukbereik</vt:lpstr>
      <vt:lpstr>'F - Gording Inleiding'!Afdrukbereik</vt:lpstr>
      <vt:lpstr>'F - Inleidingskracht'!Afdrukbereik</vt:lpstr>
      <vt:lpstr>'D - Gording'!Afdruktitels</vt:lpstr>
      <vt:lpstr>'E - Stempels BGT'!Afdruktitels</vt:lpstr>
      <vt:lpstr>'E -Stempels UGT'!Afdruktitels</vt:lpstr>
      <vt:lpstr>'F - Gording Inleiding'!Afdruktitels</vt:lpstr>
      <vt:lpstr>'F - Inleidingskracht'!Afdruktitels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ariejant</dc:creator>
  <cp:lastModifiedBy>Luuk Grossouw</cp:lastModifiedBy>
  <cp:lastPrinted>2024-08-26T09:32:25Z</cp:lastPrinted>
  <dcterms:created xsi:type="dcterms:W3CDTF">2014-06-25T07:36:04Z</dcterms:created>
  <dcterms:modified xsi:type="dcterms:W3CDTF">2025-08-26T09:39:25Z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0x010100FFA1A92DDC272445B323237EA1E26532</vt:lpwstr>
  </property>
  <property fmtid="{D5CDD505-2E9C-101B-9397-08002B2CF9AE}" pid="3" name="MediaServiceImageTags">
    <vt:lpwstr/>
  </property>
</Properties>
</file>