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\viktor-dev\viktor-apps\hektec-stempelframe\app\XMLupload\templates\"/>
    </mc:Choice>
  </mc:AlternateContent>
  <xr:revisionPtr revIDLastSave="0" documentId="13_ncr:1_{D28057DD-6EC7-4521-9569-F342C58EE97C}" xr6:coauthVersionLast="47" xr6:coauthVersionMax="47" xr10:uidLastSave="{00000000-0000-0000-0000-000000000000}"/>
  <bookViews>
    <workbookView xWindow="29265" yWindow="-15240" windowWidth="17655" windowHeight="9015" tabRatio="842" firstSheet="1" activeTab="2" xr2:uid="{00000000-000D-0000-FFFF-FFFF00000000}"/>
  </bookViews>
  <sheets>
    <sheet name="download algemeen" sheetId="15" r:id="rId1"/>
    <sheet name="download gording" sheetId="13" r:id="rId2"/>
    <sheet name="download stempels" sheetId="12" r:id="rId3"/>
    <sheet name="download overzicht" sheetId="16" r:id="rId4"/>
    <sheet name="Controle blad gording UGT" sheetId="14" r:id="rId5"/>
    <sheet name="Controle blad stempels UGT" sheetId="7" r:id="rId6"/>
    <sheet name="Controle blad stempels BGT" sheetId="9" r:id="rId7"/>
    <sheet name="Controle inleidingskracht WIP" sheetId="11" r:id="rId8"/>
    <sheet name="hulpblad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4" i="9"/>
  <c r="B5" i="7"/>
  <c r="B6" i="7"/>
  <c r="B7" i="7"/>
  <c r="B4" i="7"/>
  <c r="B5" i="14"/>
  <c r="B6" i="14"/>
  <c r="B7" i="14"/>
  <c r="B4" i="14"/>
  <c r="G11" i="9"/>
  <c r="H11" i="9"/>
  <c r="G12" i="9"/>
  <c r="H12" i="9"/>
  <c r="G13" i="9"/>
  <c r="G16" i="9" s="1"/>
  <c r="G34" i="9" s="1"/>
  <c r="H13" i="9"/>
  <c r="H16" i="9" s="1"/>
  <c r="H34" i="9" s="1"/>
  <c r="G14" i="9"/>
  <c r="H14" i="9"/>
  <c r="G15" i="9"/>
  <c r="H15" i="9"/>
  <c r="G20" i="9"/>
  <c r="H20" i="9"/>
  <c r="G21" i="9"/>
  <c r="H21" i="9"/>
  <c r="G29" i="9"/>
  <c r="H29" i="9"/>
  <c r="G45" i="9"/>
  <c r="G54" i="9" s="1"/>
  <c r="H45" i="9"/>
  <c r="H54" i="9" s="1"/>
  <c r="G50" i="9"/>
  <c r="H50" i="9"/>
  <c r="G53" i="9"/>
  <c r="H53" i="9"/>
  <c r="G57" i="9"/>
  <c r="H57" i="9"/>
  <c r="G58" i="9"/>
  <c r="H58" i="9"/>
  <c r="G66" i="9"/>
  <c r="H66" i="9"/>
  <c r="G121" i="9"/>
  <c r="H121" i="9"/>
  <c r="G124" i="9"/>
  <c r="H124" i="9"/>
  <c r="G125" i="9"/>
  <c r="H125" i="9"/>
  <c r="G11" i="7"/>
  <c r="H11" i="7"/>
  <c r="G12" i="7"/>
  <c r="H12" i="7"/>
  <c r="G13" i="7"/>
  <c r="G16" i="7" s="1"/>
  <c r="G34" i="7" s="1"/>
  <c r="H13" i="7"/>
  <c r="H16" i="7" s="1"/>
  <c r="H34" i="7" s="1"/>
  <c r="H14" i="7"/>
  <c r="G15" i="7"/>
  <c r="H15" i="7"/>
  <c r="G17" i="7"/>
  <c r="G20" i="7"/>
  <c r="H20" i="7"/>
  <c r="G21" i="7"/>
  <c r="G28" i="7" s="1"/>
  <c r="H21" i="7"/>
  <c r="G22" i="7"/>
  <c r="G57" i="7" s="1"/>
  <c r="H22" i="7"/>
  <c r="H50" i="7" s="1"/>
  <c r="G23" i="7"/>
  <c r="G24" i="7" s="1"/>
  <c r="G35" i="7"/>
  <c r="G36" i="7" s="1"/>
  <c r="G109" i="7" s="1"/>
  <c r="H35" i="7"/>
  <c r="H36" i="7" s="1"/>
  <c r="H109" i="7" s="1"/>
  <c r="G45" i="7"/>
  <c r="G60" i="7" s="1"/>
  <c r="H45" i="7"/>
  <c r="G49" i="7"/>
  <c r="H49" i="7"/>
  <c r="G53" i="7"/>
  <c r="H53" i="7"/>
  <c r="G54" i="7"/>
  <c r="G58" i="7"/>
  <c r="H58" i="7"/>
  <c r="G66" i="7"/>
  <c r="H66" i="7"/>
  <c r="G108" i="7"/>
  <c r="G117" i="7"/>
  <c r="H117" i="7"/>
  <c r="G121" i="7"/>
  <c r="H121" i="7"/>
  <c r="G125" i="7"/>
  <c r="H125" i="7"/>
  <c r="F125" i="7"/>
  <c r="E125" i="7"/>
  <c r="F125" i="9"/>
  <c r="E125" i="9"/>
  <c r="F121" i="9"/>
  <c r="E121" i="9"/>
  <c r="F121" i="7"/>
  <c r="E121" i="7"/>
  <c r="F11" i="9"/>
  <c r="F12" i="9"/>
  <c r="F13" i="9"/>
  <c r="F17" i="9" s="1"/>
  <c r="F15" i="9"/>
  <c r="F16" i="9"/>
  <c r="F34" i="9" s="1"/>
  <c r="F20" i="9"/>
  <c r="F21" i="9"/>
  <c r="F29" i="9"/>
  <c r="F57" i="9" s="1"/>
  <c r="F35" i="9"/>
  <c r="F108" i="9" s="1"/>
  <c r="F45" i="9"/>
  <c r="F54" i="9" s="1"/>
  <c r="F50" i="9"/>
  <c r="F53" i="9"/>
  <c r="F58" i="9"/>
  <c r="F66" i="9" s="1"/>
  <c r="F124" i="9"/>
  <c r="E124" i="9"/>
  <c r="E45" i="9"/>
  <c r="E29" i="9"/>
  <c r="E21" i="9"/>
  <c r="E20" i="9"/>
  <c r="E12" i="9"/>
  <c r="E11" i="9"/>
  <c r="F117" i="7"/>
  <c r="E117" i="7"/>
  <c r="F11" i="7"/>
  <c r="F12" i="7"/>
  <c r="F13" i="7" s="1"/>
  <c r="F15" i="7"/>
  <c r="F20" i="7"/>
  <c r="F28" i="7" s="1"/>
  <c r="F21" i="7"/>
  <c r="F22" i="7"/>
  <c r="F57" i="7" s="1"/>
  <c r="F45" i="7"/>
  <c r="F60" i="7" s="1"/>
  <c r="F53" i="7"/>
  <c r="F58" i="7"/>
  <c r="F66" i="7" s="1"/>
  <c r="E45" i="7"/>
  <c r="E22" i="7"/>
  <c r="E21" i="7"/>
  <c r="E20" i="7"/>
  <c r="E12" i="7"/>
  <c r="E11" i="7"/>
  <c r="G10" i="14"/>
  <c r="H10" i="14"/>
  <c r="G11" i="14"/>
  <c r="H11" i="14"/>
  <c r="G12" i="14"/>
  <c r="G15" i="14" s="1"/>
  <c r="H12" i="14"/>
  <c r="H15" i="14" s="1"/>
  <c r="G13" i="14"/>
  <c r="H13" i="14"/>
  <c r="G14" i="14"/>
  <c r="H14" i="14"/>
  <c r="G19" i="14"/>
  <c r="G24" i="14" s="1"/>
  <c r="H19" i="14"/>
  <c r="H38" i="14" s="1"/>
  <c r="G20" i="14"/>
  <c r="H20" i="14"/>
  <c r="G83" i="14"/>
  <c r="H83" i="14"/>
  <c r="G84" i="14"/>
  <c r="H84" i="14"/>
  <c r="G85" i="14"/>
  <c r="H85" i="14"/>
  <c r="G87" i="14"/>
  <c r="H87" i="14"/>
  <c r="G92" i="14"/>
  <c r="H92" i="14"/>
  <c r="G93" i="14"/>
  <c r="H93" i="14"/>
  <c r="G94" i="14"/>
  <c r="H94" i="14"/>
  <c r="F10" i="14"/>
  <c r="F11" i="14"/>
  <c r="F12" i="14" s="1"/>
  <c r="F14" i="14"/>
  <c r="F19" i="14"/>
  <c r="F21" i="14" s="1"/>
  <c r="F20" i="14"/>
  <c r="F83" i="14"/>
  <c r="F84" i="14"/>
  <c r="F85" i="14"/>
  <c r="F87" i="14"/>
  <c r="F92" i="14"/>
  <c r="F93" i="14"/>
  <c r="F94" i="14"/>
  <c r="F97" i="14"/>
  <c r="F109" i="14"/>
  <c r="F17" i="7" l="1"/>
  <c r="F14" i="7"/>
  <c r="F35" i="7"/>
  <c r="F108" i="7" s="1"/>
  <c r="F16" i="7"/>
  <c r="F34" i="7" s="1"/>
  <c r="F36" i="9"/>
  <c r="F109" i="9" s="1"/>
  <c r="F14" i="9"/>
  <c r="H57" i="7"/>
  <c r="H35" i="9"/>
  <c r="H36" i="9" s="1"/>
  <c r="H109" i="9" s="1"/>
  <c r="H17" i="9"/>
  <c r="F50" i="7"/>
  <c r="G35" i="9"/>
  <c r="G36" i="9" s="1"/>
  <c r="G109" i="9" s="1"/>
  <c r="G17" i="9"/>
  <c r="F49" i="7"/>
  <c r="F60" i="9"/>
  <c r="F22" i="9"/>
  <c r="F26" i="9" s="1"/>
  <c r="G26" i="7"/>
  <c r="G104" i="7" s="1"/>
  <c r="G105" i="7" s="1"/>
  <c r="G110" i="7" s="1"/>
  <c r="G111" i="7" s="1"/>
  <c r="G50" i="7"/>
  <c r="G27" i="7"/>
  <c r="H17" i="7"/>
  <c r="H27" i="9"/>
  <c r="G27" i="9"/>
  <c r="H60" i="9"/>
  <c r="H33" i="9"/>
  <c r="H37" i="9" s="1"/>
  <c r="H22" i="9"/>
  <c r="H26" i="9" s="1"/>
  <c r="G60" i="9"/>
  <c r="G33" i="9"/>
  <c r="G37" i="9" s="1"/>
  <c r="G22" i="9"/>
  <c r="G25" i="9" s="1"/>
  <c r="G104" i="9" s="1"/>
  <c r="G67" i="7"/>
  <c r="G74" i="7" s="1"/>
  <c r="G25" i="7"/>
  <c r="G87" i="7" s="1"/>
  <c r="G29" i="7"/>
  <c r="G75" i="7"/>
  <c r="G61" i="7"/>
  <c r="G14" i="7"/>
  <c r="H108" i="7"/>
  <c r="H60" i="7"/>
  <c r="H54" i="7"/>
  <c r="H23" i="7"/>
  <c r="H24" i="7" s="1"/>
  <c r="H28" i="7"/>
  <c r="H33" i="7"/>
  <c r="H37" i="7" s="1"/>
  <c r="G33" i="7"/>
  <c r="G37" i="7" s="1"/>
  <c r="F27" i="9"/>
  <c r="F25" i="9"/>
  <c r="F104" i="9" s="1"/>
  <c r="F23" i="9"/>
  <c r="F33" i="9"/>
  <c r="F37" i="9" s="1"/>
  <c r="F54" i="7"/>
  <c r="F23" i="7"/>
  <c r="F24" i="7" s="1"/>
  <c r="F33" i="7"/>
  <c r="F37" i="7" s="1"/>
  <c r="H97" i="14"/>
  <c r="H86" i="14"/>
  <c r="H16" i="14"/>
  <c r="F86" i="14"/>
  <c r="G109" i="14"/>
  <c r="G86" i="14"/>
  <c r="G16" i="14"/>
  <c r="G97" i="14"/>
  <c r="G35" i="14"/>
  <c r="H109" i="14"/>
  <c r="F102" i="14"/>
  <c r="G27" i="14"/>
  <c r="H102" i="14"/>
  <c r="G102" i="14"/>
  <c r="H26" i="14"/>
  <c r="G34" i="14"/>
  <c r="G22" i="14"/>
  <c r="H34" i="14"/>
  <c r="H37" i="14"/>
  <c r="H33" i="14"/>
  <c r="H29" i="14"/>
  <c r="H25" i="14"/>
  <c r="H21" i="14"/>
  <c r="G26" i="14"/>
  <c r="G37" i="14"/>
  <c r="G33" i="14"/>
  <c r="G29" i="14"/>
  <c r="G25" i="14"/>
  <c r="G21" i="14"/>
  <c r="H22" i="14"/>
  <c r="G98" i="14"/>
  <c r="H36" i="14"/>
  <c r="H24" i="14"/>
  <c r="H35" i="14"/>
  <c r="H27" i="14"/>
  <c r="G38" i="14"/>
  <c r="G36" i="14"/>
  <c r="G40" i="14" s="1"/>
  <c r="F36" i="14"/>
  <c r="F15" i="14"/>
  <c r="F16" i="14"/>
  <c r="F35" i="14"/>
  <c r="F26" i="14"/>
  <c r="F25" i="14"/>
  <c r="F24" i="14"/>
  <c r="F13" i="14"/>
  <c r="F27" i="14"/>
  <c r="F98" i="14" s="1"/>
  <c r="F34" i="14"/>
  <c r="F33" i="14"/>
  <c r="F38" i="14"/>
  <c r="F22" i="14"/>
  <c r="F37" i="14"/>
  <c r="F29" i="14"/>
  <c r="H108" i="9" l="1"/>
  <c r="G108" i="9"/>
  <c r="F36" i="7"/>
  <c r="F109" i="7" s="1"/>
  <c r="F30" i="14"/>
  <c r="H26" i="7"/>
  <c r="H104" i="7" s="1"/>
  <c r="H105" i="7" s="1"/>
  <c r="H23" i="9"/>
  <c r="H61" i="9" s="1"/>
  <c r="H67" i="9" s="1"/>
  <c r="H74" i="9" s="1"/>
  <c r="G26" i="9"/>
  <c r="H40" i="9"/>
  <c r="H39" i="9"/>
  <c r="H38" i="9"/>
  <c r="H41" i="9" s="1"/>
  <c r="H42" i="9" s="1"/>
  <c r="H80" i="9" s="1"/>
  <c r="G40" i="9"/>
  <c r="G38" i="9"/>
  <c r="G41" i="9" s="1"/>
  <c r="G42" i="9" s="1"/>
  <c r="G80" i="9" s="1"/>
  <c r="G39" i="9"/>
  <c r="G23" i="9"/>
  <c r="H75" i="9"/>
  <c r="H24" i="9"/>
  <c r="H87" i="9" s="1"/>
  <c r="H25" i="9"/>
  <c r="H104" i="9" s="1"/>
  <c r="G116" i="7"/>
  <c r="G112" i="7"/>
  <c r="G76" i="7"/>
  <c r="G141" i="7" s="1"/>
  <c r="G106" i="7"/>
  <c r="G113" i="7"/>
  <c r="H25" i="7"/>
  <c r="H87" i="7" s="1"/>
  <c r="H29" i="7"/>
  <c r="H75" i="7"/>
  <c r="H61" i="7"/>
  <c r="H67" i="7" s="1"/>
  <c r="H74" i="7" s="1"/>
  <c r="H40" i="7"/>
  <c r="H38" i="7"/>
  <c r="H39" i="7"/>
  <c r="G48" i="7"/>
  <c r="G51" i="7"/>
  <c r="G52" i="7" s="1"/>
  <c r="G56" i="7"/>
  <c r="G65" i="7" s="1"/>
  <c r="G86" i="7" s="1"/>
  <c r="G88" i="7" s="1"/>
  <c r="G118" i="7"/>
  <c r="G126" i="7" s="1"/>
  <c r="G128" i="7" s="1"/>
  <c r="H27" i="7"/>
  <c r="G40" i="7"/>
  <c r="G38" i="7"/>
  <c r="G39" i="7"/>
  <c r="F40" i="9"/>
  <c r="F39" i="9"/>
  <c r="F38" i="9"/>
  <c r="F41" i="9" s="1"/>
  <c r="F42" i="9" s="1"/>
  <c r="F80" i="9" s="1"/>
  <c r="F24" i="9"/>
  <c r="F87" i="9" s="1"/>
  <c r="F75" i="9"/>
  <c r="F28" i="9"/>
  <c r="F105" i="9"/>
  <c r="F61" i="9"/>
  <c r="F67" i="9" s="1"/>
  <c r="F74" i="9" s="1"/>
  <c r="F29" i="7"/>
  <c r="F61" i="7"/>
  <c r="F67" i="7" s="1"/>
  <c r="F74" i="7" s="1"/>
  <c r="F25" i="7"/>
  <c r="F87" i="7" s="1"/>
  <c r="F75" i="7"/>
  <c r="F26" i="7"/>
  <c r="F104" i="7" s="1"/>
  <c r="F105" i="7" s="1"/>
  <c r="F27" i="7"/>
  <c r="F40" i="7"/>
  <c r="F39" i="7"/>
  <c r="F38" i="7"/>
  <c r="F41" i="7" s="1"/>
  <c r="F42" i="7" s="1"/>
  <c r="F80" i="7" s="1"/>
  <c r="G99" i="14"/>
  <c r="G139" i="14" s="1"/>
  <c r="F39" i="14"/>
  <c r="G57" i="14"/>
  <c r="G39" i="14"/>
  <c r="H57" i="14"/>
  <c r="H32" i="14"/>
  <c r="H56" i="14"/>
  <c r="H23" i="14"/>
  <c r="G131" i="14"/>
  <c r="H30" i="14"/>
  <c r="G68" i="14"/>
  <c r="G70" i="14"/>
  <c r="G69" i="14"/>
  <c r="G32" i="14"/>
  <c r="G56" i="14"/>
  <c r="G23" i="14"/>
  <c r="G28" i="14"/>
  <c r="G130" i="14" s="1"/>
  <c r="G121" i="14"/>
  <c r="H68" i="14"/>
  <c r="H70" i="14"/>
  <c r="H69" i="14"/>
  <c r="H121" i="14"/>
  <c r="H98" i="14"/>
  <c r="H99" i="14" s="1"/>
  <c r="H28" i="14"/>
  <c r="H130" i="14" s="1"/>
  <c r="H131" i="14"/>
  <c r="G30" i="14"/>
  <c r="H39" i="14"/>
  <c r="H40" i="14"/>
  <c r="F40" i="14"/>
  <c r="F23" i="14"/>
  <c r="F120" i="14" s="1"/>
  <c r="F56" i="14"/>
  <c r="F64" i="14" s="1"/>
  <c r="F65" i="14"/>
  <c r="F57" i="14"/>
  <c r="F28" i="14"/>
  <c r="F130" i="14" s="1"/>
  <c r="F121" i="14"/>
  <c r="F131" i="14"/>
  <c r="F99" i="14"/>
  <c r="F32" i="14"/>
  <c r="H105" i="9" l="1"/>
  <c r="H28" i="9"/>
  <c r="F115" i="14"/>
  <c r="G119" i="14"/>
  <c r="F63" i="14"/>
  <c r="F60" i="14"/>
  <c r="F59" i="14"/>
  <c r="F58" i="14"/>
  <c r="F61" i="14" s="1"/>
  <c r="F62" i="14" s="1"/>
  <c r="F103" i="14" s="1"/>
  <c r="F104" i="14" s="1"/>
  <c r="H41" i="7"/>
  <c r="H42" i="7" s="1"/>
  <c r="H80" i="7" s="1"/>
  <c r="H106" i="9"/>
  <c r="H76" i="9"/>
  <c r="H141" i="9" s="1"/>
  <c r="H110" i="9"/>
  <c r="H111" i="9" s="1"/>
  <c r="G81" i="9"/>
  <c r="G82" i="9" s="1"/>
  <c r="H48" i="9"/>
  <c r="H51" i="9"/>
  <c r="H52" i="9" s="1"/>
  <c r="H56" i="9"/>
  <c r="H65" i="9" s="1"/>
  <c r="H86" i="9" s="1"/>
  <c r="H88" i="9" s="1"/>
  <c r="H81" i="9"/>
  <c r="H82" i="9" s="1"/>
  <c r="H118" i="9"/>
  <c r="G75" i="9"/>
  <c r="G61" i="9"/>
  <c r="G67" i="9" s="1"/>
  <c r="G74" i="9" s="1"/>
  <c r="G24" i="9"/>
  <c r="G87" i="9" s="1"/>
  <c r="G28" i="9"/>
  <c r="G105" i="9"/>
  <c r="H106" i="7"/>
  <c r="H76" i="7"/>
  <c r="H141" i="7" s="1"/>
  <c r="G131" i="7"/>
  <c r="G133" i="7" s="1"/>
  <c r="G95" i="7"/>
  <c r="G96" i="7" s="1"/>
  <c r="G97" i="7" s="1"/>
  <c r="G143" i="7"/>
  <c r="H118" i="7"/>
  <c r="H48" i="7"/>
  <c r="H51" i="7"/>
  <c r="H52" i="7" s="1"/>
  <c r="H56" i="7"/>
  <c r="H65" i="7" s="1"/>
  <c r="H86" i="7" s="1"/>
  <c r="H88" i="7" s="1"/>
  <c r="G148" i="7"/>
  <c r="G64" i="7"/>
  <c r="G41" i="7"/>
  <c r="G42" i="7" s="1"/>
  <c r="G80" i="7" s="1"/>
  <c r="H110" i="7"/>
  <c r="H111" i="7" s="1"/>
  <c r="H81" i="7"/>
  <c r="H82" i="7" s="1"/>
  <c r="G130" i="7"/>
  <c r="G132" i="7" s="1"/>
  <c r="G127" i="7"/>
  <c r="G129" i="7" s="1"/>
  <c r="F106" i="9"/>
  <c r="F76" i="9"/>
  <c r="F141" i="9" s="1"/>
  <c r="F110" i="9"/>
  <c r="F111" i="9" s="1"/>
  <c r="F56" i="9"/>
  <c r="F65" i="9" s="1"/>
  <c r="F86" i="9" s="1"/>
  <c r="F88" i="9" s="1"/>
  <c r="F48" i="9"/>
  <c r="F51" i="9"/>
  <c r="F52" i="9" s="1"/>
  <c r="F118" i="9"/>
  <c r="F81" i="9"/>
  <c r="F82" i="9" s="1"/>
  <c r="F110" i="7"/>
  <c r="F111" i="7" s="1"/>
  <c r="F118" i="7"/>
  <c r="F81" i="7"/>
  <c r="F82" i="7" s="1"/>
  <c r="F106" i="7"/>
  <c r="F76" i="7"/>
  <c r="F141" i="7" s="1"/>
  <c r="F56" i="7"/>
  <c r="F65" i="7" s="1"/>
  <c r="F86" i="7" s="1"/>
  <c r="F88" i="7" s="1"/>
  <c r="F48" i="7"/>
  <c r="F51" i="7"/>
  <c r="F52" i="7" s="1"/>
  <c r="G71" i="14"/>
  <c r="G72" i="14" s="1"/>
  <c r="F31" i="14"/>
  <c r="H71" i="14"/>
  <c r="H72" i="14" s="1"/>
  <c r="G115" i="14"/>
  <c r="G31" i="14"/>
  <c r="G120" i="14"/>
  <c r="H115" i="14"/>
  <c r="H31" i="14"/>
  <c r="H120" i="14"/>
  <c r="H119" i="14"/>
  <c r="H139" i="14"/>
  <c r="G60" i="14"/>
  <c r="G64" i="14"/>
  <c r="G59" i="14"/>
  <c r="G63" i="14"/>
  <c r="G65" i="14"/>
  <c r="G58" i="14"/>
  <c r="H59" i="14"/>
  <c r="H60" i="14"/>
  <c r="H64" i="14"/>
  <c r="H58" i="14"/>
  <c r="H63" i="14"/>
  <c r="H65" i="14"/>
  <c r="G45" i="14"/>
  <c r="G49" i="14"/>
  <c r="G44" i="14"/>
  <c r="G42" i="14"/>
  <c r="G50" i="14" s="1"/>
  <c r="G46" i="14"/>
  <c r="G47" i="14"/>
  <c r="G43" i="14"/>
  <c r="G51" i="14" s="1"/>
  <c r="G48" i="14"/>
  <c r="H48" i="14"/>
  <c r="H45" i="14"/>
  <c r="H49" i="14"/>
  <c r="H47" i="14"/>
  <c r="H44" i="14"/>
  <c r="H42" i="14"/>
  <c r="H50" i="14" s="1"/>
  <c r="H46" i="14"/>
  <c r="H43" i="14"/>
  <c r="H51" i="14" s="1"/>
  <c r="F46" i="14"/>
  <c r="F47" i="14"/>
  <c r="F44" i="14"/>
  <c r="F48" i="14"/>
  <c r="F49" i="14"/>
  <c r="F42" i="14"/>
  <c r="F50" i="14" s="1"/>
  <c r="F45" i="14"/>
  <c r="F43" i="14"/>
  <c r="F51" i="14" s="1"/>
  <c r="F139" i="14"/>
  <c r="F119" i="14"/>
  <c r="F66" i="14"/>
  <c r="F67" i="14" s="1"/>
  <c r="F110" i="14" s="1"/>
  <c r="F111" i="14" s="1"/>
  <c r="F112" i="14" s="1"/>
  <c r="F113" i="14" s="1"/>
  <c r="F68" i="14"/>
  <c r="F69" i="14"/>
  <c r="F70" i="14"/>
  <c r="G106" i="9" l="1"/>
  <c r="G76" i="9"/>
  <c r="G141" i="9" s="1"/>
  <c r="G118" i="9"/>
  <c r="G119" i="9"/>
  <c r="H95" i="9"/>
  <c r="H96" i="9" s="1"/>
  <c r="H97" i="9" s="1"/>
  <c r="H143" i="9"/>
  <c r="H64" i="9"/>
  <c r="G110" i="9"/>
  <c r="G111" i="9" s="1"/>
  <c r="H119" i="9"/>
  <c r="H116" i="9"/>
  <c r="H112" i="9"/>
  <c r="H113" i="9" s="1"/>
  <c r="H148" i="9" s="1"/>
  <c r="G48" i="9"/>
  <c r="G51" i="9"/>
  <c r="G52" i="9" s="1"/>
  <c r="G56" i="9"/>
  <c r="G65" i="9" s="1"/>
  <c r="G86" i="9" s="1"/>
  <c r="G88" i="9" s="1"/>
  <c r="G122" i="7"/>
  <c r="G123" i="7" s="1"/>
  <c r="G79" i="7"/>
  <c r="H116" i="7"/>
  <c r="H112" i="7"/>
  <c r="H113" i="7" s="1"/>
  <c r="G135" i="7"/>
  <c r="G81" i="7"/>
  <c r="G82" i="7" s="1"/>
  <c r="G136" i="7"/>
  <c r="H119" i="7"/>
  <c r="H64" i="7"/>
  <c r="H95" i="7"/>
  <c r="H96" i="7" s="1"/>
  <c r="H97" i="7" s="1"/>
  <c r="H143" i="7"/>
  <c r="H148" i="7"/>
  <c r="F119" i="9"/>
  <c r="F64" i="9"/>
  <c r="F116" i="9"/>
  <c r="F112" i="9"/>
  <c r="F113" i="9" s="1"/>
  <c r="F148" i="9" s="1"/>
  <c r="F95" i="9"/>
  <c r="F96" i="9" s="1"/>
  <c r="F97" i="9" s="1"/>
  <c r="F143" i="9"/>
  <c r="F143" i="7"/>
  <c r="F95" i="7"/>
  <c r="F96" i="7" s="1"/>
  <c r="F97" i="7" s="1"/>
  <c r="F119" i="7"/>
  <c r="F98" i="7"/>
  <c r="F116" i="7"/>
  <c r="F112" i="7"/>
  <c r="F113" i="7" s="1"/>
  <c r="F148" i="7"/>
  <c r="F64" i="7"/>
  <c r="G61" i="14"/>
  <c r="G62" i="14" s="1"/>
  <c r="G103" i="14" s="1"/>
  <c r="G104" i="14" s="1"/>
  <c r="H61" i="14"/>
  <c r="H62" i="14" s="1"/>
  <c r="H103" i="14" s="1"/>
  <c r="H104" i="14" s="1"/>
  <c r="G105" i="14"/>
  <c r="G66" i="14"/>
  <c r="G67" i="14" s="1"/>
  <c r="G110" i="14" s="1"/>
  <c r="G111" i="14" s="1"/>
  <c r="G112" i="14" s="1"/>
  <c r="G113" i="14" s="1"/>
  <c r="H66" i="14"/>
  <c r="H67" i="14" s="1"/>
  <c r="H110" i="14" s="1"/>
  <c r="H111" i="14" s="1"/>
  <c r="H112" i="14" s="1"/>
  <c r="H113" i="14" s="1"/>
  <c r="H105" i="14"/>
  <c r="H122" i="14"/>
  <c r="H123" i="14" s="1"/>
  <c r="F105" i="14"/>
  <c r="F71" i="14"/>
  <c r="F72" i="14" s="1"/>
  <c r="F122" i="14"/>
  <c r="F123" i="14" s="1"/>
  <c r="F127" i="14"/>
  <c r="F141" i="14"/>
  <c r="G95" i="9" l="1"/>
  <c r="G96" i="9" s="1"/>
  <c r="G143" i="9"/>
  <c r="G64" i="9"/>
  <c r="H79" i="9"/>
  <c r="H122" i="9"/>
  <c r="H123" i="9" s="1"/>
  <c r="H126" i="9"/>
  <c r="H127" i="9"/>
  <c r="H129" i="9" s="1"/>
  <c r="H130" i="9"/>
  <c r="H132" i="9" s="1"/>
  <c r="H131" i="9"/>
  <c r="H133" i="9" s="1"/>
  <c r="H98" i="9"/>
  <c r="G112" i="9"/>
  <c r="G113" i="9" s="1"/>
  <c r="G116" i="9"/>
  <c r="G148" i="9"/>
  <c r="H79" i="7"/>
  <c r="H122" i="7"/>
  <c r="H123" i="7" s="1"/>
  <c r="G100" i="7"/>
  <c r="G147" i="7" s="1"/>
  <c r="G83" i="7"/>
  <c r="G91" i="7"/>
  <c r="G144" i="7" s="1"/>
  <c r="G98" i="7"/>
  <c r="G99" i="7" s="1"/>
  <c r="G146" i="7" s="1"/>
  <c r="G119" i="7"/>
  <c r="G138" i="7" s="1"/>
  <c r="G150" i="7" s="1"/>
  <c r="H131" i="7"/>
  <c r="H133" i="7" s="1"/>
  <c r="H127" i="7"/>
  <c r="H129" i="7" s="1"/>
  <c r="H130" i="7"/>
  <c r="H132" i="7" s="1"/>
  <c r="H126" i="7"/>
  <c r="H98" i="7"/>
  <c r="F130" i="9"/>
  <c r="F132" i="9" s="1"/>
  <c r="F127" i="9"/>
  <c r="F129" i="9" s="1"/>
  <c r="F126" i="9"/>
  <c r="F131" i="9"/>
  <c r="F133" i="9" s="1"/>
  <c r="F122" i="9"/>
  <c r="F123" i="9" s="1"/>
  <c r="F79" i="9"/>
  <c r="F98" i="9"/>
  <c r="F126" i="7"/>
  <c r="F131" i="7"/>
  <c r="F133" i="7" s="1"/>
  <c r="F130" i="7"/>
  <c r="F132" i="7" s="1"/>
  <c r="F127" i="7"/>
  <c r="F129" i="7" s="1"/>
  <c r="F122" i="7"/>
  <c r="F123" i="7" s="1"/>
  <c r="F79" i="7"/>
  <c r="H141" i="14"/>
  <c r="H127" i="14"/>
  <c r="H53" i="14"/>
  <c r="H106" i="14"/>
  <c r="H140" i="14" s="1"/>
  <c r="G141" i="14"/>
  <c r="G127" i="14"/>
  <c r="G106" i="14"/>
  <c r="G140" i="14" s="1"/>
  <c r="G53" i="14"/>
  <c r="G122" i="14"/>
  <c r="G123" i="14" s="1"/>
  <c r="F128" i="14"/>
  <c r="F129" i="14"/>
  <c r="F53" i="14"/>
  <c r="F106" i="14"/>
  <c r="F140" i="14" s="1"/>
  <c r="G131" i="9" l="1"/>
  <c r="G133" i="9" s="1"/>
  <c r="G127" i="9"/>
  <c r="G129" i="9" s="1"/>
  <c r="G130" i="9"/>
  <c r="G132" i="9" s="1"/>
  <c r="G126" i="9"/>
  <c r="H128" i="9"/>
  <c r="H136" i="9" s="1"/>
  <c r="H138" i="9" s="1"/>
  <c r="H150" i="9" s="1"/>
  <c r="H135" i="9"/>
  <c r="H137" i="9" s="1"/>
  <c r="H149" i="9" s="1"/>
  <c r="H99" i="9"/>
  <c r="H146" i="9" s="1"/>
  <c r="H100" i="9"/>
  <c r="H147" i="9" s="1"/>
  <c r="H83" i="9"/>
  <c r="H91" i="9"/>
  <c r="H144" i="9" s="1"/>
  <c r="G79" i="9"/>
  <c r="G122" i="9"/>
  <c r="G123" i="9" s="1"/>
  <c r="G97" i="9"/>
  <c r="G98" i="9"/>
  <c r="G92" i="7"/>
  <c r="G145" i="7" s="1"/>
  <c r="G142" i="7"/>
  <c r="H91" i="7"/>
  <c r="H144" i="7" s="1"/>
  <c r="H99" i="7"/>
  <c r="H146" i="7" s="1"/>
  <c r="H100" i="7"/>
  <c r="H147" i="7" s="1"/>
  <c r="H83" i="7"/>
  <c r="G137" i="7"/>
  <c r="G149" i="7" s="1"/>
  <c r="H128" i="7"/>
  <c r="H136" i="7" s="1"/>
  <c r="H138" i="7" s="1"/>
  <c r="H150" i="7" s="1"/>
  <c r="H135" i="7"/>
  <c r="H137" i="7" s="1"/>
  <c r="H149" i="7" s="1"/>
  <c r="F83" i="9"/>
  <c r="F99" i="9"/>
  <c r="F146" i="9" s="1"/>
  <c r="F100" i="9"/>
  <c r="F147" i="9" s="1"/>
  <c r="F91" i="9"/>
  <c r="F144" i="9" s="1"/>
  <c r="F128" i="9"/>
  <c r="F136" i="9" s="1"/>
  <c r="F138" i="9" s="1"/>
  <c r="F150" i="9" s="1"/>
  <c r="F135" i="9"/>
  <c r="F137" i="9" s="1"/>
  <c r="F149" i="9" s="1"/>
  <c r="F83" i="7"/>
  <c r="F99" i="7"/>
  <c r="F146" i="7" s="1"/>
  <c r="F100" i="7"/>
  <c r="F147" i="7" s="1"/>
  <c r="F91" i="7"/>
  <c r="F144" i="7" s="1"/>
  <c r="F128" i="7"/>
  <c r="F136" i="7" s="1"/>
  <c r="F138" i="7" s="1"/>
  <c r="F150" i="7" s="1"/>
  <c r="F135" i="7"/>
  <c r="F137" i="7" s="1"/>
  <c r="F149" i="7" s="1"/>
  <c r="G76" i="14"/>
  <c r="G73" i="14"/>
  <c r="G77" i="14"/>
  <c r="G74" i="14"/>
  <c r="G129" i="14"/>
  <c r="G128" i="14"/>
  <c r="H76" i="14"/>
  <c r="H74" i="14"/>
  <c r="H73" i="14"/>
  <c r="H75" i="14" s="1"/>
  <c r="H77" i="14"/>
  <c r="H128" i="14"/>
  <c r="H129" i="14"/>
  <c r="F73" i="14"/>
  <c r="F74" i="14"/>
  <c r="F76" i="14"/>
  <c r="F77" i="14"/>
  <c r="F132" i="14"/>
  <c r="F133" i="14"/>
  <c r="G128" i="9" l="1"/>
  <c r="G136" i="9" s="1"/>
  <c r="G138" i="9" s="1"/>
  <c r="G150" i="9" s="1"/>
  <c r="G135" i="9"/>
  <c r="G137" i="9" s="1"/>
  <c r="G149" i="9" s="1"/>
  <c r="G99" i="9"/>
  <c r="G146" i="9" s="1"/>
  <c r="G100" i="9"/>
  <c r="G147" i="9" s="1"/>
  <c r="G83" i="9"/>
  <c r="G91" i="9"/>
  <c r="G144" i="9" s="1"/>
  <c r="H142" i="9"/>
  <c r="H92" i="9"/>
  <c r="H145" i="9" s="1"/>
  <c r="G151" i="7"/>
  <c r="G152" i="7" s="1"/>
  <c r="H92" i="7"/>
  <c r="H145" i="7" s="1"/>
  <c r="H142" i="7"/>
  <c r="H151" i="7" s="1"/>
  <c r="H152" i="7" s="1"/>
  <c r="F142" i="9"/>
  <c r="F92" i="9"/>
  <c r="F145" i="9" s="1"/>
  <c r="F92" i="7"/>
  <c r="F145" i="7" s="1"/>
  <c r="F142" i="7"/>
  <c r="F151" i="7" s="1"/>
  <c r="F152" i="7" s="1"/>
  <c r="G78" i="14"/>
  <c r="H132" i="14"/>
  <c r="H133" i="14"/>
  <c r="G132" i="14"/>
  <c r="G133" i="14"/>
  <c r="G75" i="14"/>
  <c r="H78" i="14"/>
  <c r="H79" i="14" s="1"/>
  <c r="H80" i="14" s="1"/>
  <c r="F78" i="14"/>
  <c r="F75" i="14"/>
  <c r="G79" i="14" l="1"/>
  <c r="G80" i="14" s="1"/>
  <c r="H151" i="9"/>
  <c r="H152" i="9" s="1"/>
  <c r="G142" i="9"/>
  <c r="G92" i="9"/>
  <c r="G145" i="9" s="1"/>
  <c r="F151" i="9"/>
  <c r="F152" i="9" s="1"/>
  <c r="F79" i="14"/>
  <c r="F80" i="14" s="1"/>
  <c r="H124" i="14"/>
  <c r="H142" i="14" s="1"/>
  <c r="H134" i="14"/>
  <c r="H135" i="14"/>
  <c r="G124" i="14"/>
  <c r="G134" i="14"/>
  <c r="G143" i="14" s="1"/>
  <c r="G142" i="14"/>
  <c r="G135" i="14"/>
  <c r="F124" i="14"/>
  <c r="F142" i="14" s="1"/>
  <c r="F134" i="14"/>
  <c r="F135" i="14"/>
  <c r="F143" i="14" s="1"/>
  <c r="G151" i="9" l="1"/>
  <c r="G152" i="9" s="1"/>
  <c r="H143" i="14"/>
  <c r="G144" i="14"/>
  <c r="G145" i="14" s="1"/>
  <c r="H144" i="14"/>
  <c r="H145" i="14" s="1"/>
  <c r="F144" i="14"/>
  <c r="F145" i="14" s="1"/>
  <c r="E94" i="14" l="1"/>
  <c r="E93" i="14"/>
  <c r="E92" i="14"/>
  <c r="E11" i="14"/>
  <c r="E13" i="14" s="1"/>
  <c r="E10" i="14"/>
  <c r="E20" i="14"/>
  <c r="E19" i="14"/>
  <c r="E27" i="14" l="1"/>
  <c r="E21" i="14"/>
  <c r="E87" i="14"/>
  <c r="E102" i="14" l="1"/>
  <c r="E109" i="14" l="1"/>
  <c r="E97" i="14"/>
  <c r="E26" i="14"/>
  <c r="E25" i="14"/>
  <c r="E24" i="14"/>
  <c r="E29" i="14"/>
  <c r="E22" i="14"/>
  <c r="E33" i="14"/>
  <c r="E34" i="14"/>
  <c r="E35" i="14"/>
  <c r="E36" i="14"/>
  <c r="E37" i="14"/>
  <c r="E38" i="14"/>
  <c r="E131" i="14" l="1"/>
  <c r="E121" i="14"/>
  <c r="E39" i="14"/>
  <c r="E40" i="14"/>
  <c r="E32" i="14"/>
  <c r="E23" i="14"/>
  <c r="E31" i="14" s="1"/>
  <c r="E30" i="14"/>
  <c r="E28" i="14"/>
  <c r="E45" i="14" l="1"/>
  <c r="E44" i="14"/>
  <c r="E43" i="14"/>
  <c r="E42" i="14"/>
  <c r="E49" i="14"/>
  <c r="E48" i="14"/>
  <c r="E47" i="14"/>
  <c r="E46" i="14"/>
  <c r="E50" i="14" l="1"/>
  <c r="E51" i="14"/>
  <c r="E14" i="14" l="1"/>
  <c r="E12" i="14"/>
  <c r="E15" i="14" s="1"/>
  <c r="E120" i="14" l="1"/>
  <c r="E130" i="14"/>
  <c r="E98" i="14"/>
  <c r="E115" i="14"/>
  <c r="E16" i="14"/>
  <c r="E57" i="14" l="1"/>
  <c r="E56" i="14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B8" i="11"/>
  <c r="B7" i="11"/>
  <c r="B6" i="11"/>
  <c r="B5" i="11"/>
  <c r="B4" i="11"/>
  <c r="E102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E31" i="11"/>
  <c r="E70" i="14" l="1"/>
  <c r="E69" i="14"/>
  <c r="E68" i="14"/>
  <c r="E59" i="14"/>
  <c r="E60" i="14"/>
  <c r="E65" i="14"/>
  <c r="E58" i="14"/>
  <c r="E64" i="14"/>
  <c r="E63" i="14"/>
  <c r="E85" i="14"/>
  <c r="E83" i="14"/>
  <c r="E84" i="14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E30" i="11"/>
  <c r="E29" i="11"/>
  <c r="E28" i="11"/>
  <c r="E27" i="11"/>
  <c r="E26" i="11"/>
  <c r="E23" i="11"/>
  <c r="E24" i="11"/>
  <c r="E22" i="11"/>
  <c r="E20" i="11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5" i="8"/>
  <c r="E21" i="11"/>
  <c r="E66" i="14" l="1"/>
  <c r="E67" i="14" s="1"/>
  <c r="E110" i="14" s="1"/>
  <c r="E111" i="14" s="1"/>
  <c r="E112" i="14" s="1"/>
  <c r="E71" i="14"/>
  <c r="E72" i="14" s="1"/>
  <c r="E61" i="14"/>
  <c r="E62" i="14" s="1"/>
  <c r="AF25" i="11"/>
  <c r="Z25" i="11"/>
  <c r="T25" i="11"/>
  <c r="N25" i="11"/>
  <c r="H25" i="11"/>
  <c r="E86" i="14"/>
  <c r="E80" i="11"/>
  <c r="AA80" i="11"/>
  <c r="T80" i="11"/>
  <c r="AK80" i="11"/>
  <c r="AE80" i="11"/>
  <c r="Y80" i="11"/>
  <c r="S80" i="11"/>
  <c r="M80" i="11"/>
  <c r="G80" i="11"/>
  <c r="I80" i="11"/>
  <c r="AF80" i="11"/>
  <c r="H80" i="11"/>
  <c r="AJ80" i="11"/>
  <c r="AD80" i="11"/>
  <c r="X80" i="11"/>
  <c r="R80" i="11"/>
  <c r="L80" i="11"/>
  <c r="F80" i="11"/>
  <c r="U80" i="11"/>
  <c r="N80" i="11"/>
  <c r="AI80" i="11"/>
  <c r="AC80" i="11"/>
  <c r="W80" i="11"/>
  <c r="Q80" i="11"/>
  <c r="K80" i="11"/>
  <c r="AG80" i="11"/>
  <c r="O80" i="11"/>
  <c r="Z80" i="11"/>
  <c r="AH80" i="11"/>
  <c r="AB80" i="11"/>
  <c r="V80" i="11"/>
  <c r="P80" i="11"/>
  <c r="J80" i="11"/>
  <c r="AG25" i="11"/>
  <c r="AA25" i="11"/>
  <c r="U25" i="11"/>
  <c r="O25" i="11"/>
  <c r="I25" i="11"/>
  <c r="AK25" i="11"/>
  <c r="AE25" i="11"/>
  <c r="S25" i="11"/>
  <c r="M25" i="11"/>
  <c r="AI25" i="11"/>
  <c r="Q25" i="11"/>
  <c r="AD25" i="11"/>
  <c r="F25" i="11"/>
  <c r="Y25" i="11"/>
  <c r="X25" i="11"/>
  <c r="L25" i="11"/>
  <c r="E25" i="11"/>
  <c r="AC25" i="11"/>
  <c r="W25" i="11"/>
  <c r="K25" i="11"/>
  <c r="G25" i="11"/>
  <c r="AJ25" i="11"/>
  <c r="R25" i="11"/>
  <c r="AH25" i="11"/>
  <c r="AB25" i="11"/>
  <c r="V25" i="11"/>
  <c r="P25" i="11"/>
  <c r="J25" i="11"/>
  <c r="AC238" i="8"/>
  <c r="AA238" i="8"/>
  <c r="Y238" i="8"/>
  <c r="V238" i="8"/>
  <c r="U238" i="8"/>
  <c r="T238" i="8"/>
  <c r="S238" i="8"/>
  <c r="R238" i="8"/>
  <c r="Q238" i="8"/>
  <c r="AC237" i="8"/>
  <c r="AA237" i="8"/>
  <c r="Y237" i="8"/>
  <c r="V237" i="8"/>
  <c r="U237" i="8"/>
  <c r="T237" i="8"/>
  <c r="S237" i="8"/>
  <c r="R237" i="8"/>
  <c r="Q237" i="8"/>
  <c r="P237" i="8"/>
  <c r="AC236" i="8"/>
  <c r="AA236" i="8"/>
  <c r="Y236" i="8"/>
  <c r="V236" i="8"/>
  <c r="U236" i="8"/>
  <c r="T235" i="8"/>
  <c r="S235" i="8"/>
  <c r="R235" i="8"/>
  <c r="Q235" i="8"/>
  <c r="T234" i="8"/>
  <c r="S234" i="8"/>
  <c r="R234" i="8"/>
  <c r="Q234" i="8"/>
  <c r="AC232" i="8"/>
  <c r="AA232" i="8"/>
  <c r="Y232" i="8"/>
  <c r="V232" i="8"/>
  <c r="U232" i="8"/>
  <c r="T232" i="8"/>
  <c r="S232" i="8"/>
  <c r="R232" i="8"/>
  <c r="Q232" i="8"/>
  <c r="AC231" i="8"/>
  <c r="AA231" i="8"/>
  <c r="Y231" i="8"/>
  <c r="V231" i="8"/>
  <c r="U231" i="8"/>
  <c r="T231" i="8"/>
  <c r="S231" i="8"/>
  <c r="R231" i="8"/>
  <c r="Q231" i="8"/>
  <c r="P231" i="8"/>
  <c r="AC230" i="8"/>
  <c r="AA230" i="8"/>
  <c r="Y230" i="8"/>
  <c r="V230" i="8"/>
  <c r="U230" i="8"/>
  <c r="T229" i="8"/>
  <c r="S229" i="8"/>
  <c r="R229" i="8"/>
  <c r="Q229" i="8"/>
  <c r="T228" i="8"/>
  <c r="S228" i="8"/>
  <c r="R228" i="8"/>
  <c r="Q228" i="8"/>
  <c r="AC226" i="8"/>
  <c r="AA226" i="8"/>
  <c r="Y226" i="8"/>
  <c r="V226" i="8"/>
  <c r="U226" i="8"/>
  <c r="T226" i="8"/>
  <c r="S226" i="8"/>
  <c r="R226" i="8"/>
  <c r="Q226" i="8"/>
  <c r="AC225" i="8"/>
  <c r="AA225" i="8"/>
  <c r="Y225" i="8"/>
  <c r="V225" i="8"/>
  <c r="U225" i="8"/>
  <c r="T225" i="8"/>
  <c r="S225" i="8"/>
  <c r="R225" i="8"/>
  <c r="Q225" i="8"/>
  <c r="P225" i="8"/>
  <c r="AC224" i="8"/>
  <c r="AA224" i="8"/>
  <c r="Y224" i="8"/>
  <c r="V224" i="8"/>
  <c r="U224" i="8"/>
  <c r="T223" i="8"/>
  <c r="S223" i="8"/>
  <c r="R223" i="8"/>
  <c r="Q223" i="8"/>
  <c r="T222" i="8"/>
  <c r="S222" i="8"/>
  <c r="R222" i="8"/>
  <c r="Q222" i="8"/>
  <c r="AC220" i="8"/>
  <c r="AA220" i="8"/>
  <c r="Y220" i="8"/>
  <c r="V220" i="8"/>
  <c r="U220" i="8"/>
  <c r="T220" i="8"/>
  <c r="S220" i="8"/>
  <c r="R220" i="8"/>
  <c r="Q220" i="8"/>
  <c r="AC219" i="8"/>
  <c r="AA219" i="8"/>
  <c r="Y219" i="8"/>
  <c r="V219" i="8"/>
  <c r="U219" i="8"/>
  <c r="T219" i="8"/>
  <c r="S219" i="8"/>
  <c r="R219" i="8"/>
  <c r="Q219" i="8"/>
  <c r="P219" i="8"/>
  <c r="AC218" i="8"/>
  <c r="AA218" i="8"/>
  <c r="Y218" i="8"/>
  <c r="V218" i="8"/>
  <c r="U218" i="8"/>
  <c r="T217" i="8"/>
  <c r="S217" i="8"/>
  <c r="R217" i="8"/>
  <c r="Q217" i="8"/>
  <c r="T216" i="8"/>
  <c r="S216" i="8"/>
  <c r="R216" i="8"/>
  <c r="Q216" i="8"/>
  <c r="AC214" i="8"/>
  <c r="AA214" i="8"/>
  <c r="Y214" i="8"/>
  <c r="V214" i="8"/>
  <c r="U214" i="8"/>
  <c r="T214" i="8"/>
  <c r="S214" i="8"/>
  <c r="R214" i="8"/>
  <c r="Q214" i="8"/>
  <c r="AC213" i="8"/>
  <c r="AA213" i="8"/>
  <c r="Y213" i="8"/>
  <c r="V213" i="8"/>
  <c r="U213" i="8"/>
  <c r="T213" i="8"/>
  <c r="S213" i="8"/>
  <c r="R213" i="8"/>
  <c r="Q213" i="8"/>
  <c r="P213" i="8"/>
  <c r="AC212" i="8"/>
  <c r="AA212" i="8"/>
  <c r="Y212" i="8"/>
  <c r="V212" i="8"/>
  <c r="U212" i="8"/>
  <c r="T211" i="8"/>
  <c r="S211" i="8"/>
  <c r="R211" i="8"/>
  <c r="Q211" i="8"/>
  <c r="T210" i="8"/>
  <c r="S210" i="8"/>
  <c r="R210" i="8"/>
  <c r="Q210" i="8"/>
  <c r="AC208" i="8"/>
  <c r="AA208" i="8"/>
  <c r="Y208" i="8"/>
  <c r="V208" i="8"/>
  <c r="U208" i="8"/>
  <c r="T208" i="8"/>
  <c r="S208" i="8"/>
  <c r="R208" i="8"/>
  <c r="Q208" i="8"/>
  <c r="AC207" i="8"/>
  <c r="AA207" i="8"/>
  <c r="Y207" i="8"/>
  <c r="V207" i="8"/>
  <c r="U207" i="8"/>
  <c r="T207" i="8"/>
  <c r="S207" i="8"/>
  <c r="R207" i="8"/>
  <c r="Q207" i="8"/>
  <c r="P207" i="8"/>
  <c r="AC206" i="8"/>
  <c r="AA206" i="8"/>
  <c r="Y206" i="8"/>
  <c r="V206" i="8"/>
  <c r="U206" i="8"/>
  <c r="T205" i="8"/>
  <c r="S205" i="8"/>
  <c r="R205" i="8"/>
  <c r="Q205" i="8"/>
  <c r="T204" i="8"/>
  <c r="S204" i="8"/>
  <c r="R204" i="8"/>
  <c r="Q204" i="8"/>
  <c r="AC202" i="8"/>
  <c r="AA202" i="8"/>
  <c r="Y202" i="8"/>
  <c r="V202" i="8"/>
  <c r="U202" i="8"/>
  <c r="T202" i="8"/>
  <c r="S202" i="8"/>
  <c r="R202" i="8"/>
  <c r="Q202" i="8"/>
  <c r="AC201" i="8"/>
  <c r="AA201" i="8"/>
  <c r="Y201" i="8"/>
  <c r="V201" i="8"/>
  <c r="U201" i="8"/>
  <c r="T201" i="8"/>
  <c r="S201" i="8"/>
  <c r="R201" i="8"/>
  <c r="Q201" i="8"/>
  <c r="P201" i="8"/>
  <c r="AC200" i="8"/>
  <c r="AA200" i="8"/>
  <c r="Y200" i="8"/>
  <c r="V200" i="8"/>
  <c r="U200" i="8"/>
  <c r="T199" i="8"/>
  <c r="S199" i="8"/>
  <c r="R199" i="8"/>
  <c r="Q199" i="8"/>
  <c r="T198" i="8"/>
  <c r="S198" i="8"/>
  <c r="R198" i="8"/>
  <c r="Q198" i="8"/>
  <c r="AC196" i="8"/>
  <c r="AA196" i="8"/>
  <c r="Y196" i="8"/>
  <c r="V196" i="8"/>
  <c r="U196" i="8"/>
  <c r="T196" i="8"/>
  <c r="S196" i="8"/>
  <c r="R196" i="8"/>
  <c r="Q196" i="8"/>
  <c r="AC195" i="8"/>
  <c r="AA195" i="8"/>
  <c r="Y195" i="8"/>
  <c r="V195" i="8"/>
  <c r="U195" i="8"/>
  <c r="T195" i="8"/>
  <c r="S195" i="8"/>
  <c r="R195" i="8"/>
  <c r="Q195" i="8"/>
  <c r="P195" i="8"/>
  <c r="AC194" i="8"/>
  <c r="AA194" i="8"/>
  <c r="Y194" i="8"/>
  <c r="V194" i="8"/>
  <c r="U194" i="8"/>
  <c r="T193" i="8"/>
  <c r="S193" i="8"/>
  <c r="R193" i="8"/>
  <c r="Q193" i="8"/>
  <c r="T192" i="8"/>
  <c r="S192" i="8"/>
  <c r="R192" i="8"/>
  <c r="Q192" i="8"/>
  <c r="AC190" i="8"/>
  <c r="AA190" i="8"/>
  <c r="Y190" i="8"/>
  <c r="V190" i="8"/>
  <c r="U190" i="8"/>
  <c r="T190" i="8"/>
  <c r="S190" i="8"/>
  <c r="R190" i="8"/>
  <c r="Q190" i="8"/>
  <c r="AC189" i="8"/>
  <c r="AA189" i="8"/>
  <c r="Y189" i="8"/>
  <c r="V189" i="8"/>
  <c r="U189" i="8"/>
  <c r="T189" i="8"/>
  <c r="S189" i="8"/>
  <c r="R189" i="8"/>
  <c r="Q189" i="8"/>
  <c r="P189" i="8"/>
  <c r="AC188" i="8"/>
  <c r="AA188" i="8"/>
  <c r="Y188" i="8"/>
  <c r="V188" i="8"/>
  <c r="U188" i="8"/>
  <c r="T187" i="8"/>
  <c r="S187" i="8"/>
  <c r="R187" i="8"/>
  <c r="Q187" i="8"/>
  <c r="T186" i="8"/>
  <c r="S186" i="8"/>
  <c r="R186" i="8"/>
  <c r="Q186" i="8"/>
  <c r="AC184" i="8"/>
  <c r="AA184" i="8"/>
  <c r="Y184" i="8"/>
  <c r="V184" i="8"/>
  <c r="U184" i="8"/>
  <c r="T184" i="8"/>
  <c r="S184" i="8"/>
  <c r="R184" i="8"/>
  <c r="Q184" i="8"/>
  <c r="AC183" i="8"/>
  <c r="AA183" i="8"/>
  <c r="Y183" i="8"/>
  <c r="V183" i="8"/>
  <c r="U183" i="8"/>
  <c r="T183" i="8"/>
  <c r="S183" i="8"/>
  <c r="R183" i="8"/>
  <c r="Q183" i="8"/>
  <c r="P183" i="8"/>
  <c r="AC182" i="8"/>
  <c r="AA182" i="8"/>
  <c r="Y182" i="8"/>
  <c r="V182" i="8"/>
  <c r="U182" i="8"/>
  <c r="T181" i="8"/>
  <c r="S181" i="8"/>
  <c r="R181" i="8"/>
  <c r="Q181" i="8"/>
  <c r="T180" i="8"/>
  <c r="S180" i="8"/>
  <c r="R180" i="8"/>
  <c r="Q180" i="8"/>
  <c r="AC178" i="8"/>
  <c r="AA178" i="8"/>
  <c r="Y178" i="8"/>
  <c r="V178" i="8"/>
  <c r="U178" i="8"/>
  <c r="R178" i="8"/>
  <c r="Q178" i="8"/>
  <c r="AC177" i="8"/>
  <c r="AA177" i="8"/>
  <c r="Y177" i="8"/>
  <c r="V177" i="8"/>
  <c r="U177" i="8"/>
  <c r="S177" i="8"/>
  <c r="R177" i="8"/>
  <c r="P177" i="8"/>
  <c r="AC176" i="8"/>
  <c r="AA176" i="8"/>
  <c r="Y176" i="8"/>
  <c r="V176" i="8"/>
  <c r="U176" i="8"/>
  <c r="T176" i="8"/>
  <c r="T177" i="8" s="1"/>
  <c r="S176" i="8"/>
  <c r="S178" i="8" s="1"/>
  <c r="R176" i="8"/>
  <c r="Q176" i="8"/>
  <c r="Q177" i="8" s="1"/>
  <c r="T175" i="8"/>
  <c r="S175" i="8"/>
  <c r="R175" i="8"/>
  <c r="Q175" i="8"/>
  <c r="T174" i="8"/>
  <c r="S174" i="8"/>
  <c r="R174" i="8"/>
  <c r="Q174" i="8"/>
  <c r="AC172" i="8"/>
  <c r="AA172" i="8"/>
  <c r="Y172" i="8"/>
  <c r="V172" i="8"/>
  <c r="U172" i="8"/>
  <c r="S172" i="8"/>
  <c r="R172" i="8"/>
  <c r="Q172" i="8"/>
  <c r="AC171" i="8"/>
  <c r="AA171" i="8"/>
  <c r="Y171" i="8"/>
  <c r="V171" i="8"/>
  <c r="U171" i="8"/>
  <c r="S171" i="8"/>
  <c r="R171" i="8"/>
  <c r="P171" i="8"/>
  <c r="AC170" i="8"/>
  <c r="AA170" i="8"/>
  <c r="Y170" i="8"/>
  <c r="V170" i="8"/>
  <c r="U170" i="8"/>
  <c r="T170" i="8"/>
  <c r="T171" i="8" s="1"/>
  <c r="S170" i="8"/>
  <c r="R170" i="8"/>
  <c r="Q170" i="8"/>
  <c r="Q171" i="8" s="1"/>
  <c r="T169" i="8"/>
  <c r="S169" i="8"/>
  <c r="R169" i="8"/>
  <c r="Q169" i="8"/>
  <c r="T168" i="8"/>
  <c r="S168" i="8"/>
  <c r="R168" i="8"/>
  <c r="Q168" i="8"/>
  <c r="AC166" i="8"/>
  <c r="AA166" i="8"/>
  <c r="Y166" i="8"/>
  <c r="V166" i="8"/>
  <c r="U166" i="8"/>
  <c r="S166" i="8"/>
  <c r="R166" i="8"/>
  <c r="Q166" i="8"/>
  <c r="AC165" i="8"/>
  <c r="AA165" i="8"/>
  <c r="Y165" i="8"/>
  <c r="V165" i="8"/>
  <c r="U165" i="8"/>
  <c r="S165" i="8"/>
  <c r="R165" i="8"/>
  <c r="P165" i="8"/>
  <c r="AC164" i="8"/>
  <c r="AA164" i="8"/>
  <c r="Y164" i="8"/>
  <c r="V164" i="8"/>
  <c r="U164" i="8"/>
  <c r="T164" i="8"/>
  <c r="T165" i="8" s="1"/>
  <c r="S164" i="8"/>
  <c r="R164" i="8"/>
  <c r="Q164" i="8"/>
  <c r="Q165" i="8" s="1"/>
  <c r="T163" i="8"/>
  <c r="S163" i="8"/>
  <c r="R163" i="8"/>
  <c r="Q163" i="8"/>
  <c r="T162" i="8"/>
  <c r="S162" i="8"/>
  <c r="R162" i="8"/>
  <c r="Q162" i="8"/>
  <c r="AC160" i="8"/>
  <c r="AA160" i="8"/>
  <c r="Y160" i="8"/>
  <c r="V160" i="8"/>
  <c r="U160" i="8"/>
  <c r="S160" i="8"/>
  <c r="R160" i="8"/>
  <c r="Q160" i="8"/>
  <c r="AC159" i="8"/>
  <c r="AA159" i="8"/>
  <c r="Y159" i="8"/>
  <c r="V159" i="8"/>
  <c r="U159" i="8"/>
  <c r="R159" i="8"/>
  <c r="P159" i="8"/>
  <c r="AC158" i="8"/>
  <c r="AA158" i="8"/>
  <c r="Y158" i="8"/>
  <c r="V158" i="8"/>
  <c r="U158" i="8"/>
  <c r="T158" i="8"/>
  <c r="T159" i="8" s="1"/>
  <c r="S158" i="8"/>
  <c r="S159" i="8" s="1"/>
  <c r="R158" i="8"/>
  <c r="Q158" i="8"/>
  <c r="Q159" i="8" s="1"/>
  <c r="T157" i="8"/>
  <c r="S157" i="8"/>
  <c r="R157" i="8"/>
  <c r="Q157" i="8"/>
  <c r="T156" i="8"/>
  <c r="S156" i="8"/>
  <c r="R156" i="8"/>
  <c r="Q156" i="8"/>
  <c r="AC154" i="8"/>
  <c r="AA154" i="8"/>
  <c r="Y154" i="8"/>
  <c r="V154" i="8"/>
  <c r="U154" i="8"/>
  <c r="T154" i="8"/>
  <c r="S154" i="8"/>
  <c r="R154" i="8"/>
  <c r="Q154" i="8"/>
  <c r="AC153" i="8"/>
  <c r="AA153" i="8"/>
  <c r="Y153" i="8"/>
  <c r="V153" i="8"/>
  <c r="U153" i="8"/>
  <c r="T153" i="8"/>
  <c r="S153" i="8"/>
  <c r="R153" i="8"/>
  <c r="Q153" i="8"/>
  <c r="P153" i="8"/>
  <c r="AC152" i="8"/>
  <c r="AA152" i="8"/>
  <c r="Y152" i="8"/>
  <c r="V152" i="8"/>
  <c r="U152" i="8"/>
  <c r="T151" i="8"/>
  <c r="S151" i="8"/>
  <c r="R151" i="8"/>
  <c r="Q151" i="8"/>
  <c r="T150" i="8"/>
  <c r="S150" i="8"/>
  <c r="R150" i="8"/>
  <c r="Q150" i="8"/>
  <c r="T148" i="8"/>
  <c r="S148" i="8"/>
  <c r="R148" i="8"/>
  <c r="Q148" i="8"/>
  <c r="T147" i="8"/>
  <c r="S147" i="8"/>
  <c r="R147" i="8"/>
  <c r="Q147" i="8"/>
  <c r="P147" i="8"/>
  <c r="T145" i="8"/>
  <c r="S145" i="8"/>
  <c r="R145" i="8"/>
  <c r="Q145" i="8"/>
  <c r="T144" i="8"/>
  <c r="S144" i="8"/>
  <c r="R144" i="8"/>
  <c r="Q144" i="8"/>
  <c r="P144" i="8"/>
  <c r="T142" i="8"/>
  <c r="S142" i="8"/>
  <c r="R142" i="8"/>
  <c r="Q142" i="8"/>
  <c r="T141" i="8"/>
  <c r="S141" i="8"/>
  <c r="R141" i="8"/>
  <c r="Q141" i="8"/>
  <c r="P141" i="8"/>
  <c r="T139" i="8"/>
  <c r="S139" i="8"/>
  <c r="R139" i="8"/>
  <c r="Q139" i="8"/>
  <c r="T138" i="8"/>
  <c r="S138" i="8"/>
  <c r="R138" i="8"/>
  <c r="Q138" i="8"/>
  <c r="P138" i="8"/>
  <c r="T136" i="8"/>
  <c r="S136" i="8"/>
  <c r="R136" i="8"/>
  <c r="Q136" i="8"/>
  <c r="T135" i="8"/>
  <c r="S135" i="8"/>
  <c r="R135" i="8"/>
  <c r="Q135" i="8"/>
  <c r="P135" i="8"/>
  <c r="T133" i="8"/>
  <c r="S133" i="8"/>
  <c r="R133" i="8"/>
  <c r="Q133" i="8"/>
  <c r="T132" i="8"/>
  <c r="S132" i="8"/>
  <c r="R132" i="8"/>
  <c r="Q132" i="8"/>
  <c r="P132" i="8"/>
  <c r="T130" i="8"/>
  <c r="S130" i="8"/>
  <c r="R130" i="8"/>
  <c r="Q130" i="8"/>
  <c r="T129" i="8"/>
  <c r="S129" i="8"/>
  <c r="R129" i="8"/>
  <c r="Q129" i="8"/>
  <c r="P129" i="8"/>
  <c r="T127" i="8"/>
  <c r="S127" i="8"/>
  <c r="R127" i="8"/>
  <c r="Q127" i="8"/>
  <c r="T126" i="8"/>
  <c r="S126" i="8"/>
  <c r="R126" i="8"/>
  <c r="Q126" i="8"/>
  <c r="P126" i="8"/>
  <c r="T124" i="8"/>
  <c r="S124" i="8"/>
  <c r="R124" i="8"/>
  <c r="Q124" i="8"/>
  <c r="T123" i="8"/>
  <c r="S123" i="8"/>
  <c r="R123" i="8"/>
  <c r="Q123" i="8"/>
  <c r="P123" i="8"/>
  <c r="T121" i="8"/>
  <c r="S121" i="8"/>
  <c r="R121" i="8"/>
  <c r="Q121" i="8"/>
  <c r="T120" i="8"/>
  <c r="S120" i="8"/>
  <c r="R120" i="8"/>
  <c r="Q120" i="8"/>
  <c r="P120" i="8"/>
  <c r="T118" i="8"/>
  <c r="S118" i="8"/>
  <c r="R118" i="8"/>
  <c r="Q118" i="8"/>
  <c r="T117" i="8"/>
  <c r="S117" i="8"/>
  <c r="R117" i="8"/>
  <c r="Q117" i="8"/>
  <c r="P117" i="8"/>
  <c r="T115" i="8"/>
  <c r="S115" i="8"/>
  <c r="R115" i="8"/>
  <c r="Q115" i="8"/>
  <c r="T114" i="8"/>
  <c r="S114" i="8"/>
  <c r="R114" i="8"/>
  <c r="Q114" i="8"/>
  <c r="P114" i="8"/>
  <c r="T112" i="8"/>
  <c r="S112" i="8"/>
  <c r="R112" i="8"/>
  <c r="Q112" i="8"/>
  <c r="T111" i="8"/>
  <c r="S111" i="8"/>
  <c r="R111" i="8"/>
  <c r="Q111" i="8"/>
  <c r="P111" i="8"/>
  <c r="T109" i="8"/>
  <c r="S109" i="8"/>
  <c r="R109" i="8"/>
  <c r="Q109" i="8"/>
  <c r="T108" i="8"/>
  <c r="S108" i="8"/>
  <c r="R108" i="8"/>
  <c r="Q108" i="8"/>
  <c r="P108" i="8"/>
  <c r="T106" i="8"/>
  <c r="S106" i="8"/>
  <c r="R106" i="8"/>
  <c r="Q106" i="8"/>
  <c r="T105" i="8"/>
  <c r="S105" i="8"/>
  <c r="R105" i="8"/>
  <c r="Q105" i="8"/>
  <c r="P105" i="8"/>
  <c r="T103" i="8"/>
  <c r="S103" i="8"/>
  <c r="R103" i="8"/>
  <c r="Q103" i="8"/>
  <c r="T102" i="8"/>
  <c r="S102" i="8"/>
  <c r="R102" i="8"/>
  <c r="Q102" i="8"/>
  <c r="P102" i="8"/>
  <c r="T100" i="8"/>
  <c r="S100" i="8"/>
  <c r="R100" i="8"/>
  <c r="Q100" i="8"/>
  <c r="T99" i="8"/>
  <c r="S99" i="8"/>
  <c r="R99" i="8"/>
  <c r="Q99" i="8"/>
  <c r="P99" i="8"/>
  <c r="T97" i="8"/>
  <c r="S97" i="8"/>
  <c r="R97" i="8"/>
  <c r="Q97" i="8"/>
  <c r="T96" i="8"/>
  <c r="S96" i="8"/>
  <c r="R96" i="8"/>
  <c r="Q96" i="8"/>
  <c r="P96" i="8"/>
  <c r="T94" i="8"/>
  <c r="S94" i="8"/>
  <c r="R94" i="8"/>
  <c r="Q94" i="8"/>
  <c r="T93" i="8"/>
  <c r="S93" i="8"/>
  <c r="R93" i="8"/>
  <c r="Q93" i="8"/>
  <c r="P93" i="8"/>
  <c r="T91" i="8"/>
  <c r="S91" i="8"/>
  <c r="R91" i="8"/>
  <c r="Q91" i="8"/>
  <c r="T90" i="8"/>
  <c r="S90" i="8"/>
  <c r="R90" i="8"/>
  <c r="Q90" i="8"/>
  <c r="P90" i="8"/>
  <c r="T88" i="8"/>
  <c r="S88" i="8"/>
  <c r="R88" i="8"/>
  <c r="Q88" i="8"/>
  <c r="T87" i="8"/>
  <c r="S87" i="8"/>
  <c r="R87" i="8"/>
  <c r="Q87" i="8"/>
  <c r="T85" i="8"/>
  <c r="S85" i="8"/>
  <c r="R85" i="8"/>
  <c r="Q85" i="8"/>
  <c r="T84" i="8"/>
  <c r="S84" i="8"/>
  <c r="R84" i="8"/>
  <c r="Q84" i="8"/>
  <c r="T82" i="8"/>
  <c r="S82" i="8"/>
  <c r="R82" i="8"/>
  <c r="Q82" i="8"/>
  <c r="T81" i="8"/>
  <c r="S81" i="8"/>
  <c r="R81" i="8"/>
  <c r="Q81" i="8"/>
  <c r="T79" i="8"/>
  <c r="S79" i="8"/>
  <c r="R79" i="8"/>
  <c r="Q79" i="8"/>
  <c r="T78" i="8"/>
  <c r="S78" i="8"/>
  <c r="R78" i="8"/>
  <c r="Q78" i="8"/>
  <c r="T74" i="8"/>
  <c r="T76" i="8" s="1"/>
  <c r="S74" i="8"/>
  <c r="S76" i="8" s="1"/>
  <c r="R74" i="8"/>
  <c r="R76" i="8" s="1"/>
  <c r="Q74" i="8"/>
  <c r="Q76" i="8" s="1"/>
  <c r="T71" i="8"/>
  <c r="T73" i="8" s="1"/>
  <c r="S71" i="8"/>
  <c r="S73" i="8" s="1"/>
  <c r="R71" i="8"/>
  <c r="R73" i="8" s="1"/>
  <c r="Q71" i="8"/>
  <c r="Q73" i="8" s="1"/>
  <c r="T68" i="8"/>
  <c r="T70" i="8" s="1"/>
  <c r="S68" i="8"/>
  <c r="S70" i="8" s="1"/>
  <c r="R68" i="8"/>
  <c r="R70" i="8" s="1"/>
  <c r="Q68" i="8"/>
  <c r="Q70" i="8" s="1"/>
  <c r="T65" i="8"/>
  <c r="T67" i="8" s="1"/>
  <c r="S65" i="8"/>
  <c r="S67" i="8" s="1"/>
  <c r="R65" i="8"/>
  <c r="R67" i="8" s="1"/>
  <c r="Q65" i="8"/>
  <c r="Q67" i="8" s="1"/>
  <c r="T62" i="8"/>
  <c r="T64" i="8" s="1"/>
  <c r="S62" i="8"/>
  <c r="S64" i="8" s="1"/>
  <c r="R62" i="8"/>
  <c r="R64" i="8" s="1"/>
  <c r="Q62" i="8"/>
  <c r="Q64" i="8" s="1"/>
  <c r="T59" i="8"/>
  <c r="T61" i="8" s="1"/>
  <c r="S59" i="8"/>
  <c r="S61" i="8" s="1"/>
  <c r="R59" i="8"/>
  <c r="R61" i="8" s="1"/>
  <c r="Q59" i="8"/>
  <c r="Q61" i="8" s="1"/>
  <c r="T56" i="8"/>
  <c r="T58" i="8" s="1"/>
  <c r="S56" i="8"/>
  <c r="S58" i="8" s="1"/>
  <c r="R56" i="8"/>
  <c r="R58" i="8" s="1"/>
  <c r="Q56" i="8"/>
  <c r="Q58" i="8" s="1"/>
  <c r="T53" i="8"/>
  <c r="T55" i="8" s="1"/>
  <c r="S53" i="8"/>
  <c r="S55" i="8" s="1"/>
  <c r="R53" i="8"/>
  <c r="R55" i="8" s="1"/>
  <c r="Q53" i="8"/>
  <c r="Q55" i="8" s="1"/>
  <c r="T50" i="8"/>
  <c r="T52" i="8" s="1"/>
  <c r="S50" i="8"/>
  <c r="S52" i="8" s="1"/>
  <c r="R50" i="8"/>
  <c r="R52" i="8" s="1"/>
  <c r="Q50" i="8"/>
  <c r="Q52" i="8" s="1"/>
  <c r="T49" i="8"/>
  <c r="T47" i="8"/>
  <c r="S47" i="8"/>
  <c r="S49" i="8" s="1"/>
  <c r="R47" i="8"/>
  <c r="R49" i="8" s="1"/>
  <c r="Q47" i="8"/>
  <c r="Q49" i="8" s="1"/>
  <c r="T44" i="8"/>
  <c r="T46" i="8" s="1"/>
  <c r="S44" i="8"/>
  <c r="S46" i="8" s="1"/>
  <c r="R44" i="8"/>
  <c r="R46" i="8" s="1"/>
  <c r="Q44" i="8"/>
  <c r="Q46" i="8" s="1"/>
  <c r="T41" i="8"/>
  <c r="T43" i="8" s="1"/>
  <c r="S41" i="8"/>
  <c r="S43" i="8" s="1"/>
  <c r="R41" i="8"/>
  <c r="R43" i="8" s="1"/>
  <c r="Q41" i="8"/>
  <c r="Q43" i="8" s="1"/>
  <c r="T38" i="8"/>
  <c r="T40" i="8" s="1"/>
  <c r="S38" i="8"/>
  <c r="S40" i="8" s="1"/>
  <c r="R38" i="8"/>
  <c r="R40" i="8" s="1"/>
  <c r="Q38" i="8"/>
  <c r="Q40" i="8" s="1"/>
  <c r="T35" i="8"/>
  <c r="T37" i="8" s="1"/>
  <c r="S35" i="8"/>
  <c r="S37" i="8" s="1"/>
  <c r="R35" i="8"/>
  <c r="R37" i="8" s="1"/>
  <c r="Q35" i="8"/>
  <c r="Q37" i="8" s="1"/>
  <c r="T32" i="8"/>
  <c r="T34" i="8" s="1"/>
  <c r="S32" i="8"/>
  <c r="S34" i="8" s="1"/>
  <c r="R32" i="8"/>
  <c r="R34" i="8" s="1"/>
  <c r="Q32" i="8"/>
  <c r="Q34" i="8" s="1"/>
  <c r="T29" i="8"/>
  <c r="T31" i="8" s="1"/>
  <c r="S29" i="8"/>
  <c r="S31" i="8" s="1"/>
  <c r="R29" i="8"/>
  <c r="R31" i="8" s="1"/>
  <c r="Q29" i="8"/>
  <c r="Q31" i="8" s="1"/>
  <c r="T28" i="8"/>
  <c r="S28" i="8"/>
  <c r="R28" i="8"/>
  <c r="Q28" i="8"/>
  <c r="T27" i="8"/>
  <c r="S27" i="8"/>
  <c r="R27" i="8"/>
  <c r="Q27" i="8"/>
  <c r="T25" i="8"/>
  <c r="S25" i="8"/>
  <c r="R25" i="8"/>
  <c r="Q25" i="8"/>
  <c r="T24" i="8"/>
  <c r="S24" i="8"/>
  <c r="R24" i="8"/>
  <c r="Q24" i="8"/>
  <c r="T22" i="8"/>
  <c r="S22" i="8"/>
  <c r="R22" i="8"/>
  <c r="Q22" i="8"/>
  <c r="T21" i="8"/>
  <c r="S21" i="8"/>
  <c r="R21" i="8"/>
  <c r="Q21" i="8"/>
  <c r="T19" i="8"/>
  <c r="S19" i="8"/>
  <c r="R19" i="8"/>
  <c r="Q19" i="8"/>
  <c r="T18" i="8"/>
  <c r="S18" i="8"/>
  <c r="R18" i="8"/>
  <c r="Q18" i="8"/>
  <c r="T16" i="8"/>
  <c r="S16" i="8"/>
  <c r="R16" i="8"/>
  <c r="Q16" i="8"/>
  <c r="T15" i="8"/>
  <c r="S15" i="8"/>
  <c r="R15" i="8"/>
  <c r="Q15" i="8"/>
  <c r="T13" i="8"/>
  <c r="S13" i="8"/>
  <c r="R13" i="8"/>
  <c r="Q13" i="8"/>
  <c r="T12" i="8"/>
  <c r="S12" i="8"/>
  <c r="R12" i="8"/>
  <c r="Q12" i="8"/>
  <c r="T10" i="8"/>
  <c r="S10" i="8"/>
  <c r="R10" i="8"/>
  <c r="Q10" i="8"/>
  <c r="T9" i="8"/>
  <c r="S9" i="8"/>
  <c r="R9" i="8"/>
  <c r="Q9" i="8"/>
  <c r="T7" i="8"/>
  <c r="S7" i="8"/>
  <c r="R7" i="8"/>
  <c r="Q7" i="8"/>
  <c r="T6" i="8"/>
  <c r="S6" i="8"/>
  <c r="R6" i="8"/>
  <c r="Q6" i="8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K4" i="11"/>
  <c r="E103" i="14" l="1"/>
  <c r="E99" i="14"/>
  <c r="E113" i="14"/>
  <c r="P67" i="11"/>
  <c r="V67" i="11"/>
  <c r="E67" i="11"/>
  <c r="Q67" i="11"/>
  <c r="W67" i="11"/>
  <c r="AI67" i="11"/>
  <c r="R67" i="11"/>
  <c r="AD67" i="11"/>
  <c r="G67" i="11"/>
  <c r="M67" i="11"/>
  <c r="S67" i="11"/>
  <c r="Y67" i="11"/>
  <c r="AE67" i="11"/>
  <c r="AK67" i="11"/>
  <c r="J67" i="11"/>
  <c r="AB67" i="11"/>
  <c r="K67" i="11"/>
  <c r="AC67" i="11"/>
  <c r="F67" i="11"/>
  <c r="L67" i="11"/>
  <c r="X67" i="11"/>
  <c r="AJ67" i="11"/>
  <c r="H67" i="11"/>
  <c r="N67" i="11"/>
  <c r="T67" i="11"/>
  <c r="Z67" i="11"/>
  <c r="AF67" i="11"/>
  <c r="AH67" i="11"/>
  <c r="I67" i="11"/>
  <c r="O67" i="11"/>
  <c r="U67" i="11"/>
  <c r="AA67" i="11"/>
  <c r="AG67" i="11"/>
  <c r="AK59" i="11"/>
  <c r="AE59" i="11"/>
  <c r="Y59" i="11"/>
  <c r="S59" i="11"/>
  <c r="M59" i="11"/>
  <c r="G59" i="11"/>
  <c r="O59" i="11"/>
  <c r="T59" i="11"/>
  <c r="AJ59" i="11"/>
  <c r="AD59" i="11"/>
  <c r="X59" i="11"/>
  <c r="R59" i="11"/>
  <c r="L59" i="11"/>
  <c r="F59" i="11"/>
  <c r="U59" i="11"/>
  <c r="N59" i="11"/>
  <c r="AI59" i="11"/>
  <c r="AC59" i="11"/>
  <c r="W59" i="11"/>
  <c r="Q59" i="11"/>
  <c r="K59" i="11"/>
  <c r="E59" i="11"/>
  <c r="AA59" i="11"/>
  <c r="Z59" i="11"/>
  <c r="H59" i="11"/>
  <c r="AH59" i="11"/>
  <c r="AB59" i="11"/>
  <c r="V59" i="11"/>
  <c r="P59" i="11"/>
  <c r="J59" i="11"/>
  <c r="AG59" i="11"/>
  <c r="I59" i="11"/>
  <c r="AF59" i="11"/>
  <c r="AC71" i="11"/>
  <c r="AC78" i="11" s="1"/>
  <c r="F71" i="11"/>
  <c r="F78" i="11" s="1"/>
  <c r="L71" i="11"/>
  <c r="L78" i="11" s="1"/>
  <c r="R71" i="11"/>
  <c r="R78" i="11" s="1"/>
  <c r="X71" i="11"/>
  <c r="X78" i="11" s="1"/>
  <c r="AD71" i="11"/>
  <c r="AD78" i="11" s="1"/>
  <c r="AJ71" i="11"/>
  <c r="AJ78" i="11" s="1"/>
  <c r="AI71" i="11"/>
  <c r="AI78" i="11" s="1"/>
  <c r="G71" i="11"/>
  <c r="G78" i="11" s="1"/>
  <c r="M71" i="11"/>
  <c r="M78" i="11" s="1"/>
  <c r="S71" i="11"/>
  <c r="S78" i="11" s="1"/>
  <c r="Y71" i="11"/>
  <c r="Y78" i="11" s="1"/>
  <c r="AE71" i="11"/>
  <c r="AE78" i="11" s="1"/>
  <c r="AK71" i="11"/>
  <c r="AK78" i="11" s="1"/>
  <c r="K71" i="11"/>
  <c r="K78" i="11" s="1"/>
  <c r="H71" i="11"/>
  <c r="H78" i="11" s="1"/>
  <c r="N71" i="11"/>
  <c r="N78" i="11" s="1"/>
  <c r="T71" i="11"/>
  <c r="T78" i="11" s="1"/>
  <c r="Z71" i="11"/>
  <c r="Z78" i="11" s="1"/>
  <c r="AF71" i="11"/>
  <c r="AF78" i="11" s="1"/>
  <c r="Q71" i="11"/>
  <c r="Q78" i="11" s="1"/>
  <c r="I71" i="11"/>
  <c r="I78" i="11" s="1"/>
  <c r="O71" i="11"/>
  <c r="O78" i="11" s="1"/>
  <c r="U71" i="11"/>
  <c r="U78" i="11" s="1"/>
  <c r="AA71" i="11"/>
  <c r="AA78" i="11" s="1"/>
  <c r="AG71" i="11"/>
  <c r="AG78" i="11" s="1"/>
  <c r="W71" i="11"/>
  <c r="W78" i="11" s="1"/>
  <c r="J71" i="11"/>
  <c r="J78" i="11" s="1"/>
  <c r="P71" i="11"/>
  <c r="P78" i="11" s="1"/>
  <c r="V71" i="11"/>
  <c r="V78" i="11" s="1"/>
  <c r="AB71" i="11"/>
  <c r="AB78" i="11" s="1"/>
  <c r="AH71" i="11"/>
  <c r="AH78" i="11" s="1"/>
  <c r="Q62" i="11"/>
  <c r="Q64" i="11"/>
  <c r="Q88" i="11" s="1"/>
  <c r="Q63" i="11"/>
  <c r="F62" i="11"/>
  <c r="F63" i="11"/>
  <c r="F64" i="11"/>
  <c r="F88" i="11" s="1"/>
  <c r="L62" i="11"/>
  <c r="L63" i="11"/>
  <c r="L64" i="11"/>
  <c r="L88" i="11" s="1"/>
  <c r="R62" i="11"/>
  <c r="R63" i="11"/>
  <c r="R64" i="11"/>
  <c r="R88" i="11" s="1"/>
  <c r="X62" i="11"/>
  <c r="X63" i="11"/>
  <c r="X64" i="11"/>
  <c r="X88" i="11" s="1"/>
  <c r="AD62" i="11"/>
  <c r="AD63" i="11"/>
  <c r="AD64" i="11"/>
  <c r="AD88" i="11" s="1"/>
  <c r="AJ62" i="11"/>
  <c r="AJ63" i="11"/>
  <c r="AJ64" i="11"/>
  <c r="AJ88" i="11" s="1"/>
  <c r="K62" i="11"/>
  <c r="K63" i="11"/>
  <c r="K64" i="11"/>
  <c r="K88" i="11" s="1"/>
  <c r="AC62" i="11"/>
  <c r="AC64" i="11"/>
  <c r="AC88" i="11" s="1"/>
  <c r="AC63" i="11"/>
  <c r="G33" i="11"/>
  <c r="G96" i="11" s="1"/>
  <c r="G63" i="11"/>
  <c r="G64" i="11"/>
  <c r="G88" i="11" s="1"/>
  <c r="M63" i="11"/>
  <c r="M64" i="11"/>
  <c r="M88" i="11" s="1"/>
  <c r="S33" i="11"/>
  <c r="S96" i="11" s="1"/>
  <c r="S97" i="11" s="1"/>
  <c r="S98" i="11" s="1"/>
  <c r="S103" i="11" s="1"/>
  <c r="S104" i="11" s="1"/>
  <c r="S105" i="11" s="1"/>
  <c r="S64" i="11"/>
  <c r="S88" i="11" s="1"/>
  <c r="S63" i="11"/>
  <c r="Y63" i="11"/>
  <c r="Y64" i="11"/>
  <c r="Y88" i="11" s="1"/>
  <c r="AE33" i="11"/>
  <c r="AE96" i="11" s="1"/>
  <c r="AE63" i="11"/>
  <c r="AE64" i="11"/>
  <c r="AE88" i="11" s="1"/>
  <c r="AK33" i="11"/>
  <c r="AK96" i="11" s="1"/>
  <c r="AK63" i="11"/>
  <c r="AK64" i="11"/>
  <c r="AK88" i="11" s="1"/>
  <c r="E62" i="11"/>
  <c r="E64" i="11"/>
  <c r="E88" i="11" s="1"/>
  <c r="E63" i="11"/>
  <c r="H33" i="11"/>
  <c r="H96" i="11" s="1"/>
  <c r="H63" i="11"/>
  <c r="H64" i="11"/>
  <c r="H88" i="11" s="1"/>
  <c r="N12" i="11"/>
  <c r="N13" i="11" s="1"/>
  <c r="N17" i="11" s="1"/>
  <c r="N64" i="11"/>
  <c r="N88" i="11" s="1"/>
  <c r="N63" i="11"/>
  <c r="T34" i="11"/>
  <c r="T63" i="11"/>
  <c r="T64" i="11"/>
  <c r="T88" i="11" s="1"/>
  <c r="Z33" i="11"/>
  <c r="Z96" i="11" s="1"/>
  <c r="Z64" i="11"/>
  <c r="Z88" i="11" s="1"/>
  <c r="Z63" i="11"/>
  <c r="AF33" i="11"/>
  <c r="AF96" i="11" s="1"/>
  <c r="AF63" i="11"/>
  <c r="AF64" i="11"/>
  <c r="AF88" i="11" s="1"/>
  <c r="AI62" i="11"/>
  <c r="AI64" i="11"/>
  <c r="AI88" i="11" s="1"/>
  <c r="AI63" i="11"/>
  <c r="I35" i="11"/>
  <c r="I63" i="11"/>
  <c r="I64" i="11"/>
  <c r="I88" i="11" s="1"/>
  <c r="O33" i="11"/>
  <c r="O96" i="11" s="1"/>
  <c r="O97" i="11" s="1"/>
  <c r="O98" i="11" s="1"/>
  <c r="O103" i="11" s="1"/>
  <c r="O104" i="11" s="1"/>
  <c r="O105" i="11" s="1"/>
  <c r="O63" i="11"/>
  <c r="O64" i="11"/>
  <c r="O88" i="11" s="1"/>
  <c r="U62" i="11"/>
  <c r="U64" i="11"/>
  <c r="U88" i="11" s="1"/>
  <c r="U63" i="11"/>
  <c r="AA34" i="11"/>
  <c r="AA63" i="11"/>
  <c r="AA64" i="11"/>
  <c r="AA88" i="11" s="1"/>
  <c r="AG33" i="11"/>
  <c r="AG96" i="11" s="1"/>
  <c r="AG97" i="11" s="1"/>
  <c r="AG98" i="11" s="1"/>
  <c r="AG103" i="11" s="1"/>
  <c r="AG104" i="11" s="1"/>
  <c r="AG105" i="11" s="1"/>
  <c r="AG63" i="11"/>
  <c r="AG64" i="11"/>
  <c r="AG88" i="11" s="1"/>
  <c r="W62" i="11"/>
  <c r="W64" i="11"/>
  <c r="W88" i="11" s="1"/>
  <c r="W63" i="11"/>
  <c r="J12" i="11"/>
  <c r="J13" i="11" s="1"/>
  <c r="J16" i="11" s="1"/>
  <c r="J47" i="11" s="1"/>
  <c r="J64" i="11"/>
  <c r="J88" i="11" s="1"/>
  <c r="J63" i="11"/>
  <c r="P33" i="11"/>
  <c r="P96" i="11" s="1"/>
  <c r="P64" i="11"/>
  <c r="P88" i="11" s="1"/>
  <c r="P63" i="11"/>
  <c r="V33" i="11"/>
  <c r="V96" i="11" s="1"/>
  <c r="V64" i="11"/>
  <c r="V88" i="11" s="1"/>
  <c r="V63" i="11"/>
  <c r="AB12" i="11"/>
  <c r="AB13" i="11" s="1"/>
  <c r="AB48" i="11" s="1"/>
  <c r="AB64" i="11"/>
  <c r="AB88" i="11" s="1"/>
  <c r="AB63" i="11"/>
  <c r="AH35" i="11"/>
  <c r="AH64" i="11"/>
  <c r="AH88" i="11" s="1"/>
  <c r="AH63" i="11"/>
  <c r="K12" i="11"/>
  <c r="K13" i="11" s="1"/>
  <c r="K17" i="11" s="1"/>
  <c r="AC12" i="11"/>
  <c r="AC13" i="11" s="1"/>
  <c r="AC14" i="11" s="1"/>
  <c r="T160" i="8"/>
  <c r="T166" i="8"/>
  <c r="T172" i="8"/>
  <c r="T178" i="8"/>
  <c r="AD34" i="11"/>
  <c r="O34" i="11"/>
  <c r="AG34" i="11"/>
  <c r="Q35" i="11"/>
  <c r="N34" i="11"/>
  <c r="L34" i="11"/>
  <c r="AJ35" i="11"/>
  <c r="P12" i="11"/>
  <c r="P13" i="11" s="1"/>
  <c r="P48" i="11" s="1"/>
  <c r="AH12" i="11"/>
  <c r="AH13" i="11" s="1"/>
  <c r="AH16" i="11" s="1"/>
  <c r="AH47" i="11" s="1"/>
  <c r="E33" i="11"/>
  <c r="E96" i="11" s="1"/>
  <c r="W33" i="11"/>
  <c r="W96" i="11" s="1"/>
  <c r="R35" i="11"/>
  <c r="H62" i="11"/>
  <c r="Q12" i="11"/>
  <c r="Q13" i="11" s="1"/>
  <c r="Q16" i="11" s="1"/>
  <c r="Q47" i="11" s="1"/>
  <c r="AI12" i="11"/>
  <c r="AI13" i="11" s="1"/>
  <c r="AI48" i="11" s="1"/>
  <c r="J33" i="11"/>
  <c r="J96" i="11" s="1"/>
  <c r="AB33" i="11"/>
  <c r="AB96" i="11" s="1"/>
  <c r="AJ34" i="11"/>
  <c r="V35" i="11"/>
  <c r="I62" i="11"/>
  <c r="V12" i="11"/>
  <c r="V13" i="11" s="1"/>
  <c r="V48" i="11" s="1"/>
  <c r="AJ12" i="11"/>
  <c r="AJ13" i="11" s="1"/>
  <c r="AJ16" i="11" s="1"/>
  <c r="AJ47" i="11" s="1"/>
  <c r="K33" i="11"/>
  <c r="K96" i="11" s="1"/>
  <c r="AC33" i="11"/>
  <c r="AC96" i="11" s="1"/>
  <c r="U34" i="11"/>
  <c r="J35" i="11"/>
  <c r="X35" i="11"/>
  <c r="Z62" i="11"/>
  <c r="E12" i="11"/>
  <c r="E13" i="11" s="1"/>
  <c r="E48" i="11" s="1"/>
  <c r="W12" i="11"/>
  <c r="W13" i="11" s="1"/>
  <c r="W14" i="11" s="1"/>
  <c r="AH33" i="11"/>
  <c r="AH96" i="11" s="1"/>
  <c r="W34" i="11"/>
  <c r="K35" i="11"/>
  <c r="AF35" i="11"/>
  <c r="AA62" i="11"/>
  <c r="Q33" i="11"/>
  <c r="Q96" i="11" s="1"/>
  <c r="AI33" i="11"/>
  <c r="AI96" i="11" s="1"/>
  <c r="AC34" i="11"/>
  <c r="O35" i="11"/>
  <c r="AG35" i="11"/>
  <c r="Z35" i="11"/>
  <c r="M62" i="11"/>
  <c r="M35" i="11"/>
  <c r="G34" i="11"/>
  <c r="H34" i="11"/>
  <c r="F12" i="11"/>
  <c r="F13" i="11" s="1"/>
  <c r="F17" i="11" s="1"/>
  <c r="L12" i="11"/>
  <c r="L13" i="11" s="1"/>
  <c r="L17" i="11" s="1"/>
  <c r="R12" i="11"/>
  <c r="R13" i="11" s="1"/>
  <c r="R17" i="11" s="1"/>
  <c r="X12" i="11"/>
  <c r="X13" i="11" s="1"/>
  <c r="AD12" i="11"/>
  <c r="AD13" i="11" s="1"/>
  <c r="AD17" i="11" s="1"/>
  <c r="F33" i="11"/>
  <c r="F96" i="11" s="1"/>
  <c r="L33" i="11"/>
  <c r="L96" i="11" s="1"/>
  <c r="R33" i="11"/>
  <c r="R96" i="11" s="1"/>
  <c r="R97" i="11" s="1"/>
  <c r="R98" i="11" s="1"/>
  <c r="R103" i="11" s="1"/>
  <c r="R104" i="11" s="1"/>
  <c r="R105" i="11" s="1"/>
  <c r="X33" i="11"/>
  <c r="X96" i="11" s="1"/>
  <c r="X97" i="11" s="1"/>
  <c r="X98" i="11" s="1"/>
  <c r="X103" i="11" s="1"/>
  <c r="X104" i="11" s="1"/>
  <c r="X105" i="11" s="1"/>
  <c r="AD33" i="11"/>
  <c r="AD96" i="11" s="1"/>
  <c r="AJ33" i="11"/>
  <c r="AJ96" i="11" s="1"/>
  <c r="I34" i="11"/>
  <c r="Q34" i="11"/>
  <c r="X34" i="11"/>
  <c r="AE34" i="11"/>
  <c r="E35" i="11"/>
  <c r="L35" i="11"/>
  <c r="T35" i="11"/>
  <c r="AA35" i="11"/>
  <c r="N62" i="11"/>
  <c r="AF62" i="11"/>
  <c r="Y62" i="11"/>
  <c r="Y35" i="11"/>
  <c r="AK34" i="11"/>
  <c r="J34" i="11"/>
  <c r="J62" i="11"/>
  <c r="P34" i="11"/>
  <c r="P62" i="11"/>
  <c r="V34" i="11"/>
  <c r="V62" i="11"/>
  <c r="AB34" i="11"/>
  <c r="AB62" i="11"/>
  <c r="AH34" i="11"/>
  <c r="AH62" i="11"/>
  <c r="G12" i="11"/>
  <c r="G13" i="11" s="1"/>
  <c r="M12" i="11"/>
  <c r="M13" i="11" s="1"/>
  <c r="S12" i="11"/>
  <c r="S13" i="11" s="1"/>
  <c r="Y12" i="11"/>
  <c r="Y13" i="11" s="1"/>
  <c r="Y17" i="11" s="1"/>
  <c r="AE12" i="11"/>
  <c r="AE13" i="11" s="1"/>
  <c r="AK12" i="11"/>
  <c r="AK13" i="11" s="1"/>
  <c r="M33" i="11"/>
  <c r="M96" i="11" s="1"/>
  <c r="Y33" i="11"/>
  <c r="Y96" i="11" s="1"/>
  <c r="K34" i="11"/>
  <c r="R34" i="11"/>
  <c r="Y34" i="11"/>
  <c r="AF34" i="11"/>
  <c r="F35" i="11"/>
  <c r="N35" i="11"/>
  <c r="U35" i="11"/>
  <c r="AB35" i="11"/>
  <c r="AI35" i="11"/>
  <c r="O62" i="11"/>
  <c r="AG62" i="11"/>
  <c r="G62" i="11"/>
  <c r="G35" i="11"/>
  <c r="AE62" i="11"/>
  <c r="AE35" i="11"/>
  <c r="AK62" i="11"/>
  <c r="AK35" i="11"/>
  <c r="H12" i="11"/>
  <c r="H13" i="11" s="1"/>
  <c r="H17" i="11" s="1"/>
  <c r="AF12" i="11"/>
  <c r="AF13" i="11" s="1"/>
  <c r="N33" i="11"/>
  <c r="N96" i="11" s="1"/>
  <c r="Z34" i="11"/>
  <c r="H35" i="11"/>
  <c r="AC35" i="11"/>
  <c r="T62" i="11"/>
  <c r="S62" i="11"/>
  <c r="S35" i="11"/>
  <c r="T12" i="11"/>
  <c r="T13" i="11" s="1"/>
  <c r="Z12" i="11"/>
  <c r="Z13" i="11" s="1"/>
  <c r="Z17" i="11" s="1"/>
  <c r="T33" i="11"/>
  <c r="T96" i="11" s="1"/>
  <c r="E34" i="11"/>
  <c r="S34" i="11"/>
  <c r="I12" i="11"/>
  <c r="I13" i="11" s="1"/>
  <c r="I17" i="11" s="1"/>
  <c r="O12" i="11"/>
  <c r="O13" i="11" s="1"/>
  <c r="U12" i="11"/>
  <c r="U13" i="11" s="1"/>
  <c r="AA12" i="11"/>
  <c r="AA13" i="11" s="1"/>
  <c r="AG12" i="11"/>
  <c r="AG13" i="11" s="1"/>
  <c r="I33" i="11"/>
  <c r="I96" i="11" s="1"/>
  <c r="U33" i="11"/>
  <c r="U96" i="11" s="1"/>
  <c r="AA33" i="11"/>
  <c r="AA96" i="11" s="1"/>
  <c r="F34" i="11"/>
  <c r="M34" i="11"/>
  <c r="AI34" i="11"/>
  <c r="P35" i="11"/>
  <c r="W35" i="11"/>
  <c r="AD35" i="11"/>
  <c r="J48" i="11" l="1"/>
  <c r="E119" i="14"/>
  <c r="E139" i="14"/>
  <c r="E127" i="14"/>
  <c r="E128" i="14" s="1"/>
  <c r="E141" i="14"/>
  <c r="E104" i="14"/>
  <c r="AH97" i="11"/>
  <c r="Y87" i="11"/>
  <c r="Y95" i="11"/>
  <c r="T97" i="11"/>
  <c r="T98" i="11" s="1"/>
  <c r="T103" i="11" s="1"/>
  <c r="T104" i="11" s="1"/>
  <c r="T105" i="11" s="1"/>
  <c r="M97" i="11"/>
  <c r="M98" i="11" s="1"/>
  <c r="M103" i="11" s="1"/>
  <c r="M104" i="11" s="1"/>
  <c r="M105" i="11" s="1"/>
  <c r="AJ97" i="11"/>
  <c r="AJ98" i="11" s="1"/>
  <c r="AJ103" i="11" s="1"/>
  <c r="AJ104" i="11" s="1"/>
  <c r="AJ105" i="11" s="1"/>
  <c r="K97" i="11"/>
  <c r="K98" i="11" s="1"/>
  <c r="K103" i="11" s="1"/>
  <c r="K104" i="11" s="1"/>
  <c r="K105" i="11" s="1"/>
  <c r="P95" i="11"/>
  <c r="P87" i="11"/>
  <c r="O95" i="11"/>
  <c r="O87" i="11"/>
  <c r="N95" i="11"/>
  <c r="N87" i="11"/>
  <c r="S87" i="11"/>
  <c r="S95" i="11"/>
  <c r="X87" i="11"/>
  <c r="X95" i="11"/>
  <c r="X99" i="11" s="1"/>
  <c r="T95" i="11"/>
  <c r="T87" i="11"/>
  <c r="AD97" i="11"/>
  <c r="AD98" i="11" s="1"/>
  <c r="AD103" i="11" s="1"/>
  <c r="AD104" i="11" s="1"/>
  <c r="AD105" i="11" s="1"/>
  <c r="AB97" i="11"/>
  <c r="AB98" i="11" s="1"/>
  <c r="AB103" i="11" s="1"/>
  <c r="AB104" i="11" s="1"/>
  <c r="AB105" i="11" s="1"/>
  <c r="W97" i="11"/>
  <c r="W98" i="11" s="1"/>
  <c r="W103" i="11" s="1"/>
  <c r="W104" i="11" s="1"/>
  <c r="W105" i="11" s="1"/>
  <c r="P97" i="11"/>
  <c r="P98" i="11" s="1"/>
  <c r="P103" i="11" s="1"/>
  <c r="P104" i="11" s="1"/>
  <c r="P105" i="11" s="1"/>
  <c r="Z97" i="11"/>
  <c r="Z98" i="11" s="1"/>
  <c r="Z103" i="11" s="1"/>
  <c r="Z104" i="11" s="1"/>
  <c r="Z105" i="11" s="1"/>
  <c r="AE97" i="11"/>
  <c r="AE98" i="11" s="1"/>
  <c r="AE103" i="11" s="1"/>
  <c r="AE104" i="11" s="1"/>
  <c r="AE105" i="11" s="1"/>
  <c r="J95" i="11"/>
  <c r="J87" i="11"/>
  <c r="I95" i="11"/>
  <c r="I87" i="11"/>
  <c r="H95" i="11"/>
  <c r="H87" i="11"/>
  <c r="M87" i="11"/>
  <c r="M95" i="11"/>
  <c r="R87" i="11"/>
  <c r="R95" i="11"/>
  <c r="AC97" i="11"/>
  <c r="U95" i="11"/>
  <c r="U87" i="11"/>
  <c r="AA97" i="11"/>
  <c r="AA98" i="11" s="1"/>
  <c r="AA103" i="11" s="1"/>
  <c r="AA104" i="11" s="1"/>
  <c r="AA105" i="11" s="1"/>
  <c r="AI97" i="11"/>
  <c r="AI98" i="11" s="1"/>
  <c r="AI103" i="11" s="1"/>
  <c r="AI104" i="11" s="1"/>
  <c r="AI105" i="11" s="1"/>
  <c r="J97" i="11"/>
  <c r="J98" i="11" s="1"/>
  <c r="J103" i="11" s="1"/>
  <c r="J104" i="11" s="1"/>
  <c r="J105" i="11" s="1"/>
  <c r="W95" i="11"/>
  <c r="W87" i="11"/>
  <c r="Q95" i="11"/>
  <c r="Q87" i="11"/>
  <c r="K95" i="11"/>
  <c r="K87" i="11"/>
  <c r="G87" i="11"/>
  <c r="G95" i="11"/>
  <c r="L87" i="11"/>
  <c r="L95" i="11"/>
  <c r="F97" i="11"/>
  <c r="F98" i="11" s="1"/>
  <c r="F103" i="11" s="1"/>
  <c r="F104" i="11" s="1"/>
  <c r="F105" i="11" s="1"/>
  <c r="G97" i="11"/>
  <c r="G98" i="11" s="1"/>
  <c r="G103" i="11" s="1"/>
  <c r="G104" i="11" s="1"/>
  <c r="G105" i="11" s="1"/>
  <c r="V95" i="11"/>
  <c r="V87" i="11"/>
  <c r="U97" i="11"/>
  <c r="U98" i="11" s="1"/>
  <c r="U103" i="11" s="1"/>
  <c r="U104" i="11" s="1"/>
  <c r="U105" i="11" s="1"/>
  <c r="N97" i="11"/>
  <c r="Q97" i="11"/>
  <c r="AH95" i="11"/>
  <c r="AH87" i="11"/>
  <c r="AG95" i="11"/>
  <c r="AG87" i="11"/>
  <c r="AF95" i="11"/>
  <c r="AF87" i="11"/>
  <c r="AK87" i="11"/>
  <c r="AK95" i="11"/>
  <c r="AI95" i="11"/>
  <c r="AI87" i="11"/>
  <c r="F87" i="11"/>
  <c r="F95" i="11"/>
  <c r="Y97" i="11"/>
  <c r="Y98" i="11" s="1"/>
  <c r="Y103" i="11" s="1"/>
  <c r="Y104" i="11" s="1"/>
  <c r="Y105" i="11" s="1"/>
  <c r="AD87" i="11"/>
  <c r="AD95" i="11"/>
  <c r="I97" i="11"/>
  <c r="L97" i="11"/>
  <c r="L98" i="11" s="1"/>
  <c r="L103" i="11" s="1"/>
  <c r="L104" i="11" s="1"/>
  <c r="L105" i="11" s="1"/>
  <c r="V97" i="11"/>
  <c r="V98" i="11" s="1"/>
  <c r="V103" i="11" s="1"/>
  <c r="V104" i="11" s="1"/>
  <c r="V105" i="11" s="1"/>
  <c r="AF97" i="11"/>
  <c r="AF98" i="11" s="1"/>
  <c r="AF103" i="11" s="1"/>
  <c r="AF104" i="11" s="1"/>
  <c r="AF105" i="11" s="1"/>
  <c r="H97" i="11"/>
  <c r="H98" i="11" s="1"/>
  <c r="H103" i="11" s="1"/>
  <c r="H104" i="11" s="1"/>
  <c r="H105" i="11" s="1"/>
  <c r="AK97" i="11"/>
  <c r="AK98" i="11" s="1"/>
  <c r="AK103" i="11" s="1"/>
  <c r="AK104" i="11" s="1"/>
  <c r="AK105" i="11" s="1"/>
  <c r="AB95" i="11"/>
  <c r="AB87" i="11"/>
  <c r="AA95" i="11"/>
  <c r="AA87" i="11"/>
  <c r="Z95" i="11"/>
  <c r="Z87" i="11"/>
  <c r="AE87" i="11"/>
  <c r="AE95" i="11"/>
  <c r="AJ87" i="11"/>
  <c r="AJ95" i="11"/>
  <c r="AC95" i="11"/>
  <c r="AC87" i="11"/>
  <c r="AJ79" i="11"/>
  <c r="AJ82" i="11" s="1"/>
  <c r="X79" i="11"/>
  <c r="X82" i="11" s="1"/>
  <c r="L79" i="11"/>
  <c r="L82" i="11" s="1"/>
  <c r="AG79" i="11"/>
  <c r="AG82" i="11" s="1"/>
  <c r="I79" i="11"/>
  <c r="I82" i="11" s="1"/>
  <c r="AF79" i="11"/>
  <c r="AF82" i="11" s="1"/>
  <c r="T79" i="11"/>
  <c r="T82" i="11" s="1"/>
  <c r="H79" i="11"/>
  <c r="H82" i="11" s="1"/>
  <c r="AK79" i="11"/>
  <c r="AK82" i="11" s="1"/>
  <c r="Y79" i="11"/>
  <c r="Y82" i="11" s="1"/>
  <c r="AA79" i="11"/>
  <c r="AA82" i="11" s="1"/>
  <c r="G79" i="11"/>
  <c r="G82" i="11" s="1"/>
  <c r="K79" i="11"/>
  <c r="K82" i="11" s="1"/>
  <c r="AD79" i="11"/>
  <c r="AD82" i="11" s="1"/>
  <c r="R79" i="11"/>
  <c r="R82" i="11" s="1"/>
  <c r="F79" i="11"/>
  <c r="F82" i="11" s="1"/>
  <c r="E97" i="11"/>
  <c r="E98" i="11" s="1"/>
  <c r="E103" i="11" s="1"/>
  <c r="E104" i="11" s="1"/>
  <c r="E105" i="11" s="1"/>
  <c r="J17" i="11"/>
  <c r="O79" i="11"/>
  <c r="O82" i="11" s="1"/>
  <c r="AE79" i="11"/>
  <c r="AE82" i="11" s="1"/>
  <c r="S79" i="11"/>
  <c r="S82" i="11" s="1"/>
  <c r="U79" i="11"/>
  <c r="U82" i="11" s="1"/>
  <c r="AH79" i="11"/>
  <c r="AH82" i="11" s="1"/>
  <c r="J79" i="11"/>
  <c r="J82" i="11" s="1"/>
  <c r="V79" i="11"/>
  <c r="V82" i="11" s="1"/>
  <c r="AF36" i="11"/>
  <c r="AF37" i="11" s="1"/>
  <c r="V46" i="11"/>
  <c r="AB79" i="11"/>
  <c r="AB82" i="11" s="1"/>
  <c r="P79" i="11"/>
  <c r="P82" i="11" s="1"/>
  <c r="W79" i="11"/>
  <c r="W82" i="11" s="1"/>
  <c r="AI79" i="11"/>
  <c r="AI82" i="11" s="1"/>
  <c r="Z79" i="11"/>
  <c r="Z82" i="11" s="1"/>
  <c r="N79" i="11"/>
  <c r="N82" i="11" s="1"/>
  <c r="M79" i="11"/>
  <c r="M82" i="11" s="1"/>
  <c r="AC79" i="11"/>
  <c r="AC82" i="11" s="1"/>
  <c r="Q79" i="11"/>
  <c r="Q82" i="11" s="1"/>
  <c r="AK41" i="11"/>
  <c r="G41" i="11"/>
  <c r="E79" i="11"/>
  <c r="E82" i="11" s="1"/>
  <c r="E71" i="11"/>
  <c r="AB16" i="11"/>
  <c r="AB47" i="11" s="1"/>
  <c r="AB17" i="11"/>
  <c r="N14" i="11"/>
  <c r="Z46" i="11"/>
  <c r="O41" i="11"/>
  <c r="H46" i="11"/>
  <c r="J14" i="11"/>
  <c r="N16" i="11"/>
  <c r="N47" i="11" s="1"/>
  <c r="J36" i="11"/>
  <c r="J40" i="11" s="1"/>
  <c r="AB14" i="11"/>
  <c r="AJ17" i="11"/>
  <c r="K14" i="11"/>
  <c r="E17" i="11"/>
  <c r="K16" i="11"/>
  <c r="K47" i="11" s="1"/>
  <c r="P36" i="11"/>
  <c r="P40" i="11" s="1"/>
  <c r="AE41" i="11"/>
  <c r="K48" i="11"/>
  <c r="E41" i="11"/>
  <c r="N48" i="11"/>
  <c r="S41" i="11"/>
  <c r="AC17" i="11"/>
  <c r="AC16" i="11"/>
  <c r="AC47" i="11" s="1"/>
  <c r="W17" i="11"/>
  <c r="W16" i="11"/>
  <c r="W47" i="11" s="1"/>
  <c r="AC48" i="11"/>
  <c r="O36" i="11"/>
  <c r="O40" i="11" s="1"/>
  <c r="E14" i="11"/>
  <c r="AG46" i="11"/>
  <c r="AJ48" i="11"/>
  <c r="AC36" i="11"/>
  <c r="AC40" i="11" s="1"/>
  <c r="W48" i="11"/>
  <c r="AJ14" i="11"/>
  <c r="E16" i="11"/>
  <c r="E47" i="11" s="1"/>
  <c r="Q48" i="11"/>
  <c r="AG41" i="11"/>
  <c r="H41" i="11"/>
  <c r="AG36" i="11"/>
  <c r="AG37" i="11" s="1"/>
  <c r="AI36" i="11"/>
  <c r="AI39" i="11" s="1"/>
  <c r="AB46" i="11"/>
  <c r="S46" i="11"/>
  <c r="AH41" i="11"/>
  <c r="P41" i="11"/>
  <c r="V17" i="11"/>
  <c r="G46" i="11"/>
  <c r="K36" i="11"/>
  <c r="K40" i="11" s="1"/>
  <c r="P46" i="11"/>
  <c r="AH48" i="11"/>
  <c r="AH49" i="11" s="1"/>
  <c r="AH17" i="11"/>
  <c r="V41" i="11"/>
  <c r="P14" i="11"/>
  <c r="AI14" i="11"/>
  <c r="AI17" i="11"/>
  <c r="AC41" i="11"/>
  <c r="O46" i="11"/>
  <c r="AH14" i="11"/>
  <c r="P16" i="11"/>
  <c r="P47" i="11" s="1"/>
  <c r="AI16" i="11"/>
  <c r="AI47" i="11" s="1"/>
  <c r="AB36" i="11"/>
  <c r="AB37" i="11" s="1"/>
  <c r="W36" i="11"/>
  <c r="W40" i="11" s="1"/>
  <c r="AH36" i="11"/>
  <c r="AH40" i="11" s="1"/>
  <c r="K46" i="11"/>
  <c r="P17" i="11"/>
  <c r="AC46" i="11"/>
  <c r="Q17" i="11"/>
  <c r="Q14" i="11"/>
  <c r="J46" i="11"/>
  <c r="J50" i="11" s="1"/>
  <c r="J52" i="11" s="1"/>
  <c r="V36" i="11"/>
  <c r="AI41" i="11"/>
  <c r="V14" i="11"/>
  <c r="K41" i="11"/>
  <c r="AB41" i="11"/>
  <c r="V16" i="11"/>
  <c r="V47" i="11" s="1"/>
  <c r="Q36" i="11"/>
  <c r="Q40" i="11" s="1"/>
  <c r="W41" i="11"/>
  <c r="W46" i="11"/>
  <c r="AE46" i="11"/>
  <c r="M48" i="11"/>
  <c r="M16" i="11"/>
  <c r="M47" i="11" s="1"/>
  <c r="M14" i="11"/>
  <c r="J49" i="11"/>
  <c r="AI49" i="11"/>
  <c r="AG48" i="11"/>
  <c r="AG16" i="11"/>
  <c r="AG47" i="11" s="1"/>
  <c r="AG14" i="11"/>
  <c r="T41" i="11"/>
  <c r="T46" i="11"/>
  <c r="T36" i="11"/>
  <c r="T37" i="11" s="1"/>
  <c r="T14" i="11"/>
  <c r="T16" i="11"/>
  <c r="T47" i="11" s="1"/>
  <c r="T48" i="11"/>
  <c r="N41" i="11"/>
  <c r="N36" i="11"/>
  <c r="N40" i="11" s="1"/>
  <c r="N46" i="11"/>
  <c r="G48" i="11"/>
  <c r="G16" i="11"/>
  <c r="G47" i="11" s="1"/>
  <c r="G14" i="11"/>
  <c r="F46" i="11"/>
  <c r="F41" i="11"/>
  <c r="F36" i="11"/>
  <c r="F39" i="11" s="1"/>
  <c r="R48" i="11"/>
  <c r="R16" i="11"/>
  <c r="R47" i="11" s="1"/>
  <c r="R14" i="11"/>
  <c r="AI46" i="11"/>
  <c r="J41" i="11"/>
  <c r="AF41" i="11"/>
  <c r="H36" i="11"/>
  <c r="AK36" i="11"/>
  <c r="AE36" i="11"/>
  <c r="S36" i="11"/>
  <c r="G36" i="11"/>
  <c r="Z36" i="11"/>
  <c r="AA16" i="11"/>
  <c r="AA47" i="11" s="1"/>
  <c r="AA14" i="11"/>
  <c r="AA48" i="11"/>
  <c r="AK48" i="11"/>
  <c r="AK16" i="11"/>
  <c r="AK47" i="11" s="1"/>
  <c r="AK14" i="11"/>
  <c r="AJ46" i="11"/>
  <c r="AJ50" i="11" s="1"/>
  <c r="AJ41" i="11"/>
  <c r="AJ36" i="11"/>
  <c r="AJ39" i="11" s="1"/>
  <c r="AG17" i="11"/>
  <c r="L48" i="11"/>
  <c r="L16" i="11"/>
  <c r="L47" i="11" s="1"/>
  <c r="L14" i="11"/>
  <c r="E46" i="11"/>
  <c r="X48" i="11"/>
  <c r="X16" i="11"/>
  <c r="X47" i="11" s="1"/>
  <c r="X14" i="11"/>
  <c r="AK46" i="11"/>
  <c r="M17" i="11"/>
  <c r="X17" i="11"/>
  <c r="H16" i="11"/>
  <c r="H47" i="11" s="1"/>
  <c r="H14" i="11"/>
  <c r="H48" i="11"/>
  <c r="Y46" i="11"/>
  <c r="Y41" i="11"/>
  <c r="Y36" i="11"/>
  <c r="Y39" i="11" s="1"/>
  <c r="AE48" i="11"/>
  <c r="AE16" i="11"/>
  <c r="AE47" i="11" s="1"/>
  <c r="AE14" i="11"/>
  <c r="AD46" i="11"/>
  <c r="AD41" i="11"/>
  <c r="AD36" i="11"/>
  <c r="AD39" i="11" s="1"/>
  <c r="AA17" i="11"/>
  <c r="F48" i="11"/>
  <c r="F16" i="11"/>
  <c r="F47" i="11" s="1"/>
  <c r="F14" i="11"/>
  <c r="Q41" i="11"/>
  <c r="AB49" i="11"/>
  <c r="Z41" i="11"/>
  <c r="AF46" i="11"/>
  <c r="Z16" i="11"/>
  <c r="Z47" i="11" s="1"/>
  <c r="Z14" i="11"/>
  <c r="Z48" i="11"/>
  <c r="L46" i="11"/>
  <c r="L41" i="11"/>
  <c r="L36" i="11"/>
  <c r="L40" i="11" s="1"/>
  <c r="E36" i="11"/>
  <c r="U16" i="11"/>
  <c r="U47" i="11" s="1"/>
  <c r="U14" i="11"/>
  <c r="U48" i="11"/>
  <c r="AA46" i="11"/>
  <c r="AA36" i="11"/>
  <c r="AA37" i="11" s="1"/>
  <c r="AA41" i="11"/>
  <c r="O48" i="11"/>
  <c r="O16" i="11"/>
  <c r="O47" i="11" s="1"/>
  <c r="O14" i="11"/>
  <c r="AH46" i="11"/>
  <c r="AH50" i="11" s="1"/>
  <c r="M46" i="11"/>
  <c r="M41" i="11"/>
  <c r="M36" i="11"/>
  <c r="M40" i="11" s="1"/>
  <c r="Y48" i="11"/>
  <c r="Y16" i="11"/>
  <c r="Y47" i="11" s="1"/>
  <c r="Y14" i="11"/>
  <c r="AE17" i="11"/>
  <c r="X46" i="11"/>
  <c r="X41" i="11"/>
  <c r="X36" i="11"/>
  <c r="X37" i="11" s="1"/>
  <c r="U17" i="11"/>
  <c r="Q46" i="11"/>
  <c r="Q50" i="11" s="1"/>
  <c r="AK17" i="11"/>
  <c r="P49" i="11"/>
  <c r="I46" i="11"/>
  <c r="I36" i="11"/>
  <c r="I39" i="11" s="1"/>
  <c r="I41" i="11"/>
  <c r="V49" i="11"/>
  <c r="AF16" i="11"/>
  <c r="AF47" i="11" s="1"/>
  <c r="AF14" i="11"/>
  <c r="AF48" i="11"/>
  <c r="U41" i="11"/>
  <c r="U46" i="11"/>
  <c r="U36" i="11"/>
  <c r="U37" i="11" s="1"/>
  <c r="I16" i="11"/>
  <c r="I47" i="11" s="1"/>
  <c r="I14" i="11"/>
  <c r="I48" i="11"/>
  <c r="S48" i="11"/>
  <c r="S16" i="11"/>
  <c r="S47" i="11" s="1"/>
  <c r="S14" i="11"/>
  <c r="G17" i="11"/>
  <c r="R46" i="11"/>
  <c r="R41" i="11"/>
  <c r="R36" i="11"/>
  <c r="R39" i="11" s="1"/>
  <c r="O17" i="11"/>
  <c r="AD48" i="11"/>
  <c r="AD16" i="11"/>
  <c r="AD47" i="11" s="1"/>
  <c r="AD14" i="11"/>
  <c r="AF17" i="11"/>
  <c r="T17" i="11"/>
  <c r="E49" i="11"/>
  <c r="S17" i="11"/>
  <c r="O39" i="11" l="1"/>
  <c r="E129" i="14"/>
  <c r="E132" i="14" s="1"/>
  <c r="E105" i="14"/>
  <c r="E133" i="14"/>
  <c r="J37" i="11"/>
  <c r="J38" i="11" s="1"/>
  <c r="T106" i="11"/>
  <c r="T113" i="11" s="1"/>
  <c r="AE99" i="11"/>
  <c r="J106" i="11"/>
  <c r="J113" i="11" s="1"/>
  <c r="N99" i="11"/>
  <c r="AK106" i="11"/>
  <c r="AK113" i="11" s="1"/>
  <c r="H106" i="11"/>
  <c r="H113" i="11" s="1"/>
  <c r="H99" i="11"/>
  <c r="V106" i="11"/>
  <c r="V113" i="11" s="1"/>
  <c r="T99" i="11"/>
  <c r="I99" i="11"/>
  <c r="Q99" i="11"/>
  <c r="AB106" i="11"/>
  <c r="AB113" i="11" s="1"/>
  <c r="J39" i="11"/>
  <c r="P106" i="11"/>
  <c r="P113" i="11" s="1"/>
  <c r="P99" i="11"/>
  <c r="K106" i="11"/>
  <c r="K113" i="11" s="1"/>
  <c r="J99" i="11"/>
  <c r="AE106" i="11"/>
  <c r="AE113" i="11" s="1"/>
  <c r="W106" i="11"/>
  <c r="W113" i="11" s="1"/>
  <c r="K99" i="11"/>
  <c r="AC99" i="11"/>
  <c r="AK99" i="11"/>
  <c r="X106" i="11"/>
  <c r="X113" i="11" s="1"/>
  <c r="AA99" i="11"/>
  <c r="AB99" i="11"/>
  <c r="V99" i="11"/>
  <c r="AD99" i="11"/>
  <c r="AD106" i="11"/>
  <c r="AD113" i="11" s="1"/>
  <c r="N98" i="11"/>
  <c r="N103" i="11" s="1"/>
  <c r="N104" i="11" s="1"/>
  <c r="N105" i="11" s="1"/>
  <c r="N106" i="11" s="1"/>
  <c r="N113" i="11" s="1"/>
  <c r="G99" i="11"/>
  <c r="G106" i="11"/>
  <c r="G113" i="11" s="1"/>
  <c r="AC98" i="11"/>
  <c r="AC103" i="11" s="1"/>
  <c r="AC104" i="11" s="1"/>
  <c r="AC105" i="11" s="1"/>
  <c r="AC106" i="11" s="1"/>
  <c r="AC113" i="11" s="1"/>
  <c r="W99" i="11"/>
  <c r="AJ106" i="11"/>
  <c r="AJ113" i="11" s="1"/>
  <c r="AJ99" i="11"/>
  <c r="AI106" i="11"/>
  <c r="AI113" i="11" s="1"/>
  <c r="AI99" i="11"/>
  <c r="AG106" i="11"/>
  <c r="AG113" i="11" s="1"/>
  <c r="AG99" i="11"/>
  <c r="AA106" i="11"/>
  <c r="AA113" i="11" s="1"/>
  <c r="R106" i="11"/>
  <c r="R113" i="11" s="1"/>
  <c r="R99" i="11"/>
  <c r="Z106" i="11"/>
  <c r="Z113" i="11" s="1"/>
  <c r="Y106" i="11"/>
  <c r="Y113" i="11" s="1"/>
  <c r="Y99" i="11"/>
  <c r="Z99" i="11"/>
  <c r="O106" i="11"/>
  <c r="O113" i="11" s="1"/>
  <c r="O99" i="11"/>
  <c r="AF106" i="11"/>
  <c r="AF113" i="11" s="1"/>
  <c r="M106" i="11"/>
  <c r="M113" i="11" s="1"/>
  <c r="M99" i="11"/>
  <c r="S106" i="11"/>
  <c r="S113" i="11" s="1"/>
  <c r="S99" i="11"/>
  <c r="AH99" i="11"/>
  <c r="AF99" i="11"/>
  <c r="I98" i="11"/>
  <c r="I103" i="11" s="1"/>
  <c r="I104" i="11" s="1"/>
  <c r="I105" i="11" s="1"/>
  <c r="I106" i="11" s="1"/>
  <c r="I113" i="11" s="1"/>
  <c r="F99" i="11"/>
  <c r="F106" i="11"/>
  <c r="F113" i="11" s="1"/>
  <c r="Q98" i="11"/>
  <c r="Q103" i="11" s="1"/>
  <c r="Q104" i="11" s="1"/>
  <c r="Q105" i="11" s="1"/>
  <c r="Q106" i="11" s="1"/>
  <c r="Q113" i="11" s="1"/>
  <c r="L99" i="11"/>
  <c r="L106" i="11"/>
  <c r="L113" i="11" s="1"/>
  <c r="U99" i="11"/>
  <c r="U106" i="11"/>
  <c r="U113" i="11" s="1"/>
  <c r="AH98" i="11"/>
  <c r="AH103" i="11" s="1"/>
  <c r="AH104" i="11" s="1"/>
  <c r="AH105" i="11" s="1"/>
  <c r="AH106" i="11" s="1"/>
  <c r="AH113" i="11" s="1"/>
  <c r="V50" i="11"/>
  <c r="V52" i="11" s="1"/>
  <c r="AF39" i="11"/>
  <c r="N50" i="11"/>
  <c r="N51" i="11" s="1"/>
  <c r="K50" i="11"/>
  <c r="K51" i="11" s="1"/>
  <c r="AF40" i="11"/>
  <c r="W49" i="11"/>
  <c r="E78" i="11"/>
  <c r="E87" i="11" s="1"/>
  <c r="O37" i="11"/>
  <c r="O38" i="11" s="1"/>
  <c r="AB50" i="11"/>
  <c r="AB53" i="11" s="1"/>
  <c r="AJ49" i="11"/>
  <c r="K49" i="11"/>
  <c r="Z50" i="11"/>
  <c r="Z51" i="11" s="1"/>
  <c r="H50" i="11"/>
  <c r="H51" i="11" s="1"/>
  <c r="W50" i="11"/>
  <c r="W52" i="11" s="1"/>
  <c r="AC39" i="11"/>
  <c r="AC37" i="11"/>
  <c r="AC42" i="11" s="1"/>
  <c r="N49" i="11"/>
  <c r="AC49" i="11"/>
  <c r="Q49" i="11"/>
  <c r="P37" i="11"/>
  <c r="P38" i="11" s="1"/>
  <c r="AC50" i="11"/>
  <c r="AC52" i="11" s="1"/>
  <c r="P39" i="11"/>
  <c r="AG50" i="11"/>
  <c r="AG53" i="11" s="1"/>
  <c r="AB40" i="11"/>
  <c r="AI40" i="11"/>
  <c r="E50" i="11"/>
  <c r="E53" i="11" s="1"/>
  <c r="AI37" i="11"/>
  <c r="AI42" i="11" s="1"/>
  <c r="M39" i="11"/>
  <c r="M37" i="11"/>
  <c r="O50" i="11"/>
  <c r="O53" i="11" s="1"/>
  <c r="J53" i="11"/>
  <c r="AA50" i="11"/>
  <c r="AA53" i="11" s="1"/>
  <c r="L37" i="11"/>
  <c r="L42" i="11" s="1"/>
  <c r="AG40" i="11"/>
  <c r="G50" i="11"/>
  <c r="G52" i="11" s="1"/>
  <c r="AH37" i="11"/>
  <c r="AH38" i="11" s="1"/>
  <c r="S50" i="11"/>
  <c r="S51" i="11" s="1"/>
  <c r="AG42" i="11"/>
  <c r="AH39" i="11"/>
  <c r="AG38" i="11"/>
  <c r="Q37" i="11"/>
  <c r="AG39" i="11"/>
  <c r="L50" i="11"/>
  <c r="L51" i="11" s="1"/>
  <c r="K39" i="11"/>
  <c r="AE50" i="11"/>
  <c r="AE53" i="11" s="1"/>
  <c r="K37" i="11"/>
  <c r="Q39" i="11"/>
  <c r="AB38" i="11"/>
  <c r="AB42" i="11"/>
  <c r="U40" i="11"/>
  <c r="W39" i="11"/>
  <c r="P50" i="11"/>
  <c r="P52" i="11" s="1"/>
  <c r="U39" i="11"/>
  <c r="AB39" i="11"/>
  <c r="U50" i="11"/>
  <c r="U52" i="11" s="1"/>
  <c r="R37" i="11"/>
  <c r="L39" i="11"/>
  <c r="J51" i="11"/>
  <c r="T50" i="11"/>
  <c r="T51" i="11" s="1"/>
  <c r="AI50" i="11"/>
  <c r="AI52" i="11" s="1"/>
  <c r="AK50" i="11"/>
  <c r="AK52" i="11" s="1"/>
  <c r="W37" i="11"/>
  <c r="V39" i="11"/>
  <c r="V37" i="11"/>
  <c r="R40" i="11"/>
  <c r="X39" i="11"/>
  <c r="M50" i="11"/>
  <c r="M51" i="11" s="1"/>
  <c r="V40" i="11"/>
  <c r="T40" i="11"/>
  <c r="I40" i="11"/>
  <c r="X50" i="11"/>
  <c r="X53" i="11" s="1"/>
  <c r="F40" i="11"/>
  <c r="N37" i="11"/>
  <c r="AJ37" i="11"/>
  <c r="AJ38" i="11" s="1"/>
  <c r="I37" i="11"/>
  <c r="AA42" i="11"/>
  <c r="AA38" i="11"/>
  <c r="T42" i="11"/>
  <c r="T38" i="11"/>
  <c r="X42" i="11"/>
  <c r="X38" i="11"/>
  <c r="U42" i="11"/>
  <c r="U38" i="11"/>
  <c r="Q52" i="11"/>
  <c r="Q53" i="11"/>
  <c r="Q51" i="11"/>
  <c r="G49" i="11"/>
  <c r="AH53" i="11"/>
  <c r="AH51" i="11"/>
  <c r="AH52" i="11"/>
  <c r="AA39" i="11"/>
  <c r="AD40" i="11"/>
  <c r="AE49" i="11"/>
  <c r="Y50" i="11"/>
  <c r="AJ52" i="11"/>
  <c r="AJ51" i="11"/>
  <c r="AJ53" i="11"/>
  <c r="Z39" i="11"/>
  <c r="Z37" i="11"/>
  <c r="Z40" i="11"/>
  <c r="G39" i="11"/>
  <c r="G37" i="11"/>
  <c r="G40" i="11"/>
  <c r="R49" i="11"/>
  <c r="F50" i="11"/>
  <c r="AF42" i="11"/>
  <c r="AF38" i="11"/>
  <c r="AF49" i="11"/>
  <c r="U49" i="11"/>
  <c r="AF50" i="11"/>
  <c r="AD37" i="11"/>
  <c r="S39" i="11"/>
  <c r="S37" i="11"/>
  <c r="S40" i="11"/>
  <c r="R50" i="11"/>
  <c r="I50" i="11"/>
  <c r="X40" i="11"/>
  <c r="O49" i="11"/>
  <c r="AA40" i="11"/>
  <c r="Y40" i="11"/>
  <c r="AJ40" i="11"/>
  <c r="AK49" i="11"/>
  <c r="AA49" i="11"/>
  <c r="AE39" i="11"/>
  <c r="AE37" i="11"/>
  <c r="AE40" i="11"/>
  <c r="F37" i="11"/>
  <c r="N39" i="11"/>
  <c r="T39" i="11"/>
  <c r="AG49" i="11"/>
  <c r="AD49" i="11"/>
  <c r="I49" i="11"/>
  <c r="F49" i="11"/>
  <c r="Y37" i="11"/>
  <c r="H49" i="11"/>
  <c r="X49" i="11"/>
  <c r="AK39" i="11"/>
  <c r="AK37" i="11"/>
  <c r="AK40" i="11"/>
  <c r="T49" i="11"/>
  <c r="L49" i="11"/>
  <c r="S49" i="11"/>
  <c r="Y49" i="11"/>
  <c r="E37" i="11"/>
  <c r="E39" i="11"/>
  <c r="E40" i="11"/>
  <c r="Z49" i="11"/>
  <c r="AD50" i="11"/>
  <c r="H40" i="11"/>
  <c r="H37" i="11"/>
  <c r="H39" i="11"/>
  <c r="M49" i="11"/>
  <c r="V51" i="11" l="1"/>
  <c r="E122" i="14"/>
  <c r="E123" i="14" s="1"/>
  <c r="E53" i="14"/>
  <c r="E77" i="14" s="1"/>
  <c r="E106" i="14"/>
  <c r="E140" i="14" s="1"/>
  <c r="E73" i="14"/>
  <c r="E76" i="14"/>
  <c r="E78" i="14" s="1"/>
  <c r="E74" i="14"/>
  <c r="J42" i="11"/>
  <c r="V53" i="11"/>
  <c r="V54" i="11" s="1"/>
  <c r="V55" i="11" s="1"/>
  <c r="N53" i="11"/>
  <c r="E51" i="11"/>
  <c r="N52" i="11"/>
  <c r="H52" i="11"/>
  <c r="H53" i="11"/>
  <c r="Z52" i="11"/>
  <c r="K52" i="11"/>
  <c r="K53" i="11"/>
  <c r="AB51" i="11"/>
  <c r="AB52" i="11"/>
  <c r="AG52" i="11"/>
  <c r="AG51" i="11"/>
  <c r="O42" i="11"/>
  <c r="E52" i="11"/>
  <c r="AC38" i="11"/>
  <c r="AH42" i="11"/>
  <c r="Z53" i="11"/>
  <c r="AC53" i="11"/>
  <c r="T53" i="11"/>
  <c r="E95" i="11"/>
  <c r="AE51" i="11"/>
  <c r="AC51" i="11"/>
  <c r="J54" i="11"/>
  <c r="J55" i="11" s="1"/>
  <c r="O52" i="11"/>
  <c r="P42" i="11"/>
  <c r="W51" i="11"/>
  <c r="W53" i="11"/>
  <c r="AI38" i="11"/>
  <c r="L38" i="11"/>
  <c r="O51" i="11"/>
  <c r="AE52" i="11"/>
  <c r="AJ42" i="11"/>
  <c r="L53" i="11"/>
  <c r="L52" i="11"/>
  <c r="N42" i="11"/>
  <c r="T52" i="11"/>
  <c r="M38" i="11"/>
  <c r="M42" i="11"/>
  <c r="Q38" i="11"/>
  <c r="M52" i="11"/>
  <c r="Q42" i="11"/>
  <c r="G51" i="11"/>
  <c r="G53" i="11"/>
  <c r="AK51" i="11"/>
  <c r="AA52" i="11"/>
  <c r="AA51" i="11"/>
  <c r="X51" i="11"/>
  <c r="S53" i="11"/>
  <c r="X52" i="11"/>
  <c r="S52" i="11"/>
  <c r="M53" i="11"/>
  <c r="AK53" i="11"/>
  <c r="K42" i="11"/>
  <c r="K38" i="11"/>
  <c r="P53" i="11"/>
  <c r="AI53" i="11"/>
  <c r="P51" i="11"/>
  <c r="R38" i="11"/>
  <c r="AI51" i="11"/>
  <c r="R42" i="11"/>
  <c r="I42" i="11"/>
  <c r="U51" i="11"/>
  <c r="W42" i="11"/>
  <c r="U53" i="11"/>
  <c r="I38" i="11"/>
  <c r="W38" i="11"/>
  <c r="V42" i="11"/>
  <c r="V38" i="11"/>
  <c r="N38" i="11"/>
  <c r="AE42" i="11"/>
  <c r="AE38" i="11"/>
  <c r="R52" i="11"/>
  <c r="R51" i="11"/>
  <c r="R53" i="11"/>
  <c r="Z42" i="11"/>
  <c r="Z38" i="11"/>
  <c r="E42" i="11"/>
  <c r="E38" i="11"/>
  <c r="AK42" i="11"/>
  <c r="AK38" i="11"/>
  <c r="F42" i="11"/>
  <c r="F38" i="11"/>
  <c r="S42" i="11"/>
  <c r="S38" i="11"/>
  <c r="AD42" i="11"/>
  <c r="AD38" i="11"/>
  <c r="AD52" i="11"/>
  <c r="AD53" i="11"/>
  <c r="AD51" i="11"/>
  <c r="I53" i="11"/>
  <c r="I51" i="11"/>
  <c r="I52" i="11"/>
  <c r="AF53" i="11"/>
  <c r="AF51" i="11"/>
  <c r="AF52" i="11"/>
  <c r="F52" i="11"/>
  <c r="F51" i="11"/>
  <c r="F53" i="11"/>
  <c r="Q54" i="11"/>
  <c r="Q55" i="11" s="1"/>
  <c r="H42" i="11"/>
  <c r="H38" i="11"/>
  <c r="Y42" i="11"/>
  <c r="Y38" i="11"/>
  <c r="G42" i="11"/>
  <c r="G38" i="11"/>
  <c r="AJ54" i="11"/>
  <c r="AJ55" i="11" s="1"/>
  <c r="Y52" i="11"/>
  <c r="Y53" i="11"/>
  <c r="Y51" i="11"/>
  <c r="AH54" i="11"/>
  <c r="AH55" i="11" s="1"/>
  <c r="E75" i="14" l="1"/>
  <c r="E79" i="14" s="1"/>
  <c r="E80" i="14" s="1"/>
  <c r="H54" i="11"/>
  <c r="H55" i="11" s="1"/>
  <c r="N54" i="11"/>
  <c r="N55" i="11" s="1"/>
  <c r="E54" i="11"/>
  <c r="E55" i="11" s="1"/>
  <c r="Z54" i="11"/>
  <c r="Z55" i="11" s="1"/>
  <c r="AB54" i="11"/>
  <c r="AB55" i="11" s="1"/>
  <c r="O54" i="11"/>
  <c r="O55" i="11" s="1"/>
  <c r="AG54" i="11"/>
  <c r="AG55" i="11" s="1"/>
  <c r="K54" i="11"/>
  <c r="K55" i="11" s="1"/>
  <c r="AE54" i="11"/>
  <c r="AE55" i="11" s="1"/>
  <c r="E99" i="11"/>
  <c r="E106" i="11"/>
  <c r="E113" i="11" s="1"/>
  <c r="AC54" i="11"/>
  <c r="AC55" i="11" s="1"/>
  <c r="T54" i="11"/>
  <c r="T55" i="11" s="1"/>
  <c r="W54" i="11"/>
  <c r="W55" i="11" s="1"/>
  <c r="L54" i="11"/>
  <c r="L55" i="11" s="1"/>
  <c r="AA54" i="11"/>
  <c r="AA55" i="11" s="1"/>
  <c r="G54" i="11"/>
  <c r="G55" i="11" s="1"/>
  <c r="M54" i="11"/>
  <c r="M55" i="11" s="1"/>
  <c r="AI54" i="11"/>
  <c r="AI55" i="11" s="1"/>
  <c r="AK54" i="11"/>
  <c r="AK55" i="11" s="1"/>
  <c r="X54" i="11"/>
  <c r="X55" i="11" s="1"/>
  <c r="P54" i="11"/>
  <c r="P55" i="11" s="1"/>
  <c r="S54" i="11"/>
  <c r="S55" i="11" s="1"/>
  <c r="U54" i="11"/>
  <c r="U55" i="11" s="1"/>
  <c r="R54" i="11"/>
  <c r="R55" i="11" s="1"/>
  <c r="F54" i="11"/>
  <c r="F55" i="11" s="1"/>
  <c r="Y54" i="11"/>
  <c r="Y55" i="11" s="1"/>
  <c r="AF54" i="11"/>
  <c r="AF55" i="11" s="1"/>
  <c r="I54" i="11"/>
  <c r="I55" i="11" s="1"/>
  <c r="AD54" i="11"/>
  <c r="AD55" i="11" s="1"/>
  <c r="E124" i="14" l="1"/>
  <c r="E142" i="14" s="1"/>
  <c r="E135" i="14"/>
  <c r="E134" i="14"/>
  <c r="E143" i="14" l="1"/>
  <c r="E144" i="14"/>
  <c r="E145" i="14" s="1"/>
  <c r="E58" i="9" l="1"/>
  <c r="E53" i="9"/>
  <c r="E15" i="9"/>
  <c r="E13" i="9" l="1"/>
  <c r="E66" i="9"/>
  <c r="E27" i="9" l="1"/>
  <c r="E33" i="9"/>
  <c r="E22" i="9"/>
  <c r="E25" i="9" s="1"/>
  <c r="E104" i="9" s="1"/>
  <c r="E35" i="9"/>
  <c r="E36" i="9" s="1"/>
  <c r="E16" i="9"/>
  <c r="E34" i="9" s="1"/>
  <c r="E14" i="9"/>
  <c r="E17" i="9"/>
  <c r="E57" i="9"/>
  <c r="E50" i="9"/>
  <c r="E60" i="9"/>
  <c r="E54" i="9"/>
  <c r="E23" i="9" l="1"/>
  <c r="E24" i="9" s="1"/>
  <c r="E87" i="9" s="1"/>
  <c r="E108" i="9"/>
  <c r="E109" i="9"/>
  <c r="E26" i="9"/>
  <c r="E37" i="9"/>
  <c r="E28" i="9" l="1"/>
  <c r="E51" i="9" s="1"/>
  <c r="E52" i="9" s="1"/>
  <c r="E105" i="9"/>
  <c r="E110" i="9" s="1"/>
  <c r="E111" i="9" s="1"/>
  <c r="E116" i="9" s="1"/>
  <c r="E75" i="9"/>
  <c r="E118" i="9" s="1"/>
  <c r="E61" i="9"/>
  <c r="E67" i="9" s="1"/>
  <c r="E74" i="9" s="1"/>
  <c r="E106" i="9" s="1"/>
  <c r="E39" i="9"/>
  <c r="E40" i="9"/>
  <c r="E38" i="9"/>
  <c r="E76" i="9" l="1"/>
  <c r="E141" i="9" s="1"/>
  <c r="E56" i="9"/>
  <c r="E65" i="9" s="1"/>
  <c r="E86" i="9" s="1"/>
  <c r="E88" i="9" s="1"/>
  <c r="E95" i="9" s="1"/>
  <c r="E96" i="9" s="1"/>
  <c r="E97" i="9" s="1"/>
  <c r="E48" i="9"/>
  <c r="E64" i="9" s="1"/>
  <c r="E112" i="9"/>
  <c r="E113" i="9" s="1"/>
  <c r="E148" i="9" s="1"/>
  <c r="E130" i="9"/>
  <c r="E132" i="9" s="1"/>
  <c r="E127" i="9"/>
  <c r="E129" i="9" s="1"/>
  <c r="E131" i="9"/>
  <c r="E133" i="9" s="1"/>
  <c r="E126" i="9"/>
  <c r="E128" i="9" s="1"/>
  <c r="E41" i="9"/>
  <c r="E42" i="9" s="1"/>
  <c r="E80" i="9" s="1"/>
  <c r="E136" i="9" l="1"/>
  <c r="E135" i="9"/>
  <c r="E143" i="9"/>
  <c r="E81" i="9"/>
  <c r="E82" i="9" s="1"/>
  <c r="E122" i="9"/>
  <c r="E123" i="9" s="1"/>
  <c r="E79" i="9"/>
  <c r="E119" i="9" l="1"/>
  <c r="E138" i="9" s="1"/>
  <c r="E150" i="9" s="1"/>
  <c r="E98" i="9"/>
  <c r="E100" i="9" s="1"/>
  <c r="E147" i="9" s="1"/>
  <c r="E91" i="9"/>
  <c r="E144" i="9" s="1"/>
  <c r="E83" i="9"/>
  <c r="E99" i="9" l="1"/>
  <c r="E146" i="9" s="1"/>
  <c r="E137" i="9"/>
  <c r="E149" i="9" s="1"/>
  <c r="E142" i="9"/>
  <c r="E92" i="9"/>
  <c r="E145" i="9" s="1"/>
  <c r="E151" i="9" l="1"/>
  <c r="E152" i="9" s="1"/>
  <c r="E58" i="7" l="1"/>
  <c r="E53" i="7"/>
  <c r="R7" i="7"/>
  <c r="R6" i="7"/>
  <c r="R5" i="7"/>
  <c r="R4" i="7"/>
  <c r="E15" i="7"/>
  <c r="E13" i="7" l="1"/>
  <c r="E35" i="7" s="1"/>
  <c r="E36" i="7" s="1"/>
  <c r="E66" i="7"/>
  <c r="E17" i="7" l="1"/>
  <c r="E109" i="7"/>
  <c r="E14" i="7"/>
  <c r="E108" i="7"/>
  <c r="E16" i="7"/>
  <c r="E34" i="7" s="1"/>
  <c r="E54" i="7"/>
  <c r="E60" i="7"/>
  <c r="E57" i="7"/>
  <c r="E50" i="7"/>
  <c r="E49" i="7"/>
  <c r="E33" i="7"/>
  <c r="E28" i="7"/>
  <c r="E23" i="7"/>
  <c r="E24" i="7" s="1"/>
  <c r="E37" i="7" l="1"/>
  <c r="E39" i="7" s="1"/>
  <c r="E75" i="7"/>
  <c r="E118" i="7" s="1"/>
  <c r="E61" i="7"/>
  <c r="E67" i="7" s="1"/>
  <c r="E74" i="7" s="1"/>
  <c r="E29" i="7"/>
  <c r="E25" i="7"/>
  <c r="E87" i="7" s="1"/>
  <c r="E26" i="7"/>
  <c r="E104" i="7" s="1"/>
  <c r="E105" i="7" s="1"/>
  <c r="E27" i="7"/>
  <c r="E40" i="7" l="1"/>
  <c r="E38" i="7"/>
  <c r="E110" i="7"/>
  <c r="E111" i="7" s="1"/>
  <c r="E116" i="7" s="1"/>
  <c r="E131" i="7" s="1"/>
  <c r="E133" i="7" s="1"/>
  <c r="E76" i="7"/>
  <c r="E141" i="7" s="1"/>
  <c r="E106" i="7"/>
  <c r="E48" i="7"/>
  <c r="E51" i="7"/>
  <c r="E52" i="7" s="1"/>
  <c r="E56" i="7"/>
  <c r="E65" i="7" s="1"/>
  <c r="E86" i="7" s="1"/>
  <c r="E88" i="7" s="1"/>
  <c r="E41" i="7" l="1"/>
  <c r="E42" i="7" s="1"/>
  <c r="E80" i="7" s="1"/>
  <c r="E112" i="7"/>
  <c r="E113" i="7" s="1"/>
  <c r="E148" i="7" s="1"/>
  <c r="E127" i="7"/>
  <c r="E129" i="7" s="1"/>
  <c r="E130" i="7"/>
  <c r="E126" i="7"/>
  <c r="E128" i="7" s="1"/>
  <c r="E95" i="7"/>
  <c r="E96" i="7" s="1"/>
  <c r="E97" i="7" s="1"/>
  <c r="E143" i="7"/>
  <c r="E64" i="7"/>
  <c r="E81" i="7" l="1"/>
  <c r="E82" i="7" s="1"/>
  <c r="E119" i="7" s="1"/>
  <c r="E136" i="7"/>
  <c r="E135" i="7"/>
  <c r="E98" i="7"/>
  <c r="E132" i="7"/>
  <c r="E79" i="7"/>
  <c r="E122" i="7"/>
  <c r="E123" i="7" s="1"/>
  <c r="E137" i="7" l="1"/>
  <c r="E100" i="7"/>
  <c r="E147" i="7" s="1"/>
  <c r="E83" i="7"/>
  <c r="E149" i="7"/>
  <c r="E138" i="7"/>
  <c r="E150" i="7" s="1"/>
  <c r="E91" i="7"/>
  <c r="E144" i="7" s="1"/>
  <c r="E99" i="7"/>
  <c r="E146" i="7" s="1"/>
  <c r="E92" i="7" l="1"/>
  <c r="E145" i="7" s="1"/>
  <c r="E142" i="7"/>
  <c r="E151" i="7" l="1"/>
  <c r="E152" i="7" l="1"/>
  <c r="H68" i="11" l="1"/>
  <c r="G68" i="11" l="1"/>
  <c r="G81" i="11" s="1"/>
  <c r="G83" i="11" s="1"/>
  <c r="G84" i="11" s="1"/>
  <c r="G110" i="11" s="1"/>
  <c r="H72" i="11"/>
  <c r="H73" i="11" s="1"/>
  <c r="H74" i="11" s="1"/>
  <c r="H109" i="11" s="1"/>
  <c r="H81" i="11"/>
  <c r="H89" i="11" s="1"/>
  <c r="H90" i="11" s="1"/>
  <c r="E68" i="11"/>
  <c r="G89" i="11" l="1"/>
  <c r="G90" i="11" s="1"/>
  <c r="G72" i="11"/>
  <c r="G73" i="11" s="1"/>
  <c r="G74" i="11" s="1"/>
  <c r="G109" i="11" s="1"/>
  <c r="H83" i="11"/>
  <c r="H84" i="11" s="1"/>
  <c r="H110" i="11" s="1"/>
  <c r="E72" i="11"/>
  <c r="E73" i="11" s="1"/>
  <c r="E74" i="11" s="1"/>
  <c r="E109" i="11" s="1"/>
  <c r="E81" i="11"/>
  <c r="G92" i="11"/>
  <c r="G112" i="11" s="1"/>
  <c r="G91" i="11"/>
  <c r="G111" i="11" s="1"/>
  <c r="H92" i="11"/>
  <c r="H112" i="11" s="1"/>
  <c r="H91" i="11"/>
  <c r="H111" i="11" s="1"/>
  <c r="E83" i="11" l="1"/>
  <c r="E84" i="11" s="1"/>
  <c r="E110" i="11" s="1"/>
  <c r="E89" i="11"/>
  <c r="E90" i="11" s="1"/>
  <c r="H114" i="11"/>
  <c r="H115" i="11" s="1"/>
  <c r="E114" i="11"/>
  <c r="G114" i="11"/>
  <c r="G115" i="11" s="1"/>
  <c r="E92" i="11" l="1"/>
  <c r="E112" i="11" s="1"/>
  <c r="E91" i="11"/>
  <c r="E111" i="11" s="1"/>
  <c r="E115" i="11"/>
  <c r="F68" i="11" l="1"/>
  <c r="F72" i="11" s="1"/>
  <c r="F73" i="11" s="1"/>
  <c r="F74" i="11" s="1"/>
  <c r="F109" i="11" s="1"/>
  <c r="F81" i="11" l="1"/>
  <c r="F83" i="11" s="1"/>
  <c r="F84" i="11" s="1"/>
  <c r="F110" i="11" s="1"/>
  <c r="F89" i="11" l="1"/>
  <c r="F90" i="11" s="1"/>
  <c r="F92" i="11" s="1"/>
  <c r="F112" i="11" s="1"/>
  <c r="I68" i="11"/>
  <c r="F91" i="11" l="1"/>
  <c r="F111" i="11" s="1"/>
  <c r="K68" i="11"/>
  <c r="I72" i="11"/>
  <c r="I73" i="11" s="1"/>
  <c r="I74" i="11" s="1"/>
  <c r="I109" i="11" s="1"/>
  <c r="I81" i="11"/>
  <c r="F114" i="11"/>
  <c r="F115" i="11" s="1"/>
  <c r="K81" i="11" l="1"/>
  <c r="K83" i="11" s="1"/>
  <c r="K84" i="11" s="1"/>
  <c r="K110" i="11" s="1"/>
  <c r="K72" i="11"/>
  <c r="K73" i="11" s="1"/>
  <c r="K74" i="11" s="1"/>
  <c r="K109" i="11" s="1"/>
  <c r="I83" i="11"/>
  <c r="I84" i="11" s="1"/>
  <c r="I110" i="11" s="1"/>
  <c r="I89" i="11"/>
  <c r="I90" i="11" s="1"/>
  <c r="K89" i="11"/>
  <c r="K90" i="11" s="1"/>
  <c r="L68" i="11" l="1"/>
  <c r="L72" i="11" s="1"/>
  <c r="L73" i="11" s="1"/>
  <c r="L74" i="11" s="1"/>
  <c r="L109" i="11" s="1"/>
  <c r="J68" i="11"/>
  <c r="J81" i="11" s="1"/>
  <c r="J83" i="11" s="1"/>
  <c r="J84" i="11" s="1"/>
  <c r="J110" i="11" s="1"/>
  <c r="L81" i="11"/>
  <c r="L83" i="11" s="1"/>
  <c r="L84" i="11" s="1"/>
  <c r="L110" i="11" s="1"/>
  <c r="I92" i="11"/>
  <c r="I112" i="11" s="1"/>
  <c r="I91" i="11"/>
  <c r="I111" i="11" s="1"/>
  <c r="I114" i="11" s="1"/>
  <c r="K91" i="11"/>
  <c r="K111" i="11" s="1"/>
  <c r="K92" i="11"/>
  <c r="K112" i="11" s="1"/>
  <c r="J72" i="11" l="1"/>
  <c r="J73" i="11" s="1"/>
  <c r="J74" i="11" s="1"/>
  <c r="J109" i="11" s="1"/>
  <c r="J89" i="11"/>
  <c r="J90" i="11" s="1"/>
  <c r="J91" i="11" s="1"/>
  <c r="J111" i="11" s="1"/>
  <c r="L89" i="11"/>
  <c r="L90" i="11" s="1"/>
  <c r="L92" i="11" s="1"/>
  <c r="L112" i="11" s="1"/>
  <c r="N68" i="11"/>
  <c r="I115" i="11"/>
  <c r="O68" i="11"/>
  <c r="M68" i="11"/>
  <c r="K114" i="11"/>
  <c r="L91" i="11" l="1"/>
  <c r="L111" i="11" s="1"/>
  <c r="J92" i="11"/>
  <c r="J112" i="11" s="1"/>
  <c r="N72" i="11"/>
  <c r="N73" i="11" s="1"/>
  <c r="N74" i="11" s="1"/>
  <c r="N109" i="11" s="1"/>
  <c r="N81" i="11"/>
  <c r="O72" i="11"/>
  <c r="O73" i="11" s="1"/>
  <c r="O74" i="11" s="1"/>
  <c r="O109" i="11" s="1"/>
  <c r="O81" i="11"/>
  <c r="M72" i="11"/>
  <c r="M73" i="11" s="1"/>
  <c r="M74" i="11" s="1"/>
  <c r="M109" i="11" s="1"/>
  <c r="M81" i="11"/>
  <c r="L114" i="11"/>
  <c r="L115" i="11" s="1"/>
  <c r="K115" i="11"/>
  <c r="J114" i="11"/>
  <c r="M89" i="11" l="1"/>
  <c r="M90" i="11" s="1"/>
  <c r="M83" i="11"/>
  <c r="M84" i="11" s="1"/>
  <c r="M110" i="11" s="1"/>
  <c r="P68" i="11"/>
  <c r="O83" i="11"/>
  <c r="O84" i="11" s="1"/>
  <c r="O110" i="11" s="1"/>
  <c r="O89" i="11"/>
  <c r="O90" i="11" s="1"/>
  <c r="R68" i="11"/>
  <c r="N89" i="11"/>
  <c r="N90" i="11" s="1"/>
  <c r="N83" i="11"/>
  <c r="N84" i="11" s="1"/>
  <c r="N110" i="11" s="1"/>
  <c r="Q68" i="11"/>
  <c r="J115" i="11"/>
  <c r="O91" i="11" l="1"/>
  <c r="O111" i="11" s="1"/>
  <c r="O92" i="11"/>
  <c r="O112" i="11" s="1"/>
  <c r="O114" i="11" s="1"/>
  <c r="N92" i="11"/>
  <c r="N112" i="11" s="1"/>
  <c r="N91" i="11"/>
  <c r="N111" i="11" s="1"/>
  <c r="M92" i="11"/>
  <c r="M112" i="11" s="1"/>
  <c r="M91" i="11"/>
  <c r="M111" i="11" s="1"/>
  <c r="Q81" i="11"/>
  <c r="Q72" i="11"/>
  <c r="Q73" i="11" s="1"/>
  <c r="Q74" i="11" s="1"/>
  <c r="Q109" i="11" s="1"/>
  <c r="R81" i="11"/>
  <c r="R72" i="11"/>
  <c r="R73" i="11" s="1"/>
  <c r="R74" i="11" s="1"/>
  <c r="R109" i="11" s="1"/>
  <c r="P72" i="11"/>
  <c r="P73" i="11" s="1"/>
  <c r="P74" i="11" s="1"/>
  <c r="P109" i="11" s="1"/>
  <c r="P81" i="11"/>
  <c r="N114" i="11" l="1"/>
  <c r="M114" i="11"/>
  <c r="M115" i="11" s="1"/>
  <c r="T68" i="11"/>
  <c r="R83" i="11"/>
  <c r="R84" i="11" s="1"/>
  <c r="R110" i="11" s="1"/>
  <c r="R89" i="11"/>
  <c r="R90" i="11" s="1"/>
  <c r="U68" i="11"/>
  <c r="O115" i="11"/>
  <c r="Q89" i="11"/>
  <c r="Q90" i="11" s="1"/>
  <c r="Q83" i="11"/>
  <c r="Q84" i="11" s="1"/>
  <c r="Q110" i="11" s="1"/>
  <c r="P89" i="11"/>
  <c r="P90" i="11" s="1"/>
  <c r="P83" i="11"/>
  <c r="P84" i="11" s="1"/>
  <c r="P110" i="11" s="1"/>
  <c r="S68" i="11"/>
  <c r="N115" i="11" l="1"/>
  <c r="R92" i="11"/>
  <c r="R112" i="11" s="1"/>
  <c r="R91" i="11"/>
  <c r="R111" i="11" s="1"/>
  <c r="R114" i="11" s="1"/>
  <c r="P91" i="11"/>
  <c r="P111" i="11" s="1"/>
  <c r="P92" i="11"/>
  <c r="P112" i="11" s="1"/>
  <c r="S72" i="11"/>
  <c r="S73" i="11" s="1"/>
  <c r="S74" i="11" s="1"/>
  <c r="S109" i="11" s="1"/>
  <c r="S81" i="11"/>
  <c r="U81" i="11"/>
  <c r="U72" i="11"/>
  <c r="U73" i="11" s="1"/>
  <c r="U74" i="11" s="1"/>
  <c r="U109" i="11" s="1"/>
  <c r="T72" i="11"/>
  <c r="T73" i="11" s="1"/>
  <c r="T74" i="11" s="1"/>
  <c r="T109" i="11" s="1"/>
  <c r="T81" i="11"/>
  <c r="Q91" i="11"/>
  <c r="Q111" i="11" s="1"/>
  <c r="Q92" i="11"/>
  <c r="Q112" i="11" s="1"/>
  <c r="Q114" i="11" l="1"/>
  <c r="Q115" i="11" s="1"/>
  <c r="P114" i="11"/>
  <c r="P115" i="11" s="1"/>
  <c r="T83" i="11"/>
  <c r="T84" i="11" s="1"/>
  <c r="T110" i="11" s="1"/>
  <c r="T89" i="11"/>
  <c r="T90" i="11" s="1"/>
  <c r="W68" i="11"/>
  <c r="V68" i="11"/>
  <c r="X68" i="11"/>
  <c r="R115" i="11"/>
  <c r="U89" i="11"/>
  <c r="U90" i="11" s="1"/>
  <c r="U83" i="11"/>
  <c r="U84" i="11" s="1"/>
  <c r="U110" i="11" s="1"/>
  <c r="S89" i="11"/>
  <c r="S90" i="11" s="1"/>
  <c r="S83" i="11"/>
  <c r="S84" i="11" s="1"/>
  <c r="S110" i="11" s="1"/>
  <c r="W72" i="11" l="1"/>
  <c r="W73" i="11" s="1"/>
  <c r="W74" i="11" s="1"/>
  <c r="W109" i="11" s="1"/>
  <c r="W81" i="11"/>
  <c r="S92" i="11"/>
  <c r="S112" i="11" s="1"/>
  <c r="S91" i="11"/>
  <c r="S111" i="11" s="1"/>
  <c r="S114" i="11" s="1"/>
  <c r="X72" i="11"/>
  <c r="X73" i="11" s="1"/>
  <c r="X74" i="11" s="1"/>
  <c r="X109" i="11" s="1"/>
  <c r="X81" i="11"/>
  <c r="V81" i="11"/>
  <c r="V72" i="11"/>
  <c r="V73" i="11" s="1"/>
  <c r="V74" i="11" s="1"/>
  <c r="V109" i="11" s="1"/>
  <c r="T92" i="11"/>
  <c r="T112" i="11" s="1"/>
  <c r="T91" i="11"/>
  <c r="T111" i="11" s="1"/>
  <c r="T114" i="11" s="1"/>
  <c r="U92" i="11"/>
  <c r="U112" i="11" s="1"/>
  <c r="U91" i="11"/>
  <c r="U111" i="11" s="1"/>
  <c r="U114" i="11" l="1"/>
  <c r="U115" i="11" s="1"/>
  <c r="S115" i="11"/>
  <c r="T115" i="11"/>
  <c r="W89" i="11"/>
  <c r="W90" i="11" s="1"/>
  <c r="W83" i="11"/>
  <c r="W84" i="11" s="1"/>
  <c r="W110" i="11" s="1"/>
  <c r="Z68" i="11"/>
  <c r="Y68" i="11"/>
  <c r="V89" i="11"/>
  <c r="V90" i="11" s="1"/>
  <c r="V83" i="11"/>
  <c r="V84" i="11" s="1"/>
  <c r="V110" i="11" s="1"/>
  <c r="X83" i="11"/>
  <c r="X84" i="11" s="1"/>
  <c r="X110" i="11" s="1"/>
  <c r="X89" i="11"/>
  <c r="X90" i="11" s="1"/>
  <c r="AA68" i="11"/>
  <c r="AC68" i="11" l="1"/>
  <c r="Z72" i="11"/>
  <c r="Z73" i="11" s="1"/>
  <c r="Z74" i="11" s="1"/>
  <c r="Z109" i="11" s="1"/>
  <c r="Z81" i="11"/>
  <c r="AA72" i="11"/>
  <c r="AA73" i="11" s="1"/>
  <c r="AA74" i="11" s="1"/>
  <c r="AA109" i="11" s="1"/>
  <c r="AA81" i="11"/>
  <c r="V91" i="11"/>
  <c r="V111" i="11" s="1"/>
  <c r="V92" i="11"/>
  <c r="V112" i="11" s="1"/>
  <c r="X91" i="11"/>
  <c r="X111" i="11" s="1"/>
  <c r="X92" i="11"/>
  <c r="X112" i="11" s="1"/>
  <c r="Y81" i="11"/>
  <c r="Y72" i="11"/>
  <c r="Y73" i="11" s="1"/>
  <c r="Y74" i="11" s="1"/>
  <c r="Y109" i="11" s="1"/>
  <c r="AB68" i="11"/>
  <c r="W91" i="11"/>
  <c r="W111" i="11" s="1"/>
  <c r="W92" i="11"/>
  <c r="W112" i="11" s="1"/>
  <c r="W114" i="11" l="1"/>
  <c r="W115" i="11" s="1"/>
  <c r="X114" i="11"/>
  <c r="X115" i="11"/>
  <c r="AE68" i="11"/>
  <c r="AD68" i="11"/>
  <c r="AB72" i="11"/>
  <c r="AB73" i="11" s="1"/>
  <c r="AB74" i="11" s="1"/>
  <c r="AB109" i="11" s="1"/>
  <c r="AB81" i="11"/>
  <c r="V114" i="11"/>
  <c r="AC72" i="11"/>
  <c r="AC73" i="11" s="1"/>
  <c r="AC74" i="11" s="1"/>
  <c r="AC109" i="11" s="1"/>
  <c r="AC81" i="11"/>
  <c r="AA83" i="11"/>
  <c r="AA84" i="11" s="1"/>
  <c r="AA110" i="11" s="1"/>
  <c r="AA89" i="11"/>
  <c r="AA90" i="11" s="1"/>
  <c r="Y89" i="11"/>
  <c r="Y90" i="11" s="1"/>
  <c r="Y83" i="11"/>
  <c r="Y84" i="11" s="1"/>
  <c r="Y110" i="11" s="1"/>
  <c r="Z83" i="11"/>
  <c r="Z84" i="11" s="1"/>
  <c r="Z110" i="11" s="1"/>
  <c r="Z89" i="11"/>
  <c r="Z90" i="11" s="1"/>
  <c r="Z91" i="11" l="1"/>
  <c r="Z111" i="11" s="1"/>
  <c r="Z92" i="11"/>
  <c r="Z112" i="11" s="1"/>
  <c r="AA91" i="11"/>
  <c r="AA111" i="11" s="1"/>
  <c r="AA92" i="11"/>
  <c r="AA112" i="11" s="1"/>
  <c r="AB89" i="11"/>
  <c r="AB90" i="11" s="1"/>
  <c r="AB83" i="11"/>
  <c r="AB84" i="11" s="1"/>
  <c r="AB110" i="11" s="1"/>
  <c r="AG68" i="11"/>
  <c r="AC83" i="11"/>
  <c r="AC84" i="11" s="1"/>
  <c r="AC110" i="11" s="1"/>
  <c r="AC89" i="11"/>
  <c r="AC90" i="11" s="1"/>
  <c r="AD72" i="11"/>
  <c r="AD73" i="11" s="1"/>
  <c r="AD74" i="11" s="1"/>
  <c r="AD109" i="11" s="1"/>
  <c r="AD81" i="11"/>
  <c r="Y91" i="11"/>
  <c r="Y111" i="11" s="1"/>
  <c r="Y92" i="11"/>
  <c r="Y112" i="11" s="1"/>
  <c r="AE72" i="11"/>
  <c r="AE73" i="11" s="1"/>
  <c r="AE74" i="11" s="1"/>
  <c r="AE109" i="11" s="1"/>
  <c r="AE81" i="11"/>
  <c r="AF68" i="11"/>
  <c r="V115" i="11"/>
  <c r="AA114" i="11" l="1"/>
  <c r="AA115" i="11" s="1"/>
  <c r="AJ68" i="11"/>
  <c r="AI68" i="11"/>
  <c r="Y114" i="11"/>
  <c r="AG72" i="11"/>
  <c r="AG73" i="11" s="1"/>
  <c r="AG74" i="11" s="1"/>
  <c r="AG109" i="11" s="1"/>
  <c r="AG81" i="11"/>
  <c r="AF72" i="11"/>
  <c r="AF73" i="11" s="1"/>
  <c r="AF74" i="11" s="1"/>
  <c r="AF109" i="11" s="1"/>
  <c r="AF81" i="11"/>
  <c r="AD83" i="11"/>
  <c r="AD84" i="11" s="1"/>
  <c r="AD110" i="11" s="1"/>
  <c r="AD89" i="11"/>
  <c r="AD90" i="11" s="1"/>
  <c r="Z114" i="11"/>
  <c r="AE83" i="11"/>
  <c r="AE84" i="11" s="1"/>
  <c r="AE110" i="11" s="1"/>
  <c r="AE89" i="11"/>
  <c r="AE90" i="11" s="1"/>
  <c r="AH68" i="11"/>
  <c r="AC91" i="11"/>
  <c r="AC111" i="11" s="1"/>
  <c r="AC92" i="11"/>
  <c r="AC112" i="11" s="1"/>
  <c r="AB91" i="11"/>
  <c r="AB111" i="11" s="1"/>
  <c r="AB92" i="11"/>
  <c r="AB112" i="11" s="1"/>
  <c r="AB114" i="11" l="1"/>
  <c r="AF89" i="11"/>
  <c r="AF90" i="11" s="1"/>
  <c r="AF83" i="11"/>
  <c r="AF84" i="11" s="1"/>
  <c r="AF110" i="11" s="1"/>
  <c r="AI72" i="11"/>
  <c r="AI73" i="11" s="1"/>
  <c r="AI74" i="11" s="1"/>
  <c r="AI109" i="11" s="1"/>
  <c r="AI81" i="11"/>
  <c r="AE91" i="11"/>
  <c r="AE111" i="11" s="1"/>
  <c r="AE92" i="11"/>
  <c r="AE112" i="11" s="1"/>
  <c r="AC114" i="11"/>
  <c r="AG89" i="11"/>
  <c r="AG90" i="11" s="1"/>
  <c r="AG83" i="11"/>
  <c r="AG84" i="11" s="1"/>
  <c r="AG110" i="11" s="1"/>
  <c r="AJ72" i="11"/>
  <c r="AJ73" i="11" s="1"/>
  <c r="AJ74" i="11" s="1"/>
  <c r="AJ109" i="11" s="1"/>
  <c r="AJ81" i="11"/>
  <c r="Z115" i="11"/>
  <c r="AH72" i="11"/>
  <c r="AH73" i="11" s="1"/>
  <c r="AH74" i="11" s="1"/>
  <c r="AH109" i="11" s="1"/>
  <c r="AH81" i="11"/>
  <c r="AD91" i="11"/>
  <c r="AD111" i="11" s="1"/>
  <c r="AD92" i="11"/>
  <c r="AD112" i="11" s="1"/>
  <c r="Y115" i="11"/>
  <c r="AK68" i="11"/>
  <c r="AB115" i="11" l="1"/>
  <c r="AE114" i="11"/>
  <c r="AE115" i="11" s="1"/>
  <c r="AC115" i="11"/>
  <c r="AF92" i="11"/>
  <c r="AF112" i="11" s="1"/>
  <c r="AF91" i="11"/>
  <c r="AF111" i="11" s="1"/>
  <c r="AD114" i="11"/>
  <c r="AJ89" i="11"/>
  <c r="AJ90" i="11" s="1"/>
  <c r="AJ83" i="11"/>
  <c r="AJ84" i="11" s="1"/>
  <c r="AJ110" i="11" s="1"/>
  <c r="AH89" i="11"/>
  <c r="AH90" i="11" s="1"/>
  <c r="AH83" i="11"/>
  <c r="AH84" i="11" s="1"/>
  <c r="AH110" i="11" s="1"/>
  <c r="AK72" i="11"/>
  <c r="AK73" i="11" s="1"/>
  <c r="AK74" i="11" s="1"/>
  <c r="AK109" i="11" s="1"/>
  <c r="AK81" i="11"/>
  <c r="AI89" i="11"/>
  <c r="AI90" i="11" s="1"/>
  <c r="AI83" i="11"/>
  <c r="AI84" i="11" s="1"/>
  <c r="AI110" i="11" s="1"/>
  <c r="AG92" i="11"/>
  <c r="AG112" i="11" s="1"/>
  <c r="AG91" i="11"/>
  <c r="AG111" i="11" s="1"/>
  <c r="AG114" i="11" l="1"/>
  <c r="AF114" i="11"/>
  <c r="AF115" i="11" s="1"/>
  <c r="AK83" i="11"/>
  <c r="AK84" i="11" s="1"/>
  <c r="AK110" i="11" s="1"/>
  <c r="AK89" i="11"/>
  <c r="AK90" i="11" s="1"/>
  <c r="AJ92" i="11"/>
  <c r="AJ112" i="11" s="1"/>
  <c r="AJ91" i="11"/>
  <c r="AJ111" i="11" s="1"/>
  <c r="AD115" i="11"/>
  <c r="AI91" i="11"/>
  <c r="AI111" i="11" s="1"/>
  <c r="AI92" i="11"/>
  <c r="AI112" i="11" s="1"/>
  <c r="AH91" i="11"/>
  <c r="AH111" i="11" s="1"/>
  <c r="AH92" i="11"/>
  <c r="AH112" i="11" s="1"/>
  <c r="AG115" i="11" l="1"/>
  <c r="AJ114" i="11"/>
  <c r="AJ115" i="11" s="1"/>
  <c r="AK91" i="11"/>
  <c r="AK111" i="11" s="1"/>
  <c r="AK92" i="11"/>
  <c r="AK112" i="11" s="1"/>
  <c r="AH114" i="11"/>
  <c r="AI114" i="11"/>
  <c r="AH115" i="11" l="1"/>
  <c r="AK114" i="11"/>
  <c r="AI115" i="11"/>
  <c r="AK115" i="11" l="1"/>
</calcChain>
</file>

<file path=xl/sharedStrings.xml><?xml version="1.0" encoding="utf-8"?>
<sst xmlns="http://schemas.openxmlformats.org/spreadsheetml/2006/main" count="1339" uniqueCount="519">
  <si>
    <t>lengte</t>
  </si>
  <si>
    <t>[m]</t>
  </si>
  <si>
    <t>type</t>
  </si>
  <si>
    <t>[kN]</t>
  </si>
  <si>
    <t>Project</t>
  </si>
  <si>
    <t>diameter</t>
  </si>
  <si>
    <t>wanddikte</t>
  </si>
  <si>
    <t>A</t>
  </si>
  <si>
    <t>G</t>
  </si>
  <si>
    <r>
      <t>a</t>
    </r>
    <r>
      <rPr>
        <vertAlign val="subscript"/>
        <sz val="10"/>
        <rFont val="Arial"/>
        <family val="2"/>
      </rPr>
      <t>s</t>
    </r>
  </si>
  <si>
    <t>[1/°C]</t>
  </si>
  <si>
    <r>
      <t>D</t>
    </r>
    <r>
      <rPr>
        <sz val="10"/>
        <rFont val="Arial"/>
        <family val="2"/>
      </rPr>
      <t>T</t>
    </r>
  </si>
  <si>
    <t>[°C]</t>
  </si>
  <si>
    <t>Wpl</t>
  </si>
  <si>
    <t>I</t>
  </si>
  <si>
    <r>
      <t xml:space="preserve">Imperfectiefactor </t>
    </r>
    <r>
      <rPr>
        <sz val="10"/>
        <rFont val="Symbol"/>
        <family val="1"/>
        <charset val="2"/>
      </rPr>
      <t>a</t>
    </r>
  </si>
  <si>
    <t>F</t>
  </si>
  <si>
    <r>
      <t>l</t>
    </r>
    <r>
      <rPr>
        <vertAlign val="subscript"/>
        <sz val="10"/>
        <rFont val="Arial"/>
        <family val="2"/>
      </rPr>
      <t>rel</t>
    </r>
  </si>
  <si>
    <t>c</t>
  </si>
  <si>
    <t>Y</t>
  </si>
  <si>
    <r>
      <t>C</t>
    </r>
    <r>
      <rPr>
        <vertAlign val="subscript"/>
        <sz val="10"/>
        <rFont val="Arial"/>
        <family val="2"/>
      </rPr>
      <t>my</t>
    </r>
  </si>
  <si>
    <t>UGT</t>
  </si>
  <si>
    <t>BGT</t>
  </si>
  <si>
    <t>gording</t>
  </si>
  <si>
    <t>Wel</t>
  </si>
  <si>
    <t>hoogte</t>
  </si>
  <si>
    <t>a</t>
  </si>
  <si>
    <t>b</t>
  </si>
  <si>
    <t>Opdrachtgever</t>
  </si>
  <si>
    <t>Datum</t>
  </si>
  <si>
    <t>staalkwaliteit</t>
  </si>
  <si>
    <t>u.c.</t>
  </si>
  <si>
    <t>Berekening stempel, buisprofiel</t>
  </si>
  <si>
    <t>Hektec werknr.</t>
  </si>
  <si>
    <t>Lokatie</t>
  </si>
  <si>
    <t>Eigenschappen stalen buisprofiel</t>
  </si>
  <si>
    <t>Materiaal</t>
  </si>
  <si>
    <t>De staalsoort betreft:</t>
  </si>
  <si>
    <t>Nominale waarde vloeigrens</t>
  </si>
  <si>
    <t>Nominale waarde trekgrens</t>
  </si>
  <si>
    <t>Elasticiteitsmodules</t>
  </si>
  <si>
    <r>
      <t xml:space="preserve">e </t>
    </r>
    <r>
      <rPr>
        <sz val="10"/>
        <rFont val="Arial"/>
        <family val="2"/>
      </rPr>
      <t>=(235/f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</t>
    </r>
    <r>
      <rPr>
        <sz val="10"/>
        <rFont val="Arial"/>
        <family val="2"/>
      </rPr>
      <t xml:space="preserve"> =</t>
    </r>
  </si>
  <si>
    <t>Profiel</t>
  </si>
  <si>
    <r>
      <t>d</t>
    </r>
    <r>
      <rPr>
        <vertAlign val="subscript"/>
        <sz val="10"/>
        <rFont val="Arial"/>
        <family val="2"/>
      </rPr>
      <t>uitwendig</t>
    </r>
  </si>
  <si>
    <t>t</t>
  </si>
  <si>
    <r>
      <t>d</t>
    </r>
    <r>
      <rPr>
        <vertAlign val="subscript"/>
        <sz val="10"/>
        <rFont val="Arial"/>
        <family val="2"/>
      </rPr>
      <t>inwendig</t>
    </r>
  </si>
  <si>
    <t xml:space="preserve">A </t>
  </si>
  <si>
    <r>
      <t>A</t>
    </r>
    <r>
      <rPr>
        <vertAlign val="subscript"/>
        <sz val="10"/>
        <rFont val="Arial"/>
        <family val="2"/>
      </rPr>
      <t>v</t>
    </r>
  </si>
  <si>
    <r>
      <t>W</t>
    </r>
    <r>
      <rPr>
        <vertAlign val="subscript"/>
        <sz val="10"/>
        <rFont val="Arial"/>
        <family val="2"/>
      </rPr>
      <t>el</t>
    </r>
  </si>
  <si>
    <r>
      <t>W</t>
    </r>
    <r>
      <rPr>
        <vertAlign val="subscript"/>
        <sz val="10"/>
        <rFont val="Arial"/>
        <family val="2"/>
      </rPr>
      <t>pl</t>
    </r>
  </si>
  <si>
    <t>Classificatie van de doorsnede</t>
  </si>
  <si>
    <t>d/t</t>
  </si>
  <si>
    <r>
      <t>e</t>
    </r>
    <r>
      <rPr>
        <vertAlign val="superscript"/>
        <sz val="10"/>
        <rFont val="Symbol"/>
        <family val="1"/>
        <charset val="2"/>
      </rPr>
      <t>2</t>
    </r>
  </si>
  <si>
    <t>Doorsnedeklasse</t>
  </si>
  <si>
    <t>Algemene uitgangspunten</t>
  </si>
  <si>
    <t>Kniklengte stempel</t>
  </si>
  <si>
    <r>
      <t>g</t>
    </r>
    <r>
      <rPr>
        <vertAlign val="subscript"/>
        <sz val="8"/>
        <rFont val="Arial"/>
        <family val="2"/>
      </rPr>
      <t>stempel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</si>
  <si>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eg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</si>
  <si>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Q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</si>
  <si>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temp</t>
    </r>
    <r>
      <rPr>
        <sz val="8"/>
        <rFont val="Arial"/>
      </rPr>
      <t>=</t>
    </r>
  </si>
  <si>
    <t>Belastingen</t>
  </si>
  <si>
    <t>Normaalkracht (excl. gaten)</t>
  </si>
  <si>
    <t>Optredende snedekrachten</t>
  </si>
  <si>
    <r>
      <t>M</t>
    </r>
    <r>
      <rPr>
        <vertAlign val="subscript"/>
        <sz val="10"/>
        <rFont val="Arial"/>
        <family val="2"/>
      </rPr>
      <t>rep.a.g.v. eigengewicht</t>
    </r>
  </si>
  <si>
    <r>
      <t>M</t>
    </r>
    <r>
      <rPr>
        <vertAlign val="subscript"/>
        <sz val="10"/>
        <rFont val="Arial"/>
        <family val="2"/>
      </rPr>
      <t>rep.a.g.v. 1 kN/m</t>
    </r>
  </si>
  <si>
    <r>
      <t>D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rep.a.g.v. doorbuiging 2e orde</t>
    </r>
  </si>
  <si>
    <r>
      <t>d</t>
    </r>
    <r>
      <rPr>
        <vertAlign val="subscript"/>
        <sz val="10"/>
        <rFont val="Arial"/>
        <family val="2"/>
      </rPr>
      <t>eigengewcht</t>
    </r>
  </si>
  <si>
    <r>
      <t>D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rep.a.g.v. excentriciteit</t>
    </r>
  </si>
  <si>
    <r>
      <t>V</t>
    </r>
    <r>
      <rPr>
        <vertAlign val="subscript"/>
        <sz val="10"/>
        <rFont val="Arial"/>
        <family val="2"/>
      </rPr>
      <t>rep.a.g.v. eigengewicht</t>
    </r>
  </si>
  <si>
    <r>
      <t>V</t>
    </r>
    <r>
      <rPr>
        <vertAlign val="subscript"/>
        <sz val="10"/>
        <rFont val="Arial"/>
        <family val="2"/>
      </rPr>
      <t>rep.a.g.v. 1 kN/m</t>
    </r>
  </si>
  <si>
    <r>
      <t>N</t>
    </r>
    <r>
      <rPr>
        <vertAlign val="subscript"/>
        <sz val="10"/>
        <rFont val="Arial"/>
        <family val="2"/>
      </rPr>
      <t>rep</t>
    </r>
  </si>
  <si>
    <r>
      <t>D</t>
    </r>
    <r>
      <rPr>
        <sz val="10"/>
        <rFont val="Arial"/>
      </rPr>
      <t>N</t>
    </r>
    <r>
      <rPr>
        <vertAlign val="subscript"/>
        <sz val="10"/>
        <rFont val="Arial"/>
        <family val="2"/>
      </rPr>
      <t>T,rep.</t>
    </r>
  </si>
  <si>
    <t>Rekenwaarde alle snedekrachten</t>
  </si>
  <si>
    <r>
      <t>M</t>
    </r>
    <r>
      <rPr>
        <vertAlign val="subscript"/>
        <sz val="10"/>
        <rFont val="Arial"/>
        <family val="2"/>
      </rPr>
      <t>Ed midden</t>
    </r>
  </si>
  <si>
    <r>
      <t>V</t>
    </r>
    <r>
      <rPr>
        <vertAlign val="subscript"/>
        <sz val="10"/>
        <rFont val="Arial"/>
        <family val="2"/>
      </rPr>
      <t>Ed kop</t>
    </r>
  </si>
  <si>
    <r>
      <t>V</t>
    </r>
    <r>
      <rPr>
        <vertAlign val="subscript"/>
        <sz val="10"/>
        <rFont val="Arial"/>
        <family val="2"/>
      </rPr>
      <t>Ed midden</t>
    </r>
  </si>
  <si>
    <r>
      <t>N</t>
    </r>
    <r>
      <rPr>
        <vertAlign val="subscript"/>
        <sz val="10"/>
        <rFont val="Arial"/>
        <family val="2"/>
      </rPr>
      <t>Ed druk</t>
    </r>
  </si>
  <si>
    <t>Toetsing van de doorsnede</t>
  </si>
  <si>
    <t>Partiële factor</t>
  </si>
  <si>
    <t>Toetsing axiale trek/druk</t>
  </si>
  <si>
    <t>Rek. normaalkracht</t>
  </si>
  <si>
    <t>Rek. weerstand tegen druk/trek</t>
  </si>
  <si>
    <t>Toetsing buigend moment</t>
  </si>
  <si>
    <t>Rek. buigend moment</t>
  </si>
  <si>
    <t>Doorsnede classificatie</t>
  </si>
  <si>
    <t>Rek. weerstand tegen moment</t>
  </si>
  <si>
    <t>Toetsing dwarskracht</t>
  </si>
  <si>
    <t>Rek. dwarskracht</t>
  </si>
  <si>
    <t>Rek. dwarskracht vloeien</t>
  </si>
  <si>
    <t>Toetsing buiging en normaalkracht</t>
  </si>
  <si>
    <t>Toetsing buiging, dwarskracht en normaalkracht</t>
  </si>
  <si>
    <t>Toetsing van de stabiliteit</t>
  </si>
  <si>
    <t>Toetsing knikstabiliteit</t>
  </si>
  <si>
    <t>Toetsing op buiging en druk belast</t>
  </si>
  <si>
    <t>Tabel B.3</t>
  </si>
  <si>
    <t>Controle overzicht toetsen</t>
  </si>
  <si>
    <t>Toetsing axiale druk</t>
  </si>
  <si>
    <t xml:space="preserve">Excentriciteit aansluiting </t>
  </si>
  <si>
    <t>tabel 3.1 NEN-EN 1993-1-1</t>
  </si>
  <si>
    <t>par. 3.2.6 NEN-EN 1993-1-1</t>
  </si>
  <si>
    <t>tabel 5.2 NEN-EN 1993-1-1</t>
  </si>
  <si>
    <t>par. 6.3.1.3 NEN-EN 1993-1-1</t>
  </si>
  <si>
    <t>S</t>
  </si>
  <si>
    <r>
      <t>f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:</t>
    </r>
  </si>
  <si>
    <r>
      <t>f</t>
    </r>
    <r>
      <rPr>
        <vertAlign val="subscript"/>
        <sz val="10"/>
        <rFont val="Arial"/>
        <family val="2"/>
      </rPr>
      <t>u</t>
    </r>
    <r>
      <rPr>
        <sz val="10"/>
        <rFont val="Arial"/>
      </rPr>
      <t>:</t>
    </r>
  </si>
  <si>
    <t>E:</t>
  </si>
  <si>
    <t>[-]</t>
  </si>
  <si>
    <t>[N/mm²]</t>
  </si>
  <si>
    <t>staafnummer</t>
  </si>
  <si>
    <r>
      <t>l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=p</t>
    </r>
    <r>
      <rPr>
        <sz val="10"/>
        <rFont val="Arial"/>
        <family val="2"/>
      </rPr>
      <t>*</t>
    </r>
    <r>
      <rPr>
        <sz val="10"/>
        <rFont val="Calibri"/>
        <family val="2"/>
      </rPr>
      <t>√</t>
    </r>
    <r>
      <rPr>
        <sz val="10"/>
        <rFont val="Arial"/>
        <family val="2"/>
      </rPr>
      <t>(E/f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 =</t>
    </r>
  </si>
  <si>
    <t>[mm]</t>
  </si>
  <si>
    <r>
      <t>[mm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]</t>
    </r>
  </si>
  <si>
    <r>
      <t>[mm</t>
    </r>
    <r>
      <rPr>
        <vertAlign val="superscript"/>
        <sz val="10"/>
        <rFont val="Arial"/>
        <family val="2"/>
      </rPr>
      <t>4</t>
    </r>
    <r>
      <rPr>
        <sz val="10"/>
        <rFont val="Arial"/>
      </rPr>
      <t>]</t>
    </r>
  </si>
  <si>
    <r>
      <t>[mm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]</t>
    </r>
  </si>
  <si>
    <t>[kN/m¹]</t>
  </si>
  <si>
    <t>diameter buis</t>
  </si>
  <si>
    <t>wanddikte buis</t>
  </si>
  <si>
    <t>Temperatuursverschil boven/onder</t>
  </si>
  <si>
    <t>veiligheidsfactoren UGT</t>
  </si>
  <si>
    <r>
      <t>K</t>
    </r>
    <r>
      <rPr>
        <vertAlign val="subscript"/>
        <sz val="10"/>
        <rFont val="Arial"/>
        <family val="2"/>
      </rPr>
      <t>damwand</t>
    </r>
  </si>
  <si>
    <r>
      <t>k</t>
    </r>
    <r>
      <rPr>
        <vertAlign val="subscript"/>
        <sz val="10"/>
        <rFont val="Arial"/>
        <family val="2"/>
      </rPr>
      <t>yy</t>
    </r>
  </si>
  <si>
    <r>
      <t>k</t>
    </r>
    <r>
      <rPr>
        <vertAlign val="subscript"/>
        <sz val="10"/>
        <rFont val="Arial"/>
        <family val="2"/>
      </rPr>
      <t>zy</t>
    </r>
  </si>
  <si>
    <t>Knikkromme (tabel 6.1)</t>
  </si>
  <si>
    <t>a0</t>
  </si>
  <si>
    <t>d</t>
  </si>
  <si>
    <t>Imperfectie</t>
  </si>
  <si>
    <t>tabel (5.2)</t>
  </si>
  <si>
    <t xml:space="preserve">ronde buis </t>
  </si>
  <si>
    <t>klasse</t>
  </si>
  <si>
    <t>knikkromme</t>
  </si>
  <si>
    <t>[kNm]</t>
  </si>
  <si>
    <t>Stootbelasting conform CUR166</t>
  </si>
  <si>
    <t>excentriciteit</t>
  </si>
  <si>
    <r>
      <t>V</t>
    </r>
    <r>
      <rPr>
        <vertAlign val="subscript"/>
        <sz val="10"/>
        <rFont val="Arial"/>
        <family val="2"/>
      </rPr>
      <t>rep.a.g.v. stootkracht</t>
    </r>
  </si>
  <si>
    <r>
      <t>M</t>
    </r>
    <r>
      <rPr>
        <vertAlign val="subscript"/>
        <sz val="10"/>
        <rFont val="Arial"/>
        <family val="2"/>
      </rPr>
      <t>rep.a.g.v. stootkracht</t>
    </r>
  </si>
  <si>
    <r>
      <t>g</t>
    </r>
    <r>
      <rPr>
        <vertAlign val="subscript"/>
        <sz val="10"/>
        <rFont val="Arial"/>
        <family val="2"/>
      </rPr>
      <t>M0</t>
    </r>
  </si>
  <si>
    <r>
      <t>g</t>
    </r>
    <r>
      <rPr>
        <vertAlign val="subscript"/>
        <sz val="10"/>
        <rFont val="Arial"/>
        <family val="2"/>
      </rPr>
      <t>M1</t>
    </r>
  </si>
  <si>
    <t>(6.2.3 / 6.2.4)</t>
  </si>
  <si>
    <r>
      <t>N</t>
    </r>
    <r>
      <rPr>
        <vertAlign val="subscript"/>
        <sz val="10"/>
        <rFont val="Arial"/>
        <family val="2"/>
      </rPr>
      <t>Ed</t>
    </r>
  </si>
  <si>
    <r>
      <t>N</t>
    </r>
    <r>
      <rPr>
        <vertAlign val="subscript"/>
        <sz val="10"/>
        <rFont val="Arial"/>
        <family val="2"/>
      </rPr>
      <t>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</si>
  <si>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c,Rd</t>
    </r>
  </si>
  <si>
    <t>(6.2.5)</t>
  </si>
  <si>
    <r>
      <t>M</t>
    </r>
    <r>
      <rPr>
        <vertAlign val="subscript"/>
        <sz val="10"/>
        <rFont val="Arial"/>
        <family val="2"/>
      </rPr>
      <t>Ed</t>
    </r>
  </si>
  <si>
    <t>Weerstandsmoment o.b.v. doorsnede klasse</t>
  </si>
  <si>
    <t>[mm³]</t>
  </si>
  <si>
    <r>
      <t>M</t>
    </r>
    <r>
      <rPr>
        <vertAlign val="subscript"/>
        <sz val="10"/>
        <rFont val="Arial"/>
        <family val="2"/>
      </rPr>
      <t>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</si>
  <si>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Rd</t>
    </r>
  </si>
  <si>
    <t>(6.2.6)</t>
  </si>
  <si>
    <r>
      <t>V</t>
    </r>
    <r>
      <rPr>
        <vertAlign val="subscript"/>
        <sz val="10"/>
        <rFont val="Arial"/>
        <family val="2"/>
      </rPr>
      <t>Ed</t>
    </r>
  </si>
  <si>
    <r>
      <t>V</t>
    </r>
    <r>
      <rPr>
        <vertAlign val="subscript"/>
        <sz val="10"/>
        <rFont val="Arial"/>
        <family val="2"/>
      </rPr>
      <t>c,Rd</t>
    </r>
  </si>
  <si>
    <r>
      <t>V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c,Rd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</si>
  <si>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/(1,04*M</t>
    </r>
    <r>
      <rPr>
        <vertAlign val="subscript"/>
        <sz val="10"/>
        <rFont val="Arial"/>
        <family val="2"/>
      </rPr>
      <t>c,Rd</t>
    </r>
    <r>
      <rPr>
        <sz val="10"/>
        <rFont val="Arial"/>
        <family val="2"/>
      </rPr>
      <t>)+(N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c,Rd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1,7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</si>
  <si>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c,Rd</t>
    </r>
  </si>
  <si>
    <t>q</t>
  </si>
  <si>
    <r>
      <t>N</t>
    </r>
    <r>
      <rPr>
        <vertAlign val="subscript"/>
        <sz val="10"/>
        <rFont val="Arial"/>
        <family val="2"/>
      </rPr>
      <t>V,Rd</t>
    </r>
  </si>
  <si>
    <r>
      <t>M</t>
    </r>
    <r>
      <rPr>
        <vertAlign val="subscript"/>
        <sz val="10"/>
        <rFont val="Arial"/>
        <family val="2"/>
      </rPr>
      <t>V,Rd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</si>
  <si>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V,Rd</t>
    </r>
  </si>
  <si>
    <t>(6.2.9)</t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</si>
  <si>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/(1,04*M</t>
    </r>
    <r>
      <rPr>
        <vertAlign val="subscript"/>
        <sz val="10"/>
        <rFont val="Arial"/>
        <family val="2"/>
      </rPr>
      <t>v,Rd</t>
    </r>
    <r>
      <rPr>
        <sz val="10"/>
        <rFont val="Arial"/>
        <family val="2"/>
      </rPr>
      <t>)+(N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v,Rd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1,7</t>
    </r>
  </si>
  <si>
    <t>(6.3.1)</t>
  </si>
  <si>
    <r>
      <t>N</t>
    </r>
    <r>
      <rPr>
        <vertAlign val="subscript"/>
        <sz val="10"/>
        <rFont val="Arial"/>
        <family val="2"/>
      </rPr>
      <t>cr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</si>
  <si>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cr</t>
    </r>
  </si>
  <si>
    <t>Knikkromme</t>
  </si>
  <si>
    <r>
      <t>N</t>
    </r>
    <r>
      <rPr>
        <vertAlign val="subscript"/>
        <sz val="10"/>
        <rFont val="Arial"/>
        <family val="2"/>
      </rPr>
      <t>b;Rd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</si>
  <si>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b,Rd</t>
    </r>
  </si>
  <si>
    <t>(6.3.3)</t>
  </si>
  <si>
    <r>
      <t>c</t>
    </r>
    <r>
      <rPr>
        <vertAlign val="subscript"/>
        <sz val="10"/>
        <rFont val="Arial"/>
        <family val="2"/>
      </rPr>
      <t>LT</t>
    </r>
  </si>
  <si>
    <r>
      <t>N</t>
    </r>
    <r>
      <rPr>
        <vertAlign val="subscript"/>
        <sz val="10"/>
        <rFont val="Arial"/>
        <family val="2"/>
      </rPr>
      <t>Rk</t>
    </r>
  </si>
  <si>
    <r>
      <t>M</t>
    </r>
    <r>
      <rPr>
        <vertAlign val="subscript"/>
        <sz val="10"/>
        <rFont val="Arial"/>
        <family val="2"/>
      </rPr>
      <t>Rk</t>
    </r>
  </si>
  <si>
    <r>
      <t>M</t>
    </r>
    <r>
      <rPr>
        <vertAlign val="subscript"/>
        <sz val="10"/>
        <rFont val="Arial"/>
        <family val="2"/>
      </rPr>
      <t>h</t>
    </r>
  </si>
  <si>
    <r>
      <t>M</t>
    </r>
    <r>
      <rPr>
        <vertAlign val="subscript"/>
        <sz val="10"/>
        <rFont val="Arial"/>
        <family val="2"/>
      </rPr>
      <t>s</t>
    </r>
  </si>
  <si>
    <r>
      <t>a</t>
    </r>
    <r>
      <rPr>
        <vertAlign val="subscript"/>
        <sz val="10"/>
        <rFont val="Arial"/>
        <family val="2"/>
      </rPr>
      <t>h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</si>
  <si>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sz val="10"/>
        <rFont val="Arial"/>
        <family val="2"/>
      </rPr>
      <t>*N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)+k</t>
    </r>
    <r>
      <rPr>
        <vertAlign val="subscript"/>
        <sz val="10"/>
        <rFont val="Arial"/>
        <family val="2"/>
      </rPr>
      <t>yy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vertAlign val="subscript"/>
        <sz val="10"/>
        <rFont val="Arial"/>
        <family val="2"/>
      </rPr>
      <t>LT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</si>
  <si>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sz val="10"/>
        <rFont val="Arial"/>
        <family val="2"/>
      </rPr>
      <t>*N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)+k</t>
    </r>
    <r>
      <rPr>
        <vertAlign val="subscript"/>
        <sz val="10"/>
        <rFont val="Arial"/>
        <family val="2"/>
      </rPr>
      <t>zy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vertAlign val="subscript"/>
        <sz val="10"/>
        <rFont val="Arial"/>
        <family val="2"/>
      </rPr>
      <t>LT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</t>
    </r>
  </si>
  <si>
    <t>(6.2.4)</t>
  </si>
  <si>
    <t>(6.2.10)</t>
  </si>
  <si>
    <t>kyy en cmy</t>
  </si>
  <si>
    <t>kyy en &lt;cmy</t>
  </si>
  <si>
    <t>kzy en cmy</t>
  </si>
  <si>
    <t>3 en 4</t>
  </si>
  <si>
    <t>1 en 2</t>
  </si>
  <si>
    <t>kzy en &lt;cmy</t>
  </si>
  <si>
    <t>max. u.c.</t>
  </si>
  <si>
    <t>veiligheidsfactoren BGT</t>
  </si>
  <si>
    <t>Profielen tabel</t>
  </si>
  <si>
    <t>[Stempels]</t>
  </si>
  <si>
    <t>Bij Toevoegingen deze sorteren van klein naar groot</t>
  </si>
  <si>
    <t>Volgnr.</t>
  </si>
  <si>
    <t>Naam</t>
  </si>
  <si>
    <t>h</t>
  </si>
  <si>
    <t>tw</t>
  </si>
  <si>
    <t>tf</t>
  </si>
  <si>
    <t>Wel-z</t>
  </si>
  <si>
    <t>Wpl-z</t>
  </si>
  <si>
    <t>r</t>
  </si>
  <si>
    <r>
      <t>I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</si>
  <si>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zwakke as</t>
    </r>
  </si>
  <si>
    <t>kN/m</t>
  </si>
  <si>
    <t>HEA 100</t>
  </si>
  <si>
    <t>HEA 100 corrosie 50 jr.</t>
  </si>
  <si>
    <t>HEA 100 corrosie 100 jr.</t>
  </si>
  <si>
    <t>HEA 120</t>
  </si>
  <si>
    <t>HEA 120 corrosie 50 jr.</t>
  </si>
  <si>
    <t>HEA 120 corrosie 100 jr.</t>
  </si>
  <si>
    <t>HEA 140</t>
  </si>
  <si>
    <t>HEA 140 corrosie 50 jr.</t>
  </si>
  <si>
    <t>HEA 140 corrosie 100 jr.</t>
  </si>
  <si>
    <t xml:space="preserve">HEA 160  </t>
  </si>
  <si>
    <t>HEA 160 corrosie 50 jr.</t>
  </si>
  <si>
    <t>HEA 160 corrosie 100 jr.</t>
  </si>
  <si>
    <t>HEA 180</t>
  </si>
  <si>
    <t>HEA 180 corrosie 50 jr.</t>
  </si>
  <si>
    <t>HEA 180 corrosie 100 jr.</t>
  </si>
  <si>
    <t>HEA 200</t>
  </si>
  <si>
    <t>HEA 200 corrosie 50 jr.</t>
  </si>
  <si>
    <t>HEA 200 corrosie 100 jr.</t>
  </si>
  <si>
    <t>HEA 220</t>
  </si>
  <si>
    <t>HEA 220 corrosie 50 jr.</t>
  </si>
  <si>
    <t>HEA 220 corrosie 100 jr.</t>
  </si>
  <si>
    <t xml:space="preserve">HEA 240 </t>
  </si>
  <si>
    <t xml:space="preserve">HEA 240 corrosie 50 jr. </t>
  </si>
  <si>
    <t xml:space="preserve">HEA 240 corrosie 100 jr. </t>
  </si>
  <si>
    <t>HEA 260</t>
  </si>
  <si>
    <t>HEA 260 corrosie 50 jr.</t>
  </si>
  <si>
    <t>HEA 260 corrosie 100 jr.</t>
  </si>
  <si>
    <t>HEA 280</t>
  </si>
  <si>
    <t>HEA 280 corrosie 50 jr.</t>
  </si>
  <si>
    <t>HEA 280 corrosie 100 jr.</t>
  </si>
  <si>
    <t>HEA 300</t>
  </si>
  <si>
    <t>HEA 300 corrosie 50 jr.</t>
  </si>
  <si>
    <t>HEA 300 corrosie 100 jr.</t>
  </si>
  <si>
    <t>HEA 320</t>
  </si>
  <si>
    <t>HEA 320 corrosie 50 jr.</t>
  </si>
  <si>
    <t>HEA 320 corrosie 100 jr.</t>
  </si>
  <si>
    <t>HEA 340</t>
  </si>
  <si>
    <t>HEA 340 corrosie 50 jr.</t>
  </si>
  <si>
    <t>HEA 340 corrosie 100 jr.</t>
  </si>
  <si>
    <t>HEA 360</t>
  </si>
  <si>
    <t>HEA 360 corrosie 50 jr.</t>
  </si>
  <si>
    <t>HEA 360 corrosie 100 jr.</t>
  </si>
  <si>
    <t>HEA 400</t>
  </si>
  <si>
    <t>HEA 400 corrosie 50 jr.</t>
  </si>
  <si>
    <t>HEA 400 corrosie 100 jr.</t>
  </si>
  <si>
    <t>HEA 450</t>
  </si>
  <si>
    <t>HEA 450 corrosie 50 jr.</t>
  </si>
  <si>
    <t>HEA 450 corrosie 100 jr.</t>
  </si>
  <si>
    <t>HEA 500</t>
  </si>
  <si>
    <t>HEA 500 corrosie 50 jr.</t>
  </si>
  <si>
    <t>HEA 500 corrosie 100 jr.</t>
  </si>
  <si>
    <t>HEA 550</t>
  </si>
  <si>
    <t>HEA 550 corrosie 50 jr.</t>
  </si>
  <si>
    <t>HEA 550 corrosie 100 jr.</t>
  </si>
  <si>
    <t>HEA 600</t>
  </si>
  <si>
    <t>HEA 600 corrosie 50 jr.</t>
  </si>
  <si>
    <t>HEA 600 corrosie 100 jr.</t>
  </si>
  <si>
    <t>HEA 650</t>
  </si>
  <si>
    <t>HEA 650 corrosie 50 jr.</t>
  </si>
  <si>
    <t>HEA 650 corrosie 100 jr.</t>
  </si>
  <si>
    <t>HEA 700</t>
  </si>
  <si>
    <t>HEA 700 corrosie 50 jr.</t>
  </si>
  <si>
    <t>HEA 700 corrosie 100 jr.</t>
  </si>
  <si>
    <t>HEA 800</t>
  </si>
  <si>
    <t>HEA 800 corrosie 50 jr.</t>
  </si>
  <si>
    <t>HEA 800 corrosie 100 jr.</t>
  </si>
  <si>
    <t>HEA 900</t>
  </si>
  <si>
    <t>HEA 900 corrosie 50 jr.</t>
  </si>
  <si>
    <t>HEA 900 corrosie 100 jr.</t>
  </si>
  <si>
    <t>HEA 1000</t>
  </si>
  <si>
    <t>HEA 1000 corrosie 50 jr.</t>
  </si>
  <si>
    <t>HEA 1000 corrosie 100 jr.</t>
  </si>
  <si>
    <t>HEB 100</t>
  </si>
  <si>
    <t>HEB 100 corrosie 50 jr.</t>
  </si>
  <si>
    <t>HEB 100 corrosie 100 jr.</t>
  </si>
  <si>
    <t xml:space="preserve">HEB 120 </t>
  </si>
  <si>
    <t>HEB 120 corrosie 50 jr.</t>
  </si>
  <si>
    <t>HEB 120 corrosie 100 jr.</t>
  </si>
  <si>
    <t>HEB 140</t>
  </si>
  <si>
    <t>HEB 140 corrosie 50 jr.</t>
  </si>
  <si>
    <t>HEB 140 corrosie 100 jr.</t>
  </si>
  <si>
    <t>HEB 160</t>
  </si>
  <si>
    <t xml:space="preserve">HEB 160 corrosie 50 jr. </t>
  </si>
  <si>
    <t>HEB 160 corrosie 100 jr.</t>
  </si>
  <si>
    <t>HEB 180</t>
  </si>
  <si>
    <t>HEB 180 corrosie 100 jr.</t>
  </si>
  <si>
    <t>HEB 200</t>
  </si>
  <si>
    <t>HEB 200 corrosie 100 jr.</t>
  </si>
  <si>
    <t>HEB 220</t>
  </si>
  <si>
    <t>HEB 220 corrosie 100 jr.</t>
  </si>
  <si>
    <t>HEB 240</t>
  </si>
  <si>
    <t>HEB 240 corrosie 100 jr.</t>
  </si>
  <si>
    <t>HEB 260</t>
  </si>
  <si>
    <t>HEB 260 corrosie 100 jr.</t>
  </si>
  <si>
    <t>HEB 280</t>
  </si>
  <si>
    <t>HEB 280 corrosie 100 jr.</t>
  </si>
  <si>
    <t>HEB 300</t>
  </si>
  <si>
    <t>HEB 300 corrosie 100 jr.</t>
  </si>
  <si>
    <t>HEB 320</t>
  </si>
  <si>
    <t>HEB 320 corrosie 100 jr.</t>
  </si>
  <si>
    <t>HEB 340</t>
  </si>
  <si>
    <t>HEB 340 corrosie 100 jr.</t>
  </si>
  <si>
    <t>HEB 360</t>
  </si>
  <si>
    <t>HEB 360 corrosie 100 jr.</t>
  </si>
  <si>
    <t>HEB 400</t>
  </si>
  <si>
    <t>HEB 400 corrosie 100 jr.</t>
  </si>
  <si>
    <t>HEB 450</t>
  </si>
  <si>
    <t>HEB 450 corrosie 100 jr.</t>
  </si>
  <si>
    <t>HEB 500</t>
  </si>
  <si>
    <t>HEB 500 corrosie 100 jr.</t>
  </si>
  <si>
    <t>HEB 550</t>
  </si>
  <si>
    <t>HEB 550 corrosie 100 jr.</t>
  </si>
  <si>
    <t>HEB 600</t>
  </si>
  <si>
    <t>HEB 600 corrosie 100 jr.</t>
  </si>
  <si>
    <t>HEB 650</t>
  </si>
  <si>
    <t>HEB 650 corrosie 100 jr.</t>
  </si>
  <si>
    <t>HEB 700</t>
  </si>
  <si>
    <t>HEB 700 corrosie 100 jr.</t>
  </si>
  <si>
    <t>HEB 800</t>
  </si>
  <si>
    <t>HEB 800 corrosie 100 jr.</t>
  </si>
  <si>
    <t>HEB 900</t>
  </si>
  <si>
    <t>HEB 900 corrosie 100 jr.</t>
  </si>
  <si>
    <t>HEB 1000</t>
  </si>
  <si>
    <t>HEB 1000 corrosie 100 jr.</t>
  </si>
  <si>
    <t>UNP 100</t>
  </si>
  <si>
    <t>UNP 100 corrosie 50 jr.</t>
  </si>
  <si>
    <t xml:space="preserve">UNP 100 corrosie 100 jr. </t>
  </si>
  <si>
    <t>Dubbel UNP 100</t>
  </si>
  <si>
    <t>Dubbel UNP 100 corrosie 100 jr.</t>
  </si>
  <si>
    <t>UNP 120</t>
  </si>
  <si>
    <t>UNP 120 corrosie 50 jr.</t>
  </si>
  <si>
    <t xml:space="preserve">UNP 120 corrosie 100 jr. </t>
  </si>
  <si>
    <t>Dubbel UNP 120</t>
  </si>
  <si>
    <t>Dubbel UNP 120 corrosie 100 jr.</t>
  </si>
  <si>
    <t>UNP 140</t>
  </si>
  <si>
    <t>UNP 140 corrosie 50 jr.</t>
  </si>
  <si>
    <t xml:space="preserve">UNP 140 corrosie 100 jr. </t>
  </si>
  <si>
    <t>Dubbel UNP 140</t>
  </si>
  <si>
    <t>Dubbel UNP 140 corrosie 100 jr.</t>
  </si>
  <si>
    <t>UNP 160</t>
  </si>
  <si>
    <t>UNP 160 corrosie 50 jr.</t>
  </si>
  <si>
    <t>UNP 160 corrosie 100 jr.</t>
  </si>
  <si>
    <t>Dubbel UNP 160</t>
  </si>
  <si>
    <t>Dubbel UNP 160 corrosie 100 jr.</t>
  </si>
  <si>
    <t>UNP 180</t>
  </si>
  <si>
    <t>UNP 180 corrosie 50 jr.</t>
  </si>
  <si>
    <t>UNP 180 corrosie 100 jr.</t>
  </si>
  <si>
    <t>Dubbel UNP 180</t>
  </si>
  <si>
    <t>Dubbel UNP 180 corrosie 100 jr.</t>
  </si>
  <si>
    <t>UNP 200</t>
  </si>
  <si>
    <t>UNP 200 corrosie 50 jr.</t>
  </si>
  <si>
    <t>UNP 200 corrosie 100 jr.</t>
  </si>
  <si>
    <t>Dubbel UNP 200</t>
  </si>
  <si>
    <t>Dubbel UNP 200 corrosie 100 jr.</t>
  </si>
  <si>
    <t>UNP 220</t>
  </si>
  <si>
    <t>UNP 220 corrosie 50 jr.</t>
  </si>
  <si>
    <t xml:space="preserve">UNP 220 corrosie 100 jr. </t>
  </si>
  <si>
    <t>Dubbel UNP 220</t>
  </si>
  <si>
    <t>Dubbel UNP 220 corrosie 100 jr.</t>
  </si>
  <si>
    <t>UNP 240</t>
  </si>
  <si>
    <t>UNP 240 corrosie 50 jr.</t>
  </si>
  <si>
    <t xml:space="preserve">UNP 240 corrosie 100 jr. </t>
  </si>
  <si>
    <t>Dubbel UNP 240</t>
  </si>
  <si>
    <t>Dubbel UNP 240 corrosie 100 jr.</t>
  </si>
  <si>
    <t>UNP 260</t>
  </si>
  <si>
    <t>UNP 260 corrosie 50 jr.</t>
  </si>
  <si>
    <t>UNP 260 corrosie 100 jr.</t>
  </si>
  <si>
    <t>Dubbel UNP 260</t>
  </si>
  <si>
    <t>Dubbel UNP 260 corrosie 100 jr.</t>
  </si>
  <si>
    <t>UNP 280</t>
  </si>
  <si>
    <t>UNP 280 corrosie 50 jr.</t>
  </si>
  <si>
    <t>UNP 280 corrosie 100 jr.</t>
  </si>
  <si>
    <t>Dubbel UNP 280</t>
  </si>
  <si>
    <t>Dubbel UNP 280 corrosie 100 jr.</t>
  </si>
  <si>
    <t>UNP 300</t>
  </si>
  <si>
    <t>UNP 300 corrosie 50 jr.</t>
  </si>
  <si>
    <t>UNP 300 corrosie 100 jr.</t>
  </si>
  <si>
    <t>Dubbel UNP 300</t>
  </si>
  <si>
    <t>Dubbel UNP 300 corrosie 100 jr.</t>
  </si>
  <si>
    <t>UNP 320</t>
  </si>
  <si>
    <t>UNP 320 corrosie 50 jr.</t>
  </si>
  <si>
    <t>UNP 320 corrosie 100 jr.</t>
  </si>
  <si>
    <t>Dubbel UNP 320</t>
  </si>
  <si>
    <t>Dubbel UNP 320 corrosie 100 jr.</t>
  </si>
  <si>
    <t>UNP 350</t>
  </si>
  <si>
    <t>UNP 350 corrosie 50 jr.</t>
  </si>
  <si>
    <t>UNP 350 corrosie 100 jr.</t>
  </si>
  <si>
    <t>Dubbel UNP 350</t>
  </si>
  <si>
    <t>Dubbel UNP 350 corrosie 100 jr.</t>
  </si>
  <si>
    <t>UNP 380</t>
  </si>
  <si>
    <t>UNP 380 corrosie 50 jr.</t>
  </si>
  <si>
    <t>UNP 380 corrosie 100 jr.</t>
  </si>
  <si>
    <t>Dubbel UNP 380</t>
  </si>
  <si>
    <t>Dubbel UNP 380 corrosie 100 jr.</t>
  </si>
  <si>
    <t>UNP 400</t>
  </si>
  <si>
    <t>UNP 400 corrosie 50 jr.</t>
  </si>
  <si>
    <t xml:space="preserve">UNP 400 corrosie 100 jr. </t>
  </si>
  <si>
    <t>Dubbel UNP 400</t>
  </si>
  <si>
    <t>Dubbel UNP 400 corrosie 100 jr.</t>
  </si>
  <si>
    <t>Profiel buis</t>
  </si>
  <si>
    <t>Profiel gording</t>
  </si>
  <si>
    <t>Type</t>
  </si>
  <si>
    <t>aantal</t>
  </si>
  <si>
    <t>breedte</t>
  </si>
  <si>
    <t xml:space="preserve">doorsnede oppervlak </t>
  </si>
  <si>
    <r>
      <t>W</t>
    </r>
    <r>
      <rPr>
        <vertAlign val="subscript"/>
        <sz val="10"/>
        <rFont val="Arial"/>
        <family val="2"/>
      </rPr>
      <t>y;el</t>
    </r>
  </si>
  <si>
    <r>
      <t>W</t>
    </r>
    <r>
      <rPr>
        <vertAlign val="subscript"/>
        <sz val="10"/>
        <rFont val="Arial"/>
        <family val="2"/>
      </rPr>
      <t>y;pl</t>
    </r>
  </si>
  <si>
    <r>
      <t>h</t>
    </r>
    <r>
      <rPr>
        <vertAlign val="subscript"/>
        <sz val="10"/>
        <rFont val="Arial"/>
        <family val="2"/>
      </rPr>
      <t>w</t>
    </r>
  </si>
  <si>
    <r>
      <t>t</t>
    </r>
    <r>
      <rPr>
        <vertAlign val="subscript"/>
        <sz val="10"/>
        <rFont val="Arial"/>
        <family val="2"/>
      </rPr>
      <t>w</t>
    </r>
  </si>
  <si>
    <r>
      <t>t</t>
    </r>
    <r>
      <rPr>
        <vertAlign val="subscript"/>
        <sz val="10"/>
        <rFont val="Arial"/>
        <family val="2"/>
      </rPr>
      <t>f</t>
    </r>
  </si>
  <si>
    <t>[mm²]</t>
  </si>
  <si>
    <t>nee</t>
  </si>
  <si>
    <t>ja; 50 jr.</t>
  </si>
  <si>
    <t>ja; 100 jr.</t>
  </si>
  <si>
    <r>
      <t>g</t>
    </r>
    <r>
      <rPr>
        <vertAlign val="subscript"/>
        <sz val="8"/>
        <rFont val="Arial"/>
        <family val="2"/>
      </rPr>
      <t xml:space="preserve">gording </t>
    </r>
    <r>
      <rPr>
        <sz val="8"/>
        <rFont val="Arial"/>
      </rPr>
      <t>=</t>
    </r>
  </si>
  <si>
    <t>Puntlast (druk) stempel</t>
  </si>
  <si>
    <t>Normaalkracht in gording</t>
  </si>
  <si>
    <t>Moment in gording</t>
  </si>
  <si>
    <t>Toetsing krachtsinleiding zonder verstijvers (per inleidingspunt)</t>
  </si>
  <si>
    <r>
      <t>g</t>
    </r>
    <r>
      <rPr>
        <vertAlign val="subscript"/>
        <sz val="10"/>
        <rFont val="Arial"/>
        <family val="2"/>
      </rPr>
      <t>m; gording</t>
    </r>
  </si>
  <si>
    <r>
      <t>g</t>
    </r>
    <r>
      <rPr>
        <vertAlign val="subscript"/>
        <sz val="10"/>
        <rFont val="Arial"/>
        <family val="2"/>
      </rPr>
      <t>m; stempel</t>
    </r>
  </si>
  <si>
    <t>Veiligheidsfactoren</t>
  </si>
  <si>
    <t>Invoergegevens</t>
  </si>
  <si>
    <t>Hoek</t>
  </si>
  <si>
    <r>
      <t>t</t>
    </r>
    <r>
      <rPr>
        <vertAlign val="subscript"/>
        <sz val="10"/>
        <rFont val="Arial"/>
        <family val="2"/>
      </rPr>
      <t>plaat</t>
    </r>
  </si>
  <si>
    <t>º</t>
  </si>
  <si>
    <t>Belastingen in de doorsnede</t>
  </si>
  <si>
    <t>Controle stempelbuis (per inleidingspunt)</t>
  </si>
  <si>
    <t>Rek. puntlast</t>
  </si>
  <si>
    <r>
      <t>F</t>
    </r>
    <r>
      <rPr>
        <vertAlign val="subscript"/>
        <sz val="10"/>
        <rFont val="Arial"/>
        <family val="2"/>
      </rPr>
      <t>Ed</t>
    </r>
  </si>
  <si>
    <r>
      <t>b</t>
    </r>
    <r>
      <rPr>
        <vertAlign val="subscript"/>
        <sz val="10"/>
        <rFont val="Arial"/>
        <family val="2"/>
      </rPr>
      <t>eff</t>
    </r>
  </si>
  <si>
    <r>
      <t>F</t>
    </r>
    <r>
      <rPr>
        <vertAlign val="subscript"/>
        <sz val="10"/>
        <rFont val="Arial"/>
        <family val="2"/>
      </rPr>
      <t>R;d</t>
    </r>
    <r>
      <rPr>
        <sz val="10"/>
        <rFont val="Arial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</si>
  <si>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Rd</t>
    </r>
  </si>
  <si>
    <t>Toetsing vloeien van het lijf</t>
  </si>
  <si>
    <t>(6.5.3.2)</t>
  </si>
  <si>
    <r>
      <t>s</t>
    </r>
    <r>
      <rPr>
        <vertAlign val="subscript"/>
        <sz val="10"/>
        <rFont val="Arial"/>
        <family val="2"/>
      </rPr>
      <t>f,Ed</t>
    </r>
  </si>
  <si>
    <r>
      <t>b</t>
    </r>
    <r>
      <rPr>
        <vertAlign val="subscript"/>
        <sz val="10"/>
        <rFont val="Arial"/>
        <family val="2"/>
      </rPr>
      <t>f</t>
    </r>
  </si>
  <si>
    <r>
      <t>d</t>
    </r>
    <r>
      <rPr>
        <vertAlign val="subscript"/>
        <sz val="10"/>
        <rFont val="Arial"/>
        <family val="2"/>
      </rPr>
      <t>1</t>
    </r>
  </si>
  <si>
    <t>Geen eindoplegging</t>
  </si>
  <si>
    <r>
      <t>F</t>
    </r>
    <r>
      <rPr>
        <vertAlign val="subscript"/>
        <sz val="10"/>
        <rFont val="Arial"/>
        <family val="2"/>
      </rPr>
      <t>1;R;d</t>
    </r>
    <r>
      <rPr>
        <sz val="10"/>
        <rFont val="Arial"/>
        <family val="2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</si>
  <si>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1;Rd</t>
    </r>
  </si>
  <si>
    <t>Toetsing lokaal plooien van het lijf</t>
  </si>
  <si>
    <t>(6.5.3.4)</t>
  </si>
  <si>
    <r>
      <t>F</t>
    </r>
    <r>
      <rPr>
        <vertAlign val="subscript"/>
        <sz val="10"/>
        <rFont val="Arial"/>
        <family val="2"/>
      </rPr>
      <t>cr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</si>
  <si>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cr</t>
    </r>
  </si>
  <si>
    <t>Toetsing globaal plooien van het lijf</t>
  </si>
  <si>
    <t>(6.5.3.3)</t>
  </si>
  <si>
    <r>
      <t>c/(h-2*t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</t>
    </r>
  </si>
  <si>
    <r>
      <t>F</t>
    </r>
    <r>
      <rPr>
        <vertAlign val="subscript"/>
        <sz val="10"/>
        <rFont val="Arial"/>
        <family val="2"/>
      </rPr>
      <t>2;R;d</t>
    </r>
    <r>
      <rPr>
        <sz val="10"/>
        <rFont val="Arial"/>
        <family val="2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</si>
  <si>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2;Rd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</si>
  <si>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/1,5*F</t>
    </r>
    <r>
      <rPr>
        <vertAlign val="subscript"/>
        <sz val="10"/>
        <rFont val="Arial"/>
        <family val="2"/>
      </rPr>
      <t>2;Rd</t>
    </r>
    <r>
      <rPr>
        <sz val="10"/>
        <rFont val="Arial"/>
        <family val="2"/>
      </rPr>
      <t xml:space="preserve"> + M</t>
    </r>
    <r>
      <rPr>
        <vertAlign val="subscript"/>
        <sz val="10"/>
        <rFont val="Arial"/>
        <family val="2"/>
      </rPr>
      <t>y,Ed</t>
    </r>
    <r>
      <rPr>
        <sz val="10"/>
        <rFont val="Arial"/>
        <family val="2"/>
      </rPr>
      <t>/1,5*M</t>
    </r>
    <r>
      <rPr>
        <vertAlign val="subscript"/>
        <sz val="10"/>
        <rFont val="Arial"/>
        <family val="2"/>
      </rPr>
      <t>y,Rd</t>
    </r>
  </si>
  <si>
    <r>
      <t>F</t>
    </r>
    <r>
      <rPr>
        <vertAlign val="subscript"/>
        <sz val="10"/>
        <rFont val="Arial"/>
        <family val="2"/>
      </rPr>
      <t>b;Rd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</si>
  <si>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b,Rd</t>
    </r>
  </si>
  <si>
    <t>nummer</t>
  </si>
  <si>
    <t xml:space="preserve"> hoek A</t>
  </si>
  <si>
    <t>hoek B</t>
  </si>
  <si>
    <t>normaalkracht</t>
  </si>
  <si>
    <t>moment</t>
  </si>
  <si>
    <t>type gording</t>
  </si>
  <si>
    <t>dwarskracht</t>
  </si>
  <si>
    <t>Eigenschappen gordingprofiel</t>
  </si>
  <si>
    <t>afmetingen</t>
  </si>
  <si>
    <t>hw</t>
  </si>
  <si>
    <t>Av</t>
  </si>
  <si>
    <t>Aw</t>
  </si>
  <si>
    <t>Af</t>
  </si>
  <si>
    <t>h/b</t>
  </si>
  <si>
    <t>Wy;el</t>
  </si>
  <si>
    <t>Wz;el</t>
  </si>
  <si>
    <t>Iy</t>
  </si>
  <si>
    <t>Iz</t>
  </si>
  <si>
    <t>Wy;pl</t>
  </si>
  <si>
    <t>Wz;pl</t>
  </si>
  <si>
    <t>iy</t>
  </si>
  <si>
    <t>iz</t>
  </si>
  <si>
    <t>knikkromme om as y-y</t>
  </si>
  <si>
    <t>knikkromme om as z-z</t>
  </si>
  <si>
    <t>krommes conform tabel 6.2</t>
  </si>
  <si>
    <t>z-z</t>
  </si>
  <si>
    <t>y-y</t>
  </si>
  <si>
    <t>flens: c/t/e =</t>
  </si>
  <si>
    <t>lijf: c/t/e =</t>
  </si>
  <si>
    <t>Veiligheidsfactor</t>
  </si>
  <si>
    <r>
      <t>g</t>
    </r>
    <r>
      <rPr>
        <sz val="10"/>
        <rFont val="Arial"/>
        <family val="2"/>
      </rPr>
      <t>m;gording</t>
    </r>
  </si>
  <si>
    <t>doorsnede klasse buiging lijf</t>
  </si>
  <si>
    <t>doorsnede klasse druk lijf</t>
  </si>
  <si>
    <t>doorsnede klasse druk flens</t>
  </si>
  <si>
    <t>doorsnede klasse druk en buiging proffiel</t>
  </si>
  <si>
    <t>Dwasrkracht</t>
  </si>
  <si>
    <t>Moment</t>
  </si>
  <si>
    <t>Doorsnede oppervlak A</t>
  </si>
  <si>
    <t>controle op plooien noodzakelijk (conform hfst. 5 EN 1993-1-5)</t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</si>
  <si>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pl,Rd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</si>
  <si>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/h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*t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y/</t>
    </r>
    <r>
      <rPr>
        <sz val="10"/>
        <rFont val="Arial"/>
        <family val="2"/>
      </rPr>
      <t>2*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</si>
  <si>
    <r>
      <t>M</t>
    </r>
    <r>
      <rPr>
        <vertAlign val="subscript"/>
        <sz val="10"/>
        <rFont val="Arial"/>
        <family val="2"/>
      </rPr>
      <t>N,y,Rd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</si>
  <si>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y,V,Rd</t>
    </r>
  </si>
  <si>
    <t>imperfectie</t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</si>
  <si>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/(A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  <r>
      <rPr>
        <sz val="10"/>
        <rFont val="Arial"/>
        <family val="2"/>
      </rPr>
      <t xml:space="preserve"> + 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/(W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</si>
  <si>
    <t>u.c. (drsn. Klasse 3 en 4)</t>
  </si>
  <si>
    <t xml:space="preserve">r 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</si>
  <si>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</si>
  <si>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</si>
  <si>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V,y,Rd</t>
    </r>
  </si>
  <si>
    <r>
      <t>u.c.                       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y,V,Rd</t>
    </r>
    <r>
      <rPr>
        <sz val="10"/>
        <rFont val="Arial"/>
        <family val="2"/>
      </rPr>
      <t>+((N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Vz,Rd</t>
    </r>
    <r>
      <rPr>
        <sz val="10"/>
        <rFont val="Arial"/>
        <family val="2"/>
      </rPr>
      <t>-a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/2)/(1-a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/2)</t>
    </r>
  </si>
  <si>
    <r>
      <t>M</t>
    </r>
    <r>
      <rPr>
        <vertAlign val="subscript"/>
        <sz val="10"/>
        <rFont val="Arial"/>
        <family val="2"/>
      </rPr>
      <t>y,Ed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y,N,f,Rd</t>
    </r>
  </si>
  <si>
    <t>zijde</t>
  </si>
  <si>
    <r>
      <t>g</t>
    </r>
    <r>
      <rPr>
        <vertAlign val="subscript"/>
        <sz val="8"/>
        <color theme="0"/>
        <rFont val="Arial"/>
        <family val="2"/>
      </rPr>
      <t>gording</t>
    </r>
    <r>
      <rPr>
        <sz val="8"/>
        <color theme="0"/>
        <rFont val="Arial"/>
        <family val="2"/>
      </rPr>
      <t>=</t>
    </r>
  </si>
  <si>
    <t>projectnaam</t>
  </si>
  <si>
    <t>projectlocatie</t>
  </si>
  <si>
    <t>projectnummer</t>
  </si>
  <si>
    <t>datum</t>
  </si>
  <si>
    <t>Projectnummer:</t>
  </si>
  <si>
    <t>Datum:</t>
  </si>
  <si>
    <t>Projectnaam:</t>
  </si>
  <si>
    <t>Projectlocatie:</t>
  </si>
  <si>
    <t>normaalkracht UGT</t>
  </si>
  <si>
    <t>normaalkracht BGT</t>
  </si>
  <si>
    <t>staaf nr.</t>
  </si>
  <si>
    <t>u.c. UGT</t>
  </si>
  <si>
    <t>u.c. BGT</t>
  </si>
  <si>
    <t>uitval stempel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</si>
</sst>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u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8"/>
      <name val="Arial"/>
      <family val="2"/>
    </font>
    <font>
      <sz val="8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color theme="0"/>
      <name val="Symbol"/>
      <family val="1"/>
      <charset val="2"/>
    </font>
    <font>
      <vertAlign val="subscript"/>
      <sz val="8"/>
      <color theme="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/>
      <protection hidden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Protection="1">
      <protection hidden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 applyProtection="1">
      <alignment horizontal="right" vertical="center"/>
      <protection hidden="1"/>
    </xf>
    <xf numFmtId="165" fontId="0" fillId="0" borderId="0" xfId="0" applyNumberFormat="1"/>
    <xf numFmtId="1" fontId="0" fillId="0" borderId="0" xfId="0" applyNumberFormat="1"/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hidden="1"/>
    </xf>
    <xf numFmtId="0" fontId="9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0" borderId="0" xfId="0" applyFont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1" fontId="2" fillId="0" borderId="0" xfId="0" applyNumberFormat="1" applyFont="1" applyAlignment="1" applyProtection="1">
      <alignment vertical="center"/>
      <protection locked="0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4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11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1" fontId="0" fillId="0" borderId="0" xfId="0" applyNumberFormat="1"/>
    <xf numFmtId="0" fontId="4" fillId="3" borderId="0" xfId="0" applyFont="1" applyFill="1"/>
    <xf numFmtId="0" fontId="2" fillId="3" borderId="0" xfId="0" applyFont="1" applyFill="1"/>
    <xf numFmtId="0" fontId="0" fillId="0" borderId="0" xfId="0" applyFont="1" applyAlignment="1">
      <alignment horizontal="center" vertical="center"/>
    </xf>
    <xf numFmtId="0" fontId="13" fillId="0" borderId="0" xfId="0" applyFont="1" applyProtection="1">
      <protection hidden="1"/>
    </xf>
    <xf numFmtId="1" fontId="2" fillId="0" borderId="0" xfId="0" applyNumberFormat="1" applyFont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2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/>
      <protection hidden="1"/>
    </xf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0" fillId="0" borderId="0" xfId="0" applyNumberFormat="1"/>
    <xf numFmtId="1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11" fontId="4" fillId="0" borderId="0" xfId="0" applyNumberFormat="1" applyFont="1" applyAlignment="1" applyProtection="1">
      <alignment vertical="center"/>
      <protection locked="0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Fill="1" applyAlignment="1">
      <alignment horizontal="right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3BF6-7A8C-4E52-8E94-0972382C41BD}">
  <dimension ref="A1:B4"/>
  <sheetViews>
    <sheetView workbookViewId="0">
      <selection activeCell="B1" sqref="B1:B4"/>
    </sheetView>
  </sheetViews>
  <sheetFormatPr defaultRowHeight="12.5" x14ac:dyDescent="0.25"/>
  <cols>
    <col min="1" max="1" width="13.453125" bestFit="1" customWidth="1"/>
  </cols>
  <sheetData>
    <row r="1" spans="1:2" x14ac:dyDescent="0.25">
      <c r="A1" s="1" t="s">
        <v>505</v>
      </c>
      <c r="B1" s="1"/>
    </row>
    <row r="2" spans="1:2" x14ac:dyDescent="0.25">
      <c r="A2" s="1" t="s">
        <v>506</v>
      </c>
      <c r="B2" s="1"/>
    </row>
    <row r="3" spans="1:2" x14ac:dyDescent="0.25">
      <c r="A3" s="1" t="s">
        <v>507</v>
      </c>
      <c r="B3" s="1"/>
    </row>
    <row r="4" spans="1:2" x14ac:dyDescent="0.25">
      <c r="A4" s="1" t="s">
        <v>508</v>
      </c>
      <c r="B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16E0-8353-464C-8534-C2B3431CD32E}">
  <dimension ref="A1:J30"/>
  <sheetViews>
    <sheetView workbookViewId="0">
      <selection activeCell="B1" sqref="B1:E1"/>
    </sheetView>
  </sheetViews>
  <sheetFormatPr defaultRowHeight="12.5" x14ac:dyDescent="0.25"/>
  <cols>
    <col min="1" max="1" width="12.7265625" bestFit="1" customWidth="1"/>
    <col min="4" max="5" width="8.453125" bestFit="1" customWidth="1"/>
    <col min="6" max="6" width="11.7265625" bestFit="1" customWidth="1"/>
    <col min="7" max="7" width="24.453125" bestFit="1" customWidth="1"/>
  </cols>
  <sheetData>
    <row r="1" spans="1:10" x14ac:dyDescent="0.25">
      <c r="A1" s="110" t="s">
        <v>503</v>
      </c>
      <c r="B1" s="110"/>
      <c r="C1" s="110"/>
      <c r="D1" s="110"/>
      <c r="E1" s="110"/>
      <c r="F1" s="1"/>
      <c r="G1" s="1"/>
      <c r="H1" s="1"/>
      <c r="I1" s="1"/>
      <c r="J1" s="1"/>
    </row>
    <row r="2" spans="1:10" x14ac:dyDescent="0.25">
      <c r="A2" s="111" t="s">
        <v>23</v>
      </c>
      <c r="B2" s="110"/>
      <c r="C2" s="110"/>
      <c r="D2" s="110"/>
      <c r="E2" s="110"/>
    </row>
    <row r="3" spans="1:10" x14ac:dyDescent="0.25">
      <c r="A3" s="111" t="s">
        <v>400</v>
      </c>
      <c r="B3" s="14"/>
      <c r="C3" s="14"/>
      <c r="D3" s="69"/>
      <c r="E3" s="14"/>
    </row>
    <row r="4" spans="1:10" x14ac:dyDescent="0.25">
      <c r="A4" s="111" t="s">
        <v>30</v>
      </c>
      <c r="B4" s="14"/>
      <c r="C4" s="14"/>
      <c r="D4" s="69"/>
      <c r="E4" s="14"/>
    </row>
    <row r="5" spans="1:10" x14ac:dyDescent="0.25">
      <c r="A5" s="111" t="s">
        <v>454</v>
      </c>
      <c r="B5" s="14"/>
      <c r="C5" s="14"/>
      <c r="D5" s="14"/>
      <c r="E5" s="14"/>
    </row>
    <row r="6" spans="1:10" x14ac:dyDescent="0.25">
      <c r="A6" s="110" t="s">
        <v>457</v>
      </c>
      <c r="B6" s="14"/>
      <c r="C6" s="14"/>
      <c r="D6" s="14"/>
      <c r="E6" s="14"/>
    </row>
    <row r="7" spans="1:10" x14ac:dyDescent="0.25">
      <c r="A7" s="110" t="s">
        <v>455</v>
      </c>
      <c r="B7" s="14"/>
      <c r="C7" s="14"/>
      <c r="D7" s="14"/>
      <c r="E7" s="14"/>
    </row>
    <row r="8" spans="1:10" x14ac:dyDescent="0.25">
      <c r="A8" s="111"/>
      <c r="B8" s="111"/>
      <c r="C8" s="111"/>
      <c r="D8" s="111"/>
      <c r="E8" s="111"/>
    </row>
    <row r="9" spans="1:10" x14ac:dyDescent="0.25">
      <c r="B9" s="99"/>
    </row>
    <row r="12" spans="1:10" x14ac:dyDescent="0.25">
      <c r="B12" s="99"/>
    </row>
    <row r="15" spans="1:10" x14ac:dyDescent="0.25">
      <c r="B15" s="99"/>
    </row>
    <row r="18" spans="2:2" x14ac:dyDescent="0.25">
      <c r="B18" s="99"/>
    </row>
    <row r="21" spans="2:2" x14ac:dyDescent="0.25">
      <c r="B21" s="99"/>
    </row>
    <row r="22" spans="2:2" x14ac:dyDescent="0.25">
      <c r="B22" s="99"/>
    </row>
    <row r="23" spans="2:2" x14ac:dyDescent="0.25">
      <c r="B23" s="99"/>
    </row>
    <row r="24" spans="2:2" x14ac:dyDescent="0.25">
      <c r="B24" s="99"/>
    </row>
    <row r="27" spans="2:2" x14ac:dyDescent="0.25">
      <c r="B27" s="99"/>
    </row>
    <row r="30" spans="2:2" x14ac:dyDescent="0.25">
      <c r="B30" s="9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767E-1870-4D62-81CB-3F84C1A8EA5D}">
  <dimension ref="A1:Z11"/>
  <sheetViews>
    <sheetView tabSelected="1" workbookViewId="0">
      <selection activeCell="B9" sqref="B9"/>
    </sheetView>
  </sheetViews>
  <sheetFormatPr defaultRowHeight="12.5" x14ac:dyDescent="0.25"/>
  <cols>
    <col min="1" max="1" width="17.26953125" bestFit="1" customWidth="1"/>
    <col min="9" max="9" width="12.7265625" bestFit="1" customWidth="1"/>
    <col min="11" max="11" width="11.1796875" bestFit="1" customWidth="1"/>
    <col min="12" max="12" width="11.1796875" customWidth="1"/>
    <col min="13" max="13" width="11.7265625" bestFit="1" customWidth="1"/>
    <col min="14" max="14" width="12.7265625" bestFit="1" customWidth="1"/>
    <col min="15" max="15" width="7.7265625" bestFit="1" customWidth="1"/>
    <col min="16" max="16" width="11.1796875" bestFit="1" customWidth="1"/>
    <col min="17" max="17" width="11.7265625" bestFit="1" customWidth="1"/>
  </cols>
  <sheetData>
    <row r="1" spans="1:26" ht="13" x14ac:dyDescent="0.3">
      <c r="A1" s="2" t="s">
        <v>451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87"/>
      <c r="S1" s="87"/>
      <c r="T1" s="87"/>
      <c r="U1" s="91"/>
      <c r="V1" s="87"/>
      <c r="W1" s="87"/>
      <c r="X1" s="87"/>
      <c r="Y1" s="87"/>
      <c r="Z1" s="87"/>
    </row>
    <row r="2" spans="1:26" x14ac:dyDescent="0.25">
      <c r="A2" s="2" t="s">
        <v>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x14ac:dyDescent="0.25">
      <c r="A3" s="2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x14ac:dyDescent="0.25">
      <c r="A4" s="2" t="s">
        <v>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x14ac:dyDescent="0.25">
      <c r="A5" s="2" t="s">
        <v>30</v>
      </c>
      <c r="B5" s="87"/>
      <c r="C5" s="87"/>
      <c r="D5" s="87"/>
      <c r="E5" s="87"/>
      <c r="F5" s="87"/>
      <c r="G5" s="87"/>
      <c r="H5" s="87"/>
      <c r="I5" s="56"/>
      <c r="J5" s="56"/>
      <c r="K5" s="56"/>
      <c r="L5" s="8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x14ac:dyDescent="0.25">
      <c r="A6" s="2" t="s">
        <v>0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90"/>
      <c r="S6" s="90"/>
      <c r="T6" s="90"/>
      <c r="U6" s="90"/>
      <c r="V6" s="90"/>
      <c r="W6" s="90"/>
      <c r="X6" s="90"/>
      <c r="Y6" s="90"/>
      <c r="Z6" s="90"/>
    </row>
    <row r="7" spans="1:26" x14ac:dyDescent="0.25">
      <c r="A7" s="2" t="s">
        <v>452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57"/>
      <c r="S7" s="57"/>
      <c r="T7" s="57"/>
      <c r="U7" s="57"/>
      <c r="V7" s="57"/>
      <c r="W7" s="57"/>
      <c r="X7" s="57"/>
      <c r="Y7" s="57"/>
      <c r="Z7" s="57"/>
    </row>
    <row r="8" spans="1:26" x14ac:dyDescent="0.25">
      <c r="A8" s="2" t="s">
        <v>453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57"/>
      <c r="S8" s="57"/>
      <c r="T8" s="57"/>
      <c r="U8" s="57"/>
      <c r="V8" s="57"/>
      <c r="W8" s="57"/>
      <c r="X8" s="57"/>
      <c r="Y8" s="57"/>
      <c r="Z8" s="57"/>
    </row>
    <row r="9" spans="1:26" x14ac:dyDescent="0.25">
      <c r="A9" s="21" t="s">
        <v>513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x14ac:dyDescent="0.25">
      <c r="A10" s="21" t="s">
        <v>514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x14ac:dyDescent="0.25">
      <c r="A11" s="2" t="s">
        <v>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D945-35BD-4344-9886-3B13870BACC7}">
  <dimension ref="A1:J1"/>
  <sheetViews>
    <sheetView workbookViewId="0">
      <selection sqref="A1:J1"/>
    </sheetView>
  </sheetViews>
  <sheetFormatPr defaultRowHeight="12.5" x14ac:dyDescent="0.25"/>
  <sheetData>
    <row r="1" spans="1:10" x14ac:dyDescent="0.25">
      <c r="A1" t="s">
        <v>515</v>
      </c>
      <c r="B1" t="s">
        <v>2</v>
      </c>
      <c r="C1" t="s">
        <v>5</v>
      </c>
      <c r="D1" t="s">
        <v>6</v>
      </c>
      <c r="E1" t="s">
        <v>30</v>
      </c>
      <c r="F1" t="s">
        <v>0</v>
      </c>
      <c r="G1" t="s">
        <v>516</v>
      </c>
      <c r="H1" t="s">
        <v>517</v>
      </c>
      <c r="I1" s="21" t="s">
        <v>513</v>
      </c>
      <c r="J1" s="21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913A-7136-4093-8B06-BD10D80AA6C0}">
  <sheetPr>
    <pageSetUpPr fitToPage="1"/>
  </sheetPr>
  <dimension ref="A3:AL155"/>
  <sheetViews>
    <sheetView topLeftCell="A123" zoomScaleNormal="100" workbookViewId="0">
      <selection activeCell="J17" sqref="J17"/>
    </sheetView>
  </sheetViews>
  <sheetFormatPr defaultColWidth="9.1796875" defaultRowHeight="12.5" x14ac:dyDescent="0.25"/>
  <cols>
    <col min="1" max="1" width="24.7265625" style="15" customWidth="1"/>
    <col min="2" max="2" width="21.7265625" style="15" bestFit="1" customWidth="1"/>
    <col min="3" max="3" width="3.453125" style="15" bestFit="1" customWidth="1"/>
    <col min="4" max="4" width="7.7265625" style="8" bestFit="1" customWidth="1"/>
    <col min="5" max="7" width="9.7265625" style="8" customWidth="1"/>
    <col min="8" max="25" width="9.7265625" style="15" customWidth="1"/>
    <col min="26" max="26" width="9.7265625" style="70" customWidth="1"/>
    <col min="27" max="37" width="9.7265625" style="15" customWidth="1"/>
    <col min="38" max="16384" width="9.1796875" style="15"/>
  </cols>
  <sheetData>
    <row r="3" spans="1:38" ht="17.5" x14ac:dyDescent="0.25">
      <c r="A3" s="22" t="s">
        <v>32</v>
      </c>
      <c r="G3" s="105"/>
      <c r="J3" s="8"/>
    </row>
    <row r="4" spans="1:38" ht="13" x14ac:dyDescent="0.3">
      <c r="A4" s="119" t="s">
        <v>511</v>
      </c>
      <c r="B4" s="15">
        <f>'download algemeen'!B1</f>
        <v>0</v>
      </c>
      <c r="G4" s="106"/>
      <c r="J4" s="114" t="s">
        <v>118</v>
      </c>
      <c r="K4" s="115"/>
      <c r="L4" s="115"/>
      <c r="M4" s="116" t="s">
        <v>504</v>
      </c>
      <c r="N4" s="117" t="s">
        <v>106</v>
      </c>
      <c r="O4" s="118">
        <v>1.1000000000000001</v>
      </c>
      <c r="P4" s="55"/>
      <c r="Q4" s="26"/>
      <c r="R4" s="8"/>
    </row>
    <row r="5" spans="1:38" ht="13" x14ac:dyDescent="0.3">
      <c r="A5" s="119" t="s">
        <v>512</v>
      </c>
      <c r="B5" s="15">
        <f>'download algemeen'!B2</f>
        <v>0</v>
      </c>
      <c r="G5" s="106"/>
      <c r="I5" s="54"/>
      <c r="J5" s="26"/>
      <c r="K5" s="8"/>
      <c r="L5"/>
      <c r="M5"/>
      <c r="N5"/>
      <c r="O5"/>
      <c r="P5"/>
      <c r="Q5" s="26"/>
      <c r="R5" s="8"/>
    </row>
    <row r="6" spans="1:38" ht="13" x14ac:dyDescent="0.3">
      <c r="A6" s="119" t="s">
        <v>509</v>
      </c>
      <c r="B6" s="15">
        <f>'download algemeen'!B3</f>
        <v>0</v>
      </c>
      <c r="G6" s="106"/>
      <c r="I6" s="54"/>
      <c r="J6" s="26"/>
      <c r="K6" s="8"/>
      <c r="L6"/>
      <c r="M6"/>
      <c r="N6"/>
      <c r="O6"/>
      <c r="P6"/>
      <c r="Q6" s="26"/>
      <c r="R6" s="8"/>
    </row>
    <row r="7" spans="1:38" ht="13" x14ac:dyDescent="0.3">
      <c r="A7" s="119" t="s">
        <v>510</v>
      </c>
      <c r="B7" s="15">
        <f>'download algemeen'!B4</f>
        <v>0</v>
      </c>
      <c r="G7" s="106"/>
      <c r="I7" s="51"/>
      <c r="J7" s="42"/>
      <c r="K7" s="8"/>
      <c r="L7"/>
      <c r="M7"/>
      <c r="N7"/>
      <c r="O7"/>
      <c r="P7"/>
    </row>
    <row r="8" spans="1:38" x14ac:dyDescent="0.25">
      <c r="A8" s="2"/>
      <c r="D8" s="15"/>
      <c r="L8"/>
      <c r="M8"/>
      <c r="N8"/>
      <c r="O8"/>
      <c r="P8"/>
    </row>
    <row r="9" spans="1:38" ht="13" x14ac:dyDescent="0.25">
      <c r="A9" s="24" t="s">
        <v>458</v>
      </c>
      <c r="E9" s="113" t="s">
        <v>503</v>
      </c>
      <c r="F9" s="113" t="s">
        <v>503</v>
      </c>
      <c r="G9" s="113" t="s">
        <v>503</v>
      </c>
      <c r="H9" s="113" t="s">
        <v>503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42"/>
    </row>
    <row r="10" spans="1:38" ht="12.75" customHeight="1" x14ac:dyDescent="0.25">
      <c r="A10" s="25" t="s">
        <v>36</v>
      </c>
      <c r="E10" s="112">
        <f>'download gording'!B1</f>
        <v>0</v>
      </c>
      <c r="F10" s="112">
        <f>'download gording'!C1</f>
        <v>0</v>
      </c>
      <c r="G10" s="112">
        <f>'download gording'!D1</f>
        <v>0</v>
      </c>
      <c r="H10" s="112">
        <f>'download gording'!E1</f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8"/>
    </row>
    <row r="11" spans="1:38" ht="12.75" customHeight="1" x14ac:dyDescent="0.25">
      <c r="A11" s="15" t="s">
        <v>37</v>
      </c>
      <c r="C11" s="15" t="s">
        <v>102</v>
      </c>
      <c r="D11" s="26" t="s">
        <v>106</v>
      </c>
      <c r="E11" s="100">
        <f>'download gording'!B4</f>
        <v>0</v>
      </c>
      <c r="F11" s="100">
        <f>'download gording'!C4</f>
        <v>0</v>
      </c>
      <c r="G11" s="100">
        <f>'download gording'!D4</f>
        <v>0</v>
      </c>
      <c r="H11" s="100">
        <f>'download gording'!E4</f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7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8" ht="12.75" customHeight="1" x14ac:dyDescent="0.25">
      <c r="A12" s="15" t="s">
        <v>38</v>
      </c>
      <c r="B12" s="53" t="s">
        <v>98</v>
      </c>
      <c r="C12" s="15" t="s">
        <v>103</v>
      </c>
      <c r="D12" s="8" t="s">
        <v>107</v>
      </c>
      <c r="E12" s="92">
        <f>E11</f>
        <v>0</v>
      </c>
      <c r="F12" s="92">
        <f>F11</f>
        <v>0</v>
      </c>
      <c r="G12" s="92">
        <f>G11</f>
        <v>0</v>
      </c>
      <c r="H12" s="92">
        <f>H11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7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8" ht="12.75" customHeight="1" x14ac:dyDescent="0.25">
      <c r="A13" s="15" t="s">
        <v>39</v>
      </c>
      <c r="B13" s="53" t="s">
        <v>98</v>
      </c>
      <c r="C13" s="15" t="s">
        <v>104</v>
      </c>
      <c r="D13" s="8" t="s">
        <v>107</v>
      </c>
      <c r="E13" s="92" t="b">
        <f>IF(E11=235,360,IF(E11=275=430,IF(E11=355,510,IF(E11=450,550))))</f>
        <v>0</v>
      </c>
      <c r="F13" s="92" t="b">
        <f>IF(F11=235,360,IF(F11=275=430,IF(F11=355,510,IF(F11=450,550))))</f>
        <v>0</v>
      </c>
      <c r="G13" s="92" t="b">
        <f>IF(G11=235,360,IF(G11=275=430,IF(G11=355,510,IF(G11=450,550))))</f>
        <v>0</v>
      </c>
      <c r="H13" s="92" t="b">
        <f>IF(H11=235,360,IF(H11=275=430,IF(H11=355,510,IF(H11=450,550))))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7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8" ht="12.75" customHeight="1" x14ac:dyDescent="0.25">
      <c r="A14" s="15" t="s">
        <v>40</v>
      </c>
      <c r="B14" s="53" t="s">
        <v>99</v>
      </c>
      <c r="C14" s="15" t="s">
        <v>105</v>
      </c>
      <c r="D14" s="8" t="s">
        <v>107</v>
      </c>
      <c r="E14" s="93">
        <f>2.1*10^5</f>
        <v>210000</v>
      </c>
      <c r="F14" s="93">
        <f>2.1*10^5</f>
        <v>210000</v>
      </c>
      <c r="G14" s="93">
        <f>2.1*10^5</f>
        <v>210000</v>
      </c>
      <c r="H14" s="93">
        <f>2.1*10^5</f>
        <v>210000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73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8" ht="12.75" customHeight="1" x14ac:dyDescent="0.25">
      <c r="A15" s="27" t="s">
        <v>41</v>
      </c>
      <c r="B15" s="53" t="s">
        <v>100</v>
      </c>
      <c r="D15" s="26" t="s">
        <v>106</v>
      </c>
      <c r="E15" s="94" t="e">
        <f>SQRT(235/E12)</f>
        <v>#DIV/0!</v>
      </c>
      <c r="F15" s="94" t="e">
        <f>SQRT(235/F12)</f>
        <v>#DIV/0!</v>
      </c>
      <c r="G15" s="94" t="e">
        <f>SQRT(235/G12)</f>
        <v>#DIV/0!</v>
      </c>
      <c r="H15" s="94" t="e">
        <f>SQRT(235/H12)</f>
        <v>#DIV/0!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74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8" ht="12.75" customHeight="1" x14ac:dyDescent="0.25">
      <c r="A16" s="27" t="s">
        <v>109</v>
      </c>
      <c r="B16" s="53" t="s">
        <v>101</v>
      </c>
      <c r="D16" s="26" t="s">
        <v>106</v>
      </c>
      <c r="E16" s="94" t="e">
        <f>PI()*SQRT((E14/E12))</f>
        <v>#DIV/0!</v>
      </c>
      <c r="F16" s="94" t="e">
        <f>PI()*SQRT((F14/F12))</f>
        <v>#DIV/0!</v>
      </c>
      <c r="G16" s="94" t="e">
        <f>PI()*SQRT((G14/G12))</f>
        <v>#DIV/0!</v>
      </c>
      <c r="H16" s="94" t="e">
        <f>PI()*SQRT((H14/H12))</f>
        <v>#DIV/0!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74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12.75" customHeight="1" x14ac:dyDescent="0.25">
      <c r="B17" s="53"/>
      <c r="E17" s="92"/>
      <c r="F17" s="92"/>
      <c r="G17" s="92"/>
      <c r="H17" s="92"/>
    </row>
    <row r="18" spans="1:37" ht="12.75" customHeight="1" x14ac:dyDescent="0.25">
      <c r="A18" s="25" t="s">
        <v>42</v>
      </c>
      <c r="B18" s="53"/>
      <c r="E18" s="92"/>
      <c r="F18" s="92"/>
      <c r="G18" s="92"/>
      <c r="H18" s="92"/>
    </row>
    <row r="19" spans="1:37" ht="12.75" customHeight="1" x14ac:dyDescent="0.25">
      <c r="A19" s="28" t="s">
        <v>456</v>
      </c>
      <c r="B19" s="53"/>
      <c r="C19" s="51"/>
      <c r="D19" s="26"/>
      <c r="E19" s="92">
        <f>'download gording'!B2</f>
        <v>0</v>
      </c>
      <c r="F19" s="92">
        <f>'download gording'!C2</f>
        <v>0</v>
      </c>
      <c r="G19" s="92">
        <f>'download gording'!D2</f>
        <v>0</v>
      </c>
      <c r="H19" s="92">
        <f>'download gording'!E2</f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72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28" t="s">
        <v>400</v>
      </c>
      <c r="B20" s="53"/>
      <c r="E20" s="100">
        <f>'download gording'!B3</f>
        <v>0</v>
      </c>
      <c r="F20" s="100">
        <f>'download gording'!C3</f>
        <v>0</v>
      </c>
      <c r="G20" s="100">
        <f>'download gording'!D3</f>
        <v>0</v>
      </c>
      <c r="H20" s="100">
        <f>'download gording'!E3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7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31" t="s">
        <v>459</v>
      </c>
      <c r="B21" s="53"/>
      <c r="C21" s="51" t="s">
        <v>189</v>
      </c>
      <c r="D21" s="26" t="s">
        <v>110</v>
      </c>
      <c r="E21" s="92" t="e">
        <f>VLOOKUP(E$19,hulpblad!$P$5:$AB$148,2)</f>
        <v>#N/A</v>
      </c>
      <c r="F21" s="92" t="e">
        <f>VLOOKUP(F$19,hulpblad!$P$5:$AB$148,2)</f>
        <v>#N/A</v>
      </c>
      <c r="G21" s="92" t="e">
        <f>VLOOKUP(G$19,hulpblad!$P$5:$AB$148,2)</f>
        <v>#N/A</v>
      </c>
      <c r="H21" s="92" t="e">
        <f>VLOOKUP(H$19,hulpblad!$P$5:$AB$148,2)</f>
        <v>#N/A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72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B22" s="53"/>
      <c r="C22" s="51" t="s">
        <v>27</v>
      </c>
      <c r="D22" s="26" t="s">
        <v>110</v>
      </c>
      <c r="E22" s="92" t="e">
        <f>VLOOKUP(E$19,hulpblad!$P$5:$AB$148,3)</f>
        <v>#N/A</v>
      </c>
      <c r="F22" s="92" t="e">
        <f>VLOOKUP(F$19,hulpblad!$P$5:$AB$148,3)</f>
        <v>#N/A</v>
      </c>
      <c r="G22" s="92" t="e">
        <f>VLOOKUP(G$19,hulpblad!$P$5:$AB$148,3)</f>
        <v>#N/A</v>
      </c>
      <c r="H22" s="92" t="e">
        <f>VLOOKUP(H$19,hulpblad!$P$5:$AB$148,3)</f>
        <v>#N/A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72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B23" s="53"/>
      <c r="C23" s="51" t="s">
        <v>460</v>
      </c>
      <c r="D23" s="26" t="s">
        <v>110</v>
      </c>
      <c r="E23" s="92" t="e">
        <f>E21-E25-E25</f>
        <v>#N/A</v>
      </c>
      <c r="F23" s="92" t="e">
        <f>F21-F25-F25</f>
        <v>#N/A</v>
      </c>
      <c r="G23" s="92" t="e">
        <f>G21-G25-G25</f>
        <v>#N/A</v>
      </c>
      <c r="H23" s="92" t="e">
        <f>H21-H25-H25</f>
        <v>#N/A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74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ht="12.75" customHeight="1" x14ac:dyDescent="0.25">
      <c r="B24" s="53"/>
      <c r="C24" s="51" t="s">
        <v>190</v>
      </c>
      <c r="D24" s="26" t="s">
        <v>110</v>
      </c>
      <c r="E24" s="92" t="e">
        <f>VLOOKUP(E19,hulpblad!$P$5:$AB$148,4)</f>
        <v>#N/A</v>
      </c>
      <c r="F24" s="92" t="e">
        <f>VLOOKUP(F19,hulpblad!$P$5:$AB$148,4)</f>
        <v>#N/A</v>
      </c>
      <c r="G24" s="92" t="e">
        <f>VLOOKUP(G19,hulpblad!$P$5:$AB$148,4)</f>
        <v>#N/A</v>
      </c>
      <c r="H24" s="92" t="e">
        <f>VLOOKUP(H19,hulpblad!$P$5:$AB$148,4)</f>
        <v>#N/A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72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B25" s="53"/>
      <c r="C25" s="51" t="s">
        <v>191</v>
      </c>
      <c r="D25" s="26" t="s">
        <v>110</v>
      </c>
      <c r="E25" s="92" t="e">
        <f>VLOOKUP(E19,hulpblad!$P$5:$AB$148,5)</f>
        <v>#N/A</v>
      </c>
      <c r="F25" s="92" t="e">
        <f>VLOOKUP(F19,hulpblad!$P$5:$AB$148,5)</f>
        <v>#N/A</v>
      </c>
      <c r="G25" s="92" t="e">
        <f>VLOOKUP(G19,hulpblad!$P$5:$AB$148,5)</f>
        <v>#N/A</v>
      </c>
      <c r="H25" s="92" t="e">
        <f>VLOOKUP(H19,hulpblad!$P$5:$AB$148,5)</f>
        <v>#N/A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75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1:37" ht="12.75" customHeight="1" x14ac:dyDescent="0.25">
      <c r="B26" s="53"/>
      <c r="C26" s="51" t="s">
        <v>194</v>
      </c>
      <c r="D26" s="26" t="s">
        <v>110</v>
      </c>
      <c r="E26" s="92" t="e">
        <f>VLOOKUP(E19,hulpblad!$P$5:$AB$148,11)</f>
        <v>#N/A</v>
      </c>
      <c r="F26" s="92" t="e">
        <f>VLOOKUP(F19,hulpblad!$P$5:$AB$148,11)</f>
        <v>#N/A</v>
      </c>
      <c r="G26" s="92" t="e">
        <f>VLOOKUP(G19,hulpblad!$P$5:$AB$148,11)</f>
        <v>#N/A</v>
      </c>
      <c r="H26" s="92" t="e">
        <f>VLOOKUP(H19,hulpblad!$P$5:$AB$148,11)</f>
        <v>#N/A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75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ht="12.75" customHeight="1" x14ac:dyDescent="0.25">
      <c r="B27" s="53"/>
      <c r="C27" s="50" t="s">
        <v>7</v>
      </c>
      <c r="D27" s="43" t="s">
        <v>408</v>
      </c>
      <c r="E27" s="92" t="e">
        <f>VLOOKUP(E19,hulpblad!$P$5:$AB$148,10)</f>
        <v>#N/A</v>
      </c>
      <c r="F27" s="92" t="e">
        <f>VLOOKUP(F19,hulpblad!$P$5:$AB$148,10)</f>
        <v>#N/A</v>
      </c>
      <c r="G27" s="92" t="e">
        <f>VLOOKUP(G19,hulpblad!$P$5:$AB$148,10)</f>
        <v>#N/A</v>
      </c>
      <c r="H27" s="92" t="e">
        <f>VLOOKUP(H19,hulpblad!$P$5:$AB$148,10)</f>
        <v>#N/A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75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</row>
    <row r="28" spans="1:37" ht="12.75" customHeight="1" x14ac:dyDescent="0.25">
      <c r="B28" s="53"/>
      <c r="C28" s="51" t="s">
        <v>461</v>
      </c>
      <c r="D28" s="26" t="s">
        <v>110</v>
      </c>
      <c r="E28" s="100" t="e">
        <f>E27-(2*E22*E25)+((E24+2*E26)*E25)</f>
        <v>#N/A</v>
      </c>
      <c r="F28" s="100" t="e">
        <f>F27-(2*F22*F25)+((F24+2*F26)*F25)</f>
        <v>#N/A</v>
      </c>
      <c r="G28" s="100" t="e">
        <f>G27-(2*G22*G25)+((G24+2*G26)*G25)</f>
        <v>#N/A</v>
      </c>
      <c r="H28" s="100" t="e">
        <f>H27-(2*H22*H25)+((H24+2*H26)*H25)</f>
        <v>#N/A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74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ht="12.75" customHeight="1" x14ac:dyDescent="0.25">
      <c r="B29" s="53"/>
      <c r="C29" s="51" t="s">
        <v>8</v>
      </c>
      <c r="D29" s="26" t="s">
        <v>114</v>
      </c>
      <c r="E29" s="96" t="e">
        <f>VLOOKUP(E$19,hulpblad!$P$5:$AC$148,14)</f>
        <v>#N/A</v>
      </c>
      <c r="F29" s="96" t="e">
        <f>VLOOKUP(F$19,hulpblad!$P$5:$AC$148,14)</f>
        <v>#N/A</v>
      </c>
      <c r="G29" s="96" t="e">
        <f>VLOOKUP(G$19,hulpblad!$P$5:$AC$148,14)</f>
        <v>#N/A</v>
      </c>
      <c r="H29" s="96" t="e">
        <f>VLOOKUP(H$19,hulpblad!$P$5:$AC$148,14)</f>
        <v>#N/A</v>
      </c>
    </row>
    <row r="30" spans="1:37" ht="12.75" customHeight="1" x14ac:dyDescent="0.25">
      <c r="B30" s="53"/>
      <c r="C30" s="51" t="s">
        <v>463</v>
      </c>
      <c r="D30" s="26" t="s">
        <v>408</v>
      </c>
      <c r="E30" s="92" t="e">
        <f>E25*E22</f>
        <v>#N/A</v>
      </c>
      <c r="F30" s="92" t="e">
        <f>F25*F22</f>
        <v>#N/A</v>
      </c>
      <c r="G30" s="92" t="e">
        <f>G25*G22</f>
        <v>#N/A</v>
      </c>
      <c r="H30" s="92" t="e">
        <f>H25*H22</f>
        <v>#N/A</v>
      </c>
    </row>
    <row r="31" spans="1:37" ht="12.75" customHeight="1" x14ac:dyDescent="0.25">
      <c r="B31" s="53"/>
      <c r="C31" s="51" t="s">
        <v>462</v>
      </c>
      <c r="D31" s="8" t="s">
        <v>408</v>
      </c>
      <c r="E31" s="92" t="e">
        <f>E23*E24</f>
        <v>#N/A</v>
      </c>
      <c r="F31" s="92" t="e">
        <f>F23*F24</f>
        <v>#N/A</v>
      </c>
      <c r="G31" s="92" t="e">
        <f>G23*G24</f>
        <v>#N/A</v>
      </c>
      <c r="H31" s="92" t="e">
        <f>H23*H24</f>
        <v>#N/A</v>
      </c>
    </row>
    <row r="32" spans="1:37" ht="12.75" customHeight="1" x14ac:dyDescent="0.25">
      <c r="B32" s="53"/>
      <c r="C32" s="51" t="s">
        <v>464</v>
      </c>
      <c r="D32" s="8" t="s">
        <v>106</v>
      </c>
      <c r="E32" s="96" t="e">
        <f>E21/E22</f>
        <v>#N/A</v>
      </c>
      <c r="F32" s="96" t="e">
        <f>F21/F22</f>
        <v>#N/A</v>
      </c>
      <c r="G32" s="96" t="e">
        <f>G21/G22</f>
        <v>#N/A</v>
      </c>
      <c r="H32" s="96" t="e">
        <f>H21/H22</f>
        <v>#N/A</v>
      </c>
    </row>
    <row r="33" spans="2:8" ht="12.75" customHeight="1" x14ac:dyDescent="0.25">
      <c r="B33" s="53"/>
      <c r="C33" s="51" t="s">
        <v>465</v>
      </c>
      <c r="D33" s="8" t="s">
        <v>144</v>
      </c>
      <c r="E33" s="92" t="e">
        <f>VLOOKUP(E$19,hulpblad!$P$5:$AB$148,6)</f>
        <v>#N/A</v>
      </c>
      <c r="F33" s="92" t="e">
        <f>VLOOKUP(F$19,hulpblad!$P$5:$AB$148,6)</f>
        <v>#N/A</v>
      </c>
      <c r="G33" s="92" t="e">
        <f>VLOOKUP(G$19,hulpblad!$P$5:$AB$148,6)</f>
        <v>#N/A</v>
      </c>
      <c r="H33" s="92" t="e">
        <f>VLOOKUP(H$19,hulpblad!$P$5:$AB$148,6)</f>
        <v>#N/A</v>
      </c>
    </row>
    <row r="34" spans="2:8" ht="12.75" customHeight="1" x14ac:dyDescent="0.25">
      <c r="B34" s="53"/>
      <c r="C34" s="51" t="s">
        <v>466</v>
      </c>
      <c r="D34" s="8" t="s">
        <v>144</v>
      </c>
      <c r="E34" s="92" t="e">
        <f>VLOOKUP(E$19,hulpblad!$P$5:$AB$148,8)</f>
        <v>#N/A</v>
      </c>
      <c r="F34" s="92" t="e">
        <f>VLOOKUP(F$19,hulpblad!$P$5:$AB$148,8)</f>
        <v>#N/A</v>
      </c>
      <c r="G34" s="92" t="e">
        <f>VLOOKUP(G$19,hulpblad!$P$5:$AB$148,8)</f>
        <v>#N/A</v>
      </c>
      <c r="H34" s="92" t="e">
        <f>VLOOKUP(H$19,hulpblad!$P$5:$AB$148,8)</f>
        <v>#N/A</v>
      </c>
    </row>
    <row r="35" spans="2:8" ht="12.75" customHeight="1" x14ac:dyDescent="0.25">
      <c r="B35" s="53"/>
      <c r="C35" s="51" t="s">
        <v>467</v>
      </c>
      <c r="D35" s="42" t="s">
        <v>112</v>
      </c>
      <c r="E35" s="92" t="e">
        <f>VLOOKUP(E$19,hulpblad!$P$5:$AB$148,12)</f>
        <v>#N/A</v>
      </c>
      <c r="F35" s="92" t="e">
        <f>VLOOKUP(F$19,hulpblad!$P$5:$AB$148,12)</f>
        <v>#N/A</v>
      </c>
      <c r="G35" s="92" t="e">
        <f>VLOOKUP(G$19,hulpblad!$P$5:$AB$148,12)</f>
        <v>#N/A</v>
      </c>
      <c r="H35" s="92" t="e">
        <f>VLOOKUP(H$19,hulpblad!$P$5:$AB$148,12)</f>
        <v>#N/A</v>
      </c>
    </row>
    <row r="36" spans="2:8" ht="12.75" customHeight="1" x14ac:dyDescent="0.25">
      <c r="B36" s="53"/>
      <c r="C36" s="51" t="s">
        <v>468</v>
      </c>
      <c r="D36" s="42" t="s">
        <v>112</v>
      </c>
      <c r="E36" s="92" t="e">
        <f>VLOOKUP(E$19,hulpblad!$P$5:$AB$148,13)</f>
        <v>#N/A</v>
      </c>
      <c r="F36" s="92" t="e">
        <f>VLOOKUP(F$19,hulpblad!$P$5:$AB$148,13)</f>
        <v>#N/A</v>
      </c>
      <c r="G36" s="92" t="e">
        <f>VLOOKUP(G$19,hulpblad!$P$5:$AB$148,13)</f>
        <v>#N/A</v>
      </c>
      <c r="H36" s="92" t="e">
        <f>VLOOKUP(H$19,hulpblad!$P$5:$AB$148,13)</f>
        <v>#N/A</v>
      </c>
    </row>
    <row r="37" spans="2:8" ht="12.75" customHeight="1" x14ac:dyDescent="0.25">
      <c r="B37" s="53"/>
      <c r="C37" s="51" t="s">
        <v>469</v>
      </c>
      <c r="D37" s="8" t="s">
        <v>144</v>
      </c>
      <c r="E37" s="92" t="e">
        <f>VLOOKUP(E$19,hulpblad!$P$5:$AB$148,7)</f>
        <v>#N/A</v>
      </c>
      <c r="F37" s="92" t="e">
        <f>VLOOKUP(F$19,hulpblad!$P$5:$AB$148,7)</f>
        <v>#N/A</v>
      </c>
      <c r="G37" s="92" t="e">
        <f>VLOOKUP(G$19,hulpblad!$P$5:$AB$148,7)</f>
        <v>#N/A</v>
      </c>
      <c r="H37" s="92" t="e">
        <f>VLOOKUP(H$19,hulpblad!$P$5:$AB$148,7)</f>
        <v>#N/A</v>
      </c>
    </row>
    <row r="38" spans="2:8" ht="12.75" customHeight="1" x14ac:dyDescent="0.25">
      <c r="B38" s="53"/>
      <c r="C38" s="51" t="s">
        <v>470</v>
      </c>
      <c r="D38" s="8" t="s">
        <v>144</v>
      </c>
      <c r="E38" s="92" t="e">
        <f>VLOOKUP(E$19,hulpblad!$P$5:$AB$148,9)</f>
        <v>#N/A</v>
      </c>
      <c r="F38" s="92" t="e">
        <f>VLOOKUP(F$19,hulpblad!$P$5:$AB$148,9)</f>
        <v>#N/A</v>
      </c>
      <c r="G38" s="92" t="e">
        <f>VLOOKUP(G$19,hulpblad!$P$5:$AB$148,9)</f>
        <v>#N/A</v>
      </c>
      <c r="H38" s="92" t="e">
        <f>VLOOKUP(H$19,hulpblad!$P$5:$AB$148,9)</f>
        <v>#N/A</v>
      </c>
    </row>
    <row r="39" spans="2:8" ht="12.75" customHeight="1" x14ac:dyDescent="0.25">
      <c r="B39" s="53"/>
      <c r="C39" s="51" t="s">
        <v>471</v>
      </c>
      <c r="D39" s="8" t="s">
        <v>110</v>
      </c>
      <c r="E39" s="94" t="e">
        <f>SQRT(E35/E27)</f>
        <v>#N/A</v>
      </c>
      <c r="F39" s="94" t="e">
        <f>SQRT(F35/F27)</f>
        <v>#N/A</v>
      </c>
      <c r="G39" s="94" t="e">
        <f>SQRT(G35/G27)</f>
        <v>#N/A</v>
      </c>
      <c r="H39" s="94" t="e">
        <f>SQRT(H35/H27)</f>
        <v>#N/A</v>
      </c>
    </row>
    <row r="40" spans="2:8" ht="12.75" customHeight="1" x14ac:dyDescent="0.25">
      <c r="B40" s="53"/>
      <c r="C40" s="51" t="s">
        <v>472</v>
      </c>
      <c r="D40" s="8" t="s">
        <v>110</v>
      </c>
      <c r="E40" s="94" t="e">
        <f>SQRT(E36/E27)</f>
        <v>#N/A</v>
      </c>
      <c r="F40" s="94" t="e">
        <f>SQRT(F36/F27)</f>
        <v>#N/A</v>
      </c>
      <c r="G40" s="94" t="e">
        <f>SQRT(G36/G27)</f>
        <v>#N/A</v>
      </c>
      <c r="H40" s="94" t="e">
        <f>SQRT(H36/H27)</f>
        <v>#N/A</v>
      </c>
    </row>
    <row r="41" spans="2:8" ht="12.75" customHeight="1" x14ac:dyDescent="0.25">
      <c r="B41" s="53"/>
      <c r="C41" s="51"/>
      <c r="E41" s="94"/>
      <c r="F41" s="94"/>
      <c r="G41" s="94"/>
      <c r="H41" s="94"/>
    </row>
    <row r="42" spans="2:8" ht="12.75" hidden="1" customHeight="1" x14ac:dyDescent="0.25">
      <c r="B42" s="53"/>
      <c r="C42" s="51"/>
      <c r="D42" s="42" t="s">
        <v>477</v>
      </c>
      <c r="E42" s="101" t="e">
        <f>IF(AND(E$32&gt;1.2,E$25&lt;=40,E$11&lt;460),"a",0)</f>
        <v>#N/A</v>
      </c>
      <c r="F42" s="101" t="e">
        <f>IF(AND(F$32&gt;1.2,F$25&lt;=40,F$11&lt;460),"a",0)</f>
        <v>#N/A</v>
      </c>
      <c r="G42" s="101" t="e">
        <f>IF(AND(G$32&gt;1.2,G$25&lt;=40,G$11&lt;460),"a",0)</f>
        <v>#N/A</v>
      </c>
      <c r="H42" s="101" t="e">
        <f>IF(AND(H$32&gt;1.2,H$25&lt;=40,H$11&lt;460),"a",0)</f>
        <v>#N/A</v>
      </c>
    </row>
    <row r="43" spans="2:8" ht="12.75" hidden="1" customHeight="1" x14ac:dyDescent="0.25">
      <c r="B43" s="53"/>
      <c r="C43" s="51"/>
      <c r="D43" s="42" t="s">
        <v>476</v>
      </c>
      <c r="E43" s="102" t="e">
        <f>IF(AND(E$32&gt;1.2,E$25&lt;40,E$11&lt;460),"b",0)</f>
        <v>#N/A</v>
      </c>
      <c r="F43" s="111" t="e">
        <f>IF(AND(F$32&gt;1.2,F$25&lt;40,F$11&lt;460),"b",0)</f>
        <v>#N/A</v>
      </c>
      <c r="G43" s="111" t="e">
        <f>IF(AND(G$32&gt;1.2,G$25&lt;40,G$11&lt;460),"b",0)</f>
        <v>#N/A</v>
      </c>
      <c r="H43" s="111" t="e">
        <f>IF(AND(H$32&gt;1.2,H$25&lt;40,H$11&lt;460),"b",0)</f>
        <v>#N/A</v>
      </c>
    </row>
    <row r="44" spans="2:8" ht="12.75" hidden="1" customHeight="1" x14ac:dyDescent="0.25">
      <c r="B44" s="53"/>
      <c r="C44" s="51"/>
      <c r="D44" s="42" t="s">
        <v>477</v>
      </c>
      <c r="E44" s="102" t="e">
        <f>IF(AND(E$32&gt;1.2,E$25&gt;40,E$11&lt;460),"b",0)</f>
        <v>#N/A</v>
      </c>
      <c r="F44" s="111" t="e">
        <f>IF(AND(F$32&gt;1.2,F$25&gt;40,F$11&lt;460),"b",0)</f>
        <v>#N/A</v>
      </c>
      <c r="G44" s="111" t="e">
        <f>IF(AND(G$32&gt;1.2,G$25&gt;40,G$11&lt;460),"b",0)</f>
        <v>#N/A</v>
      </c>
      <c r="H44" s="111" t="e">
        <f>IF(AND(H$32&gt;1.2,H$25&gt;40,H$11&lt;460),"b",0)</f>
        <v>#N/A</v>
      </c>
    </row>
    <row r="45" spans="2:8" ht="12.75" hidden="1" customHeight="1" x14ac:dyDescent="0.25">
      <c r="B45" s="53"/>
      <c r="C45" s="51"/>
      <c r="D45" s="42" t="s">
        <v>476</v>
      </c>
      <c r="E45" s="102" t="e">
        <f>IF(AND(E$32&gt;1.2,E$25&gt;40,E$11&lt;460),"c",0)</f>
        <v>#N/A</v>
      </c>
      <c r="F45" s="111" t="e">
        <f>IF(AND(F$32&gt;1.2,F$25&gt;40,F$11&lt;460),"c",0)</f>
        <v>#N/A</v>
      </c>
      <c r="G45" s="111" t="e">
        <f>IF(AND(G$32&gt;1.2,G$25&gt;40,G$11&lt;460),"c",0)</f>
        <v>#N/A</v>
      </c>
      <c r="H45" s="111" t="e">
        <f>IF(AND(H$32&gt;1.2,H$25&gt;40,H$11&lt;460),"c",0)</f>
        <v>#N/A</v>
      </c>
    </row>
    <row r="46" spans="2:8" ht="12.75" hidden="1" customHeight="1" x14ac:dyDescent="0.25">
      <c r="B46" s="53"/>
      <c r="C46" s="51"/>
      <c r="D46" s="42" t="s">
        <v>477</v>
      </c>
      <c r="E46" s="102" t="e">
        <f>IF(AND(E$32&lt;=1.2,E$25&lt;=100,E$11&lt;460),"b",0)</f>
        <v>#N/A</v>
      </c>
      <c r="F46" s="111" t="e">
        <f>IF(AND(F$32&lt;=1.2,F$25&lt;=100,F$11&lt;460),"b",0)</f>
        <v>#N/A</v>
      </c>
      <c r="G46" s="111" t="e">
        <f>IF(AND(G$32&lt;=1.2,G$25&lt;=100,G$11&lt;460),"b",0)</f>
        <v>#N/A</v>
      </c>
      <c r="H46" s="111" t="e">
        <f>IF(AND(H$32&lt;=1.2,H$25&lt;=100,H$11&lt;460),"b",0)</f>
        <v>#N/A</v>
      </c>
    </row>
    <row r="47" spans="2:8" ht="12.75" hidden="1" customHeight="1" x14ac:dyDescent="0.25">
      <c r="B47" s="53"/>
      <c r="C47" s="51"/>
      <c r="D47" s="42" t="s">
        <v>476</v>
      </c>
      <c r="E47" s="102" t="e">
        <f>IF(AND(E$32&lt;=1.2,E$25&lt;=100,E$11&lt;460),"c",0)</f>
        <v>#N/A</v>
      </c>
      <c r="F47" s="111" t="e">
        <f>IF(AND(F$32&lt;=1.2,F$25&lt;=100,F$11&lt;460),"c",0)</f>
        <v>#N/A</v>
      </c>
      <c r="G47" s="111" t="e">
        <f>IF(AND(G$32&lt;=1.2,G$25&lt;=100,G$11&lt;460),"c",0)</f>
        <v>#N/A</v>
      </c>
      <c r="H47" s="111" t="e">
        <f>IF(AND(H$32&lt;=1.2,H$25&lt;=100,H$11&lt;460),"c",0)</f>
        <v>#N/A</v>
      </c>
    </row>
    <row r="48" spans="2:8" ht="12.75" hidden="1" customHeight="1" x14ac:dyDescent="0.25">
      <c r="B48" s="53"/>
      <c r="C48" s="51"/>
      <c r="D48" s="42" t="s">
        <v>477</v>
      </c>
      <c r="E48" s="102" t="e">
        <f t="shared" ref="E48:H49" si="0">IF(AND(E$32&lt;=1.2,E$25&gt;100,E$11&lt;460),"d",0)</f>
        <v>#N/A</v>
      </c>
      <c r="F48" s="111" t="e">
        <f t="shared" si="0"/>
        <v>#N/A</v>
      </c>
      <c r="G48" s="111" t="e">
        <f t="shared" si="0"/>
        <v>#N/A</v>
      </c>
      <c r="H48" s="111" t="e">
        <f t="shared" si="0"/>
        <v>#N/A</v>
      </c>
    </row>
    <row r="49" spans="1:37" ht="12.75" hidden="1" customHeight="1" x14ac:dyDescent="0.25">
      <c r="B49" s="53"/>
      <c r="C49" s="51"/>
      <c r="D49" s="42" t="s">
        <v>476</v>
      </c>
      <c r="E49" s="102" t="e">
        <f t="shared" si="0"/>
        <v>#N/A</v>
      </c>
      <c r="F49" s="111" t="e">
        <f t="shared" si="0"/>
        <v>#N/A</v>
      </c>
      <c r="G49" s="111" t="e">
        <f t="shared" si="0"/>
        <v>#N/A</v>
      </c>
      <c r="H49" s="111" t="e">
        <f t="shared" si="0"/>
        <v>#N/A</v>
      </c>
    </row>
    <row r="50" spans="1:37" ht="12.75" customHeight="1" x14ac:dyDescent="0.25">
      <c r="A50" s="15" t="s">
        <v>473</v>
      </c>
      <c r="B50" s="53"/>
      <c r="D50" s="42" t="s">
        <v>106</v>
      </c>
      <c r="E50" s="92" t="e">
        <f>IF(E42="a",E42,IF(E44="b",E44,IF(E46="b",E46,IF(E48="d",E48))))</f>
        <v>#N/A</v>
      </c>
      <c r="F50" s="92" t="e">
        <f>IF(F42="a",F42,IF(F44="b",F44,IF(F46="b",F46,IF(F48="d",F48))))</f>
        <v>#N/A</v>
      </c>
      <c r="G50" s="92" t="e">
        <f>IF(G42="a",G42,IF(G44="b",G44,IF(G46="b",G46,IF(G48="d",G48))))</f>
        <v>#N/A</v>
      </c>
      <c r="H50" s="92" t="e">
        <f>IF(H42="a",H42,IF(H44="b",H44,IF(H46="b",H46,IF(H48="d",H48))))</f>
        <v>#N/A</v>
      </c>
    </row>
    <row r="51" spans="1:37" ht="12.75" customHeight="1" x14ac:dyDescent="0.25">
      <c r="A51" s="15" t="s">
        <v>474</v>
      </c>
      <c r="B51" s="53"/>
      <c r="D51" s="42" t="s">
        <v>106</v>
      </c>
      <c r="E51" s="92" t="e">
        <f>IF(E43="b",E43,IF(E45="c",E45,IF(E47="c",E47,IF(E49="d",E49))))</f>
        <v>#N/A</v>
      </c>
      <c r="F51" s="92" t="e">
        <f>IF(F43="b",F43,IF(F45="c",F45,IF(F47="c",F47,IF(F49="d",F49))))</f>
        <v>#N/A</v>
      </c>
      <c r="G51" s="92" t="e">
        <f>IF(G43="b",G43,IF(G45="c",G45,IF(G47="c",G47,IF(G49="d",G49))))</f>
        <v>#N/A</v>
      </c>
      <c r="H51" s="92" t="e">
        <f>IF(H43="b",H43,IF(H45="c",H45,IF(H47="c",H47,IF(H49="d",H49))))</f>
        <v>#N/A</v>
      </c>
    </row>
    <row r="52" spans="1:37" ht="12.75" customHeight="1" x14ac:dyDescent="0.25">
      <c r="A52" s="15" t="s">
        <v>475</v>
      </c>
      <c r="B52" s="53"/>
      <c r="E52" s="92"/>
      <c r="F52" s="92"/>
      <c r="G52" s="92"/>
      <c r="H52" s="92"/>
    </row>
    <row r="53" spans="1:37" ht="12.75" customHeight="1" x14ac:dyDescent="0.25">
      <c r="A53" s="28" t="s">
        <v>494</v>
      </c>
      <c r="B53" s="53"/>
      <c r="D53" s="42" t="s">
        <v>106</v>
      </c>
      <c r="E53" s="96" t="e">
        <f>((E102/E105)*E12+(E97/E98)*E12)/(2*(E102/E105)*E12)</f>
        <v>#DIV/0!</v>
      </c>
      <c r="F53" s="96" t="e">
        <f>((F102/F105)*F12+(F97/F98)*F12)/(2*(F102/F105)*F12)</f>
        <v>#DIV/0!</v>
      </c>
      <c r="G53" s="96" t="e">
        <f>((G102/G105)*G12+(G97/G98)*G12)/(2*(G102/G105)*G12)</f>
        <v>#DIV/0!</v>
      </c>
      <c r="H53" s="96" t="e">
        <f>((H102/H105)*H12+(H97/H98)*H12)/(2*(H102/H105)*H12)</f>
        <v>#DIV/0!</v>
      </c>
    </row>
    <row r="54" spans="1:37" ht="12.75" customHeight="1" x14ac:dyDescent="0.25">
      <c r="B54" s="53"/>
      <c r="E54" s="92"/>
      <c r="F54" s="92"/>
      <c r="G54" s="92"/>
      <c r="H54" s="92"/>
    </row>
    <row r="55" spans="1:37" ht="12.75" customHeight="1" x14ac:dyDescent="0.25">
      <c r="A55" s="25" t="s">
        <v>50</v>
      </c>
      <c r="B55" s="53"/>
      <c r="E55" s="92"/>
      <c r="F55" s="92"/>
      <c r="G55" s="92"/>
      <c r="H55" s="92"/>
    </row>
    <row r="56" spans="1:37" ht="12.75" customHeight="1" x14ac:dyDescent="0.25">
      <c r="A56" s="28" t="s">
        <v>479</v>
      </c>
      <c r="B56" s="53"/>
      <c r="D56" s="14" t="s">
        <v>106</v>
      </c>
      <c r="E56" s="96" t="e">
        <f>(E21-E25-E25-E26-E26)/E24/E15</f>
        <v>#N/A</v>
      </c>
      <c r="F56" s="96" t="e">
        <f>(F21-F25-F25-F26-F26)/F24/F15</f>
        <v>#N/A</v>
      </c>
      <c r="G56" s="96" t="e">
        <f>(G21-G25-G25-G26-G26)/G24/G15</f>
        <v>#N/A</v>
      </c>
      <c r="H56" s="96" t="e">
        <f>(H21-H25-H25-H26-H26)/H24/H15</f>
        <v>#N/A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76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1:37" ht="12.75" customHeight="1" x14ac:dyDescent="0.25">
      <c r="A57" s="28" t="s">
        <v>478</v>
      </c>
      <c r="B57" s="53"/>
      <c r="D57" s="14" t="s">
        <v>106</v>
      </c>
      <c r="E57" s="94" t="e">
        <f>(E22/2-(E24/2)-E26)/E25/E15</f>
        <v>#N/A</v>
      </c>
      <c r="F57" s="94" t="e">
        <f>(F22/2-(F24/2)-F26)/F25/F15</f>
        <v>#N/A</v>
      </c>
      <c r="G57" s="94" t="e">
        <f>(G22/2-(G24/2)-G26)/G25/G15</f>
        <v>#N/A</v>
      </c>
      <c r="H57" s="94" t="e">
        <f>(H22/2-(H24/2)-H26)/H25/H15</f>
        <v>#N/A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74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</row>
    <row r="58" spans="1:37" ht="12.75" hidden="1" customHeight="1" x14ac:dyDescent="0.25">
      <c r="A58" s="28"/>
      <c r="B58" s="53"/>
      <c r="D58" s="14"/>
      <c r="E58" s="94" t="e">
        <f t="shared" ref="E58:H60" si="1">IF(E$56&lt;=72,1,0)</f>
        <v>#N/A</v>
      </c>
      <c r="F58" s="94" t="e">
        <f t="shared" si="1"/>
        <v>#N/A</v>
      </c>
      <c r="G58" s="94" t="e">
        <f t="shared" si="1"/>
        <v>#N/A</v>
      </c>
      <c r="H58" s="94" t="e">
        <f t="shared" si="1"/>
        <v>#N/A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74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</row>
    <row r="59" spans="1:37" ht="12.75" hidden="1" customHeight="1" x14ac:dyDescent="0.25">
      <c r="A59" s="28"/>
      <c r="B59" s="53"/>
      <c r="D59" s="14"/>
      <c r="E59" s="94" t="e">
        <f t="shared" si="1"/>
        <v>#N/A</v>
      </c>
      <c r="F59" s="94" t="e">
        <f t="shared" si="1"/>
        <v>#N/A</v>
      </c>
      <c r="G59" s="94" t="e">
        <f t="shared" si="1"/>
        <v>#N/A</v>
      </c>
      <c r="H59" s="94" t="e">
        <f t="shared" si="1"/>
        <v>#N/A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74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</row>
    <row r="60" spans="1:37" ht="12.75" hidden="1" customHeight="1" x14ac:dyDescent="0.25">
      <c r="A60" s="28"/>
      <c r="B60" s="53"/>
      <c r="D60" s="14"/>
      <c r="E60" s="94" t="e">
        <f t="shared" si="1"/>
        <v>#N/A</v>
      </c>
      <c r="F60" s="94" t="e">
        <f t="shared" si="1"/>
        <v>#N/A</v>
      </c>
      <c r="G60" s="94" t="e">
        <f t="shared" si="1"/>
        <v>#N/A</v>
      </c>
      <c r="H60" s="94" t="e">
        <f t="shared" si="1"/>
        <v>#N/A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74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ht="12.75" hidden="1" customHeight="1" x14ac:dyDescent="0.25">
      <c r="A61" s="28"/>
      <c r="B61" s="53"/>
      <c r="D61" s="14"/>
      <c r="E61" s="94" t="e">
        <f>SUM(E58:E60)</f>
        <v>#N/A</v>
      </c>
      <c r="F61" s="94" t="e">
        <f>SUM(F58:F60)</f>
        <v>#N/A</v>
      </c>
      <c r="G61" s="94" t="e">
        <f>SUM(G58:G60)</f>
        <v>#N/A</v>
      </c>
      <c r="H61" s="94" t="e">
        <f>SUM(H58:H60)</f>
        <v>#N/A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74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t="12.75" customHeight="1" x14ac:dyDescent="0.25">
      <c r="A62" s="28" t="s">
        <v>482</v>
      </c>
      <c r="D62" s="14" t="s">
        <v>106</v>
      </c>
      <c r="E62" s="108" t="e">
        <f>IF(E61=3,1,IF(E61=2,2,IF(E61=1,3,IF(E61=0,4))))</f>
        <v>#N/A</v>
      </c>
      <c r="F62" s="108" t="e">
        <f>IF(F61=3,1,IF(F61=2,2,IF(F61=1,3,IF(F61=0,4))))</f>
        <v>#N/A</v>
      </c>
      <c r="G62" s="108" t="e">
        <f>IF(G61=3,1,IF(G61=2,2,IF(G61=1,3,IF(G61=0,4))))</f>
        <v>#N/A</v>
      </c>
      <c r="H62" s="108" t="e">
        <f>IF(H61=3,1,IF(H61=2,2,IF(H61=1,3,IF(H61=0,4))))</f>
        <v>#N/A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77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ht="12.75" hidden="1" customHeight="1" x14ac:dyDescent="0.25">
      <c r="A63" s="28"/>
      <c r="D63" s="14"/>
      <c r="E63" s="94" t="e">
        <f>IF(E$56&lt;=33,1,0)</f>
        <v>#N/A</v>
      </c>
      <c r="F63" s="94" t="e">
        <f>IF(F$56&lt;=33,1,0)</f>
        <v>#N/A</v>
      </c>
      <c r="G63" s="94" t="e">
        <f>IF(G$56&lt;=33,1,0)</f>
        <v>#N/A</v>
      </c>
      <c r="H63" s="94" t="e">
        <f>IF(H$56&lt;=33,1,0)</f>
        <v>#N/A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77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ht="12.75" hidden="1" customHeight="1" x14ac:dyDescent="0.25">
      <c r="A64" s="28"/>
      <c r="D64" s="14"/>
      <c r="E64" s="94" t="e">
        <f>IF(E$56&lt;=38,1,0)</f>
        <v>#N/A</v>
      </c>
      <c r="F64" s="94" t="e">
        <f>IF(F$56&lt;=38,1,0)</f>
        <v>#N/A</v>
      </c>
      <c r="G64" s="94" t="e">
        <f>IF(G$56&lt;=38,1,0)</f>
        <v>#N/A</v>
      </c>
      <c r="H64" s="94" t="e">
        <f>IF(H$56&lt;=38,1,0)</f>
        <v>#N/A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77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ht="12.75" hidden="1" customHeight="1" x14ac:dyDescent="0.25">
      <c r="A65" s="28"/>
      <c r="D65" s="14"/>
      <c r="E65" s="94" t="e">
        <f>IF(E$56&lt;=42,1,0)</f>
        <v>#N/A</v>
      </c>
      <c r="F65" s="94" t="e">
        <f>IF(F$56&lt;=42,1,0)</f>
        <v>#N/A</v>
      </c>
      <c r="G65" s="94" t="e">
        <f>IF(G$56&lt;=42,1,0)</f>
        <v>#N/A</v>
      </c>
      <c r="H65" s="94" t="e">
        <f>IF(H$56&lt;=42,1,0)</f>
        <v>#N/A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77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ht="12.75" hidden="1" customHeight="1" x14ac:dyDescent="0.25">
      <c r="A66" s="28"/>
      <c r="D66" s="14"/>
      <c r="E66" s="94" t="e">
        <f>SUM(E63:E65)</f>
        <v>#N/A</v>
      </c>
      <c r="F66" s="94" t="e">
        <f>SUM(F63:F65)</f>
        <v>#N/A</v>
      </c>
      <c r="G66" s="94" t="e">
        <f>SUM(G63:G65)</f>
        <v>#N/A</v>
      </c>
      <c r="H66" s="94" t="e">
        <f>SUM(H63:H65)</f>
        <v>#N/A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77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ht="12.75" customHeight="1" x14ac:dyDescent="0.25">
      <c r="A67" s="41" t="s">
        <v>483</v>
      </c>
      <c r="D67" s="14" t="s">
        <v>106</v>
      </c>
      <c r="E67" s="108" t="e">
        <f>IF(E66=3,1,IF(E66=2,2,IF(E66=1,3,IF(E66=0,4))))</f>
        <v>#N/A</v>
      </c>
      <c r="F67" s="108" t="e">
        <f>IF(F66=3,1,IF(F66=2,2,IF(F66=1,3,IF(F66=0,4))))</f>
        <v>#N/A</v>
      </c>
      <c r="G67" s="108" t="e">
        <f>IF(G66=3,1,IF(G66=2,2,IF(G66=1,3,IF(G66=0,4))))</f>
        <v>#N/A</v>
      </c>
      <c r="H67" s="108" t="e">
        <f>IF(H66=3,1,IF(H66=2,2,IF(H66=1,3,IF(H66=0,4))))</f>
        <v>#N/A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</row>
    <row r="68" spans="1:37" ht="12.75" hidden="1" customHeight="1" x14ac:dyDescent="0.25">
      <c r="D68" s="44"/>
      <c r="E68" s="94" t="e">
        <f>IF(E$57&lt;=9,1,0)</f>
        <v>#N/A</v>
      </c>
      <c r="F68" s="94" t="e">
        <f>IF(F$57&lt;=9,1,0)</f>
        <v>#N/A</v>
      </c>
      <c r="G68" s="94" t="e">
        <f>IF(G$57&lt;=9,1,0)</f>
        <v>#N/A</v>
      </c>
      <c r="H68" s="94" t="e">
        <f>IF(H$57&lt;=9,1,0)</f>
        <v>#N/A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</row>
    <row r="69" spans="1:37" ht="12.75" hidden="1" customHeight="1" x14ac:dyDescent="0.25">
      <c r="A69" s="41"/>
      <c r="D69" s="44"/>
      <c r="E69" s="94" t="e">
        <f>IF(E$57&lt;=10,1,0)</f>
        <v>#N/A</v>
      </c>
      <c r="F69" s="94" t="e">
        <f>IF(F$57&lt;=10,1,0)</f>
        <v>#N/A</v>
      </c>
      <c r="G69" s="94" t="e">
        <f>IF(G$57&lt;=10,1,0)</f>
        <v>#N/A</v>
      </c>
      <c r="H69" s="94" t="e">
        <f>IF(H$57&lt;=10,1,0)</f>
        <v>#N/A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</row>
    <row r="70" spans="1:37" ht="12.75" hidden="1" customHeight="1" x14ac:dyDescent="0.25">
      <c r="A70" s="41"/>
      <c r="D70" s="44"/>
      <c r="E70" s="94" t="e">
        <f>IF(E$57&lt;=14,1,0)</f>
        <v>#N/A</v>
      </c>
      <c r="F70" s="94" t="e">
        <f>IF(F$57&lt;=14,1,0)</f>
        <v>#N/A</v>
      </c>
      <c r="G70" s="94" t="e">
        <f>IF(G$57&lt;=14,1,0)</f>
        <v>#N/A</v>
      </c>
      <c r="H70" s="94" t="e">
        <f>IF(H$57&lt;=14,1,0)</f>
        <v>#N/A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1:37" ht="12.75" hidden="1" customHeight="1" x14ac:dyDescent="0.25">
      <c r="A71" s="41"/>
      <c r="D71" s="44"/>
      <c r="E71" s="94" t="e">
        <f>SUM(E68:E70)</f>
        <v>#N/A</v>
      </c>
      <c r="F71" s="94" t="e">
        <f>SUM(F68:F70)</f>
        <v>#N/A</v>
      </c>
      <c r="G71" s="94" t="e">
        <f>SUM(G68:G70)</f>
        <v>#N/A</v>
      </c>
      <c r="H71" s="94" t="e">
        <f>SUM(H68:H70)</f>
        <v>#N/A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1:37" ht="12.75" customHeight="1" x14ac:dyDescent="0.25">
      <c r="A72" s="41" t="s">
        <v>484</v>
      </c>
      <c r="D72" s="14" t="s">
        <v>106</v>
      </c>
      <c r="E72" s="108" t="e">
        <f>IF(E71=3,1,IF(E71=2,2,IF(E71=1,3,IF(E71=0,4))))</f>
        <v>#N/A</v>
      </c>
      <c r="F72" s="108" t="e">
        <f>IF(F71=3,1,IF(F71=2,2,IF(F71=1,3,IF(F71=0,4))))</f>
        <v>#N/A</v>
      </c>
      <c r="G72" s="108" t="e">
        <f>IF(G71=3,1,IF(G71=2,2,IF(G71=1,3,IF(G71=0,4))))</f>
        <v>#N/A</v>
      </c>
      <c r="H72" s="108" t="e">
        <f>IF(H71=3,1,IF(H71=2,2,IF(H71=1,3,IF(H71=0,4))))</f>
        <v>#N/A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</row>
    <row r="73" spans="1:37" ht="12.75" hidden="1" customHeight="1" x14ac:dyDescent="0.25">
      <c r="D73" s="44"/>
      <c r="E73" s="94" t="e">
        <f>IF(E$53&gt;0.5,E$56*((13*E$53)-1),E$56*E$53)</f>
        <v>#DIV/0!</v>
      </c>
      <c r="F73" s="94" t="e">
        <f>IF(F$53&gt;0.5,F$56*((13*F$53)-1),F$56*F$53)</f>
        <v>#DIV/0!</v>
      </c>
      <c r="G73" s="94" t="e">
        <f>IF(G$53&gt;0.5,G$56*((13*G$53)-1),G$56*G$53)</f>
        <v>#DIV/0!</v>
      </c>
      <c r="H73" s="94" t="e">
        <f>IF(H$53&gt;0.5,H$56*((13*H$53)-1),H$56*H$53)</f>
        <v>#DIV/0!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</row>
    <row r="74" spans="1:37" ht="12.75" hidden="1" customHeight="1" x14ac:dyDescent="0.25">
      <c r="D74" s="44"/>
      <c r="E74" s="94" t="e">
        <f>IF(E53&gt;0.5,396,36)</f>
        <v>#DIV/0!</v>
      </c>
      <c r="F74" s="94" t="e">
        <f>IF(F53&gt;0.5,396,36)</f>
        <v>#DIV/0!</v>
      </c>
      <c r="G74" s="94" t="e">
        <f>IF(G53&gt;0.5,396,36)</f>
        <v>#DIV/0!</v>
      </c>
      <c r="H74" s="94" t="e">
        <f>IF(H53&gt;0.5,396,36)</f>
        <v>#DIV/0!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</row>
    <row r="75" spans="1:37" ht="12.75" hidden="1" customHeight="1" x14ac:dyDescent="0.25">
      <c r="D75" s="44"/>
      <c r="E75" s="94" t="e">
        <f>IF(E73&lt;=E74,1,0)</f>
        <v>#DIV/0!</v>
      </c>
      <c r="F75" s="94" t="e">
        <f>IF(F73&lt;=F74,1,0)</f>
        <v>#DIV/0!</v>
      </c>
      <c r="G75" s="94" t="e">
        <f>IF(G73&lt;=G74,1,0)</f>
        <v>#DIV/0!</v>
      </c>
      <c r="H75" s="94" t="e">
        <f>IF(H73&lt;=H74,1,0)</f>
        <v>#DIV/0!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</row>
    <row r="76" spans="1:37" ht="12.75" hidden="1" customHeight="1" x14ac:dyDescent="0.25">
      <c r="A76" s="41"/>
      <c r="D76" s="44"/>
      <c r="E76" s="94" t="e">
        <f>IF(E$53&gt;0.5,E$56*((13*E$53)-1),E$56*E$53)</f>
        <v>#DIV/0!</v>
      </c>
      <c r="F76" s="94" t="e">
        <f>IF(F$53&gt;0.5,F$56*((13*F$53)-1),F$56*F$53)</f>
        <v>#DIV/0!</v>
      </c>
      <c r="G76" s="94" t="e">
        <f>IF(G$53&gt;0.5,G$56*((13*G$53)-1),G$56*G$53)</f>
        <v>#DIV/0!</v>
      </c>
      <c r="H76" s="94" t="e">
        <f>IF(H$53&gt;0.5,H$56*((13*H$53)-1),H$56*H$53)</f>
        <v>#DIV/0!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</row>
    <row r="77" spans="1:37" ht="12.75" hidden="1" customHeight="1" x14ac:dyDescent="0.25">
      <c r="A77" s="41"/>
      <c r="D77" s="44"/>
      <c r="E77" s="94" t="e">
        <f>IF(E53&gt;0.5,456,41.5)</f>
        <v>#DIV/0!</v>
      </c>
      <c r="F77" s="94" t="e">
        <f>IF(F53&gt;0.5,456,41.5)</f>
        <v>#DIV/0!</v>
      </c>
      <c r="G77" s="94" t="e">
        <f>IF(G53&gt;0.5,456,41.5)</f>
        <v>#DIV/0!</v>
      </c>
      <c r="H77" s="94" t="e">
        <f>IF(H53&gt;0.5,456,41.5)</f>
        <v>#DIV/0!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</row>
    <row r="78" spans="1:37" ht="12.75" hidden="1" customHeight="1" x14ac:dyDescent="0.25">
      <c r="A78" s="41"/>
      <c r="D78" s="44"/>
      <c r="E78" s="94" t="e">
        <f>IF(E76&lt;=E77,1,0)</f>
        <v>#DIV/0!</v>
      </c>
      <c r="F78" s="94" t="e">
        <f>IF(F76&lt;=F77,1,0)</f>
        <v>#DIV/0!</v>
      </c>
      <c r="G78" s="94" t="e">
        <f>IF(G76&lt;=G77,1,0)</f>
        <v>#DIV/0!</v>
      </c>
      <c r="H78" s="94" t="e">
        <f>IF(H76&lt;=H77,1,0)</f>
        <v>#DIV/0!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</row>
    <row r="79" spans="1:37" ht="12.75" hidden="1" customHeight="1" x14ac:dyDescent="0.25">
      <c r="A79" s="41"/>
      <c r="D79" s="44"/>
      <c r="E79" s="94" t="e">
        <f>E75+E78</f>
        <v>#DIV/0!</v>
      </c>
      <c r="F79" s="94" t="e">
        <f>F75+F78</f>
        <v>#DIV/0!</v>
      </c>
      <c r="G79" s="94" t="e">
        <f>G75+G78</f>
        <v>#DIV/0!</v>
      </c>
      <c r="H79" s="94" t="e">
        <f>H75+H78</f>
        <v>#DIV/0!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</row>
    <row r="80" spans="1:37" ht="12.75" customHeight="1" x14ac:dyDescent="0.25">
      <c r="A80" s="41" t="s">
        <v>485</v>
      </c>
      <c r="D80" s="14" t="s">
        <v>106</v>
      </c>
      <c r="E80" s="108" t="e">
        <f>IF(E79=2,1,IF(E79=1,2,IF(E79=0,3)))</f>
        <v>#DIV/0!</v>
      </c>
      <c r="F80" s="108" t="e">
        <f>IF(F79=2,1,IF(F79=1,2,IF(F79=0,3)))</f>
        <v>#DIV/0!</v>
      </c>
      <c r="G80" s="108" t="e">
        <f>IF(G79=2,1,IF(G79=1,2,IF(G79=0,3)))</f>
        <v>#DIV/0!</v>
      </c>
      <c r="H80" s="108" t="e">
        <f>IF(H79=2,1,IF(H79=1,2,IF(H79=0,3)))</f>
        <v>#DIV/0!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</row>
    <row r="81" spans="1:37" ht="12.75" customHeight="1" x14ac:dyDescent="0.25">
      <c r="A81" s="41"/>
      <c r="D81" s="44"/>
      <c r="E81" s="96"/>
      <c r="F81" s="96"/>
      <c r="G81" s="96"/>
      <c r="H81" s="96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</row>
    <row r="82" spans="1:37" ht="12.75" customHeight="1" x14ac:dyDescent="0.25">
      <c r="A82" s="103" t="s">
        <v>480</v>
      </c>
      <c r="D82" s="14"/>
      <c r="E82" s="94"/>
      <c r="F82" s="94"/>
      <c r="G82" s="94"/>
      <c r="H82" s="94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74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ht="12.75" hidden="1" customHeight="1" x14ac:dyDescent="0.25">
      <c r="A83" s="27"/>
      <c r="D83" s="14">
        <v>1</v>
      </c>
      <c r="E83" s="94">
        <f>IF(E82&lt;=50,1,0)</f>
        <v>1</v>
      </c>
      <c r="F83" s="94">
        <f>IF(F82&lt;=50,1,0)</f>
        <v>1</v>
      </c>
      <c r="G83" s="94">
        <f>IF(G82&lt;=50,1,0)</f>
        <v>1</v>
      </c>
      <c r="H83" s="94">
        <f>IF(H82&lt;=50,1,0)</f>
        <v>1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74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ht="12.75" hidden="1" customHeight="1" x14ac:dyDescent="0.25">
      <c r="A84" s="27"/>
      <c r="D84" s="14">
        <v>2</v>
      </c>
      <c r="E84" s="94">
        <f>IF(E82&lt;=70,1,0)</f>
        <v>1</v>
      </c>
      <c r="F84" s="94">
        <f>IF(F82&lt;=70,1,0)</f>
        <v>1</v>
      </c>
      <c r="G84" s="94">
        <f>IF(G82&lt;=70,1,0)</f>
        <v>1</v>
      </c>
      <c r="H84" s="94">
        <f>IF(H82&lt;=70,1,0)</f>
        <v>1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74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ht="12.75" hidden="1" customHeight="1" x14ac:dyDescent="0.25">
      <c r="A85" s="27"/>
      <c r="D85" s="14">
        <v>3</v>
      </c>
      <c r="E85" s="94">
        <f>IF(E82&lt;=90,1,0)</f>
        <v>1</v>
      </c>
      <c r="F85" s="94">
        <f>IF(F82&lt;=90,1,0)</f>
        <v>1</v>
      </c>
      <c r="G85" s="94">
        <f>IF(G82&lt;=90,1,0)</f>
        <v>1</v>
      </c>
      <c r="H85" s="94">
        <f>IF(H82&lt;=90,1,0)</f>
        <v>1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74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ht="12.75" hidden="1" customHeight="1" x14ac:dyDescent="0.25">
      <c r="A86" s="27"/>
      <c r="D86" s="14"/>
      <c r="E86" s="94">
        <f>SUM(E83:E85)</f>
        <v>3</v>
      </c>
      <c r="F86" s="94">
        <f>SUM(F83:F85)</f>
        <v>3</v>
      </c>
      <c r="G86" s="94">
        <f>SUM(G83:G85)</f>
        <v>3</v>
      </c>
      <c r="H86" s="94">
        <f>SUM(H83:H85)</f>
        <v>3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74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ht="12.75" customHeight="1" x14ac:dyDescent="0.25">
      <c r="A87" s="27" t="s">
        <v>481</v>
      </c>
      <c r="D87" s="14" t="s">
        <v>106</v>
      </c>
      <c r="E87" s="94">
        <f>$O$4</f>
        <v>1.1000000000000001</v>
      </c>
      <c r="F87" s="94">
        <f>$O$4</f>
        <v>1.1000000000000001</v>
      </c>
      <c r="G87" s="94">
        <f>$O$4</f>
        <v>1.1000000000000001</v>
      </c>
      <c r="H87" s="94">
        <f>$O$4</f>
        <v>1.1000000000000001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72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ht="12.75" customHeight="1" x14ac:dyDescent="0.25">
      <c r="A88" s="3" t="s">
        <v>78</v>
      </c>
      <c r="C88" s="104" t="s">
        <v>135</v>
      </c>
      <c r="D88" s="14" t="s">
        <v>106</v>
      </c>
      <c r="E88" s="94">
        <v>1</v>
      </c>
      <c r="F88" s="94">
        <v>1</v>
      </c>
      <c r="G88" s="94">
        <v>1</v>
      </c>
      <c r="H88" s="94">
        <v>1</v>
      </c>
    </row>
    <row r="89" spans="1:37" ht="12.75" customHeight="1" x14ac:dyDescent="0.25">
      <c r="A89" s="3" t="s">
        <v>78</v>
      </c>
      <c r="C89" s="104" t="s">
        <v>136</v>
      </c>
      <c r="D89" s="14" t="s">
        <v>106</v>
      </c>
      <c r="E89" s="94">
        <v>1</v>
      </c>
      <c r="F89" s="94">
        <v>1</v>
      </c>
      <c r="G89" s="94">
        <v>1</v>
      </c>
      <c r="H89" s="94">
        <v>1</v>
      </c>
    </row>
    <row r="90" spans="1:37" ht="12.75" customHeight="1" x14ac:dyDescent="0.25">
      <c r="E90" s="92"/>
      <c r="F90" s="92"/>
      <c r="G90" s="92"/>
      <c r="H90" s="92"/>
    </row>
    <row r="91" spans="1:37" ht="12.75" customHeight="1" x14ac:dyDescent="0.25">
      <c r="A91" s="32" t="s">
        <v>424</v>
      </c>
      <c r="E91" s="92"/>
      <c r="F91" s="92"/>
      <c r="G91" s="92"/>
      <c r="H91" s="92"/>
    </row>
    <row r="92" spans="1:37" ht="12.75" customHeight="1" x14ac:dyDescent="0.25">
      <c r="A92" s="31" t="s">
        <v>61</v>
      </c>
      <c r="D92" s="42" t="s">
        <v>3</v>
      </c>
      <c r="E92" s="100">
        <f>'download gording'!B5</f>
        <v>0</v>
      </c>
      <c r="F92" s="100">
        <f>'download gording'!C5</f>
        <v>0</v>
      </c>
      <c r="G92" s="100">
        <f>'download gording'!D5</f>
        <v>0</v>
      </c>
      <c r="H92" s="100">
        <f>'download gording'!E5</f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2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ht="12.75" customHeight="1" x14ac:dyDescent="0.25">
      <c r="A93" s="28" t="s">
        <v>486</v>
      </c>
      <c r="D93" s="42" t="s">
        <v>3</v>
      </c>
      <c r="E93" s="94">
        <f>'download gording'!B6</f>
        <v>0</v>
      </c>
      <c r="F93" s="94">
        <f>'download gording'!C6</f>
        <v>0</v>
      </c>
      <c r="G93" s="94">
        <f>'download gording'!D6</f>
        <v>0</v>
      </c>
      <c r="H93" s="94">
        <f>'download gording'!E6</f>
        <v>0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74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</row>
    <row r="94" spans="1:37" ht="12.75" customHeight="1" x14ac:dyDescent="0.25">
      <c r="A94" s="28" t="s">
        <v>487</v>
      </c>
      <c r="D94" s="14" t="s">
        <v>130</v>
      </c>
      <c r="E94" s="94">
        <f>'download gording'!B7</f>
        <v>0</v>
      </c>
      <c r="F94" s="94">
        <f>'download gording'!C7</f>
        <v>0</v>
      </c>
      <c r="G94" s="94">
        <f>'download gording'!D7</f>
        <v>0</v>
      </c>
      <c r="H94" s="94">
        <f>'download gording'!E7</f>
        <v>0</v>
      </c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74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ht="12.75" customHeight="1" x14ac:dyDescent="0.25">
      <c r="A95" s="5"/>
      <c r="E95" s="92"/>
      <c r="F95" s="92"/>
      <c r="G95" s="92"/>
      <c r="H95" s="92"/>
    </row>
    <row r="96" spans="1:37" ht="12.75" customHeight="1" x14ac:dyDescent="0.25">
      <c r="A96" s="33" t="s">
        <v>79</v>
      </c>
      <c r="C96" s="45" t="s">
        <v>137</v>
      </c>
      <c r="E96" s="92"/>
      <c r="F96" s="92"/>
      <c r="G96" s="92"/>
      <c r="H96" s="92"/>
    </row>
    <row r="97" spans="1:37" ht="12.75" customHeight="1" x14ac:dyDescent="0.25">
      <c r="A97" s="5" t="s">
        <v>80</v>
      </c>
      <c r="C97" s="49" t="s">
        <v>138</v>
      </c>
      <c r="D97" s="44" t="s">
        <v>3</v>
      </c>
      <c r="E97" s="94" t="e">
        <f>E92*E87/E20</f>
        <v>#DIV/0!</v>
      </c>
      <c r="F97" s="94" t="e">
        <f>F92*F87/F20</f>
        <v>#DIV/0!</v>
      </c>
      <c r="G97" s="94" t="e">
        <f>G92*G87/G20</f>
        <v>#DIV/0!</v>
      </c>
      <c r="H97" s="94" t="e">
        <f>H92*H87/H20</f>
        <v>#DIV/0!</v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74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ht="12.75" customHeight="1" x14ac:dyDescent="0.25">
      <c r="A98" s="5" t="s">
        <v>81</v>
      </c>
      <c r="C98" s="49" t="s">
        <v>139</v>
      </c>
      <c r="D98" s="44" t="s">
        <v>3</v>
      </c>
      <c r="E98" s="94" t="e">
        <f>(E27*E12)/E88/1000</f>
        <v>#N/A</v>
      </c>
      <c r="F98" s="94" t="e">
        <f>(F27*F12)/F88/1000</f>
        <v>#N/A</v>
      </c>
      <c r="G98" s="94" t="e">
        <f>(G27*G12)/G88/1000</f>
        <v>#N/A</v>
      </c>
      <c r="H98" s="94" t="e">
        <f>(H27*H12)/H88/1000</f>
        <v>#N/A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74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ht="12.75" customHeight="1" x14ac:dyDescent="0.25">
      <c r="A99" s="5" t="s">
        <v>31</v>
      </c>
      <c r="C99" s="49" t="s">
        <v>140</v>
      </c>
      <c r="D99" s="42" t="s">
        <v>106</v>
      </c>
      <c r="E99" s="97" t="e">
        <f>E97/E98</f>
        <v>#DIV/0!</v>
      </c>
      <c r="F99" s="97" t="e">
        <f>F97/F98</f>
        <v>#DIV/0!</v>
      </c>
      <c r="G99" s="97" t="e">
        <f>G97/G98</f>
        <v>#DIV/0!</v>
      </c>
      <c r="H99" s="97" t="e">
        <f>H97/H98</f>
        <v>#DIV/0!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8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25">
      <c r="A100" s="5"/>
      <c r="C100" s="51"/>
      <c r="E100" s="92"/>
      <c r="F100" s="92"/>
      <c r="G100" s="92"/>
      <c r="H100" s="92"/>
    </row>
    <row r="101" spans="1:37" ht="12.75" customHeight="1" x14ac:dyDescent="0.25">
      <c r="A101" s="33" t="s">
        <v>82</v>
      </c>
      <c r="C101" s="45" t="s">
        <v>141</v>
      </c>
      <c r="E101" s="92"/>
      <c r="F101" s="92"/>
      <c r="G101" s="92"/>
      <c r="H101" s="92"/>
    </row>
    <row r="102" spans="1:37" ht="12.75" customHeight="1" x14ac:dyDescent="0.25">
      <c r="A102" s="5" t="s">
        <v>83</v>
      </c>
      <c r="C102" s="49" t="s">
        <v>142</v>
      </c>
      <c r="D102" s="14" t="s">
        <v>130</v>
      </c>
      <c r="E102" s="94" t="e">
        <f>E94*E87/E20</f>
        <v>#DIV/0!</v>
      </c>
      <c r="F102" s="94" t="e">
        <f>F94*F87/F20</f>
        <v>#DIV/0!</v>
      </c>
      <c r="G102" s="94" t="e">
        <f>G94*G87/G20</f>
        <v>#DIV/0!</v>
      </c>
      <c r="H102" s="94" t="e">
        <f>H94*H87/H20</f>
        <v>#DIV/0!</v>
      </c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74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</row>
    <row r="103" spans="1:37" ht="12.75" customHeight="1" x14ac:dyDescent="0.25">
      <c r="A103" s="5" t="s">
        <v>84</v>
      </c>
      <c r="C103" s="51"/>
      <c r="D103" s="42" t="s">
        <v>106</v>
      </c>
      <c r="E103" s="92" t="e">
        <f>E62</f>
        <v>#N/A</v>
      </c>
      <c r="F103" s="92" t="e">
        <f>F62</f>
        <v>#N/A</v>
      </c>
      <c r="G103" s="92" t="e">
        <f>G62</f>
        <v>#N/A</v>
      </c>
      <c r="H103" s="92" t="e">
        <f>H62</f>
        <v>#N/A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ht="12.75" customHeight="1" x14ac:dyDescent="0.25">
      <c r="A104" s="5" t="s">
        <v>143</v>
      </c>
      <c r="C104" s="51"/>
      <c r="D104" s="42" t="s">
        <v>144</v>
      </c>
      <c r="E104" s="95" t="e">
        <f>IF(E103&lt;=2,E37,E33)</f>
        <v>#N/A</v>
      </c>
      <c r="F104" s="95" t="e">
        <f>IF(F103&lt;=2,F37,F33)</f>
        <v>#N/A</v>
      </c>
      <c r="G104" s="95" t="e">
        <f>IF(G103&lt;=2,G37,G33)</f>
        <v>#N/A</v>
      </c>
      <c r="H104" s="95" t="e">
        <f>IF(H103&lt;=2,H37,H33)</f>
        <v>#N/A</v>
      </c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75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:37" ht="12.75" customHeight="1" x14ac:dyDescent="0.25">
      <c r="A105" s="5" t="s">
        <v>85</v>
      </c>
      <c r="C105" s="49" t="s">
        <v>145</v>
      </c>
      <c r="D105" s="14" t="s">
        <v>130</v>
      </c>
      <c r="E105" s="94" t="e">
        <f>E104*E12/1000000</f>
        <v>#N/A</v>
      </c>
      <c r="F105" s="94" t="e">
        <f>F104*F12/1000000</f>
        <v>#N/A</v>
      </c>
      <c r="G105" s="94" t="e">
        <f>G104*G12/1000000</f>
        <v>#N/A</v>
      </c>
      <c r="H105" s="94" t="e">
        <f>H104*H12/1000000</f>
        <v>#N/A</v>
      </c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74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ht="12.75" customHeight="1" x14ac:dyDescent="0.25">
      <c r="A106" s="5" t="s">
        <v>31</v>
      </c>
      <c r="C106" s="49" t="s">
        <v>146</v>
      </c>
      <c r="D106" s="42" t="s">
        <v>106</v>
      </c>
      <c r="E106" s="97" t="e">
        <f>E102/E105</f>
        <v>#DIV/0!</v>
      </c>
      <c r="F106" s="97" t="e">
        <f>F102/F105</f>
        <v>#DIV/0!</v>
      </c>
      <c r="G106" s="97" t="e">
        <f>G102/G105</f>
        <v>#DIV/0!</v>
      </c>
      <c r="H106" s="97" t="e">
        <f>H102/H105</f>
        <v>#DIV/0!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80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25">
      <c r="A107" s="5"/>
      <c r="C107" s="51"/>
      <c r="E107" s="92"/>
      <c r="F107" s="92"/>
      <c r="G107" s="92"/>
      <c r="H107" s="92"/>
    </row>
    <row r="108" spans="1:37" ht="12.75" customHeight="1" x14ac:dyDescent="0.25">
      <c r="A108" s="33" t="s">
        <v>86</v>
      </c>
      <c r="C108" s="4" t="s">
        <v>147</v>
      </c>
      <c r="E108" s="92"/>
      <c r="F108" s="92"/>
      <c r="G108" s="92"/>
      <c r="H108" s="92"/>
    </row>
    <row r="109" spans="1:37" ht="12.75" customHeight="1" x14ac:dyDescent="0.25">
      <c r="A109" s="5" t="s">
        <v>87</v>
      </c>
      <c r="C109" s="49" t="s">
        <v>148</v>
      </c>
      <c r="D109" s="44" t="s">
        <v>3</v>
      </c>
      <c r="E109" s="94" t="e">
        <f>E93*E87/E20</f>
        <v>#DIV/0!</v>
      </c>
      <c r="F109" s="94" t="e">
        <f>F93*F87/F20</f>
        <v>#DIV/0!</v>
      </c>
      <c r="G109" s="94" t="e">
        <f>G93*G87/G20</f>
        <v>#DIV/0!</v>
      </c>
      <c r="H109" s="94" t="e">
        <f>H93*H87/H20</f>
        <v>#DIV/0!</v>
      </c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74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ht="12.75" customHeight="1" x14ac:dyDescent="0.25">
      <c r="A110" s="5" t="s">
        <v>84</v>
      </c>
      <c r="C110" s="51"/>
      <c r="D110" s="42" t="s">
        <v>106</v>
      </c>
      <c r="E110" s="94" t="e">
        <f>E67</f>
        <v>#N/A</v>
      </c>
      <c r="F110" s="94" t="e">
        <f>F67</f>
        <v>#N/A</v>
      </c>
      <c r="G110" s="94" t="e">
        <f>G67</f>
        <v>#N/A</v>
      </c>
      <c r="H110" s="94" t="e">
        <f>H67</f>
        <v>#N/A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74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</row>
    <row r="111" spans="1:37" ht="12.75" customHeight="1" x14ac:dyDescent="0.25">
      <c r="A111" s="5" t="s">
        <v>488</v>
      </c>
      <c r="C111" s="51"/>
      <c r="D111" s="42" t="s">
        <v>408</v>
      </c>
      <c r="E111" s="94" t="e">
        <f>IF(E110&lt;=2,E28,E31)</f>
        <v>#N/A</v>
      </c>
      <c r="F111" s="94" t="e">
        <f>IF(F110&lt;=2,F28,F31)</f>
        <v>#N/A</v>
      </c>
      <c r="G111" s="94" t="e">
        <f>IF(G110&lt;=2,G28,G31)</f>
        <v>#N/A</v>
      </c>
      <c r="H111" s="94" t="e">
        <f>IF(H110&lt;=2,H28,H31)</f>
        <v>#N/A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74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</row>
    <row r="112" spans="1:37" ht="12.75" customHeight="1" x14ac:dyDescent="0.25">
      <c r="A112" s="5" t="s">
        <v>88</v>
      </c>
      <c r="C112" s="49" t="s">
        <v>149</v>
      </c>
      <c r="D112" s="44" t="s">
        <v>3</v>
      </c>
      <c r="E112" s="94" t="e">
        <f>(E111*(E11/SQRT(3)))/E88/1000</f>
        <v>#N/A</v>
      </c>
      <c r="F112" s="94" t="e">
        <f>(F111*(F11/SQRT(3)))/F88/1000</f>
        <v>#N/A</v>
      </c>
      <c r="G112" s="94" t="e">
        <f>(G111*(G11/SQRT(3)))/G88/1000</f>
        <v>#N/A</v>
      </c>
      <c r="H112" s="94" t="e">
        <f>(H111*(H11/SQRT(3)))/H88/1000</f>
        <v>#N/A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74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ht="12.75" customHeight="1" x14ac:dyDescent="0.25">
      <c r="A113" s="5" t="s">
        <v>31</v>
      </c>
      <c r="C113" s="49" t="s">
        <v>150</v>
      </c>
      <c r="D113" s="42" t="s">
        <v>106</v>
      </c>
      <c r="E113" s="97" t="e">
        <f>E109/E112</f>
        <v>#DIV/0!</v>
      </c>
      <c r="F113" s="97" t="e">
        <f>F109/F112</f>
        <v>#DIV/0!</v>
      </c>
      <c r="G113" s="97" t="e">
        <f>G109/G112</f>
        <v>#DIV/0!</v>
      </c>
      <c r="H113" s="97" t="e">
        <f>H109/H112</f>
        <v>#DIV/0!</v>
      </c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8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25">
      <c r="A114" s="5"/>
      <c r="C114" s="51"/>
      <c r="E114" s="92"/>
      <c r="F114" s="92"/>
      <c r="G114" s="92"/>
      <c r="H114" s="92"/>
    </row>
    <row r="115" spans="1:37" ht="12.75" customHeight="1" x14ac:dyDescent="0.25">
      <c r="A115" s="5" t="s">
        <v>489</v>
      </c>
      <c r="C115" s="51"/>
      <c r="E115" s="92" t="e">
        <f>IF((E23/E24)&gt;((72*E15)/1),"controle","n.v.t.")</f>
        <v>#N/A</v>
      </c>
      <c r="F115" s="92" t="e">
        <f>IF((F23/F24)&gt;((72*F15)/1),"controle","n.v.t.")</f>
        <v>#N/A</v>
      </c>
      <c r="G115" s="92" t="e">
        <f>IF((G23/G24)&gt;((72*G15)/1),"controle","n.v.t.")</f>
        <v>#N/A</v>
      </c>
      <c r="H115" s="92" t="e">
        <f>IF((H23/H24)&gt;((72*H15)/1),"controle","n.v.t.")</f>
        <v>#N/A</v>
      </c>
    </row>
    <row r="116" spans="1:37" ht="12.75" customHeight="1" x14ac:dyDescent="0.25">
      <c r="A116" s="5"/>
      <c r="C116" s="51"/>
      <c r="E116" s="92"/>
      <c r="F116" s="92"/>
      <c r="G116" s="92"/>
      <c r="H116" s="92"/>
    </row>
    <row r="117" spans="1:37" ht="12.75" customHeight="1" x14ac:dyDescent="0.25">
      <c r="A117" s="33" t="s">
        <v>89</v>
      </c>
      <c r="C117" s="50" t="s">
        <v>157</v>
      </c>
      <c r="E117" s="92"/>
      <c r="F117" s="92"/>
      <c r="G117" s="92"/>
      <c r="H117" s="92"/>
    </row>
    <row r="118" spans="1:37" ht="12.75" customHeight="1" x14ac:dyDescent="0.25">
      <c r="A118" s="33"/>
      <c r="C118" s="50"/>
      <c r="E118" s="92"/>
      <c r="F118" s="92"/>
      <c r="G118" s="92"/>
      <c r="H118" s="92"/>
    </row>
    <row r="119" spans="1:37" ht="12.75" customHeight="1" x14ac:dyDescent="0.25">
      <c r="A119" s="33"/>
      <c r="C119" s="50" t="s">
        <v>490</v>
      </c>
      <c r="D119" s="42" t="s">
        <v>106</v>
      </c>
      <c r="E119" s="96" t="e">
        <f>E99</f>
        <v>#DIV/0!</v>
      </c>
      <c r="F119" s="96" t="e">
        <f>F99</f>
        <v>#DIV/0!</v>
      </c>
      <c r="G119" s="96" t="e">
        <f>G99</f>
        <v>#DIV/0!</v>
      </c>
      <c r="H119" s="96" t="e">
        <f>H99</f>
        <v>#DIV/0!</v>
      </c>
    </row>
    <row r="120" spans="1:37" ht="12.75" customHeight="1" x14ac:dyDescent="0.25">
      <c r="A120" s="33"/>
      <c r="C120" s="49" t="s">
        <v>491</v>
      </c>
      <c r="E120" s="96" t="e">
        <f>(E97*1000/(E23*E24*E12))/2*E88</f>
        <v>#DIV/0!</v>
      </c>
      <c r="F120" s="96" t="e">
        <f>(F97*1000/(F23*F24*F12))/2*F88</f>
        <v>#DIV/0!</v>
      </c>
      <c r="G120" s="96" t="e">
        <f>(G97*1000/(G23*G24*G12))/2*G88</f>
        <v>#DIV/0!</v>
      </c>
      <c r="H120" s="96" t="e">
        <f>(H97*1000/(H23*H24*H12))/2*H88</f>
        <v>#DIV/0!</v>
      </c>
    </row>
    <row r="121" spans="1:37" ht="12.75" customHeight="1" x14ac:dyDescent="0.25">
      <c r="A121" s="33"/>
      <c r="C121" s="3" t="s">
        <v>26</v>
      </c>
      <c r="E121" s="96" t="e">
        <f>(E27-(2*E22*E25))/E27</f>
        <v>#N/A</v>
      </c>
      <c r="F121" s="96" t="e">
        <f>(F27-(2*F22*F25))/F27</f>
        <v>#N/A</v>
      </c>
      <c r="G121" s="96" t="e">
        <f>(G27-(2*G22*G25))/G27</f>
        <v>#N/A</v>
      </c>
      <c r="H121" s="96" t="e">
        <f>(H27-(2*H22*H25))/H27</f>
        <v>#N/A</v>
      </c>
    </row>
    <row r="122" spans="1:37" ht="12.75" customHeight="1" x14ac:dyDescent="0.25">
      <c r="A122" s="33"/>
      <c r="C122" s="49" t="s">
        <v>492</v>
      </c>
      <c r="E122" s="107" t="e">
        <f>IF(AND(E119&lt;0.25)*AND(E120&lt;1),E105,E104*E12*((1-E119)/(1-(0.5*E121)))/1000000)</f>
        <v>#DIV/0!</v>
      </c>
      <c r="F122" s="107" t="e">
        <f>IF(AND(F119&lt;0.25)*AND(F120&lt;1),F105,F104*F12*((1-F119)/(1-(0.5*F121)))/1000000)</f>
        <v>#DIV/0!</v>
      </c>
      <c r="G122" s="107" t="e">
        <f>IF(AND(G119&lt;0.25)*AND(G120&lt;1),G105,G104*G12*((1-G119)/(1-(0.5*G121)))/1000000)</f>
        <v>#DIV/0!</v>
      </c>
      <c r="H122" s="107" t="e">
        <f>IF(AND(H119&lt;0.25)*AND(H120&lt;1),H105,H104*H12*((1-H119)/(1-(0.5*H121)))/1000000)</f>
        <v>#DIV/0!</v>
      </c>
    </row>
    <row r="123" spans="1:37" ht="12.75" customHeight="1" x14ac:dyDescent="0.25">
      <c r="A123" s="3" t="s">
        <v>31</v>
      </c>
      <c r="C123" s="49" t="s">
        <v>493</v>
      </c>
      <c r="E123" s="97" t="e">
        <f>E102/E122</f>
        <v>#DIV/0!</v>
      </c>
      <c r="F123" s="97" t="e">
        <f>F102/F122</f>
        <v>#DIV/0!</v>
      </c>
      <c r="G123" s="97" t="e">
        <f>G102/G122</f>
        <v>#DIV/0!</v>
      </c>
      <c r="H123" s="97" t="e">
        <f>H102/H122</f>
        <v>#DIV/0!</v>
      </c>
    </row>
    <row r="124" spans="1:37" ht="12.75" customHeight="1" x14ac:dyDescent="0.25">
      <c r="A124" s="5" t="s">
        <v>496</v>
      </c>
      <c r="C124" s="49" t="s">
        <v>495</v>
      </c>
      <c r="E124" s="97" t="e">
        <f>IF(E80&gt;2,(E97*1000/(E27*E12)/(E88))+(E102*10^6/(E33*E12)/E88),"n.v.t")</f>
        <v>#DIV/0!</v>
      </c>
      <c r="F124" s="97" t="e">
        <f>IF(F80&gt;2,(F97*1000/(F27*F12)/(F88))+(F102*10^6/(F33*F12)/F88),"n.v.t")</f>
        <v>#DIV/0!</v>
      </c>
      <c r="G124" s="97" t="e">
        <f>IF(G80&gt;2,(G97*1000/(G27*G12)/(G88))+(G102*10^6/(G33*G12)/G88),"n.v.t")</f>
        <v>#DIV/0!</v>
      </c>
      <c r="H124" s="97" t="e">
        <f>IF(H80&gt;2,(H97*1000/(H27*H12)/(H88))+(H102*10^6/(H33*H12)/H88),"n.v.t")</f>
        <v>#DIV/0!</v>
      </c>
    </row>
    <row r="125" spans="1:37" ht="12.75" customHeight="1" x14ac:dyDescent="0.25">
      <c r="E125" s="92"/>
      <c r="F125" s="92"/>
      <c r="G125" s="92"/>
      <c r="H125" s="92"/>
    </row>
    <row r="126" spans="1:37" ht="12.75" customHeight="1" x14ac:dyDescent="0.25">
      <c r="A126" s="33" t="s">
        <v>90</v>
      </c>
      <c r="C126" s="50" t="s">
        <v>175</v>
      </c>
      <c r="E126" s="92"/>
      <c r="F126" s="92"/>
      <c r="G126" s="92"/>
      <c r="H126" s="92"/>
    </row>
    <row r="127" spans="1:37" ht="12.75" customHeight="1" x14ac:dyDescent="0.25">
      <c r="A127" s="33"/>
      <c r="C127" s="49" t="s">
        <v>150</v>
      </c>
      <c r="D127" s="42" t="s">
        <v>106</v>
      </c>
      <c r="E127" s="96" t="e">
        <f>E113</f>
        <v>#DIV/0!</v>
      </c>
      <c r="F127" s="96" t="e">
        <f>F113</f>
        <v>#DIV/0!</v>
      </c>
      <c r="G127" s="96" t="e">
        <f>G113</f>
        <v>#DIV/0!</v>
      </c>
      <c r="H127" s="96" t="e">
        <f>H113</f>
        <v>#DIV/0!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76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1:37" ht="36" customHeight="1" x14ac:dyDescent="0.25">
      <c r="A128" s="33"/>
      <c r="C128" s="49"/>
      <c r="D128" s="42"/>
      <c r="E128" s="109" t="e">
        <f>IF(E127&lt;=0.5,"geen reductie toepassen","reductie toepassen")</f>
        <v>#DIV/0!</v>
      </c>
      <c r="F128" s="109" t="e">
        <f>IF(F127&lt;=0.5,"geen reductie toepassen","reductie toepassen")</f>
        <v>#DIV/0!</v>
      </c>
      <c r="G128" s="109" t="e">
        <f>IF(G127&lt;=0.5,"geen reductie toepassen","reductie toepassen")</f>
        <v>#DIV/0!</v>
      </c>
      <c r="H128" s="109" t="e">
        <f>IF(H127&lt;=0.5,"geen reductie toepassen","reductie toepassen")</f>
        <v>#DIV/0!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76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1:37" ht="12.75" customHeight="1" x14ac:dyDescent="0.25">
      <c r="A129" s="5"/>
      <c r="C129" s="6" t="s">
        <v>497</v>
      </c>
      <c r="D129" s="42" t="s">
        <v>106</v>
      </c>
      <c r="E129" s="96" t="e">
        <f>IF(E127&lt;=0.5,0,((((2*E109)/E20)/E112)-1)^2)</f>
        <v>#DIV/0!</v>
      </c>
      <c r="F129" s="96" t="e">
        <f>IF(F127&lt;=0.5,0,((((2*F109)/F20)/F112)-1)^2)</f>
        <v>#DIV/0!</v>
      </c>
      <c r="G129" s="96" t="e">
        <f>IF(G127&lt;=0.5,0,((((2*G109)/G20)/G112)-1)^2)</f>
        <v>#DIV/0!</v>
      </c>
      <c r="H129" s="96" t="e">
        <f>IF(H127&lt;=0.5,0,((((2*H109)/H20)/H112)-1)^2)</f>
        <v>#DIV/0!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76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 spans="1:37" ht="12.75" customHeight="1" x14ac:dyDescent="0.25">
      <c r="A130" s="33"/>
      <c r="C130" s="49" t="s">
        <v>154</v>
      </c>
      <c r="D130" s="42" t="s">
        <v>3</v>
      </c>
      <c r="E130" s="94" t="e">
        <f>((E27*E12)-(N104*E28*E12))/(E88*1000)</f>
        <v>#N/A</v>
      </c>
      <c r="F130" s="94" t="e">
        <f>((F27*F12)-(O104*F28*F12))/(F88*1000)</f>
        <v>#N/A</v>
      </c>
      <c r="G130" s="94" t="e">
        <f>((G27*G12)-(P104*G28*G12))/(G88*1000)</f>
        <v>#N/A</v>
      </c>
      <c r="H130" s="94" t="e">
        <f>((H27*H12)-(Q104*H28*H12))/(H88*1000)</f>
        <v>#N/A</v>
      </c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74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ht="12.75" customHeight="1" x14ac:dyDescent="0.4">
      <c r="A131" s="33"/>
      <c r="C131" s="4" t="s">
        <v>498</v>
      </c>
      <c r="D131" s="42" t="s">
        <v>106</v>
      </c>
      <c r="E131" s="96" t="e">
        <f>IF(((E27-(2*E22*E25))/E27)&gt;0.5,0.5,(E27-(2*E22*E25))/E27)</f>
        <v>#N/A</v>
      </c>
      <c r="F131" s="96" t="e">
        <f>IF(((F27-(2*F22*F25))/F27)&gt;0.5,0.5,(F27-(2*F22*F25))/F27)</f>
        <v>#N/A</v>
      </c>
      <c r="G131" s="96" t="e">
        <f>IF(((G27-(2*G22*G25))/G27)&gt;0.5,0.5,(G27-(2*G22*G25))/G27)</f>
        <v>#N/A</v>
      </c>
      <c r="H131" s="96" t="e">
        <f>IF(((H27-(2*H22*H25))/H27)&gt;0.5,0.5,(H27-(2*H22*H25))/H27)</f>
        <v>#N/A</v>
      </c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74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ht="12.75" customHeight="1" x14ac:dyDescent="0.4">
      <c r="A132" s="33"/>
      <c r="C132" s="4" t="s">
        <v>499</v>
      </c>
      <c r="D132" s="42" t="s">
        <v>106</v>
      </c>
      <c r="E132" s="96" t="e">
        <f>E131*(1-E129)</f>
        <v>#N/A</v>
      </c>
      <c r="F132" s="96" t="e">
        <f>F131*(1-F129)</f>
        <v>#N/A</v>
      </c>
      <c r="G132" s="96" t="e">
        <f>G131*(1-G129)</f>
        <v>#N/A</v>
      </c>
      <c r="H132" s="96" t="e">
        <f>H131*(1-H129)</f>
        <v>#N/A</v>
      </c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74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ht="12.75" customHeight="1" x14ac:dyDescent="0.25">
      <c r="A133" s="33"/>
      <c r="C133" s="49" t="s">
        <v>500</v>
      </c>
      <c r="D133" s="42" t="s">
        <v>130</v>
      </c>
      <c r="E133" s="94" t="e">
        <f>((E104-((E129*E28^2)/(4*E24)))*E12/E88/10^6)</f>
        <v>#N/A</v>
      </c>
      <c r="F133" s="94" t="e">
        <f>((F104-((F129*F28^2)/(4*F24)))*F12/F88/10^6)</f>
        <v>#N/A</v>
      </c>
      <c r="G133" s="94" t="e">
        <f>((G104-((G129*G28^2)/(4*G24)))*G12/G88/10^6)</f>
        <v>#N/A</v>
      </c>
      <c r="H133" s="94" t="e">
        <f>((H104-((H129*H28^2)/(4*H24)))*H12/H88/10^6)</f>
        <v>#N/A</v>
      </c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74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ht="12.75" customHeight="1" x14ac:dyDescent="0.25">
      <c r="A134" s="5"/>
      <c r="C134" s="49" t="s">
        <v>501</v>
      </c>
      <c r="D134" s="42" t="s">
        <v>106</v>
      </c>
      <c r="E134" s="97" t="e">
        <f>IF(E80&gt;=3,"n.v.t",(E102/E133)+((E97/E130)-(E132/2))/(1-(E132/2)))</f>
        <v>#DIV/0!</v>
      </c>
      <c r="F134" s="97" t="e">
        <f>IF(F80&gt;=3,"n.v.t",(F102/F133)+((F97/F130)-(F132/2))/(1-(F132/2)))</f>
        <v>#DIV/0!</v>
      </c>
      <c r="G134" s="97" t="e">
        <f>IF(G80&gt;=3,"n.v.t",(G102/G133)+((G97/G130)-(G132/2))/(1-(G132/2)))</f>
        <v>#DIV/0!</v>
      </c>
      <c r="H134" s="97" t="e">
        <f>IF(H80&gt;=3,"n.v.t",(H102/H133)+((H97/H130)-(H132/2))/(1-(H132/2)))</f>
        <v>#DIV/0!</v>
      </c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80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12.75" customHeight="1" x14ac:dyDescent="0.25">
      <c r="A135" s="5" t="s">
        <v>496</v>
      </c>
      <c r="C135" s="49" t="s">
        <v>502</v>
      </c>
      <c r="D135" s="42" t="s">
        <v>106</v>
      </c>
      <c r="E135" s="97" t="e">
        <f>IF(E80&lt;=2,"n.v.t.",E102*10^6/(((E22*E21^3)-(E22*E23^3))/(6*E21)*E12))</f>
        <v>#DIV/0!</v>
      </c>
      <c r="F135" s="97" t="e">
        <f>IF(F80&lt;=2,"n.v.t.",F102*10^6/(((F22*F21^3)-(F22*F23^3))/(6*F21)*F12))</f>
        <v>#DIV/0!</v>
      </c>
      <c r="G135" s="97" t="e">
        <f>IF(G80&lt;=2,"n.v.t.",G102*10^6/(((G22*G21^3)-(G22*G23^3))/(6*G21)*G12))</f>
        <v>#DIV/0!</v>
      </c>
      <c r="H135" s="97" t="e">
        <f>IF(H80&lt;=2,"n.v.t.",H102*10^6/(((H22*H21^3)-(H22*H23^3))/(6*H21)*H12))</f>
        <v>#DIV/0!</v>
      </c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80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12.75" customHeight="1" x14ac:dyDescent="0.25">
      <c r="A136" s="33"/>
      <c r="C136" s="51"/>
      <c r="E136" s="92"/>
      <c r="F136" s="92"/>
      <c r="G136" s="92"/>
      <c r="H136" s="92"/>
    </row>
    <row r="137" spans="1:37" ht="12.75" customHeight="1" x14ac:dyDescent="0.25">
      <c r="A137" s="33"/>
      <c r="E137" s="92"/>
      <c r="F137" s="92"/>
      <c r="G137" s="92"/>
      <c r="H137" s="92"/>
      <c r="I137" s="8"/>
      <c r="K137" s="8"/>
      <c r="M137" s="8"/>
      <c r="O137" s="8"/>
      <c r="Q137" s="8"/>
      <c r="S137" s="8"/>
      <c r="U137" s="8"/>
      <c r="W137" s="8"/>
      <c r="Y137" s="8"/>
      <c r="Z137" s="72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ht="12.75" customHeight="1" x14ac:dyDescent="0.25">
      <c r="A138" s="34" t="s">
        <v>95</v>
      </c>
      <c r="E138" s="92"/>
      <c r="F138" s="92"/>
      <c r="G138" s="92"/>
      <c r="H138" s="92"/>
      <c r="I138" s="8"/>
      <c r="K138" s="8"/>
      <c r="M138" s="8"/>
      <c r="O138" s="8"/>
      <c r="Q138" s="8"/>
      <c r="S138" s="8"/>
      <c r="U138" s="8"/>
      <c r="W138" s="8"/>
      <c r="Y138" s="8"/>
      <c r="Z138" s="72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ht="12.75" customHeight="1" x14ac:dyDescent="0.25">
      <c r="A139" s="28" t="s">
        <v>96</v>
      </c>
      <c r="C139" s="60" t="s">
        <v>174</v>
      </c>
      <c r="D139" s="20" t="s">
        <v>31</v>
      </c>
      <c r="E139" s="96" t="e">
        <f>E99</f>
        <v>#DIV/0!</v>
      </c>
      <c r="F139" s="96" t="e">
        <f>F99</f>
        <v>#DIV/0!</v>
      </c>
      <c r="G139" s="96" t="e">
        <f>G99</f>
        <v>#DIV/0!</v>
      </c>
      <c r="H139" s="96" t="e">
        <f>H99</f>
        <v>#DIV/0!</v>
      </c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76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</row>
    <row r="140" spans="1:37" ht="12.75" customHeight="1" x14ac:dyDescent="0.25">
      <c r="A140" s="15" t="s">
        <v>82</v>
      </c>
      <c r="C140" s="60" t="s">
        <v>141</v>
      </c>
      <c r="D140" s="20" t="s">
        <v>31</v>
      </c>
      <c r="E140" s="96" t="e">
        <f>E106</f>
        <v>#DIV/0!</v>
      </c>
      <c r="F140" s="96" t="e">
        <f>F106</f>
        <v>#DIV/0!</v>
      </c>
      <c r="G140" s="96" t="e">
        <f>G106</f>
        <v>#DIV/0!</v>
      </c>
      <c r="H140" s="96" t="e">
        <f>H106</f>
        <v>#DIV/0!</v>
      </c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76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</row>
    <row r="141" spans="1:37" ht="12.75" customHeight="1" x14ac:dyDescent="0.25">
      <c r="A141" s="15" t="s">
        <v>86</v>
      </c>
      <c r="C141" s="60" t="s">
        <v>147</v>
      </c>
      <c r="D141" s="20" t="s">
        <v>31</v>
      </c>
      <c r="E141" s="96" t="e">
        <f>E113</f>
        <v>#DIV/0!</v>
      </c>
      <c r="F141" s="96" t="e">
        <f>F113</f>
        <v>#DIV/0!</v>
      </c>
      <c r="G141" s="96" t="e">
        <f>G113</f>
        <v>#DIV/0!</v>
      </c>
      <c r="H141" s="96" t="e">
        <f>H113</f>
        <v>#DIV/0!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76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</row>
    <row r="142" spans="1:37" ht="12.75" customHeight="1" x14ac:dyDescent="0.25">
      <c r="A142" s="15" t="s">
        <v>89</v>
      </c>
      <c r="C142" s="60" t="s">
        <v>157</v>
      </c>
      <c r="D142" s="20" t="s">
        <v>31</v>
      </c>
      <c r="E142" s="96" t="e">
        <f>IF(E80&lt;=2,E123,E124)</f>
        <v>#DIV/0!</v>
      </c>
      <c r="F142" s="96" t="e">
        <f>IF(F80&lt;=2,F123,F124)</f>
        <v>#DIV/0!</v>
      </c>
      <c r="G142" s="96" t="e">
        <f>IF(G80&lt;=2,G123,G124)</f>
        <v>#DIV/0!</v>
      </c>
      <c r="H142" s="96" t="e">
        <f>IF(H80&lt;=2,H123,H124)</f>
        <v>#DIV/0!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76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</row>
    <row r="143" spans="1:37" ht="12.75" customHeight="1" x14ac:dyDescent="0.25">
      <c r="A143" s="15" t="s">
        <v>90</v>
      </c>
      <c r="C143" s="60" t="s">
        <v>175</v>
      </c>
      <c r="D143" s="20" t="s">
        <v>31</v>
      </c>
      <c r="E143" s="96" t="e">
        <f>IF(E80&lt;=2,E134,E135)</f>
        <v>#DIV/0!</v>
      </c>
      <c r="F143" s="96" t="e">
        <f>IF(F80&lt;=2,F134,F135)</f>
        <v>#DIV/0!</v>
      </c>
      <c r="G143" s="96" t="e">
        <f>IF(G80&lt;=2,G134,G135)</f>
        <v>#DIV/0!</v>
      </c>
      <c r="H143" s="96" t="e">
        <f>IF(H80&lt;=2,H134,H135)</f>
        <v>#DIV/0!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76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</row>
    <row r="144" spans="1:37" ht="12.75" customHeight="1" x14ac:dyDescent="0.25">
      <c r="D144" s="50" t="s">
        <v>182</v>
      </c>
      <c r="E144" s="97" t="e">
        <f>MAX(E139:E143)</f>
        <v>#DIV/0!</v>
      </c>
      <c r="F144" s="97" t="e">
        <f>MAX(F139:F143)</f>
        <v>#DIV/0!</v>
      </c>
      <c r="G144" s="97" t="e">
        <f>MAX(G139:G143)</f>
        <v>#DIV/0!</v>
      </c>
      <c r="H144" s="97" t="e">
        <f>MAX(H139:H143)</f>
        <v>#DIV/0!</v>
      </c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80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13" x14ac:dyDescent="0.25">
      <c r="E145" s="98" t="e">
        <f>IF(E144&lt;=1,"voldoet","voldoet niet")</f>
        <v>#DIV/0!</v>
      </c>
      <c r="F145" s="98" t="e">
        <f>IF(F144&lt;=1,"voldoet","voldoet niet")</f>
        <v>#DIV/0!</v>
      </c>
      <c r="G145" s="98" t="e">
        <f>IF(G144&lt;=1,"voldoet","voldoet niet")</f>
        <v>#DIV/0!</v>
      </c>
      <c r="H145" s="98" t="e">
        <f>IF(H144&lt;=1,"voldoet","voldoet niet")</f>
        <v>#DIV/0!</v>
      </c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59"/>
      <c r="Z145" s="81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</row>
    <row r="147" spans="1:37" x14ac:dyDescent="0.25">
      <c r="D147" s="15"/>
    </row>
    <row r="148" spans="1:37" x14ac:dyDescent="0.25">
      <c r="D148" s="15"/>
    </row>
    <row r="149" spans="1:37" x14ac:dyDescent="0.25">
      <c r="D149" s="15"/>
    </row>
    <row r="150" spans="1:37" x14ac:dyDescent="0.25">
      <c r="D150" s="15"/>
    </row>
    <row r="151" spans="1:37" x14ac:dyDescent="0.25">
      <c r="D151" s="15"/>
    </row>
    <row r="152" spans="1:37" x14ac:dyDescent="0.25">
      <c r="A152" s="27"/>
    </row>
    <row r="153" spans="1:37" x14ac:dyDescent="0.25">
      <c r="A153" s="27"/>
    </row>
    <row r="155" spans="1:37" x14ac:dyDescent="0.25">
      <c r="A155" s="25"/>
    </row>
  </sheetData>
  <conditionalFormatting sqref="E144:AJ144">
    <cfRule type="cellIs" dxfId="13" priority="4" operator="lessThan">
      <formula>1</formula>
    </cfRule>
  </conditionalFormatting>
  <conditionalFormatting sqref="E144:AJ144">
    <cfRule type="cellIs" dxfId="12" priority="3" operator="greaterThan">
      <formula>1</formula>
    </cfRule>
  </conditionalFormatting>
  <conditionalFormatting sqref="AK144">
    <cfRule type="cellIs" dxfId="11" priority="2" operator="lessThan">
      <formula>1</formula>
    </cfRule>
  </conditionalFormatting>
  <conditionalFormatting sqref="AK144">
    <cfRule type="cellIs" dxfId="10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B795-D128-47D4-ACC8-F3526931545E}">
  <sheetPr>
    <pageSetUpPr fitToPage="1"/>
  </sheetPr>
  <dimension ref="A3:AL162"/>
  <sheetViews>
    <sheetView zoomScale="85" zoomScaleNormal="85" workbookViewId="0">
      <selection activeCell="D7" sqref="D7"/>
    </sheetView>
  </sheetViews>
  <sheetFormatPr defaultColWidth="9.1796875" defaultRowHeight="12.5" x14ac:dyDescent="0.25"/>
  <cols>
    <col min="1" max="1" width="24.7265625" style="15" customWidth="1"/>
    <col min="2" max="2" width="21.7265625" style="15" bestFit="1" customWidth="1"/>
    <col min="3" max="3" width="3.453125" style="15" bestFit="1" customWidth="1"/>
    <col min="4" max="4" width="7.7265625" style="8" bestFit="1" customWidth="1"/>
    <col min="5" max="25" width="9.7265625" style="15" customWidth="1"/>
    <col min="26" max="26" width="9.7265625" style="70" customWidth="1"/>
    <col min="27" max="37" width="9.7265625" style="15" customWidth="1"/>
    <col min="38" max="16384" width="9.1796875" style="15"/>
  </cols>
  <sheetData>
    <row r="3" spans="1:38" ht="17.5" x14ac:dyDescent="0.25">
      <c r="A3" s="22" t="s">
        <v>32</v>
      </c>
      <c r="G3" s="32" t="s">
        <v>54</v>
      </c>
      <c r="J3" s="8"/>
    </row>
    <row r="4" spans="1:38" ht="13" x14ac:dyDescent="0.3">
      <c r="A4" s="119" t="s">
        <v>511</v>
      </c>
      <c r="B4" s="15">
        <f>'download algemeen'!B1</f>
        <v>0</v>
      </c>
      <c r="G4" s="31" t="s">
        <v>97</v>
      </c>
      <c r="J4" s="26" t="s">
        <v>110</v>
      </c>
      <c r="K4" s="8">
        <v>0</v>
      </c>
      <c r="L4" s="8"/>
      <c r="M4" s="31" t="s">
        <v>118</v>
      </c>
      <c r="P4" s="55" t="s">
        <v>56</v>
      </c>
      <c r="Q4" s="26" t="s">
        <v>106</v>
      </c>
      <c r="R4" s="8">
        <f>hulpblad!$B$11</f>
        <v>1.25</v>
      </c>
    </row>
    <row r="5" spans="1:38" ht="15.5" x14ac:dyDescent="0.3">
      <c r="A5" s="119" t="s">
        <v>512</v>
      </c>
      <c r="B5" s="15">
        <f>'download algemeen'!B2</f>
        <v>0</v>
      </c>
      <c r="G5" s="31" t="s">
        <v>119</v>
      </c>
      <c r="J5" s="26" t="s">
        <v>114</v>
      </c>
      <c r="K5" s="8">
        <v>10000</v>
      </c>
      <c r="L5" s="8"/>
      <c r="P5" s="55" t="s">
        <v>57</v>
      </c>
      <c r="Q5" s="26" t="s">
        <v>106</v>
      </c>
      <c r="R5" s="8">
        <f>hulpblad!$B$12</f>
        <v>1.2</v>
      </c>
    </row>
    <row r="6" spans="1:38" ht="15.5" x14ac:dyDescent="0.3">
      <c r="A6" s="119" t="s">
        <v>509</v>
      </c>
      <c r="B6" s="15">
        <f>'download algemeen'!B3</f>
        <v>0</v>
      </c>
      <c r="G6" s="31"/>
      <c r="I6" s="54" t="s">
        <v>9</v>
      </c>
      <c r="J6" s="26" t="s">
        <v>10</v>
      </c>
      <c r="K6" s="8">
        <v>1.2E-5</v>
      </c>
      <c r="L6" s="8"/>
      <c r="P6" s="55" t="s">
        <v>58</v>
      </c>
      <c r="Q6" s="26" t="s">
        <v>106</v>
      </c>
      <c r="R6" s="8">
        <f>hulpblad!$B$13</f>
        <v>1.5</v>
      </c>
    </row>
    <row r="7" spans="1:38" ht="13" x14ac:dyDescent="0.3">
      <c r="A7" s="119" t="s">
        <v>510</v>
      </c>
      <c r="B7" s="15">
        <f>'download algemeen'!B4</f>
        <v>0</v>
      </c>
      <c r="G7" s="31" t="s">
        <v>117</v>
      </c>
      <c r="I7" s="54" t="s">
        <v>11</v>
      </c>
      <c r="J7" s="26" t="s">
        <v>12</v>
      </c>
      <c r="K7" s="8">
        <v>30</v>
      </c>
      <c r="L7" s="8"/>
      <c r="P7" s="55" t="s">
        <v>59</v>
      </c>
      <c r="Q7" s="26" t="s">
        <v>106</v>
      </c>
      <c r="R7" s="8">
        <f>hulpblad!$B$14</f>
        <v>1.25</v>
      </c>
    </row>
    <row r="8" spans="1:38" x14ac:dyDescent="0.25">
      <c r="G8" s="31" t="s">
        <v>131</v>
      </c>
      <c r="I8" s="51"/>
      <c r="J8" s="42" t="s">
        <v>3</v>
      </c>
      <c r="K8" s="8">
        <v>10</v>
      </c>
      <c r="L8" s="8"/>
    </row>
    <row r="9" spans="1:38" x14ac:dyDescent="0.25">
      <c r="A9" s="2"/>
      <c r="D9" s="15"/>
    </row>
    <row r="10" spans="1:38" ht="62.5" x14ac:dyDescent="0.25">
      <c r="A10" s="24" t="s">
        <v>35</v>
      </c>
      <c r="E10" s="35" t="s">
        <v>108</v>
      </c>
      <c r="F10" s="35" t="s">
        <v>108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71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spans="1:38" ht="12.75" customHeight="1" x14ac:dyDescent="0.25">
      <c r="A11" s="25" t="s">
        <v>36</v>
      </c>
      <c r="E11" s="58">
        <f>'download stempels'!B1</f>
        <v>0</v>
      </c>
      <c r="F11" s="58">
        <f>'download stempels'!C1</f>
        <v>0</v>
      </c>
      <c r="G11" s="58">
        <f>'download stempels'!D1</f>
        <v>0</v>
      </c>
      <c r="H11" s="58">
        <f>'download stempels'!E1</f>
        <v>0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8"/>
    </row>
    <row r="12" spans="1:38" ht="12.75" customHeight="1" x14ac:dyDescent="0.25">
      <c r="A12" s="15" t="s">
        <v>37</v>
      </c>
      <c r="C12" s="15" t="s">
        <v>102</v>
      </c>
      <c r="D12" s="26" t="s">
        <v>106</v>
      </c>
      <c r="E12" s="8">
        <f>'download stempels'!B5</f>
        <v>0</v>
      </c>
      <c r="F12" s="8">
        <f>'download stempels'!C5</f>
        <v>0</v>
      </c>
      <c r="G12" s="8">
        <f>'download stempels'!D5</f>
        <v>0</v>
      </c>
      <c r="H12" s="8">
        <f>'download stempels'!E5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7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8" ht="12.75" customHeight="1" x14ac:dyDescent="0.25">
      <c r="A13" s="15" t="s">
        <v>38</v>
      </c>
      <c r="B13" s="53" t="s">
        <v>98</v>
      </c>
      <c r="C13" s="15" t="s">
        <v>103</v>
      </c>
      <c r="D13" s="8" t="s">
        <v>107</v>
      </c>
      <c r="E13" s="8">
        <f>E12</f>
        <v>0</v>
      </c>
      <c r="F13" s="8">
        <f>F12</f>
        <v>0</v>
      </c>
      <c r="G13" s="8">
        <f>G12</f>
        <v>0</v>
      </c>
      <c r="H13" s="8">
        <f>H12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7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8" ht="12.75" customHeight="1" x14ac:dyDescent="0.25">
      <c r="A14" s="15" t="s">
        <v>39</v>
      </c>
      <c r="B14" s="53" t="s">
        <v>98</v>
      </c>
      <c r="C14" s="15" t="s">
        <v>104</v>
      </c>
      <c r="D14" s="8" t="s">
        <v>107</v>
      </c>
      <c r="E14" s="8" t="e">
        <f>VLOOKUP(E13,hulpblad!$C$1:$E$4,3)</f>
        <v>#N/A</v>
      </c>
      <c r="F14" s="8" t="e">
        <f>VLOOKUP(F13,hulpblad!$C$1:$E$4,3)</f>
        <v>#N/A</v>
      </c>
      <c r="G14" s="8" t="e">
        <f>VLOOKUP(G13,hulpblad!$C$1:$E$4,3)</f>
        <v>#N/A</v>
      </c>
      <c r="H14" s="8" t="e">
        <f>VLOOKUP(H13,hulpblad!$C$1:$E$4,3)</f>
        <v>#N/A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7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8" ht="12.75" customHeight="1" x14ac:dyDescent="0.25">
      <c r="A15" s="15" t="s">
        <v>40</v>
      </c>
      <c r="B15" s="53" t="s">
        <v>99</v>
      </c>
      <c r="C15" s="15" t="s">
        <v>105</v>
      </c>
      <c r="D15" s="8" t="s">
        <v>107</v>
      </c>
      <c r="E15" s="36">
        <f>2.1*10^5</f>
        <v>210000</v>
      </c>
      <c r="F15" s="36">
        <f>2.1*10^5</f>
        <v>210000</v>
      </c>
      <c r="G15" s="36">
        <f>2.1*10^5</f>
        <v>210000</v>
      </c>
      <c r="H15" s="36">
        <f>2.1*10^5</f>
        <v>210000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73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8" ht="12.75" customHeight="1" x14ac:dyDescent="0.25">
      <c r="A16" s="27" t="s">
        <v>41</v>
      </c>
      <c r="B16" s="53" t="s">
        <v>100</v>
      </c>
      <c r="D16" s="26" t="s">
        <v>106</v>
      </c>
      <c r="E16" s="29" t="e">
        <f>SQRT(235/E13)</f>
        <v>#DIV/0!</v>
      </c>
      <c r="F16" s="29" t="e">
        <f>SQRT(235/F13)</f>
        <v>#DIV/0!</v>
      </c>
      <c r="G16" s="29" t="e">
        <f>SQRT(235/G13)</f>
        <v>#DIV/0!</v>
      </c>
      <c r="H16" s="29" t="e">
        <f>SQRT(235/H13)</f>
        <v>#DIV/0!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74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12.75" customHeight="1" x14ac:dyDescent="0.25">
      <c r="A17" s="27" t="s">
        <v>109</v>
      </c>
      <c r="B17" s="53" t="s">
        <v>101</v>
      </c>
      <c r="D17" s="26" t="s">
        <v>106</v>
      </c>
      <c r="E17" s="29" t="e">
        <f>PI()*SQRT((E15/E13))</f>
        <v>#DIV/0!</v>
      </c>
      <c r="F17" s="29" t="e">
        <f>PI()*SQRT((F15/F13))</f>
        <v>#DIV/0!</v>
      </c>
      <c r="G17" s="29" t="e">
        <f>PI()*SQRT((G15/G13))</f>
        <v>#DIV/0!</v>
      </c>
      <c r="H17" s="29" t="e">
        <f>PI()*SQRT((H15/H13))</f>
        <v>#DIV/0!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74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12.75" customHeight="1" x14ac:dyDescent="0.25">
      <c r="B18" s="53"/>
    </row>
    <row r="19" spans="1:37" ht="12.75" customHeight="1" x14ac:dyDescent="0.25">
      <c r="A19" s="25" t="s">
        <v>42</v>
      </c>
      <c r="B19" s="53"/>
    </row>
    <row r="20" spans="1:37" ht="12.75" customHeight="1" x14ac:dyDescent="0.25">
      <c r="A20" s="28" t="s">
        <v>115</v>
      </c>
      <c r="B20" s="53"/>
      <c r="C20" s="51" t="s">
        <v>43</v>
      </c>
      <c r="D20" s="26" t="s">
        <v>110</v>
      </c>
      <c r="E20" s="8">
        <f>'download stempels'!B3</f>
        <v>0</v>
      </c>
      <c r="F20" s="8">
        <f>'download stempels'!C3</f>
        <v>0</v>
      </c>
      <c r="G20" s="8">
        <f>'download stempels'!D3</f>
        <v>0</v>
      </c>
      <c r="H20" s="8">
        <f>'download stempels'!E3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7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28" t="s">
        <v>116</v>
      </c>
      <c r="B21" s="53"/>
      <c r="C21" s="51" t="s">
        <v>44</v>
      </c>
      <c r="D21" s="26" t="s">
        <v>110</v>
      </c>
      <c r="E21" s="8">
        <f>'download stempels'!B4</f>
        <v>0</v>
      </c>
      <c r="F21" s="8">
        <f>'download stempels'!C4</f>
        <v>0</v>
      </c>
      <c r="G21" s="8">
        <f>'download stempels'!D4</f>
        <v>0</v>
      </c>
      <c r="H21" s="8">
        <f>'download stempels'!E4</f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72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31" t="s">
        <v>55</v>
      </c>
      <c r="B22" s="53"/>
      <c r="D22" s="43" t="s">
        <v>1</v>
      </c>
      <c r="E22" s="40">
        <f>'download stempels'!B6</f>
        <v>0</v>
      </c>
      <c r="F22" s="40">
        <f>'download stempels'!C6</f>
        <v>0</v>
      </c>
      <c r="G22" s="40">
        <f>'download stempels'!D6</f>
        <v>0</v>
      </c>
      <c r="H22" s="40">
        <f>'download stempels'!E6</f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72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B23" s="53"/>
      <c r="C23" s="51" t="s">
        <v>45</v>
      </c>
      <c r="D23" s="26" t="s">
        <v>110</v>
      </c>
      <c r="E23" s="8">
        <f t="shared" ref="E23" si="0">E20-E21-E21</f>
        <v>0</v>
      </c>
      <c r="F23" s="8">
        <f t="shared" ref="F23:G23" si="1">F20-F21-F21</f>
        <v>0</v>
      </c>
      <c r="G23" s="8">
        <f t="shared" si="1"/>
        <v>0</v>
      </c>
      <c r="H23" s="8">
        <f t="shared" ref="H23" si="2">H20-H21-H21</f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72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B24" s="53"/>
      <c r="C24" s="51" t="s">
        <v>46</v>
      </c>
      <c r="D24" s="26" t="s">
        <v>111</v>
      </c>
      <c r="E24" s="29">
        <f t="shared" ref="E24" si="3">(0.25*PI()*E20^2)-(0.25*PI()*E23^2)</f>
        <v>0</v>
      </c>
      <c r="F24" s="29">
        <f t="shared" ref="F24:G24" si="4">(0.25*PI()*F20^2)-(0.25*PI()*F23^2)</f>
        <v>0</v>
      </c>
      <c r="G24" s="29">
        <f t="shared" si="4"/>
        <v>0</v>
      </c>
      <c r="H24" s="29">
        <f t="shared" ref="H24" si="5">(0.25*PI()*H20^2)-(0.25*PI()*H23^2)</f>
        <v>0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74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ht="12.75" customHeight="1" x14ac:dyDescent="0.25">
      <c r="B25" s="53"/>
      <c r="C25" s="51" t="s">
        <v>47</v>
      </c>
      <c r="D25" s="26" t="s">
        <v>111</v>
      </c>
      <c r="E25" s="8">
        <f>2*E24/PI()</f>
        <v>0</v>
      </c>
      <c r="F25" s="8">
        <f>2*F24/PI()</f>
        <v>0</v>
      </c>
      <c r="G25" s="8">
        <f>2*G24/PI()</f>
        <v>0</v>
      </c>
      <c r="H25" s="8">
        <f>2*H24/PI()</f>
        <v>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72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B26" s="53"/>
      <c r="C26" s="51" t="s">
        <v>14</v>
      </c>
      <c r="D26" s="26" t="s">
        <v>112</v>
      </c>
      <c r="E26" s="30">
        <f t="shared" ref="E26" si="6">(PI()*(E20^4-E23^4))/64</f>
        <v>0</v>
      </c>
      <c r="F26" s="30">
        <f t="shared" ref="F26:G26" si="7">(PI()*(F20^4-F23^4))/64</f>
        <v>0</v>
      </c>
      <c r="G26" s="30">
        <f t="shared" si="7"/>
        <v>0</v>
      </c>
      <c r="H26" s="30">
        <f t="shared" ref="H26" si="8">(PI()*(H20^4-H23^4))/64</f>
        <v>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75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ht="12.75" customHeight="1" x14ac:dyDescent="0.25">
      <c r="B27" s="53"/>
      <c r="C27" s="51" t="s">
        <v>48</v>
      </c>
      <c r="D27" s="26" t="s">
        <v>113</v>
      </c>
      <c r="E27" s="30" t="e">
        <f t="shared" ref="E27" si="9">PI()*(E20^4-E23^4)/(32*E20)</f>
        <v>#DIV/0!</v>
      </c>
      <c r="F27" s="30" t="e">
        <f t="shared" ref="F27:G27" si="10">PI()*(F20^4-F23^4)/(32*F20)</f>
        <v>#DIV/0!</v>
      </c>
      <c r="G27" s="30" t="e">
        <f t="shared" si="10"/>
        <v>#DIV/0!</v>
      </c>
      <c r="H27" s="30" t="e">
        <f t="shared" ref="H27" si="11">PI()*(H20^4-H23^4)/(32*H20)</f>
        <v>#DIV/0!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75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</row>
    <row r="28" spans="1:37" ht="12.75" customHeight="1" x14ac:dyDescent="0.25">
      <c r="B28" s="53"/>
      <c r="C28" s="51" t="s">
        <v>49</v>
      </c>
      <c r="D28" s="26" t="s">
        <v>113</v>
      </c>
      <c r="E28" s="30">
        <f t="shared" ref="E28" si="12">(E20-E21)^2*E21</f>
        <v>0</v>
      </c>
      <c r="F28" s="30">
        <f t="shared" ref="F28:G28" si="13">(F20-F21)^2*F21</f>
        <v>0</v>
      </c>
      <c r="G28" s="30">
        <f t="shared" si="13"/>
        <v>0</v>
      </c>
      <c r="H28" s="30">
        <f t="shared" ref="H28" si="14">(H20-H21)^2*H21</f>
        <v>0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75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</row>
    <row r="29" spans="1:37" ht="12.75" customHeight="1" x14ac:dyDescent="0.25">
      <c r="B29" s="53"/>
      <c r="C29" s="51" t="s">
        <v>8</v>
      </c>
      <c r="D29" s="26" t="s">
        <v>114</v>
      </c>
      <c r="E29" s="29">
        <f>E24*78.5/1000000</f>
        <v>0</v>
      </c>
      <c r="F29" s="29">
        <f>F24*78.5/1000000</f>
        <v>0</v>
      </c>
      <c r="G29" s="29">
        <f>G24*78.5/1000000</f>
        <v>0</v>
      </c>
      <c r="H29" s="29">
        <f>H24*78.5/1000000</f>
        <v>0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74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</row>
    <row r="30" spans="1:37" ht="12.75" customHeight="1" x14ac:dyDescent="0.25">
      <c r="B30" s="53"/>
      <c r="D30" s="26"/>
    </row>
    <row r="31" spans="1:37" ht="12.75" customHeight="1" x14ac:dyDescent="0.25">
      <c r="B31" s="53"/>
    </row>
    <row r="32" spans="1:37" ht="12.75" customHeight="1" x14ac:dyDescent="0.25">
      <c r="A32" s="25" t="s">
        <v>50</v>
      </c>
      <c r="B32" s="53"/>
    </row>
    <row r="33" spans="1:37" ht="12.75" customHeight="1" x14ac:dyDescent="0.25">
      <c r="A33" s="15" t="s">
        <v>51</v>
      </c>
      <c r="B33" s="53" t="s">
        <v>100</v>
      </c>
      <c r="D33" s="14" t="s">
        <v>106</v>
      </c>
      <c r="E33" s="40" t="e">
        <f t="shared" ref="E33" si="15">E20/E21</f>
        <v>#DIV/0!</v>
      </c>
      <c r="F33" s="40" t="e">
        <f t="shared" ref="F33:G33" si="16">F20/F21</f>
        <v>#DIV/0!</v>
      </c>
      <c r="G33" s="40" t="e">
        <f t="shared" si="16"/>
        <v>#DIV/0!</v>
      </c>
      <c r="H33" s="40" t="e">
        <f t="shared" ref="H33" si="17">H20/H21</f>
        <v>#DIV/0!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76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1:37" ht="12.75" customHeight="1" x14ac:dyDescent="0.25">
      <c r="A34" s="27" t="s">
        <v>52</v>
      </c>
      <c r="B34" s="53" t="s">
        <v>100</v>
      </c>
      <c r="D34" s="14" t="s">
        <v>106</v>
      </c>
      <c r="E34" s="29" t="e">
        <f t="shared" ref="E34" si="18">E16^2</f>
        <v>#DIV/0!</v>
      </c>
      <c r="F34" s="29" t="e">
        <f t="shared" ref="F34:G34" si="19">F16^2</f>
        <v>#DIV/0!</v>
      </c>
      <c r="G34" s="29" t="e">
        <f t="shared" si="19"/>
        <v>#DIV/0!</v>
      </c>
      <c r="H34" s="29" t="e">
        <f t="shared" ref="H34" si="20">H16^2</f>
        <v>#DIV/0!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74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2.75" customHeight="1" x14ac:dyDescent="0.25">
      <c r="A35" s="28" t="s">
        <v>129</v>
      </c>
      <c r="D35" s="44" t="s">
        <v>106</v>
      </c>
      <c r="E35" s="39" t="str">
        <f t="shared" ref="E35" si="21">IF(E13&lt;=420,"a","a0")</f>
        <v>a</v>
      </c>
      <c r="F35" s="39" t="str">
        <f t="shared" ref="F35:G35" si="22">IF(F13&lt;=420,"a","a0")</f>
        <v>a</v>
      </c>
      <c r="G35" s="39" t="str">
        <f t="shared" si="22"/>
        <v>a</v>
      </c>
      <c r="H35" s="39" t="str">
        <f t="shared" ref="H35" si="23">IF(H13&lt;=420,"a","a0")</f>
        <v>a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77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ht="12.75" customHeight="1" x14ac:dyDescent="0.25">
      <c r="A36" s="41" t="s">
        <v>15</v>
      </c>
      <c r="D36" s="44" t="s">
        <v>106</v>
      </c>
      <c r="E36" s="40">
        <f>IF(E35="a0",0.13,IF(E35="a",0.21,IF(E35="b",0.34,IF(E35="c",0.49,IF(E35="d",0.76)))))</f>
        <v>0.21</v>
      </c>
      <c r="F36" s="40">
        <f>IF(F35="a0",0.13,IF(F35="a",0.21,IF(F35="b",0.34,IF(F35="c",0.49,IF(F35="d",0.76)))))</f>
        <v>0.21</v>
      </c>
      <c r="G36" s="40">
        <f>IF(G35="a0",0.13,IF(G35="a",0.21,IF(G35="b",0.34,IF(G35="c",0.49,IF(G35="d",0.76)))))</f>
        <v>0.21</v>
      </c>
      <c r="H36" s="40">
        <f>IF(H35="a0",0.13,IF(H35="a",0.21,IF(H35="b",0.34,IF(H35="c",0.49,IF(H35="d",0.76)))))</f>
        <v>0.21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1:37" ht="12.75" customHeight="1" x14ac:dyDescent="0.25">
      <c r="A37" s="27"/>
      <c r="D37" s="14"/>
      <c r="E37" s="29" t="e">
        <f>E33/E34</f>
        <v>#DIV/0!</v>
      </c>
      <c r="F37" s="29" t="e">
        <f>F33/F34</f>
        <v>#DIV/0!</v>
      </c>
      <c r="G37" s="29" t="e">
        <f>G33/G34</f>
        <v>#DIV/0!</v>
      </c>
      <c r="H37" s="29" t="e">
        <f>H33/H34</f>
        <v>#DIV/0!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74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2.75" hidden="1" customHeight="1" x14ac:dyDescent="0.25">
      <c r="A38" s="27"/>
      <c r="D38" s="14">
        <v>1</v>
      </c>
      <c r="E38" s="29" t="e">
        <f>IF(E37&lt;=50,1,0)</f>
        <v>#DIV/0!</v>
      </c>
      <c r="F38" s="29" t="e">
        <f>IF(F37&lt;=50,1,0)</f>
        <v>#DIV/0!</v>
      </c>
      <c r="G38" s="29" t="e">
        <f>IF(G37&lt;=50,1,0)</f>
        <v>#DIV/0!</v>
      </c>
      <c r="H38" s="29" t="e">
        <f>IF(H37&lt;=50,1,0)</f>
        <v>#DIV/0!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74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2.75" hidden="1" customHeight="1" x14ac:dyDescent="0.25">
      <c r="A39" s="27"/>
      <c r="D39" s="14">
        <v>2</v>
      </c>
      <c r="E39" s="29" t="e">
        <f>IF(E37&lt;=70,1,0)</f>
        <v>#DIV/0!</v>
      </c>
      <c r="F39" s="29" t="e">
        <f>IF(F37&lt;=70,1,0)</f>
        <v>#DIV/0!</v>
      </c>
      <c r="G39" s="29" t="e">
        <f>IF(G37&lt;=70,1,0)</f>
        <v>#DIV/0!</v>
      </c>
      <c r="H39" s="29" t="e">
        <f>IF(H37&lt;=70,1,0)</f>
        <v>#DIV/0!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74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2.75" hidden="1" customHeight="1" x14ac:dyDescent="0.25">
      <c r="A40" s="27"/>
      <c r="D40" s="14">
        <v>3</v>
      </c>
      <c r="E40" s="29" t="e">
        <f>IF(E37&lt;=90,1,0)</f>
        <v>#DIV/0!</v>
      </c>
      <c r="F40" s="29" t="e">
        <f>IF(F37&lt;=90,1,0)</f>
        <v>#DIV/0!</v>
      </c>
      <c r="G40" s="29" t="e">
        <f>IF(G37&lt;=90,1,0)</f>
        <v>#DIV/0!</v>
      </c>
      <c r="H40" s="29" t="e">
        <f>IF(H37&lt;=90,1,0)</f>
        <v>#DIV/0!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74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2.75" hidden="1" customHeight="1" x14ac:dyDescent="0.25">
      <c r="A41" s="27"/>
      <c r="D41" s="14"/>
      <c r="E41" s="29" t="e">
        <f>SUM(E38:E40)</f>
        <v>#DIV/0!</v>
      </c>
      <c r="F41" s="29" t="e">
        <f>SUM(F38:F40)</f>
        <v>#DIV/0!</v>
      </c>
      <c r="G41" s="29" t="e">
        <f>SUM(G38:G40)</f>
        <v>#DIV/0!</v>
      </c>
      <c r="H41" s="29" t="e">
        <f>SUM(H38:H40)</f>
        <v>#DIV/0!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74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ht="12.75" customHeight="1" x14ac:dyDescent="0.25">
      <c r="A42" s="15" t="s">
        <v>53</v>
      </c>
      <c r="D42" s="14" t="s">
        <v>106</v>
      </c>
      <c r="E42" s="8" t="e">
        <f>IF(E41=3,1,IF(E41=2,2,IF(E41=1,3,IF(E41=0,4))))</f>
        <v>#DIV/0!</v>
      </c>
      <c r="F42" s="8" t="e">
        <f>IF(F41=3,1,IF(F41=2,2,IF(F41=1,3,IF(F41=0,4))))</f>
        <v>#DIV/0!</v>
      </c>
      <c r="G42" s="8" t="e">
        <f>IF(G41=3,1,IF(G41=2,2,IF(G41=1,3,IF(G41=0,4))))</f>
        <v>#DIV/0!</v>
      </c>
      <c r="H42" s="8" t="e">
        <f>IF(H41=3,1,IF(H41=2,2,IF(H41=1,3,IF(H41=0,4))))</f>
        <v>#DIV/0!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2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/>
    <row r="44" spans="1:37" ht="12.75" customHeight="1" x14ac:dyDescent="0.25">
      <c r="A44" s="32" t="s">
        <v>60</v>
      </c>
    </row>
    <row r="45" spans="1:37" ht="12.75" customHeight="1" x14ac:dyDescent="0.25">
      <c r="A45" s="31" t="s">
        <v>61</v>
      </c>
      <c r="D45" s="42" t="s">
        <v>3</v>
      </c>
      <c r="E45" s="8">
        <f>'download stempels'!B9</f>
        <v>0</v>
      </c>
      <c r="F45" s="8">
        <f>'download stempels'!C9</f>
        <v>0</v>
      </c>
      <c r="G45" s="8">
        <f>'download stempels'!D9</f>
        <v>0</v>
      </c>
      <c r="H45" s="8">
        <f>'download stempels'!E9</f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72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31"/>
    </row>
    <row r="47" spans="1:37" ht="12.75" customHeight="1" x14ac:dyDescent="0.25">
      <c r="A47" s="24" t="s">
        <v>62</v>
      </c>
    </row>
    <row r="48" spans="1:37" ht="12.75" customHeight="1" x14ac:dyDescent="0.25">
      <c r="A48" s="15" t="s">
        <v>63</v>
      </c>
      <c r="D48" s="14" t="s">
        <v>130</v>
      </c>
      <c r="E48" s="29">
        <f t="shared" ref="E48" si="24">1/8*E29*E22^2</f>
        <v>0</v>
      </c>
      <c r="F48" s="29">
        <f t="shared" ref="F48:G48" si="25">1/8*F29*F22^2</f>
        <v>0</v>
      </c>
      <c r="G48" s="29">
        <f t="shared" si="25"/>
        <v>0</v>
      </c>
      <c r="H48" s="29">
        <f t="shared" ref="H48" si="26">1/8*H29*H22^2</f>
        <v>0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74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ht="12.75" customHeight="1" x14ac:dyDescent="0.25">
      <c r="A49" s="15" t="s">
        <v>64</v>
      </c>
      <c r="D49" s="14" t="s">
        <v>130</v>
      </c>
      <c r="E49" s="29">
        <f t="shared" ref="E49" si="27">1/8*1*E22^2</f>
        <v>0</v>
      </c>
      <c r="F49" s="29">
        <f t="shared" ref="F49:G49" si="28">1/8*1*F22^2</f>
        <v>0</v>
      </c>
      <c r="G49" s="29">
        <f t="shared" si="28"/>
        <v>0</v>
      </c>
      <c r="H49" s="29">
        <f t="shared" ref="H49" si="29">1/8*1*H22^2</f>
        <v>0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4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</row>
    <row r="50" spans="1:37" ht="12.75" customHeight="1" x14ac:dyDescent="0.25">
      <c r="A50" s="28" t="s">
        <v>134</v>
      </c>
      <c r="D50" s="14" t="s">
        <v>130</v>
      </c>
      <c r="E50" s="29">
        <f t="shared" ref="E50" si="30">0.25*$K$8*E22</f>
        <v>0</v>
      </c>
      <c r="F50" s="29">
        <f t="shared" ref="F50:G50" si="31">0.25*$K$8*F22</f>
        <v>0</v>
      </c>
      <c r="G50" s="29">
        <f t="shared" si="31"/>
        <v>0</v>
      </c>
      <c r="H50" s="29">
        <f t="shared" ref="H50" si="32">0.25*$K$8*H22</f>
        <v>0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74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</row>
    <row r="51" spans="1:37" ht="12.75" customHeight="1" x14ac:dyDescent="0.25">
      <c r="A51" s="27" t="s">
        <v>66</v>
      </c>
      <c r="D51" s="14" t="s">
        <v>110</v>
      </c>
      <c r="E51" s="29" t="e">
        <f t="shared" ref="E51" si="33">(5/384)*(E29*(E22*1000)^4)/(E15*E26)</f>
        <v>#DIV/0!</v>
      </c>
      <c r="F51" s="29" t="e">
        <f t="shared" ref="F51:G51" si="34">(5/384)*(F29*(F22*1000)^4)/(F15*F26)</f>
        <v>#DIV/0!</v>
      </c>
      <c r="G51" s="29" t="e">
        <f t="shared" si="34"/>
        <v>#DIV/0!</v>
      </c>
      <c r="H51" s="29" t="e">
        <f t="shared" ref="H51" si="35">(5/384)*(H29*(H22*1000)^4)/(H15*H26)</f>
        <v>#DIV/0!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74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</row>
    <row r="52" spans="1:37" ht="12.75" customHeight="1" x14ac:dyDescent="0.25">
      <c r="A52" s="27" t="s">
        <v>65</v>
      </c>
      <c r="D52" s="14" t="s">
        <v>130</v>
      </c>
      <c r="E52" s="29" t="e">
        <f>(E45*E51/1000)</f>
        <v>#DIV/0!</v>
      </c>
      <c r="F52" s="29" t="e">
        <f>(F45*F51/1000)</f>
        <v>#DIV/0!</v>
      </c>
      <c r="G52" s="29" t="e">
        <f>(G45*G51/1000)</f>
        <v>#DIV/0!</v>
      </c>
      <c r="H52" s="29" t="e">
        <f>(H45*H51/1000)</f>
        <v>#DIV/0!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74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 spans="1:37" ht="12.75" customHeight="1" x14ac:dyDescent="0.25">
      <c r="A53" s="28" t="s">
        <v>132</v>
      </c>
      <c r="D53" s="42" t="s">
        <v>110</v>
      </c>
      <c r="E53" s="8">
        <f t="shared" ref="E53:H53" si="36">$K$4</f>
        <v>0</v>
      </c>
      <c r="F53" s="8">
        <f t="shared" si="36"/>
        <v>0</v>
      </c>
      <c r="G53" s="8">
        <f t="shared" si="36"/>
        <v>0</v>
      </c>
      <c r="H53" s="8">
        <f t="shared" si="36"/>
        <v>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72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5">
      <c r="A54" s="27" t="s">
        <v>67</v>
      </c>
      <c r="D54" s="14" t="s">
        <v>130</v>
      </c>
      <c r="E54" s="29">
        <f>E45*E53/1000</f>
        <v>0</v>
      </c>
      <c r="F54" s="29">
        <f>F45*F53/1000</f>
        <v>0</v>
      </c>
      <c r="G54" s="29">
        <f>G45*G53/1000</f>
        <v>0</v>
      </c>
      <c r="H54" s="29">
        <f>H45*H53/1000</f>
        <v>0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74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</row>
    <row r="55" spans="1:37" ht="12.75" customHeight="1" x14ac:dyDescent="0.25">
      <c r="D55" s="16"/>
    </row>
    <row r="56" spans="1:37" ht="12.75" customHeight="1" x14ac:dyDescent="0.25">
      <c r="A56" s="15" t="s">
        <v>68</v>
      </c>
      <c r="D56" s="14" t="s">
        <v>3</v>
      </c>
      <c r="E56" s="29">
        <f t="shared" ref="E56" si="37">E22*E29*0.5</f>
        <v>0</v>
      </c>
      <c r="F56" s="29">
        <f t="shared" ref="F56:G56" si="38">F22*F29*0.5</f>
        <v>0</v>
      </c>
      <c r="G56" s="29">
        <f t="shared" si="38"/>
        <v>0</v>
      </c>
      <c r="H56" s="29">
        <f t="shared" ref="H56" si="39">H22*H29*0.5</f>
        <v>0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74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</row>
    <row r="57" spans="1:37" ht="12.75" customHeight="1" x14ac:dyDescent="0.25">
      <c r="A57" s="15" t="s">
        <v>69</v>
      </c>
      <c r="D57" s="14" t="s">
        <v>3</v>
      </c>
      <c r="E57" s="29">
        <f t="shared" ref="E57" si="40">E22*1*0.5</f>
        <v>0</v>
      </c>
      <c r="F57" s="29">
        <f t="shared" ref="F57:G57" si="41">F22*1*0.5</f>
        <v>0</v>
      </c>
      <c r="G57" s="29">
        <f t="shared" si="41"/>
        <v>0</v>
      </c>
      <c r="H57" s="29">
        <f t="shared" ref="H57" si="42">H22*1*0.5</f>
        <v>0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74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</row>
    <row r="58" spans="1:37" ht="12.75" customHeight="1" x14ac:dyDescent="0.25">
      <c r="A58" s="28" t="s">
        <v>133</v>
      </c>
      <c r="D58" s="14" t="s">
        <v>3</v>
      </c>
      <c r="E58" s="8">
        <f t="shared" ref="E58:H58" si="43">$K$8*0.5</f>
        <v>5</v>
      </c>
      <c r="F58" s="8">
        <f t="shared" si="43"/>
        <v>5</v>
      </c>
      <c r="G58" s="8">
        <f t="shared" si="43"/>
        <v>5</v>
      </c>
      <c r="H58" s="8">
        <f t="shared" si="43"/>
        <v>5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2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5">
      <c r="D59" s="16"/>
    </row>
    <row r="60" spans="1:37" ht="12.75" customHeight="1" x14ac:dyDescent="0.25">
      <c r="A60" s="15" t="s">
        <v>70</v>
      </c>
      <c r="D60" s="14" t="s">
        <v>3</v>
      </c>
      <c r="E60" s="8">
        <f>E45</f>
        <v>0</v>
      </c>
      <c r="F60" s="8">
        <f>F45</f>
        <v>0</v>
      </c>
      <c r="G60" s="8">
        <f>G45</f>
        <v>0</v>
      </c>
      <c r="H60" s="8">
        <f>H45</f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72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2.75" customHeight="1" x14ac:dyDescent="0.25">
      <c r="A61" s="27" t="s">
        <v>71</v>
      </c>
      <c r="D61" s="14" t="s">
        <v>3</v>
      </c>
      <c r="E61" s="29" t="e">
        <f t="shared" ref="E61" si="44">E15*E24*$K$6*$K$7*($K$5/($K$5+((E15*E24)/(0.5*E22*1000))))/1000</f>
        <v>#DIV/0!</v>
      </c>
      <c r="F61" s="29" t="e">
        <f t="shared" ref="F61:G61" si="45">F15*F24*$K$6*$K$7*($K$5/($K$5+((F15*F24)/(0.5*F22*1000))))/1000</f>
        <v>#DIV/0!</v>
      </c>
      <c r="G61" s="29" t="e">
        <f t="shared" si="45"/>
        <v>#DIV/0!</v>
      </c>
      <c r="H61" s="29" t="e">
        <f t="shared" ref="H61" si="46">H15*H24*$K$6*$K$7*($K$5/($K$5+((H15*H24)/(0.5*H22*1000))))/1000</f>
        <v>#DIV/0!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74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t="12.75" customHeight="1" x14ac:dyDescent="0.25"/>
    <row r="63" spans="1:37" ht="12.75" customHeight="1" x14ac:dyDescent="0.25">
      <c r="A63" s="25" t="s">
        <v>72</v>
      </c>
    </row>
    <row r="64" spans="1:37" ht="12.75" customHeight="1" x14ac:dyDescent="0.25">
      <c r="A64" s="15" t="s">
        <v>73</v>
      </c>
      <c r="D64" s="14" t="s">
        <v>130</v>
      </c>
      <c r="E64" s="29" t="e">
        <f t="shared" ref="E64" si="47">(E48*$R$5)+(E52*$R$4)+((MAX(E49:E50)+E54)*$R$6)</f>
        <v>#DIV/0!</v>
      </c>
      <c r="F64" s="29" t="e">
        <f t="shared" ref="F64:G64" si="48">(F48*$R$5)+(F52*$R$4)+((MAX(F49:F50)+F54)*$R$6)</f>
        <v>#DIV/0!</v>
      </c>
      <c r="G64" s="29" t="e">
        <f t="shared" si="48"/>
        <v>#DIV/0!</v>
      </c>
      <c r="H64" s="29" t="e">
        <f t="shared" ref="H64" si="49">(H48*$R$5)+(H52*$R$4)+((MAX(H49:H50)+H54)*$R$6)</f>
        <v>#DIV/0!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74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2.75" customHeight="1" x14ac:dyDescent="0.25">
      <c r="A65" s="15" t="s">
        <v>74</v>
      </c>
      <c r="D65" s="14" t="s">
        <v>3</v>
      </c>
      <c r="E65" s="29">
        <f t="shared" ref="E65" si="50">(E56*$R$5)+((MAX(E57,E58*2)*$R$6))</f>
        <v>15</v>
      </c>
      <c r="F65" s="29">
        <f t="shared" ref="F65:G65" si="51">(F56*$R$5)+((MAX(F57,F58*2)*$R$6))</f>
        <v>15</v>
      </c>
      <c r="G65" s="29">
        <f t="shared" si="51"/>
        <v>15</v>
      </c>
      <c r="H65" s="29">
        <f t="shared" ref="H65" si="52">(H56*$R$5)+((MAX(H57,H58*2)*$R$6))</f>
        <v>15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74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2.75" customHeight="1" x14ac:dyDescent="0.25">
      <c r="A66" s="15" t="s">
        <v>75</v>
      </c>
      <c r="D66" s="14" t="s">
        <v>3</v>
      </c>
      <c r="E66" s="8">
        <f t="shared" ref="E66" si="53">E58*$R$6</f>
        <v>7.5</v>
      </c>
      <c r="F66" s="8">
        <f t="shared" ref="F66:G66" si="54">F58*$R$6</f>
        <v>7.5</v>
      </c>
      <c r="G66" s="8">
        <f t="shared" si="54"/>
        <v>7.5</v>
      </c>
      <c r="H66" s="8">
        <f t="shared" ref="H66" si="55">H58*$R$6</f>
        <v>7.5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72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2.75" customHeight="1" x14ac:dyDescent="0.25">
      <c r="A67" s="15" t="s">
        <v>76</v>
      </c>
      <c r="D67" s="14" t="s">
        <v>3</v>
      </c>
      <c r="E67" s="29" t="e">
        <f t="shared" ref="E67" si="56">(E60*$R$4)+(E61*$R$7)</f>
        <v>#DIV/0!</v>
      </c>
      <c r="F67" s="29" t="e">
        <f t="shared" ref="F67:G67" si="57">(F60*$R$4)+(F61*$R$7)</f>
        <v>#DIV/0!</v>
      </c>
      <c r="G67" s="29" t="e">
        <f t="shared" si="57"/>
        <v>#DIV/0!</v>
      </c>
      <c r="H67" s="29" t="e">
        <f t="shared" ref="H67" si="58">(H60*$R$4)+(H61*$R$7)</f>
        <v>#DIV/0!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74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2.75" customHeight="1" x14ac:dyDescent="0.25"/>
    <row r="69" spans="1:37" ht="12.75" customHeight="1" x14ac:dyDescent="0.25">
      <c r="A69" s="24" t="s">
        <v>77</v>
      </c>
    </row>
    <row r="70" spans="1:37" ht="12.75" customHeight="1" x14ac:dyDescent="0.25">
      <c r="A70" s="5" t="s">
        <v>78</v>
      </c>
      <c r="C70" s="52" t="s">
        <v>135</v>
      </c>
      <c r="D70" s="42" t="s">
        <v>106</v>
      </c>
      <c r="E70" s="40">
        <v>1</v>
      </c>
      <c r="F70" s="40">
        <v>1</v>
      </c>
      <c r="G70" s="40">
        <v>1</v>
      </c>
      <c r="H70" s="40">
        <v>1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76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1:37" ht="12.75" customHeight="1" x14ac:dyDescent="0.25">
      <c r="A71" s="5" t="s">
        <v>78</v>
      </c>
      <c r="C71" s="52" t="s">
        <v>136</v>
      </c>
      <c r="D71" s="42" t="s">
        <v>106</v>
      </c>
      <c r="E71" s="40">
        <v>1</v>
      </c>
      <c r="F71" s="40">
        <v>1</v>
      </c>
      <c r="G71" s="40">
        <v>1</v>
      </c>
      <c r="H71" s="40">
        <v>1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76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1:37" ht="12.75" customHeight="1" x14ac:dyDescent="0.25">
      <c r="A72" s="5"/>
    </row>
    <row r="73" spans="1:37" ht="12.75" customHeight="1" x14ac:dyDescent="0.25">
      <c r="A73" s="33" t="s">
        <v>79</v>
      </c>
      <c r="C73" s="45" t="s">
        <v>137</v>
      </c>
    </row>
    <row r="74" spans="1:37" ht="12.75" customHeight="1" x14ac:dyDescent="0.25">
      <c r="A74" s="5" t="s">
        <v>80</v>
      </c>
      <c r="C74" s="49" t="s">
        <v>138</v>
      </c>
      <c r="D74" s="44" t="s">
        <v>3</v>
      </c>
      <c r="E74" s="29" t="e">
        <f>E67</f>
        <v>#DIV/0!</v>
      </c>
      <c r="F74" s="29" t="e">
        <f>F67</f>
        <v>#DIV/0!</v>
      </c>
      <c r="G74" s="29" t="e">
        <f>G67</f>
        <v>#DIV/0!</v>
      </c>
      <c r="H74" s="29" t="e">
        <f>H67</f>
        <v>#DIV/0!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74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ht="12.75" customHeight="1" x14ac:dyDescent="0.25">
      <c r="A75" s="5" t="s">
        <v>81</v>
      </c>
      <c r="C75" s="49" t="s">
        <v>139</v>
      </c>
      <c r="D75" s="44" t="s">
        <v>3</v>
      </c>
      <c r="E75" s="29">
        <f t="shared" ref="E75" si="59">E24*E13/E70/1000</f>
        <v>0</v>
      </c>
      <c r="F75" s="29">
        <f t="shared" ref="F75:G75" si="60">F24*F13/F70/1000</f>
        <v>0</v>
      </c>
      <c r="G75" s="29">
        <f t="shared" si="60"/>
        <v>0</v>
      </c>
      <c r="H75" s="29">
        <f t="shared" ref="H75" si="61">H24*H13/H70/1000</f>
        <v>0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74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ht="12.75" customHeight="1" x14ac:dyDescent="0.25">
      <c r="A76" s="5" t="s">
        <v>31</v>
      </c>
      <c r="C76" s="49" t="s">
        <v>140</v>
      </c>
      <c r="D76" s="42" t="s">
        <v>106</v>
      </c>
      <c r="E76" s="47" t="e">
        <f>E74/E75</f>
        <v>#DIV/0!</v>
      </c>
      <c r="F76" s="47" t="e">
        <f>F74/F75</f>
        <v>#DIV/0!</v>
      </c>
      <c r="G76" s="47" t="e">
        <f>G74/G75</f>
        <v>#DIV/0!</v>
      </c>
      <c r="H76" s="47" t="e">
        <f>H74/H75</f>
        <v>#DIV/0!</v>
      </c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80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37" ht="12.75" customHeight="1" x14ac:dyDescent="0.25">
      <c r="A77" s="5"/>
      <c r="C77" s="51"/>
    </row>
    <row r="78" spans="1:37" ht="12.75" customHeight="1" x14ac:dyDescent="0.25">
      <c r="A78" s="33" t="s">
        <v>82</v>
      </c>
      <c r="C78" s="45" t="s">
        <v>141</v>
      </c>
    </row>
    <row r="79" spans="1:37" ht="12.75" customHeight="1" x14ac:dyDescent="0.25">
      <c r="A79" s="5" t="s">
        <v>83</v>
      </c>
      <c r="C79" s="49" t="s">
        <v>142</v>
      </c>
      <c r="D79" s="14" t="s">
        <v>130</v>
      </c>
      <c r="E79" s="29" t="e">
        <f>E64</f>
        <v>#DIV/0!</v>
      </c>
      <c r="F79" s="29" t="e">
        <f>F64</f>
        <v>#DIV/0!</v>
      </c>
      <c r="G79" s="29" t="e">
        <f>G64</f>
        <v>#DIV/0!</v>
      </c>
      <c r="H79" s="29" t="e">
        <f>H64</f>
        <v>#DIV/0!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74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ht="12.75" customHeight="1" x14ac:dyDescent="0.25">
      <c r="A80" s="5" t="s">
        <v>84</v>
      </c>
      <c r="C80" s="51"/>
      <c r="D80" s="42" t="s">
        <v>106</v>
      </c>
      <c r="E80" s="8" t="e">
        <f>E42</f>
        <v>#DIV/0!</v>
      </c>
      <c r="F80" s="8" t="e">
        <f>F42</f>
        <v>#DIV/0!</v>
      </c>
      <c r="G80" s="8" t="e">
        <f>G42</f>
        <v>#DIV/0!</v>
      </c>
      <c r="H80" s="8" t="e">
        <f>H42</f>
        <v>#DIV/0!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72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ht="12.75" customHeight="1" x14ac:dyDescent="0.25">
      <c r="A81" s="5" t="s">
        <v>143</v>
      </c>
      <c r="C81" s="51"/>
      <c r="D81" s="42" t="s">
        <v>144</v>
      </c>
      <c r="E81" s="30" t="e">
        <f t="shared" ref="E81" si="62">IF(E80&lt;=2,E28,E27)</f>
        <v>#DIV/0!</v>
      </c>
      <c r="F81" s="30" t="e">
        <f t="shared" ref="F81:G81" si="63">IF(F80&lt;=2,F28,F27)</f>
        <v>#DIV/0!</v>
      </c>
      <c r="G81" s="30" t="e">
        <f t="shared" si="63"/>
        <v>#DIV/0!</v>
      </c>
      <c r="H81" s="30" t="e">
        <f t="shared" ref="H81" si="64">IF(H80&lt;=2,H28,H27)</f>
        <v>#DIV/0!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75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:37" ht="12.75" customHeight="1" x14ac:dyDescent="0.25">
      <c r="A82" s="5" t="s">
        <v>85</v>
      </c>
      <c r="C82" s="49" t="s">
        <v>145</v>
      </c>
      <c r="D82" s="14" t="s">
        <v>130</v>
      </c>
      <c r="E82" s="29" t="e">
        <f t="shared" ref="E82" si="65">E81*E13/1000000</f>
        <v>#DIV/0!</v>
      </c>
      <c r="F82" s="29" t="e">
        <f t="shared" ref="F82:G82" si="66">F81*F13/1000000</f>
        <v>#DIV/0!</v>
      </c>
      <c r="G82" s="29" t="e">
        <f t="shared" si="66"/>
        <v>#DIV/0!</v>
      </c>
      <c r="H82" s="29" t="e">
        <f t="shared" ref="H82" si="67">H81*H13/1000000</f>
        <v>#DIV/0!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74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ht="12.75" customHeight="1" x14ac:dyDescent="0.25">
      <c r="A83" s="5" t="s">
        <v>31</v>
      </c>
      <c r="C83" s="49" t="s">
        <v>146</v>
      </c>
      <c r="D83" s="42" t="s">
        <v>106</v>
      </c>
      <c r="E83" s="47" t="e">
        <f>E79/E82</f>
        <v>#DIV/0!</v>
      </c>
      <c r="F83" s="47" t="e">
        <f>F79/F82</f>
        <v>#DIV/0!</v>
      </c>
      <c r="G83" s="47" t="e">
        <f>G79/G82</f>
        <v>#DIV/0!</v>
      </c>
      <c r="H83" s="47" t="e">
        <f>H79/H82</f>
        <v>#DIV/0!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80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2.75" customHeight="1" x14ac:dyDescent="0.25">
      <c r="A84" s="5"/>
      <c r="C84" s="51"/>
    </row>
    <row r="85" spans="1:37" ht="12.75" customHeight="1" x14ac:dyDescent="0.25">
      <c r="A85" s="33" t="s">
        <v>86</v>
      </c>
      <c r="C85" s="4" t="s">
        <v>147</v>
      </c>
    </row>
    <row r="86" spans="1:37" ht="12.75" customHeight="1" x14ac:dyDescent="0.25">
      <c r="A86" s="5" t="s">
        <v>87</v>
      </c>
      <c r="C86" s="49" t="s">
        <v>148</v>
      </c>
      <c r="D86" s="44" t="s">
        <v>3</v>
      </c>
      <c r="E86" s="29">
        <f>E65</f>
        <v>15</v>
      </c>
      <c r="F86" s="29">
        <f>F65</f>
        <v>15</v>
      </c>
      <c r="G86" s="29">
        <f>G65</f>
        <v>15</v>
      </c>
      <c r="H86" s="29">
        <f>H65</f>
        <v>15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74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ht="12.75" customHeight="1" x14ac:dyDescent="0.25">
      <c r="A87" s="5" t="s">
        <v>88</v>
      </c>
      <c r="C87" s="49" t="s">
        <v>149</v>
      </c>
      <c r="D87" s="44" t="s">
        <v>3</v>
      </c>
      <c r="E87" s="29">
        <f t="shared" ref="E87" si="68">(E25*(E13/SQRT(3)))/E71/1000</f>
        <v>0</v>
      </c>
      <c r="F87" s="29">
        <f t="shared" ref="F87:G87" si="69">(F25*(F13/SQRT(3)))/F71/1000</f>
        <v>0</v>
      </c>
      <c r="G87" s="29">
        <f t="shared" si="69"/>
        <v>0</v>
      </c>
      <c r="H87" s="29">
        <f t="shared" ref="H87" si="70">(H25*(H13/SQRT(3)))/H71/1000</f>
        <v>0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74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</row>
    <row r="88" spans="1:37" ht="12.75" customHeight="1" x14ac:dyDescent="0.25">
      <c r="A88" s="5" t="s">
        <v>31</v>
      </c>
      <c r="C88" s="49" t="s">
        <v>150</v>
      </c>
      <c r="D88" s="42" t="s">
        <v>106</v>
      </c>
      <c r="E88" s="47" t="e">
        <f>E86/E87</f>
        <v>#DIV/0!</v>
      </c>
      <c r="F88" s="47" t="e">
        <f>F86/F87</f>
        <v>#DIV/0!</v>
      </c>
      <c r="G88" s="47" t="e">
        <f>G86/G87</f>
        <v>#DIV/0!</v>
      </c>
      <c r="H88" s="47" t="e">
        <f>H86/H87</f>
        <v>#DIV/0!</v>
      </c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80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2.75" customHeight="1" x14ac:dyDescent="0.25">
      <c r="A89" s="5"/>
      <c r="C89" s="51"/>
    </row>
    <row r="90" spans="1:37" ht="12.75" customHeight="1" x14ac:dyDescent="0.25">
      <c r="A90" s="33" t="s">
        <v>89</v>
      </c>
      <c r="C90" s="50" t="s">
        <v>157</v>
      </c>
    </row>
    <row r="91" spans="1:37" ht="12.75" customHeight="1" x14ac:dyDescent="0.25">
      <c r="A91" s="5" t="s">
        <v>31</v>
      </c>
      <c r="B91" s="46"/>
      <c r="C91" s="49" t="s">
        <v>151</v>
      </c>
      <c r="D91" s="42" t="s">
        <v>106</v>
      </c>
      <c r="E91" s="47" t="e">
        <f>(E79/(1.04*E82))+((E74/E75)^1.7)</f>
        <v>#DIV/0!</v>
      </c>
      <c r="F91" s="47" t="e">
        <f>(F79/(1.04*F82))+((F74/F75)^1.7)</f>
        <v>#DIV/0!</v>
      </c>
      <c r="G91" s="47" t="e">
        <f>(G79/(1.04*G82))+((G74/G75)^1.7)</f>
        <v>#DIV/0!</v>
      </c>
      <c r="H91" s="47" t="e">
        <f>(H79/(1.04*H82))+((H74/H75)^1.7)</f>
        <v>#DIV/0!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80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2.75" customHeight="1" x14ac:dyDescent="0.25">
      <c r="A92" s="5" t="s">
        <v>31</v>
      </c>
      <c r="C92" s="49" t="s">
        <v>152</v>
      </c>
      <c r="D92" s="42" t="s">
        <v>106</v>
      </c>
      <c r="E92" s="47" t="e">
        <f>E83</f>
        <v>#DIV/0!</v>
      </c>
      <c r="F92" s="47" t="e">
        <f>F83</f>
        <v>#DIV/0!</v>
      </c>
      <c r="G92" s="47" t="e">
        <f>G83</f>
        <v>#DIV/0!</v>
      </c>
      <c r="H92" s="47" t="e">
        <f>H83</f>
        <v>#DIV/0!</v>
      </c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80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2.75" customHeight="1" x14ac:dyDescent="0.25"/>
    <row r="94" spans="1:37" ht="12.75" customHeight="1" x14ac:dyDescent="0.25">
      <c r="A94" s="33" t="s">
        <v>90</v>
      </c>
      <c r="C94" s="50" t="s">
        <v>175</v>
      </c>
    </row>
    <row r="95" spans="1:37" ht="12.75" customHeight="1" x14ac:dyDescent="0.25">
      <c r="A95" s="33"/>
      <c r="C95" s="49" t="s">
        <v>150</v>
      </c>
      <c r="D95" s="42" t="s">
        <v>106</v>
      </c>
      <c r="E95" s="40" t="e">
        <f>E88</f>
        <v>#DIV/0!</v>
      </c>
      <c r="F95" s="40" t="e">
        <f>F88</f>
        <v>#DIV/0!</v>
      </c>
      <c r="G95" s="40" t="e">
        <f>G88</f>
        <v>#DIV/0!</v>
      </c>
      <c r="H95" s="40" t="e">
        <f>H88</f>
        <v>#DIV/0!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76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1:37" ht="12.75" customHeight="1" x14ac:dyDescent="0.25">
      <c r="A96" s="5"/>
      <c r="C96" s="4" t="s">
        <v>153</v>
      </c>
      <c r="D96" s="42" t="s">
        <v>106</v>
      </c>
      <c r="E96" s="40" t="e">
        <f>IF(E95&lt;=0.5,1,(1.03*SQRT((1-(E86/E87)^2))))</f>
        <v>#DIV/0!</v>
      </c>
      <c r="F96" s="40" t="e">
        <f>IF(F95&lt;=0.5,1,(1.03*SQRT((1-(F86/F87)^2))))</f>
        <v>#DIV/0!</v>
      </c>
      <c r="G96" s="40" t="e">
        <f>IF(G95&lt;=0.5,1,(1.03*SQRT((1-(G86/G87)^2))))</f>
        <v>#DIV/0!</v>
      </c>
      <c r="H96" s="40" t="e">
        <f>IF(H95&lt;=0.5,1,(1.03*SQRT((1-(H86/H87)^2))))</f>
        <v>#DIV/0!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76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</row>
    <row r="97" spans="1:37" ht="12.75" customHeight="1" x14ac:dyDescent="0.25">
      <c r="A97" s="33"/>
      <c r="C97" s="49" t="s">
        <v>154</v>
      </c>
      <c r="D97" s="42" t="s">
        <v>3</v>
      </c>
      <c r="E97" s="29" t="e">
        <f>(E75*E96)/E70</f>
        <v>#DIV/0!</v>
      </c>
      <c r="F97" s="29" t="e">
        <f>(F75*F96)/F70</f>
        <v>#DIV/0!</v>
      </c>
      <c r="G97" s="29" t="e">
        <f>(G75*G96)/G70</f>
        <v>#DIV/0!</v>
      </c>
      <c r="H97" s="29" t="e">
        <f>(H75*H96)/H70</f>
        <v>#DIV/0!</v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74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ht="12.75" customHeight="1" x14ac:dyDescent="0.25">
      <c r="A98" s="33"/>
      <c r="C98" s="49" t="s">
        <v>155</v>
      </c>
      <c r="D98" s="42" t="s">
        <v>130</v>
      </c>
      <c r="E98" s="29" t="e">
        <f>(E82*E96)/E71</f>
        <v>#DIV/0!</v>
      </c>
      <c r="F98" s="29" t="e">
        <f>(F82*F96)/F71</f>
        <v>#DIV/0!</v>
      </c>
      <c r="G98" s="29" t="e">
        <f>(G82*G96)/G71</f>
        <v>#DIV/0!</v>
      </c>
      <c r="H98" s="29" t="e">
        <f>(H82*H96)/H71</f>
        <v>#DIV/0!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74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ht="12.75" customHeight="1" x14ac:dyDescent="0.25">
      <c r="A99" s="5" t="s">
        <v>31</v>
      </c>
      <c r="C99" s="49" t="s">
        <v>156</v>
      </c>
      <c r="D99" s="42" t="s">
        <v>106</v>
      </c>
      <c r="E99" s="47" t="e">
        <f>E79/E98</f>
        <v>#DIV/0!</v>
      </c>
      <c r="F99" s="47" t="e">
        <f>F79/F98</f>
        <v>#DIV/0!</v>
      </c>
      <c r="G99" s="47" t="e">
        <f>G79/G98</f>
        <v>#DIV/0!</v>
      </c>
      <c r="H99" s="47" t="e">
        <f>H79/H98</f>
        <v>#DIV/0!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8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25">
      <c r="A100" s="5" t="s">
        <v>31</v>
      </c>
      <c r="C100" s="49" t="s">
        <v>158</v>
      </c>
      <c r="D100" s="42" t="s">
        <v>106</v>
      </c>
      <c r="E100" s="47" t="e">
        <f>(E79/(1.04*E98))+((E74/E97)^1.7)</f>
        <v>#DIV/0!</v>
      </c>
      <c r="F100" s="47" t="e">
        <f>(F79/(1.04*F98))+((F74/F97)^1.7)</f>
        <v>#DIV/0!</v>
      </c>
      <c r="G100" s="47" t="e">
        <f>(G79/(1.04*G98))+((G74/G97)^1.7)</f>
        <v>#DIV/0!</v>
      </c>
      <c r="H100" s="47" t="e">
        <f>(H79/(1.04*H98))+((H74/H97)^1.7)</f>
        <v>#DIV/0!</v>
      </c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80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2.75" customHeight="1" x14ac:dyDescent="0.25">
      <c r="A101" s="33"/>
      <c r="C101" s="51"/>
    </row>
    <row r="102" spans="1:37" ht="12.75" customHeight="1" x14ac:dyDescent="0.25">
      <c r="A102" s="24" t="s">
        <v>91</v>
      </c>
      <c r="C102" s="51"/>
    </row>
    <row r="103" spans="1:37" ht="12.75" customHeight="1" x14ac:dyDescent="0.25">
      <c r="A103" s="33" t="s">
        <v>92</v>
      </c>
      <c r="C103" s="50" t="s">
        <v>159</v>
      </c>
    </row>
    <row r="104" spans="1:37" ht="12.75" customHeight="1" x14ac:dyDescent="0.4">
      <c r="A104" s="5"/>
      <c r="C104" s="4" t="s">
        <v>160</v>
      </c>
      <c r="D104" s="42" t="s">
        <v>3</v>
      </c>
      <c r="E104" s="29" t="e">
        <f t="shared" ref="E104" si="71">PI()^2*E15*E26/(E22*1000)^2/1000</f>
        <v>#DIV/0!</v>
      </c>
      <c r="F104" s="29" t="e">
        <f t="shared" ref="F104:G104" si="72">PI()^2*F15*F26/(F22*1000)^2/1000</f>
        <v>#DIV/0!</v>
      </c>
      <c r="G104" s="29" t="e">
        <f t="shared" si="72"/>
        <v>#DIV/0!</v>
      </c>
      <c r="H104" s="29" t="e">
        <f t="shared" ref="H104" si="73">PI()^2*H15*H26/(H22*1000)^2/1000</f>
        <v>#DIV/0!</v>
      </c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74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ht="12.75" customHeight="1" x14ac:dyDescent="0.4">
      <c r="A105" s="5"/>
      <c r="C105" s="6" t="s">
        <v>17</v>
      </c>
      <c r="D105" s="42" t="s">
        <v>106</v>
      </c>
      <c r="E105" s="40" t="e">
        <f t="shared" ref="E105" si="74">SQRT((E24*E13)/(E104*1000))</f>
        <v>#DIV/0!</v>
      </c>
      <c r="F105" s="40" t="e">
        <f t="shared" ref="F105:G105" si="75">SQRT((F24*F13)/(F104*1000))</f>
        <v>#DIV/0!</v>
      </c>
      <c r="G105" s="40" t="e">
        <f t="shared" si="75"/>
        <v>#DIV/0!</v>
      </c>
      <c r="H105" s="40" t="e">
        <f t="shared" ref="H105" si="76">SQRT((H24*H13)/(H104*1000))</f>
        <v>#DIV/0!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76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</row>
    <row r="106" spans="1:37" ht="12.75" customHeight="1" x14ac:dyDescent="0.4">
      <c r="A106" s="5"/>
      <c r="C106" s="4" t="s">
        <v>161</v>
      </c>
      <c r="D106" s="42" t="s">
        <v>106</v>
      </c>
      <c r="E106" s="47" t="e">
        <f>E74/E104</f>
        <v>#DIV/0!</v>
      </c>
      <c r="F106" s="47" t="e">
        <f>F74/F104</f>
        <v>#DIV/0!</v>
      </c>
      <c r="G106" s="47" t="e">
        <f>G74/G104</f>
        <v>#DIV/0!</v>
      </c>
      <c r="H106" s="47" t="e">
        <f>H74/H104</f>
        <v>#DIV/0!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80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25">
      <c r="A107" s="5"/>
      <c r="C107" s="51"/>
    </row>
    <row r="108" spans="1:37" ht="12.75" customHeight="1" x14ac:dyDescent="0.25">
      <c r="A108" s="5"/>
      <c r="C108" s="4" t="s">
        <v>162</v>
      </c>
      <c r="D108" s="44" t="s">
        <v>106</v>
      </c>
      <c r="E108" s="8" t="str">
        <f t="shared" ref="E108:H109" si="77">E35</f>
        <v>a</v>
      </c>
      <c r="F108" s="8" t="str">
        <f t="shared" si="77"/>
        <v>a</v>
      </c>
      <c r="G108" s="8" t="str">
        <f t="shared" si="77"/>
        <v>a</v>
      </c>
      <c r="H108" s="8" t="str">
        <f t="shared" si="77"/>
        <v>a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7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ht="12.75" customHeight="1" x14ac:dyDescent="0.25">
      <c r="A109" s="5"/>
      <c r="C109" s="4" t="s">
        <v>15</v>
      </c>
      <c r="D109" s="44" t="s">
        <v>106</v>
      </c>
      <c r="E109" s="40">
        <f t="shared" si="77"/>
        <v>0.21</v>
      </c>
      <c r="F109" s="40">
        <f t="shared" si="77"/>
        <v>0.21</v>
      </c>
      <c r="G109" s="40">
        <f t="shared" si="77"/>
        <v>0.21</v>
      </c>
      <c r="H109" s="40">
        <f t="shared" si="77"/>
        <v>0.21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76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</row>
    <row r="110" spans="1:37" ht="12.75" customHeight="1" x14ac:dyDescent="0.25">
      <c r="A110" s="5"/>
      <c r="C110" s="6" t="s">
        <v>16</v>
      </c>
      <c r="D110" s="44" t="s">
        <v>106</v>
      </c>
      <c r="E110" s="40" t="e">
        <f>0.5*(1+(E109*(E105-0.2))+E105^2)</f>
        <v>#DIV/0!</v>
      </c>
      <c r="F110" s="40" t="e">
        <f>0.5*(1+(F109*(F105-0.2))+F105^2)</f>
        <v>#DIV/0!</v>
      </c>
      <c r="G110" s="40" t="e">
        <f>0.5*(1+(G109*(G105-0.2))+G105^2)</f>
        <v>#DIV/0!</v>
      </c>
      <c r="H110" s="40" t="e">
        <f>0.5*(1+(H109*(H105-0.2))+H105^2)</f>
        <v>#DIV/0!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76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</row>
    <row r="111" spans="1:37" ht="12.75" customHeight="1" x14ac:dyDescent="0.25">
      <c r="A111" s="33"/>
      <c r="C111" s="6" t="s">
        <v>18</v>
      </c>
      <c r="D111" s="44" t="s">
        <v>106</v>
      </c>
      <c r="E111" s="40" t="e">
        <f>1/(E110+SQRT(E110^2-E105^2))</f>
        <v>#DIV/0!</v>
      </c>
      <c r="F111" s="40" t="e">
        <f>1/(F110+SQRT(F110^2-F105^2))</f>
        <v>#DIV/0!</v>
      </c>
      <c r="G111" s="40" t="e">
        <f>1/(G110+SQRT(G110^2-G105^2))</f>
        <v>#DIV/0!</v>
      </c>
      <c r="H111" s="40" t="e">
        <f>1/(H110+SQRT(H110^2-H105^2))</f>
        <v>#DIV/0!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76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</row>
    <row r="112" spans="1:37" ht="12.75" customHeight="1" x14ac:dyDescent="0.4">
      <c r="A112" s="33"/>
      <c r="C112" s="4" t="s">
        <v>163</v>
      </c>
      <c r="D112" s="44" t="s">
        <v>3</v>
      </c>
      <c r="E112" s="29" t="e">
        <f t="shared" ref="E112" si="78">(E111*E24*E13)/E71/1000</f>
        <v>#DIV/0!</v>
      </c>
      <c r="F112" s="29" t="e">
        <f t="shared" ref="F112:G112" si="79">(F111*F24*F13)/F71/1000</f>
        <v>#DIV/0!</v>
      </c>
      <c r="G112" s="29" t="e">
        <f t="shared" si="79"/>
        <v>#DIV/0!</v>
      </c>
      <c r="H112" s="29" t="e">
        <f t="shared" ref="H112" si="80">(H111*H24*H13)/H71/1000</f>
        <v>#DIV/0!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74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ht="12.75" customHeight="1" x14ac:dyDescent="0.4">
      <c r="A113" s="5" t="s">
        <v>31</v>
      </c>
      <c r="C113" s="4" t="s">
        <v>164</v>
      </c>
      <c r="D113" s="44" t="s">
        <v>106</v>
      </c>
      <c r="E113" s="47" t="e">
        <f>E74/E112</f>
        <v>#DIV/0!</v>
      </c>
      <c r="F113" s="47" t="e">
        <f>F74/F112</f>
        <v>#DIV/0!</v>
      </c>
      <c r="G113" s="47" t="e">
        <f>G74/G112</f>
        <v>#DIV/0!</v>
      </c>
      <c r="H113" s="47" t="e">
        <f>H74/H112</f>
        <v>#DIV/0!</v>
      </c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8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25">
      <c r="A114" s="33"/>
      <c r="C114" s="51"/>
    </row>
    <row r="115" spans="1:37" ht="12.75" customHeight="1" x14ac:dyDescent="0.25">
      <c r="A115" s="33" t="s">
        <v>93</v>
      </c>
      <c r="C115" s="50" t="s">
        <v>165</v>
      </c>
    </row>
    <row r="116" spans="1:37" ht="12.75" customHeight="1" x14ac:dyDescent="0.25">
      <c r="A116" s="33"/>
      <c r="C116" s="6" t="s">
        <v>18</v>
      </c>
      <c r="D116" s="44" t="s">
        <v>106</v>
      </c>
      <c r="E116" s="40" t="e">
        <f>E111</f>
        <v>#DIV/0!</v>
      </c>
      <c r="F116" s="40" t="e">
        <f>F111</f>
        <v>#DIV/0!</v>
      </c>
      <c r="G116" s="40" t="e">
        <f>G111</f>
        <v>#DIV/0!</v>
      </c>
      <c r="H116" s="40" t="e">
        <f>H111</f>
        <v>#DIV/0!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76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 spans="1:37" ht="12.75" customHeight="1" x14ac:dyDescent="0.4">
      <c r="A117" s="33"/>
      <c r="C117" s="6" t="s">
        <v>166</v>
      </c>
      <c r="D117" s="44" t="s">
        <v>106</v>
      </c>
      <c r="E117" s="40">
        <f>1</f>
        <v>1</v>
      </c>
      <c r="F117" s="40">
        <f>1</f>
        <v>1</v>
      </c>
      <c r="G117" s="40">
        <f>1</f>
        <v>1</v>
      </c>
      <c r="H117" s="40">
        <f>1</f>
        <v>1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76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</row>
    <row r="118" spans="1:37" ht="12.75" customHeight="1" x14ac:dyDescent="0.4">
      <c r="A118" s="33"/>
      <c r="C118" s="4" t="s">
        <v>167</v>
      </c>
      <c r="D118" s="44" t="s">
        <v>3</v>
      </c>
      <c r="E118" s="29">
        <f>E75</f>
        <v>0</v>
      </c>
      <c r="F118" s="29">
        <f>F75</f>
        <v>0</v>
      </c>
      <c r="G118" s="29">
        <f>G75</f>
        <v>0</v>
      </c>
      <c r="H118" s="29">
        <f>H75</f>
        <v>0</v>
      </c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74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7" ht="12.75" customHeight="1" x14ac:dyDescent="0.4">
      <c r="A119" s="33"/>
      <c r="C119" s="4" t="s">
        <v>168</v>
      </c>
      <c r="D119" s="44" t="s">
        <v>3</v>
      </c>
      <c r="E119" s="29" t="e">
        <f>E82</f>
        <v>#DIV/0!</v>
      </c>
      <c r="F119" s="29" t="e">
        <f>F82</f>
        <v>#DIV/0!</v>
      </c>
      <c r="G119" s="29" t="e">
        <f>G82</f>
        <v>#DIV/0!</v>
      </c>
      <c r="H119" s="29" t="e">
        <f>H82</f>
        <v>#DIV/0!</v>
      </c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74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ht="12.75" customHeight="1" x14ac:dyDescent="0.25">
      <c r="A120" s="33"/>
    </row>
    <row r="121" spans="1:37" ht="12.75" customHeight="1" x14ac:dyDescent="0.4">
      <c r="A121" s="5" t="s">
        <v>94</v>
      </c>
      <c r="C121" s="4" t="s">
        <v>169</v>
      </c>
      <c r="D121" s="44" t="s">
        <v>130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72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ht="12.75" customHeight="1" x14ac:dyDescent="0.4">
      <c r="A122" s="33"/>
      <c r="C122" s="4" t="s">
        <v>170</v>
      </c>
      <c r="D122" s="44" t="s">
        <v>130</v>
      </c>
      <c r="E122" s="29" t="e">
        <f>E64</f>
        <v>#DIV/0!</v>
      </c>
      <c r="F122" s="29" t="e">
        <f>F64</f>
        <v>#DIV/0!</v>
      </c>
      <c r="G122" s="29" t="e">
        <f>G64</f>
        <v>#DIV/0!</v>
      </c>
      <c r="H122" s="29" t="e">
        <f>H64</f>
        <v>#DIV/0!</v>
      </c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74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ht="12.75" customHeight="1" x14ac:dyDescent="0.4">
      <c r="A123" s="33"/>
      <c r="C123" s="6" t="s">
        <v>171</v>
      </c>
      <c r="D123" s="44" t="s">
        <v>106</v>
      </c>
      <c r="E123" s="8" t="e">
        <f>E121/E122</f>
        <v>#DIV/0!</v>
      </c>
      <c r="F123" s="8" t="e">
        <f>F121/F122</f>
        <v>#DIV/0!</v>
      </c>
      <c r="G123" s="8" t="e">
        <f>G121/G122</f>
        <v>#DIV/0!</v>
      </c>
      <c r="H123" s="8" t="e">
        <f>H121/H122</f>
        <v>#DIV/0!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78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</row>
    <row r="124" spans="1:37" ht="12.75" customHeight="1" x14ac:dyDescent="0.25">
      <c r="A124" s="33"/>
      <c r="C124" s="6" t="s">
        <v>19</v>
      </c>
      <c r="D124" s="44" t="s">
        <v>106</v>
      </c>
      <c r="E124" s="8">
        <v>1</v>
      </c>
      <c r="F124" s="8">
        <v>1</v>
      </c>
      <c r="G124" s="8">
        <v>1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72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ht="12.75" customHeight="1" x14ac:dyDescent="0.4">
      <c r="A125" s="33"/>
      <c r="C125" s="4" t="s">
        <v>20</v>
      </c>
      <c r="D125" s="44" t="s">
        <v>106</v>
      </c>
      <c r="E125" s="8">
        <f>0.95</f>
        <v>0.95</v>
      </c>
      <c r="F125" s="8">
        <f>0.95</f>
        <v>0.95</v>
      </c>
      <c r="G125" s="8">
        <f>0.95</f>
        <v>0.95</v>
      </c>
      <c r="H125" s="8">
        <f>0.95</f>
        <v>0.95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72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ht="12.75" hidden="1" customHeight="1" x14ac:dyDescent="0.25">
      <c r="A126" s="5" t="s">
        <v>179</v>
      </c>
      <c r="C126" s="4" t="s">
        <v>176</v>
      </c>
      <c r="D126" s="44"/>
      <c r="E126" s="40" t="e">
        <f t="shared" ref="E126" si="81">E125*(1+(0.6*E105*(E67/(E116*E118/E71))))</f>
        <v>#DIV/0!</v>
      </c>
      <c r="F126" s="40" t="e">
        <f t="shared" ref="F126:G126" si="82">F125*(1+(0.6*F105*(F67/(F116*F118/F71))))</f>
        <v>#DIV/0!</v>
      </c>
      <c r="G126" s="40" t="e">
        <f t="shared" si="82"/>
        <v>#DIV/0!</v>
      </c>
      <c r="H126" s="40" t="e">
        <f t="shared" ref="H126" si="83">H125*(1+(0.6*H105*(H67/(H116*H118/H71))))</f>
        <v>#DIV/0!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76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</row>
    <row r="127" spans="1:37" ht="12.75" hidden="1" customHeight="1" x14ac:dyDescent="0.25">
      <c r="A127" s="5" t="s">
        <v>179</v>
      </c>
      <c r="C127" s="4" t="s">
        <v>177</v>
      </c>
      <c r="D127" s="44"/>
      <c r="E127" s="40" t="e">
        <f t="shared" ref="E127" si="84">E125*(1+(0.6*(E74/(E116*E118/E71))))</f>
        <v>#DIV/0!</v>
      </c>
      <c r="F127" s="40" t="e">
        <f t="shared" ref="F127:G127" si="85">F125*(1+(0.6*(F74/(F116*F118/F71))))</f>
        <v>#DIV/0!</v>
      </c>
      <c r="G127" s="40" t="e">
        <f t="shared" si="85"/>
        <v>#DIV/0!</v>
      </c>
      <c r="H127" s="40" t="e">
        <f t="shared" ref="H127" si="86">H125*(1+(0.6*(H74/(H116*H118/H71))))</f>
        <v>#DIV/0!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76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1:37" ht="12.75" hidden="1" customHeight="1" x14ac:dyDescent="0.25">
      <c r="A128" s="5" t="s">
        <v>179</v>
      </c>
      <c r="C128" s="4" t="s">
        <v>178</v>
      </c>
      <c r="D128" s="44"/>
      <c r="E128" s="40" t="e">
        <f t="shared" ref="E128:H129" si="87">0.8*E126</f>
        <v>#DIV/0!</v>
      </c>
      <c r="F128" s="40" t="e">
        <f t="shared" si="87"/>
        <v>#DIV/0!</v>
      </c>
      <c r="G128" s="40" t="e">
        <f t="shared" si="87"/>
        <v>#DIV/0!</v>
      </c>
      <c r="H128" s="40" t="e">
        <f t="shared" si="87"/>
        <v>#DIV/0!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76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1:37" ht="12.75" hidden="1" customHeight="1" x14ac:dyDescent="0.25">
      <c r="A129" s="5" t="s">
        <v>179</v>
      </c>
      <c r="C129" s="4" t="s">
        <v>181</v>
      </c>
      <c r="D129" s="44"/>
      <c r="E129" s="40" t="e">
        <f t="shared" si="87"/>
        <v>#DIV/0!</v>
      </c>
      <c r="F129" s="40" t="e">
        <f t="shared" si="87"/>
        <v>#DIV/0!</v>
      </c>
      <c r="G129" s="40" t="e">
        <f t="shared" si="87"/>
        <v>#DIV/0!</v>
      </c>
      <c r="H129" s="40" t="e">
        <f t="shared" si="87"/>
        <v>#DIV/0!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76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 spans="1:37" ht="12.75" hidden="1" customHeight="1" x14ac:dyDescent="0.25">
      <c r="A130" s="5" t="s">
        <v>180</v>
      </c>
      <c r="C130" s="4" t="s">
        <v>176</v>
      </c>
      <c r="D130" s="44"/>
      <c r="E130" s="40" t="e">
        <f t="shared" ref="E130" si="88">E125*(1+((E105-0.2)*(E74/(E116*E118/E71))))</f>
        <v>#DIV/0!</v>
      </c>
      <c r="F130" s="40" t="e">
        <f t="shared" ref="F130:G130" si="89">F125*(1+((F105-0.2)*(F74/(F116*F118/F71))))</f>
        <v>#DIV/0!</v>
      </c>
      <c r="G130" s="40" t="e">
        <f t="shared" si="89"/>
        <v>#DIV/0!</v>
      </c>
      <c r="H130" s="40" t="e">
        <f t="shared" ref="H130" si="90">H125*(1+((H105-0.2)*(H74/(H116*H118/H71))))</f>
        <v>#DIV/0!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76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</row>
    <row r="131" spans="1:37" ht="12.75" hidden="1" customHeight="1" x14ac:dyDescent="0.25">
      <c r="A131" s="5" t="s">
        <v>180</v>
      </c>
      <c r="C131" s="4" t="s">
        <v>177</v>
      </c>
      <c r="D131" s="44"/>
      <c r="E131" s="40" t="e">
        <f t="shared" ref="E131" si="91">E125*(1+(0.8*(E74/(E116*E118/E71))))</f>
        <v>#DIV/0!</v>
      </c>
      <c r="F131" s="40" t="e">
        <f t="shared" ref="F131:G131" si="92">F125*(1+(0.8*(F74/(F116*F118/F71))))</f>
        <v>#DIV/0!</v>
      </c>
      <c r="G131" s="40" t="e">
        <f t="shared" si="92"/>
        <v>#DIV/0!</v>
      </c>
      <c r="H131" s="40" t="e">
        <f t="shared" ref="H131" si="93">H125*(1+(0.8*(H74/(H116*H118/H71))))</f>
        <v>#DIV/0!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76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</row>
    <row r="132" spans="1:37" ht="12.75" hidden="1" customHeight="1" x14ac:dyDescent="0.25">
      <c r="A132" s="5" t="s">
        <v>180</v>
      </c>
      <c r="C132" s="4" t="s">
        <v>178</v>
      </c>
      <c r="D132" s="44"/>
      <c r="E132" s="40" t="e">
        <f t="shared" ref="E132:H133" si="94">0.6*E130</f>
        <v>#DIV/0!</v>
      </c>
      <c r="F132" s="40" t="e">
        <f t="shared" si="94"/>
        <v>#DIV/0!</v>
      </c>
      <c r="G132" s="40" t="e">
        <f t="shared" si="94"/>
        <v>#DIV/0!</v>
      </c>
      <c r="H132" s="40" t="e">
        <f t="shared" si="94"/>
        <v>#DIV/0!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76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</row>
    <row r="133" spans="1:37" ht="12.75" hidden="1" customHeight="1" x14ac:dyDescent="0.25">
      <c r="A133" s="5" t="s">
        <v>180</v>
      </c>
      <c r="C133" s="4" t="s">
        <v>181</v>
      </c>
      <c r="D133" s="44"/>
      <c r="E133" s="40" t="e">
        <f t="shared" si="94"/>
        <v>#DIV/0!</v>
      </c>
      <c r="F133" s="40" t="e">
        <f t="shared" si="94"/>
        <v>#DIV/0!</v>
      </c>
      <c r="G133" s="40" t="e">
        <f t="shared" si="94"/>
        <v>#DIV/0!</v>
      </c>
      <c r="H133" s="40" t="e">
        <f t="shared" si="94"/>
        <v>#DIV/0!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76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</row>
    <row r="134" spans="1:37" ht="12.75" customHeight="1" x14ac:dyDescent="0.25">
      <c r="A134" s="33"/>
      <c r="C134" s="4"/>
      <c r="D134" s="4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72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ht="12.75" customHeight="1" x14ac:dyDescent="0.4">
      <c r="A135" s="33"/>
      <c r="C135" s="3" t="s">
        <v>120</v>
      </c>
      <c r="D135" s="44" t="s">
        <v>106</v>
      </c>
      <c r="E135" s="40" t="e">
        <f t="shared" ref="E135" si="95">IF(E80&lt;3,MIN(E130,E131),MIN(E126,E127))</f>
        <v>#DIV/0!</v>
      </c>
      <c r="F135" s="40" t="e">
        <f t="shared" ref="F135:G135" si="96">IF(F80&lt;3,MIN(F130,F131),MIN(F126,F127))</f>
        <v>#DIV/0!</v>
      </c>
      <c r="G135" s="40" t="e">
        <f t="shared" si="96"/>
        <v>#DIV/0!</v>
      </c>
      <c r="H135" s="40" t="e">
        <f t="shared" ref="H135" si="97">IF(H80&lt;3,MIN(H130,H131),MIN(H126,H127))</f>
        <v>#DIV/0!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</row>
    <row r="136" spans="1:37" ht="12.75" customHeight="1" x14ac:dyDescent="0.4">
      <c r="A136" s="33"/>
      <c r="C136" s="3" t="s">
        <v>121</v>
      </c>
      <c r="D136" s="44" t="s">
        <v>106</v>
      </c>
      <c r="E136" s="40" t="e">
        <f t="shared" ref="E136" si="98">IF(E80&lt;3,MIN(E132,E133),MIN(E128,E129))</f>
        <v>#DIV/0!</v>
      </c>
      <c r="F136" s="40" t="e">
        <f t="shared" ref="F136:G136" si="99">IF(F80&lt;3,MIN(F132,F133),MIN(F128,F129))</f>
        <v>#DIV/0!</v>
      </c>
      <c r="G136" s="40" t="e">
        <f t="shared" si="99"/>
        <v>#DIV/0!</v>
      </c>
      <c r="H136" s="40" t="e">
        <f t="shared" ref="H136" si="100">IF(H80&lt;3,MIN(H132,H133),MIN(H128,H129))</f>
        <v>#DIV/0!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</row>
    <row r="137" spans="1:37" ht="12.75" customHeight="1" x14ac:dyDescent="0.4">
      <c r="A137" s="5" t="s">
        <v>31</v>
      </c>
      <c r="C137" s="4" t="s">
        <v>172</v>
      </c>
      <c r="D137" s="44" t="s">
        <v>106</v>
      </c>
      <c r="E137" s="40" t="e">
        <f>E74/(E116*E118)+E135*E79/(E117*E119)</f>
        <v>#DIV/0!</v>
      </c>
      <c r="F137" s="40" t="e">
        <f t="shared" ref="F137:H137" si="101">F74/(F116*F118)+F135*F79/(F117*F119)</f>
        <v>#DIV/0!</v>
      </c>
      <c r="G137" s="40" t="e">
        <f>G74/(G116*G118)+G135*G79/(G117*G119)</f>
        <v>#DIV/0!</v>
      </c>
      <c r="H137" s="40" t="e">
        <f t="shared" si="101"/>
        <v>#DIV/0!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76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</row>
    <row r="138" spans="1:37" ht="12.75" customHeight="1" x14ac:dyDescent="0.4">
      <c r="A138" s="5" t="s">
        <v>31</v>
      </c>
      <c r="C138" s="4" t="s">
        <v>173</v>
      </c>
      <c r="D138" s="44" t="s">
        <v>106</v>
      </c>
      <c r="E138" s="40" t="e">
        <f t="shared" ref="E138" si="102">E74/(E116*E118)+E136*E79/(E117*E119)</f>
        <v>#DIV/0!</v>
      </c>
      <c r="F138" s="40" t="e">
        <f t="shared" ref="F138:G138" si="103">F74/(F116*F118)+F136*F79/(F117*F119)</f>
        <v>#DIV/0!</v>
      </c>
      <c r="G138" s="40" t="e">
        <f t="shared" si="103"/>
        <v>#DIV/0!</v>
      </c>
      <c r="H138" s="40" t="e">
        <f t="shared" ref="H138" si="104">H74/(H116*H118)+H136*H79/(H117*H119)</f>
        <v>#DIV/0!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76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</row>
    <row r="139" spans="1:37" ht="12.75" customHeight="1" x14ac:dyDescent="0.25">
      <c r="A139" s="33"/>
      <c r="E139" s="8"/>
      <c r="F139" s="8"/>
      <c r="G139" s="8"/>
      <c r="H139" s="8"/>
      <c r="I139" s="8"/>
      <c r="K139" s="8"/>
      <c r="M139" s="8"/>
      <c r="O139" s="8"/>
      <c r="Q139" s="8"/>
      <c r="S139" s="8"/>
      <c r="U139" s="8"/>
      <c r="W139" s="8"/>
      <c r="Y139" s="8"/>
      <c r="Z139" s="72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ht="12.75" customHeight="1" x14ac:dyDescent="0.25">
      <c r="A140" s="34" t="s">
        <v>95</v>
      </c>
      <c r="E140" s="8"/>
      <c r="F140" s="8"/>
      <c r="G140" s="8"/>
      <c r="H140" s="8"/>
      <c r="I140" s="8"/>
      <c r="K140" s="8"/>
      <c r="M140" s="8"/>
      <c r="O140" s="8"/>
      <c r="Q140" s="8"/>
      <c r="S140" s="8"/>
      <c r="U140" s="8"/>
      <c r="W140" s="8"/>
      <c r="Y140" s="8"/>
      <c r="Z140" s="72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ht="12.75" customHeight="1" x14ac:dyDescent="0.25">
      <c r="A141" s="28" t="s">
        <v>96</v>
      </c>
      <c r="C141" s="17" t="s">
        <v>174</v>
      </c>
      <c r="D141" s="20" t="s">
        <v>31</v>
      </c>
      <c r="E141" s="40" t="e">
        <f t="shared" ref="E141" si="105">E76</f>
        <v>#DIV/0!</v>
      </c>
      <c r="F141" s="40" t="e">
        <f t="shared" ref="F141:G141" si="106">F76</f>
        <v>#DIV/0!</v>
      </c>
      <c r="G141" s="40" t="e">
        <f t="shared" si="106"/>
        <v>#DIV/0!</v>
      </c>
      <c r="H141" s="40" t="e">
        <f t="shared" ref="H141" si="107">H76</f>
        <v>#DIV/0!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76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</row>
    <row r="142" spans="1:37" ht="12.75" customHeight="1" x14ac:dyDescent="0.25">
      <c r="A142" s="15" t="s">
        <v>82</v>
      </c>
      <c r="C142" s="17" t="s">
        <v>141</v>
      </c>
      <c r="D142" s="20" t="s">
        <v>31</v>
      </c>
      <c r="E142" s="40" t="e">
        <f t="shared" ref="E142" si="108">E83</f>
        <v>#DIV/0!</v>
      </c>
      <c r="F142" s="40" t="e">
        <f t="shared" ref="F142:G142" si="109">F83</f>
        <v>#DIV/0!</v>
      </c>
      <c r="G142" s="40" t="e">
        <f t="shared" si="109"/>
        <v>#DIV/0!</v>
      </c>
      <c r="H142" s="40" t="e">
        <f t="shared" ref="H142" si="110">H83</f>
        <v>#DIV/0!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76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</row>
    <row r="143" spans="1:37" ht="12.75" customHeight="1" x14ac:dyDescent="0.25">
      <c r="A143" s="15" t="s">
        <v>86</v>
      </c>
      <c r="C143" s="17" t="s">
        <v>147</v>
      </c>
      <c r="D143" s="20" t="s">
        <v>31</v>
      </c>
      <c r="E143" s="40" t="e">
        <f t="shared" ref="E143" si="111">E88</f>
        <v>#DIV/0!</v>
      </c>
      <c r="F143" s="40" t="e">
        <f t="shared" ref="F143:G143" si="112">F88</f>
        <v>#DIV/0!</v>
      </c>
      <c r="G143" s="40" t="e">
        <f t="shared" si="112"/>
        <v>#DIV/0!</v>
      </c>
      <c r="H143" s="40" t="e">
        <f t="shared" ref="H143" si="113">H88</f>
        <v>#DIV/0!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76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</row>
    <row r="144" spans="1:37" ht="12.75" customHeight="1" x14ac:dyDescent="0.25">
      <c r="A144" s="15" t="s">
        <v>89</v>
      </c>
      <c r="C144" s="17" t="s">
        <v>157</v>
      </c>
      <c r="D144" s="20" t="s">
        <v>31</v>
      </c>
      <c r="E144" s="40" t="e">
        <f t="shared" ref="E144" si="114">E91</f>
        <v>#DIV/0!</v>
      </c>
      <c r="F144" s="40" t="e">
        <f t="shared" ref="F144:G144" si="115">F91</f>
        <v>#DIV/0!</v>
      </c>
      <c r="G144" s="40" t="e">
        <f t="shared" si="115"/>
        <v>#DIV/0!</v>
      </c>
      <c r="H144" s="40" t="e">
        <f t="shared" ref="H144" si="116">H91</f>
        <v>#DIV/0!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76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</row>
    <row r="145" spans="1:37" ht="12.75" customHeight="1" x14ac:dyDescent="0.25">
      <c r="C145" s="17"/>
      <c r="D145" s="20" t="s">
        <v>31</v>
      </c>
      <c r="E145" s="40" t="e">
        <f t="shared" ref="E145" si="117">E92</f>
        <v>#DIV/0!</v>
      </c>
      <c r="F145" s="40" t="e">
        <f t="shared" ref="F145:G145" si="118">F92</f>
        <v>#DIV/0!</v>
      </c>
      <c r="G145" s="40" t="e">
        <f t="shared" si="118"/>
        <v>#DIV/0!</v>
      </c>
      <c r="H145" s="40" t="e">
        <f t="shared" ref="H145" si="119">H92</f>
        <v>#DIV/0!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76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</row>
    <row r="146" spans="1:37" ht="12.75" customHeight="1" x14ac:dyDescent="0.25">
      <c r="A146" s="15" t="s">
        <v>90</v>
      </c>
      <c r="C146" s="17" t="s">
        <v>175</v>
      </c>
      <c r="D146" s="20" t="s">
        <v>31</v>
      </c>
      <c r="E146" s="40" t="e">
        <f t="shared" ref="E146" si="120">E99</f>
        <v>#DIV/0!</v>
      </c>
      <c r="F146" s="40" t="e">
        <f t="shared" ref="F146:G146" si="121">F99</f>
        <v>#DIV/0!</v>
      </c>
      <c r="G146" s="40" t="e">
        <f t="shared" si="121"/>
        <v>#DIV/0!</v>
      </c>
      <c r="H146" s="40" t="e">
        <f t="shared" ref="H146" si="122">H99</f>
        <v>#DIV/0!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76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1:37" ht="12.75" customHeight="1" x14ac:dyDescent="0.25">
      <c r="A147" s="5"/>
      <c r="C147" s="4"/>
      <c r="D147" s="20" t="s">
        <v>31</v>
      </c>
      <c r="E147" s="40" t="e">
        <f t="shared" ref="E147" si="123">E100</f>
        <v>#DIV/0!</v>
      </c>
      <c r="F147" s="40" t="e">
        <f t="shared" ref="F147:G147" si="124">F100</f>
        <v>#DIV/0!</v>
      </c>
      <c r="G147" s="40" t="e">
        <f t="shared" si="124"/>
        <v>#DIV/0!</v>
      </c>
      <c r="H147" s="40" t="e">
        <f t="shared" ref="H147" si="125">H100</f>
        <v>#DIV/0!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76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</row>
    <row r="148" spans="1:37" ht="12.75" customHeight="1" x14ac:dyDescent="0.25">
      <c r="A148" s="5" t="s">
        <v>92</v>
      </c>
      <c r="C148" s="45" t="s">
        <v>159</v>
      </c>
      <c r="D148" s="20" t="s">
        <v>31</v>
      </c>
      <c r="E148" s="40" t="e">
        <f t="shared" ref="E148" si="126">MAX(E106,E113)</f>
        <v>#DIV/0!</v>
      </c>
      <c r="F148" s="40" t="e">
        <f t="shared" ref="F148:G148" si="127">MAX(F106,F113)</f>
        <v>#DIV/0!</v>
      </c>
      <c r="G148" s="40" t="e">
        <f t="shared" si="127"/>
        <v>#DIV/0!</v>
      </c>
      <c r="H148" s="40" t="e">
        <f t="shared" ref="H148" si="128">MAX(H106,H113)</f>
        <v>#DIV/0!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76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</row>
    <row r="149" spans="1:37" ht="12.75" customHeight="1" x14ac:dyDescent="0.25">
      <c r="A149" s="5" t="s">
        <v>93</v>
      </c>
      <c r="C149" s="45" t="s">
        <v>165</v>
      </c>
      <c r="D149" s="20" t="s">
        <v>31</v>
      </c>
      <c r="E149" s="40" t="e">
        <f t="shared" ref="E149:H150" si="129">E137</f>
        <v>#DIV/0!</v>
      </c>
      <c r="F149" s="40" t="e">
        <f t="shared" si="129"/>
        <v>#DIV/0!</v>
      </c>
      <c r="G149" s="40" t="e">
        <f t="shared" si="129"/>
        <v>#DIV/0!</v>
      </c>
      <c r="H149" s="40" t="e">
        <f t="shared" si="129"/>
        <v>#DIV/0!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76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</row>
    <row r="150" spans="1:37" ht="12.75" customHeight="1" x14ac:dyDescent="0.25">
      <c r="A150" s="33"/>
      <c r="D150" s="20" t="s">
        <v>31</v>
      </c>
      <c r="E150" s="40" t="e">
        <f t="shared" si="129"/>
        <v>#DIV/0!</v>
      </c>
      <c r="F150" s="40" t="e">
        <f t="shared" si="129"/>
        <v>#DIV/0!</v>
      </c>
      <c r="G150" s="40" t="e">
        <f t="shared" si="129"/>
        <v>#DIV/0!</v>
      </c>
      <c r="H150" s="40" t="e">
        <f t="shared" si="129"/>
        <v>#DIV/0!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76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</row>
    <row r="151" spans="1:37" ht="12.75" customHeight="1" x14ac:dyDescent="0.25">
      <c r="D151" s="50" t="s">
        <v>182</v>
      </c>
      <c r="E151" s="47" t="e">
        <f>MAX(E141:E150)</f>
        <v>#DIV/0!</v>
      </c>
      <c r="F151" s="47" t="e">
        <f>MAX(F141:F150)</f>
        <v>#DIV/0!</v>
      </c>
      <c r="G151" s="47" t="e">
        <f>MAX(G141:G150)</f>
        <v>#DIV/0!</v>
      </c>
      <c r="H151" s="47" t="e">
        <f>MAX(H141:H150)</f>
        <v>#DIV/0!</v>
      </c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80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3" x14ac:dyDescent="0.25">
      <c r="E152" s="48" t="e">
        <f>IF(E151&lt;=1,"voldoet","voldoet niet")</f>
        <v>#DIV/0!</v>
      </c>
      <c r="F152" s="48" t="e">
        <f>IF(F151&lt;=1,"voldoet","voldoet niet")</f>
        <v>#DIV/0!</v>
      </c>
      <c r="G152" s="48" t="e">
        <f>IF(G151&lt;=1,"voldoet","voldoet niet")</f>
        <v>#DIV/0!</v>
      </c>
      <c r="H152" s="48" t="e">
        <f>IF(H151&lt;=1,"voldoet","voldoet niet")</f>
        <v>#DIV/0!</v>
      </c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59"/>
      <c r="Z152" s="81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</row>
    <row r="154" spans="1:37" x14ac:dyDescent="0.25">
      <c r="D154" s="15"/>
    </row>
    <row r="155" spans="1:37" x14ac:dyDescent="0.25">
      <c r="D155" s="15"/>
    </row>
    <row r="156" spans="1:37" x14ac:dyDescent="0.25">
      <c r="D156" s="15"/>
    </row>
    <row r="157" spans="1:37" x14ac:dyDescent="0.25">
      <c r="D157" s="15"/>
    </row>
    <row r="158" spans="1:37" x14ac:dyDescent="0.25">
      <c r="D158" s="15"/>
    </row>
    <row r="159" spans="1:37" x14ac:dyDescent="0.25">
      <c r="A159" s="27"/>
    </row>
    <row r="160" spans="1:37" x14ac:dyDescent="0.25">
      <c r="A160" s="27"/>
    </row>
    <row r="162" spans="1:1" x14ac:dyDescent="0.25">
      <c r="A162" s="25"/>
    </row>
  </sheetData>
  <phoneticPr fontId="1" type="noConversion"/>
  <conditionalFormatting sqref="E151:AJ151">
    <cfRule type="cellIs" dxfId="9" priority="6" operator="lessThan">
      <formula>1</formula>
    </cfRule>
  </conditionalFormatting>
  <conditionalFormatting sqref="E151:AJ151">
    <cfRule type="cellIs" dxfId="8" priority="5" operator="greaterThan">
      <formula>1</formula>
    </cfRule>
  </conditionalFormatting>
  <conditionalFormatting sqref="AK151">
    <cfRule type="cellIs" dxfId="7" priority="2" operator="lessThan">
      <formula>1</formula>
    </cfRule>
  </conditionalFormatting>
  <conditionalFormatting sqref="AK151">
    <cfRule type="cellIs" dxfId="6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FF15-BDC2-4E1A-A263-670EF4FB5A0A}">
  <sheetPr>
    <pageSetUpPr fitToPage="1"/>
  </sheetPr>
  <dimension ref="A3:AM152"/>
  <sheetViews>
    <sheetView zoomScale="80" zoomScaleNormal="80" zoomScalePageLayoutView="55" workbookViewId="0">
      <selection activeCell="O24" sqref="O24"/>
    </sheetView>
  </sheetViews>
  <sheetFormatPr defaultColWidth="9.1796875" defaultRowHeight="12.5" x14ac:dyDescent="0.25"/>
  <cols>
    <col min="1" max="1" width="24.7265625" style="15" customWidth="1"/>
    <col min="2" max="2" width="21.7265625" style="15" bestFit="1" customWidth="1"/>
    <col min="3" max="3" width="3.453125" style="15" bestFit="1" customWidth="1"/>
    <col min="4" max="4" width="7.7265625" style="8" bestFit="1" customWidth="1"/>
    <col min="5" max="37" width="9.7265625" style="15" customWidth="1"/>
    <col min="38" max="16384" width="9.1796875" style="15"/>
  </cols>
  <sheetData>
    <row r="3" spans="1:39" ht="17.5" x14ac:dyDescent="0.25">
      <c r="A3" s="22" t="s">
        <v>32</v>
      </c>
      <c r="G3" s="32" t="s">
        <v>54</v>
      </c>
      <c r="J3" s="8"/>
    </row>
    <row r="4" spans="1:39" ht="13" x14ac:dyDescent="0.3">
      <c r="A4" s="119" t="s">
        <v>511</v>
      </c>
      <c r="B4" s="15">
        <f>'download algemeen'!B1</f>
        <v>0</v>
      </c>
      <c r="G4" s="31" t="s">
        <v>97</v>
      </c>
      <c r="J4" s="26" t="s">
        <v>110</v>
      </c>
      <c r="K4" s="8">
        <v>0</v>
      </c>
      <c r="L4" s="8"/>
      <c r="M4" s="31" t="s">
        <v>183</v>
      </c>
      <c r="P4" s="55" t="s">
        <v>56</v>
      </c>
      <c r="Q4" s="26" t="s">
        <v>106</v>
      </c>
      <c r="R4" s="8">
        <v>1</v>
      </c>
    </row>
    <row r="5" spans="1:39" ht="15.5" x14ac:dyDescent="0.3">
      <c r="A5" s="119" t="s">
        <v>512</v>
      </c>
      <c r="B5" s="15">
        <f>'download algemeen'!B2</f>
        <v>0</v>
      </c>
      <c r="G5" s="31" t="s">
        <v>119</v>
      </c>
      <c r="J5" s="26" t="s">
        <v>114</v>
      </c>
      <c r="K5" s="8">
        <v>10000</v>
      </c>
      <c r="L5" s="8"/>
      <c r="P5" s="55" t="s">
        <v>57</v>
      </c>
      <c r="Q5" s="26" t="s">
        <v>106</v>
      </c>
      <c r="R5" s="8">
        <v>1</v>
      </c>
    </row>
    <row r="6" spans="1:39" ht="15.5" x14ac:dyDescent="0.3">
      <c r="A6" s="119" t="s">
        <v>509</v>
      </c>
      <c r="B6" s="15">
        <f>'download algemeen'!B3</f>
        <v>0</v>
      </c>
      <c r="G6" s="31"/>
      <c r="I6" s="54" t="s">
        <v>9</v>
      </c>
      <c r="J6" s="26" t="s">
        <v>10</v>
      </c>
      <c r="K6" s="8">
        <v>1.2E-5</v>
      </c>
      <c r="L6" s="8"/>
      <c r="P6" s="55" t="s">
        <v>58</v>
      </c>
      <c r="Q6" s="26" t="s">
        <v>106</v>
      </c>
      <c r="R6" s="8">
        <v>1</v>
      </c>
    </row>
    <row r="7" spans="1:39" ht="13" x14ac:dyDescent="0.3">
      <c r="A7" s="119" t="s">
        <v>510</v>
      </c>
      <c r="B7" s="15">
        <f>'download algemeen'!B4</f>
        <v>0</v>
      </c>
      <c r="G7" s="31" t="s">
        <v>117</v>
      </c>
      <c r="I7" s="54" t="s">
        <v>11</v>
      </c>
      <c r="J7" s="26" t="s">
        <v>12</v>
      </c>
      <c r="K7" s="8">
        <v>30</v>
      </c>
      <c r="L7" s="8"/>
      <c r="P7" s="55" t="s">
        <v>59</v>
      </c>
      <c r="Q7" s="26" t="s">
        <v>106</v>
      </c>
      <c r="R7" s="8">
        <v>1</v>
      </c>
    </row>
    <row r="8" spans="1:39" x14ac:dyDescent="0.25">
      <c r="G8" s="31" t="s">
        <v>131</v>
      </c>
      <c r="I8" s="51"/>
      <c r="J8" s="42" t="s">
        <v>3</v>
      </c>
      <c r="K8" s="8">
        <v>0</v>
      </c>
      <c r="L8" s="8"/>
    </row>
    <row r="10" spans="1:39" ht="62.5" x14ac:dyDescent="0.25">
      <c r="A10" s="24" t="s">
        <v>35</v>
      </c>
      <c r="E10" s="35" t="s">
        <v>108</v>
      </c>
      <c r="F10" s="35" t="s">
        <v>108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ht="12.75" customHeight="1" x14ac:dyDescent="0.25">
      <c r="A11" s="25" t="s">
        <v>36</v>
      </c>
      <c r="E11" s="58">
        <f>'download stempels'!B1</f>
        <v>0</v>
      </c>
      <c r="F11" s="58">
        <f>'download stempels'!C1</f>
        <v>0</v>
      </c>
      <c r="G11" s="58">
        <f>'download stempels'!D1</f>
        <v>0</v>
      </c>
      <c r="H11" s="58">
        <f>'download stempels'!E1</f>
        <v>0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8"/>
      <c r="AM11" s="8"/>
    </row>
    <row r="12" spans="1:39" ht="12.75" customHeight="1" x14ac:dyDescent="0.25">
      <c r="A12" s="15" t="s">
        <v>37</v>
      </c>
      <c r="C12" s="15" t="s">
        <v>102</v>
      </c>
      <c r="D12" s="26" t="s">
        <v>106</v>
      </c>
      <c r="E12" s="8">
        <f>'download stempels'!B5</f>
        <v>0</v>
      </c>
      <c r="F12" s="8">
        <f>'download stempels'!C5</f>
        <v>0</v>
      </c>
      <c r="G12" s="8">
        <f>'download stempels'!D5</f>
        <v>0</v>
      </c>
      <c r="H12" s="8">
        <f>'download stempels'!E5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9" ht="12.75" customHeight="1" x14ac:dyDescent="0.25">
      <c r="A13" s="15" t="s">
        <v>38</v>
      </c>
      <c r="B13" s="53" t="s">
        <v>98</v>
      </c>
      <c r="C13" s="15" t="s">
        <v>103</v>
      </c>
      <c r="D13" s="8" t="s">
        <v>107</v>
      </c>
      <c r="E13" s="8">
        <f>E12</f>
        <v>0</v>
      </c>
      <c r="F13" s="8">
        <f>F12</f>
        <v>0</v>
      </c>
      <c r="G13" s="8">
        <f>G12</f>
        <v>0</v>
      </c>
      <c r="H13" s="8">
        <f>H12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9" ht="12.75" customHeight="1" x14ac:dyDescent="0.25">
      <c r="A14" s="15" t="s">
        <v>39</v>
      </c>
      <c r="B14" s="53" t="s">
        <v>98</v>
      </c>
      <c r="C14" s="15" t="s">
        <v>104</v>
      </c>
      <c r="D14" s="8" t="s">
        <v>107</v>
      </c>
      <c r="E14" s="8" t="e">
        <f>VLOOKUP(E13,hulpblad!$C$1:$E$4,3)</f>
        <v>#N/A</v>
      </c>
      <c r="F14" s="8" t="e">
        <f>VLOOKUP(F13,hulpblad!$C$1:$E$4,3)</f>
        <v>#N/A</v>
      </c>
      <c r="G14" s="8" t="e">
        <f>VLOOKUP(G13,hulpblad!$C$1:$E$4,3)</f>
        <v>#N/A</v>
      </c>
      <c r="H14" s="8" t="e">
        <f>VLOOKUP(H13,hulpblad!$C$1:$E$4,3)</f>
        <v>#N/A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9" ht="12.75" customHeight="1" x14ac:dyDescent="0.25">
      <c r="A15" s="15" t="s">
        <v>40</v>
      </c>
      <c r="B15" s="53" t="s">
        <v>99</v>
      </c>
      <c r="C15" s="15" t="s">
        <v>105</v>
      </c>
      <c r="D15" s="8" t="s">
        <v>107</v>
      </c>
      <c r="E15" s="36">
        <f>2.1*10^5</f>
        <v>210000</v>
      </c>
      <c r="F15" s="36">
        <f>2.1*10^5</f>
        <v>210000</v>
      </c>
      <c r="G15" s="36">
        <f>2.1*10^5</f>
        <v>210000</v>
      </c>
      <c r="H15" s="36">
        <f>2.1*10^5</f>
        <v>210000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9" ht="12.75" customHeight="1" x14ac:dyDescent="0.25">
      <c r="A16" s="27" t="s">
        <v>41</v>
      </c>
      <c r="B16" s="53" t="s">
        <v>100</v>
      </c>
      <c r="D16" s="26" t="s">
        <v>106</v>
      </c>
      <c r="E16" s="29" t="e">
        <f>SQRT(235/E13)</f>
        <v>#DIV/0!</v>
      </c>
      <c r="F16" s="29" t="e">
        <f>SQRT(235/F13)</f>
        <v>#DIV/0!</v>
      </c>
      <c r="G16" s="29" t="e">
        <f>SQRT(235/G13)</f>
        <v>#DIV/0!</v>
      </c>
      <c r="H16" s="29" t="e">
        <f>SQRT(235/H13)</f>
        <v>#DIV/0!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ht="12.75" customHeight="1" x14ac:dyDescent="0.25">
      <c r="A17" s="27" t="s">
        <v>109</v>
      </c>
      <c r="B17" s="53" t="s">
        <v>101</v>
      </c>
      <c r="D17" s="26" t="s">
        <v>106</v>
      </c>
      <c r="E17" s="29" t="e">
        <f>PI()*SQRT((E15/E13))</f>
        <v>#DIV/0!</v>
      </c>
      <c r="F17" s="29" t="e">
        <f>PI()*SQRT((F15/F13))</f>
        <v>#DIV/0!</v>
      </c>
      <c r="G17" s="29" t="e">
        <f>PI()*SQRT((G15/G13))</f>
        <v>#DIV/0!</v>
      </c>
      <c r="H17" s="29" t="e">
        <f>PI()*SQRT((H15/H13))</f>
        <v>#DIV/0!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ht="12.75" customHeight="1" x14ac:dyDescent="0.25">
      <c r="B18" s="53"/>
    </row>
    <row r="19" spans="1:37" ht="12.75" customHeight="1" x14ac:dyDescent="0.25">
      <c r="A19" s="25" t="s">
        <v>42</v>
      </c>
      <c r="B19" s="53"/>
    </row>
    <row r="20" spans="1:37" ht="12.75" customHeight="1" x14ac:dyDescent="0.25">
      <c r="A20" s="28" t="s">
        <v>115</v>
      </c>
      <c r="B20" s="53"/>
      <c r="C20" s="51" t="s">
        <v>43</v>
      </c>
      <c r="D20" s="26" t="s">
        <v>110</v>
      </c>
      <c r="E20" s="8">
        <f>'download stempels'!B3</f>
        <v>0</v>
      </c>
      <c r="F20" s="8">
        <f>'download stempels'!C3</f>
        <v>0</v>
      </c>
      <c r="G20" s="8">
        <f>'download stempels'!D3</f>
        <v>0</v>
      </c>
      <c r="H20" s="8">
        <f>'download stempels'!E3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28" t="s">
        <v>116</v>
      </c>
      <c r="B21" s="53"/>
      <c r="C21" s="51" t="s">
        <v>44</v>
      </c>
      <c r="D21" s="26" t="s">
        <v>110</v>
      </c>
      <c r="E21" s="8">
        <f>'download stempels'!B4</f>
        <v>0</v>
      </c>
      <c r="F21" s="8">
        <f>'download stempels'!C4</f>
        <v>0</v>
      </c>
      <c r="G21" s="8">
        <f>'download stempels'!D4</f>
        <v>0</v>
      </c>
      <c r="H21" s="8">
        <f>'download stempels'!E4</f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B22" s="53"/>
      <c r="C22" s="51" t="s">
        <v>45</v>
      </c>
      <c r="D22" s="26" t="s">
        <v>110</v>
      </c>
      <c r="E22" s="8">
        <f>E20-E21-E21</f>
        <v>0</v>
      </c>
      <c r="F22" s="8">
        <f>F20-F21-F21</f>
        <v>0</v>
      </c>
      <c r="G22" s="8">
        <f>G20-G21-G21</f>
        <v>0</v>
      </c>
      <c r="H22" s="8">
        <f>H20-H21-H21</f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B23" s="53"/>
      <c r="C23" s="51" t="s">
        <v>46</v>
      </c>
      <c r="D23" s="26" t="s">
        <v>111</v>
      </c>
      <c r="E23" s="29">
        <f>(0.25*PI()*E20^2)-(0.25*PI()*E22^2)</f>
        <v>0</v>
      </c>
      <c r="F23" s="29">
        <f>(0.25*PI()*F20^2)-(0.25*PI()*F22^2)</f>
        <v>0</v>
      </c>
      <c r="G23" s="29">
        <f>(0.25*PI()*G20^2)-(0.25*PI()*G22^2)</f>
        <v>0</v>
      </c>
      <c r="H23" s="29">
        <f>(0.25*PI()*H20^2)-(0.25*PI()*H22^2)</f>
        <v>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ht="12.75" customHeight="1" x14ac:dyDescent="0.25">
      <c r="B24" s="53"/>
      <c r="C24" s="51" t="s">
        <v>47</v>
      </c>
      <c r="D24" s="26" t="s">
        <v>111</v>
      </c>
      <c r="E24" s="8">
        <f>2*E23/PI()</f>
        <v>0</v>
      </c>
      <c r="F24" s="8">
        <f>2*F23/PI()</f>
        <v>0</v>
      </c>
      <c r="G24" s="8">
        <f>2*G23/PI()</f>
        <v>0</v>
      </c>
      <c r="H24" s="8">
        <f>2*H23/PI()</f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B25" s="53"/>
      <c r="C25" s="51" t="s">
        <v>14</v>
      </c>
      <c r="D25" s="26" t="s">
        <v>112</v>
      </c>
      <c r="E25" s="30">
        <f>(PI()*(E20^4-E22^4))/64</f>
        <v>0</v>
      </c>
      <c r="F25" s="30">
        <f>(PI()*(F20^4-F22^4))/64</f>
        <v>0</v>
      </c>
      <c r="G25" s="30">
        <f>(PI()*(G20^4-G22^4))/64</f>
        <v>0</v>
      </c>
      <c r="H25" s="30">
        <f>(PI()*(H20^4-H22^4))/64</f>
        <v>0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1:37" ht="12.75" customHeight="1" x14ac:dyDescent="0.25">
      <c r="B26" s="53"/>
      <c r="C26" s="51" t="s">
        <v>48</v>
      </c>
      <c r="D26" s="26" t="s">
        <v>113</v>
      </c>
      <c r="E26" s="30" t="e">
        <f>PI()*(E20^4-E22^4)/(32*E20)</f>
        <v>#DIV/0!</v>
      </c>
      <c r="F26" s="30" t="e">
        <f>PI()*(F20^4-F22^4)/(32*F20)</f>
        <v>#DIV/0!</v>
      </c>
      <c r="G26" s="30" t="e">
        <f>PI()*(G20^4-G22^4)/(32*G20)</f>
        <v>#DIV/0!</v>
      </c>
      <c r="H26" s="30" t="e">
        <f>PI()*(H20^4-H22^4)/(32*H20)</f>
        <v>#DIV/0!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ht="12.75" customHeight="1" x14ac:dyDescent="0.25">
      <c r="B27" s="53"/>
      <c r="C27" s="51" t="s">
        <v>49</v>
      </c>
      <c r="D27" s="26" t="s">
        <v>113</v>
      </c>
      <c r="E27" s="30">
        <f>(E20-E21)^2*E21</f>
        <v>0</v>
      </c>
      <c r="F27" s="30">
        <f>(F20-F21)^2*F21</f>
        <v>0</v>
      </c>
      <c r="G27" s="30">
        <f>(G20-G21)^2*G21</f>
        <v>0</v>
      </c>
      <c r="H27" s="30">
        <f>(H20-H21)^2*H21</f>
        <v>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</row>
    <row r="28" spans="1:37" ht="12.75" customHeight="1" x14ac:dyDescent="0.25">
      <c r="B28" s="53"/>
      <c r="C28" s="51" t="s">
        <v>8</v>
      </c>
      <c r="D28" s="26" t="s">
        <v>114</v>
      </c>
      <c r="E28" s="29">
        <f>E23*78.5/1000000</f>
        <v>0</v>
      </c>
      <c r="F28" s="29">
        <f>F23*78.5/1000000</f>
        <v>0</v>
      </c>
      <c r="G28" s="29">
        <f>G23*78.5/1000000</f>
        <v>0</v>
      </c>
      <c r="H28" s="29">
        <f>H23*78.5/1000000</f>
        <v>0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ht="12.75" customHeight="1" x14ac:dyDescent="0.25">
      <c r="A29" s="31" t="s">
        <v>55</v>
      </c>
      <c r="B29" s="53"/>
      <c r="D29" s="43" t="s">
        <v>1</v>
      </c>
      <c r="E29" s="40">
        <f>'download stempels'!B6</f>
        <v>0</v>
      </c>
      <c r="F29" s="40">
        <f>'download stempels'!C6</f>
        <v>0</v>
      </c>
      <c r="G29" s="40">
        <f>'download stempels'!D6</f>
        <v>0</v>
      </c>
      <c r="H29" s="40">
        <f>'download stempels'!E6</f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B30" s="53"/>
      <c r="D30" s="26"/>
    </row>
    <row r="31" spans="1:37" ht="12.75" customHeight="1" x14ac:dyDescent="0.25">
      <c r="B31" s="53"/>
    </row>
    <row r="32" spans="1:37" ht="12.75" customHeight="1" x14ac:dyDescent="0.25">
      <c r="A32" s="25" t="s">
        <v>50</v>
      </c>
      <c r="B32" s="53"/>
    </row>
    <row r="33" spans="1:37" ht="12.75" customHeight="1" x14ac:dyDescent="0.25">
      <c r="A33" s="15" t="s">
        <v>51</v>
      </c>
      <c r="B33" s="53" t="s">
        <v>100</v>
      </c>
      <c r="D33" s="14" t="s">
        <v>106</v>
      </c>
      <c r="E33" s="40" t="e">
        <f>E20/E21</f>
        <v>#DIV/0!</v>
      </c>
      <c r="F33" s="40" t="e">
        <f>F20/F21</f>
        <v>#DIV/0!</v>
      </c>
      <c r="G33" s="40" t="e">
        <f>G20/G21</f>
        <v>#DIV/0!</v>
      </c>
      <c r="H33" s="40" t="e">
        <f>H20/H21</f>
        <v>#DIV/0!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1:37" ht="12.75" customHeight="1" x14ac:dyDescent="0.25">
      <c r="A34" s="27" t="s">
        <v>52</v>
      </c>
      <c r="B34" s="53" t="s">
        <v>100</v>
      </c>
      <c r="D34" s="14" t="s">
        <v>106</v>
      </c>
      <c r="E34" s="29" t="e">
        <f>E16^2</f>
        <v>#DIV/0!</v>
      </c>
      <c r="F34" s="29" t="e">
        <f>F16^2</f>
        <v>#DIV/0!</v>
      </c>
      <c r="G34" s="29" t="e">
        <f>G16^2</f>
        <v>#DIV/0!</v>
      </c>
      <c r="H34" s="29" t="e">
        <f>H16^2</f>
        <v>#DIV/0!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2.75" customHeight="1" x14ac:dyDescent="0.25">
      <c r="A35" s="28" t="s">
        <v>129</v>
      </c>
      <c r="D35" s="44" t="s">
        <v>106</v>
      </c>
      <c r="E35" s="39" t="str">
        <f>IF(E13&lt;=420,"a","a0")</f>
        <v>a</v>
      </c>
      <c r="F35" s="39" t="str">
        <f>IF(F13&lt;=420,"a","a0")</f>
        <v>a</v>
      </c>
      <c r="G35" s="39" t="str">
        <f>IF(G13&lt;=420,"a","a0")</f>
        <v>a</v>
      </c>
      <c r="H35" s="39" t="str">
        <f>IF(H13&lt;=420,"a","a0")</f>
        <v>a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ht="12.75" customHeight="1" x14ac:dyDescent="0.25">
      <c r="A36" s="41" t="s">
        <v>15</v>
      </c>
      <c r="D36" s="44" t="s">
        <v>106</v>
      </c>
      <c r="E36" s="40">
        <f>IF(E35="a0",0.13,IF(E35="a",0.21,IF(E35="b",0.34,IF(E35="c",0.49,IF(E35="d",0.76)))))</f>
        <v>0.21</v>
      </c>
      <c r="F36" s="40">
        <f>IF(F35="a0",0.13,IF(F35="a",0.21,IF(F35="b",0.34,IF(F35="c",0.49,IF(F35="d",0.76)))))</f>
        <v>0.21</v>
      </c>
      <c r="G36" s="40">
        <f>IF(G35="a0",0.13,IF(G35="a",0.21,IF(G35="b",0.34,IF(G35="c",0.49,IF(G35="d",0.76)))))</f>
        <v>0.21</v>
      </c>
      <c r="H36" s="40">
        <f>IF(H35="a0",0.13,IF(H35="a",0.21,IF(H35="b",0.34,IF(H35="c",0.49,IF(H35="d",0.76)))))</f>
        <v>0.21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1:37" ht="12.75" hidden="1" customHeight="1" x14ac:dyDescent="0.25">
      <c r="A37" s="27"/>
      <c r="D37" s="14"/>
      <c r="E37" s="29" t="e">
        <f>E33/E34</f>
        <v>#DIV/0!</v>
      </c>
      <c r="F37" s="29" t="e">
        <f>F33/F34</f>
        <v>#DIV/0!</v>
      </c>
      <c r="G37" s="29" t="e">
        <f>G33/G34</f>
        <v>#DIV/0!</v>
      </c>
      <c r="H37" s="29" t="e">
        <f>H33/H34</f>
        <v>#DIV/0!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2.75" hidden="1" customHeight="1" x14ac:dyDescent="0.25">
      <c r="A38" s="27"/>
      <c r="D38" s="14">
        <v>1</v>
      </c>
      <c r="E38" s="29" t="e">
        <f>IF(E37&lt;=50,1,0)</f>
        <v>#DIV/0!</v>
      </c>
      <c r="F38" s="29" t="e">
        <f>IF(F37&lt;=50,1,0)</f>
        <v>#DIV/0!</v>
      </c>
      <c r="G38" s="29" t="e">
        <f>IF(G37&lt;=50,1,0)</f>
        <v>#DIV/0!</v>
      </c>
      <c r="H38" s="29" t="e">
        <f>IF(H37&lt;=50,1,0)</f>
        <v>#DIV/0!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2.75" hidden="1" customHeight="1" x14ac:dyDescent="0.25">
      <c r="A39" s="27"/>
      <c r="D39" s="14">
        <v>2</v>
      </c>
      <c r="E39" s="29" t="e">
        <f>IF(E37&lt;=70,1,0)</f>
        <v>#DIV/0!</v>
      </c>
      <c r="F39" s="29" t="e">
        <f>IF(F37&lt;=70,1,0)</f>
        <v>#DIV/0!</v>
      </c>
      <c r="G39" s="29" t="e">
        <f>IF(G37&lt;=70,1,0)</f>
        <v>#DIV/0!</v>
      </c>
      <c r="H39" s="29" t="e">
        <f>IF(H37&lt;=70,1,0)</f>
        <v>#DIV/0!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2.75" hidden="1" customHeight="1" x14ac:dyDescent="0.25">
      <c r="A40" s="27"/>
      <c r="D40" s="14">
        <v>3</v>
      </c>
      <c r="E40" s="29" t="e">
        <f>IF(E37&lt;=90,1,0)</f>
        <v>#DIV/0!</v>
      </c>
      <c r="F40" s="29" t="e">
        <f>IF(F37&lt;=90,1,0)</f>
        <v>#DIV/0!</v>
      </c>
      <c r="G40" s="29" t="e">
        <f>IF(G37&lt;=90,1,0)</f>
        <v>#DIV/0!</v>
      </c>
      <c r="H40" s="29" t="e">
        <f>IF(H37&lt;=90,1,0)</f>
        <v>#DIV/0!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2.75" hidden="1" customHeight="1" x14ac:dyDescent="0.25">
      <c r="A41" s="27"/>
      <c r="D41" s="14"/>
      <c r="E41" s="29" t="e">
        <f>SUM(E38:E40)</f>
        <v>#DIV/0!</v>
      </c>
      <c r="F41" s="29" t="e">
        <f>SUM(F38:F40)</f>
        <v>#DIV/0!</v>
      </c>
      <c r="G41" s="29" t="e">
        <f>SUM(G38:G40)</f>
        <v>#DIV/0!</v>
      </c>
      <c r="H41" s="29" t="e">
        <f>SUM(H38:H40)</f>
        <v>#DIV/0!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ht="12.75" customHeight="1" x14ac:dyDescent="0.25">
      <c r="A42" s="15" t="s">
        <v>53</v>
      </c>
      <c r="D42" s="14" t="s">
        <v>106</v>
      </c>
      <c r="E42" s="8" t="e">
        <f>IF(E41=3,1,IF(E41=2,2,IF(E41=1,3,IF(E41=0,4))))</f>
        <v>#DIV/0!</v>
      </c>
      <c r="F42" s="8" t="e">
        <f>IF(F41=3,1,IF(F41=2,2,IF(F41=1,3,IF(F41=0,4))))</f>
        <v>#DIV/0!</v>
      </c>
      <c r="G42" s="8" t="e">
        <f>IF(G41=3,1,IF(G41=2,2,IF(G41=1,3,IF(G41=0,4))))</f>
        <v>#DIV/0!</v>
      </c>
      <c r="H42" s="8" t="e">
        <f>IF(H41=3,1,IF(H41=2,2,IF(H41=1,3,IF(H41=0,4))))</f>
        <v>#DIV/0!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/>
    <row r="44" spans="1:37" ht="12.75" customHeight="1" x14ac:dyDescent="0.25">
      <c r="A44" s="32" t="s">
        <v>60</v>
      </c>
    </row>
    <row r="45" spans="1:37" ht="12.75" customHeight="1" x14ac:dyDescent="0.25">
      <c r="A45" s="31" t="s">
        <v>61</v>
      </c>
      <c r="D45" s="42" t="s">
        <v>3</v>
      </c>
      <c r="E45" s="8">
        <f>'download stempels'!B10</f>
        <v>0</v>
      </c>
      <c r="F45" s="8">
        <f>'download stempels'!C10</f>
        <v>0</v>
      </c>
      <c r="G45" s="8">
        <f>'download stempels'!D10</f>
        <v>0</v>
      </c>
      <c r="H45" s="8">
        <f>'download stempels'!E10</f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31"/>
    </row>
    <row r="47" spans="1:37" ht="12.75" customHeight="1" x14ac:dyDescent="0.25">
      <c r="A47" s="24" t="s">
        <v>62</v>
      </c>
    </row>
    <row r="48" spans="1:37" ht="12.75" customHeight="1" x14ac:dyDescent="0.25">
      <c r="A48" s="15" t="s">
        <v>63</v>
      </c>
      <c r="D48" s="14" t="s">
        <v>130</v>
      </c>
      <c r="E48" s="29">
        <f>1/8*E28*E29^2</f>
        <v>0</v>
      </c>
      <c r="F48" s="29">
        <f>1/8*F28*F29^2</f>
        <v>0</v>
      </c>
      <c r="G48" s="29">
        <f>1/8*G28*G29^2</f>
        <v>0</v>
      </c>
      <c r="H48" s="29">
        <f>1/8*H28*H29^2</f>
        <v>0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ht="12.75" customHeight="1" x14ac:dyDescent="0.25">
      <c r="A49" s="15" t="s">
        <v>64</v>
      </c>
      <c r="D49" s="14" t="s">
        <v>130</v>
      </c>
      <c r="E49" s="29">
        <v>0</v>
      </c>
      <c r="F49" s="29">
        <v>1</v>
      </c>
      <c r="G49" s="29">
        <v>2</v>
      </c>
      <c r="H49" s="29">
        <v>3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</row>
    <row r="50" spans="1:37" ht="12.75" customHeight="1" x14ac:dyDescent="0.25">
      <c r="A50" s="28" t="s">
        <v>134</v>
      </c>
      <c r="D50" s="14" t="s">
        <v>130</v>
      </c>
      <c r="E50" s="29">
        <f t="shared" ref="E50" si="0">0.25*$K$8*E29</f>
        <v>0</v>
      </c>
      <c r="F50" s="29">
        <f t="shared" ref="F50:G50" si="1">0.25*$K$8*F29</f>
        <v>0</v>
      </c>
      <c r="G50" s="29">
        <f t="shared" si="1"/>
        <v>0</v>
      </c>
      <c r="H50" s="29">
        <f t="shared" ref="H50" si="2">0.25*$K$8*H29</f>
        <v>0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</row>
    <row r="51" spans="1:37" ht="12.75" customHeight="1" x14ac:dyDescent="0.25">
      <c r="A51" s="27" t="s">
        <v>66</v>
      </c>
      <c r="D51" s="14" t="s">
        <v>110</v>
      </c>
      <c r="E51" s="29" t="e">
        <f>(5/384)*(E28*(E29*1000)^4)/(E15*E25)</f>
        <v>#DIV/0!</v>
      </c>
      <c r="F51" s="29" t="e">
        <f>(5/384)*(F28*(F29*1000)^4)/(F15*F25)</f>
        <v>#DIV/0!</v>
      </c>
      <c r="G51" s="29" t="e">
        <f>(5/384)*(G28*(G29*1000)^4)/(G15*G25)</f>
        <v>#DIV/0!</v>
      </c>
      <c r="H51" s="29" t="e">
        <f>(5/384)*(H28*(H29*1000)^4)/(H15*H25)</f>
        <v>#DIV/0!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</row>
    <row r="52" spans="1:37" ht="12.75" customHeight="1" x14ac:dyDescent="0.25">
      <c r="A52" s="27" t="s">
        <v>65</v>
      </c>
      <c r="D52" s="14" t="s">
        <v>130</v>
      </c>
      <c r="E52" s="29" t="e">
        <f>(E45*E51/1000)</f>
        <v>#DIV/0!</v>
      </c>
      <c r="F52" s="29" t="e">
        <f>(F45*F51/1000)</f>
        <v>#DIV/0!</v>
      </c>
      <c r="G52" s="29" t="e">
        <f>(G45*G51/1000)</f>
        <v>#DIV/0!</v>
      </c>
      <c r="H52" s="29" t="e">
        <f>(H45*H51/1000)</f>
        <v>#DIV/0!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 spans="1:37" ht="12.75" customHeight="1" x14ac:dyDescent="0.25">
      <c r="A53" s="28" t="s">
        <v>132</v>
      </c>
      <c r="D53" s="42" t="s">
        <v>110</v>
      </c>
      <c r="E53" s="8">
        <f t="shared" ref="E53:H53" si="3">$K$4</f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5">
      <c r="A54" s="27" t="s">
        <v>67</v>
      </c>
      <c r="D54" s="14" t="s">
        <v>130</v>
      </c>
      <c r="E54" s="29">
        <f>E45*E53/1000</f>
        <v>0</v>
      </c>
      <c r="F54" s="29">
        <f>F45*F53/1000</f>
        <v>0</v>
      </c>
      <c r="G54" s="29">
        <f>G45*G53/1000</f>
        <v>0</v>
      </c>
      <c r="H54" s="29">
        <f>H45*H53/1000</f>
        <v>0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</row>
    <row r="55" spans="1:37" ht="12.75" customHeight="1" x14ac:dyDescent="0.25">
      <c r="D55" s="16"/>
    </row>
    <row r="56" spans="1:37" ht="12.75" customHeight="1" x14ac:dyDescent="0.25">
      <c r="A56" s="15" t="s">
        <v>68</v>
      </c>
      <c r="D56" s="14" t="s">
        <v>3</v>
      </c>
      <c r="E56" s="29">
        <f>E29*E28*0.5</f>
        <v>0</v>
      </c>
      <c r="F56" s="29">
        <f>F29*F28*0.5</f>
        <v>0</v>
      </c>
      <c r="G56" s="29">
        <f>G29*G28*0.5</f>
        <v>0</v>
      </c>
      <c r="H56" s="29">
        <f>H29*H28*0.5</f>
        <v>0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</row>
    <row r="57" spans="1:37" ht="12.75" customHeight="1" x14ac:dyDescent="0.25">
      <c r="A57" s="15" t="s">
        <v>69</v>
      </c>
      <c r="D57" s="14" t="s">
        <v>3</v>
      </c>
      <c r="E57" s="29">
        <f>E29*1*0.5</f>
        <v>0</v>
      </c>
      <c r="F57" s="29">
        <f>F29*1*0.5</f>
        <v>0</v>
      </c>
      <c r="G57" s="29">
        <f>G29*1*0.5</f>
        <v>0</v>
      </c>
      <c r="H57" s="29">
        <f>H29*1*0.5</f>
        <v>0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</row>
    <row r="58" spans="1:37" ht="12.75" customHeight="1" x14ac:dyDescent="0.25">
      <c r="A58" s="28" t="s">
        <v>133</v>
      </c>
      <c r="D58" s="14" t="s">
        <v>3</v>
      </c>
      <c r="E58" s="8">
        <f t="shared" ref="E58:H58" si="4">$K$8*0.5</f>
        <v>0</v>
      </c>
      <c r="F58" s="8">
        <f t="shared" si="4"/>
        <v>0</v>
      </c>
      <c r="G58" s="8">
        <f t="shared" si="4"/>
        <v>0</v>
      </c>
      <c r="H58" s="8">
        <f t="shared" si="4"/>
        <v>0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5">
      <c r="D59" s="16"/>
    </row>
    <row r="60" spans="1:37" ht="12.75" customHeight="1" x14ac:dyDescent="0.25">
      <c r="A60" s="15" t="s">
        <v>70</v>
      </c>
      <c r="D60" s="14" t="s">
        <v>3</v>
      </c>
      <c r="E60" s="8">
        <f>E45</f>
        <v>0</v>
      </c>
      <c r="F60" s="8">
        <f>F45</f>
        <v>0</v>
      </c>
      <c r="G60" s="8">
        <f>G45</f>
        <v>0</v>
      </c>
      <c r="H60" s="8">
        <f>H45</f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2.75" customHeight="1" x14ac:dyDescent="0.25">
      <c r="A61" s="27" t="s">
        <v>71</v>
      </c>
      <c r="D61" s="14" t="s">
        <v>3</v>
      </c>
      <c r="E61" s="29" t="e">
        <f t="shared" ref="E61" si="5">E15*E23*$K$6*$K$7*($K$5/($K$5+((E15*E23)/(0.5*E29*1000))))/1000</f>
        <v>#DIV/0!</v>
      </c>
      <c r="F61" s="29" t="e">
        <f t="shared" ref="F61:G61" si="6">F15*F23*$K$6*$K$7*($K$5/($K$5+((F15*F23)/(0.5*F29*1000))))/1000</f>
        <v>#DIV/0!</v>
      </c>
      <c r="G61" s="29" t="e">
        <f t="shared" si="6"/>
        <v>#DIV/0!</v>
      </c>
      <c r="H61" s="29" t="e">
        <f t="shared" ref="H61" si="7">H15*H23*$K$6*$K$7*($K$5/($K$5+((H15*H23)/(0.5*H29*1000))))/1000</f>
        <v>#DIV/0!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t="12.75" customHeight="1" x14ac:dyDescent="0.25"/>
    <row r="63" spans="1:37" ht="12.75" customHeight="1" x14ac:dyDescent="0.25">
      <c r="A63" s="25" t="s">
        <v>72</v>
      </c>
    </row>
    <row r="64" spans="1:37" ht="12.75" customHeight="1" x14ac:dyDescent="0.25">
      <c r="A64" s="15" t="s">
        <v>73</v>
      </c>
      <c r="D64" s="14" t="s">
        <v>130</v>
      </c>
      <c r="E64" s="29" t="e">
        <f t="shared" ref="E64" si="8">(E48*$R$5)+(E52*$R$4)+((MAX(E49:E50)+E54)*$R$6)</f>
        <v>#DIV/0!</v>
      </c>
      <c r="F64" s="29" t="e">
        <f t="shared" ref="F64:G64" si="9">(F48*$R$5)+(F52*$R$4)+((MAX(F49:F50)+F54)*$R$6)</f>
        <v>#DIV/0!</v>
      </c>
      <c r="G64" s="29" t="e">
        <f t="shared" si="9"/>
        <v>#DIV/0!</v>
      </c>
      <c r="H64" s="29" t="e">
        <f t="shared" ref="H64" si="10">(H48*$R$5)+(H52*$R$4)+((MAX(H49:H50)+H54)*$R$6)</f>
        <v>#DIV/0!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2.75" customHeight="1" x14ac:dyDescent="0.25">
      <c r="A65" s="15" t="s">
        <v>74</v>
      </c>
      <c r="D65" s="14" t="s">
        <v>3</v>
      </c>
      <c r="E65" s="29">
        <f t="shared" ref="E65" si="11">(E56*$R$5)+((MAX(E57,E58*2)*$R$6))</f>
        <v>0</v>
      </c>
      <c r="F65" s="29">
        <f t="shared" ref="F65:G65" si="12">(F56*$R$5)+((MAX(F57,F58*2)*$R$6))</f>
        <v>0</v>
      </c>
      <c r="G65" s="29">
        <f t="shared" si="12"/>
        <v>0</v>
      </c>
      <c r="H65" s="29">
        <f t="shared" ref="H65" si="13">(H56*$R$5)+((MAX(H57,H58*2)*$R$6))</f>
        <v>0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2.75" customHeight="1" x14ac:dyDescent="0.25">
      <c r="A66" s="15" t="s">
        <v>75</v>
      </c>
      <c r="D66" s="14" t="s">
        <v>3</v>
      </c>
      <c r="E66" s="8">
        <f t="shared" ref="E66" si="14">E58*$R$6</f>
        <v>0</v>
      </c>
      <c r="F66" s="8">
        <f t="shared" ref="F66:G66" si="15">F58*$R$6</f>
        <v>0</v>
      </c>
      <c r="G66" s="8">
        <f t="shared" si="15"/>
        <v>0</v>
      </c>
      <c r="H66" s="8">
        <f t="shared" ref="H66" si="16">H58*$R$6</f>
        <v>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2.75" customHeight="1" x14ac:dyDescent="0.25">
      <c r="A67" s="15" t="s">
        <v>76</v>
      </c>
      <c r="D67" s="14" t="s">
        <v>3</v>
      </c>
      <c r="E67" s="29" t="e">
        <f t="shared" ref="E67" si="17">(E60*$R$4)+(E61*$R$7)</f>
        <v>#DIV/0!</v>
      </c>
      <c r="F67" s="29" t="e">
        <f t="shared" ref="F67:G67" si="18">(F60*$R$4)+(F61*$R$7)</f>
        <v>#DIV/0!</v>
      </c>
      <c r="G67" s="29" t="e">
        <f t="shared" si="18"/>
        <v>#DIV/0!</v>
      </c>
      <c r="H67" s="29" t="e">
        <f t="shared" ref="H67" si="19">(H60*$R$4)+(H61*$R$7)</f>
        <v>#DIV/0!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2.75" customHeight="1" x14ac:dyDescent="0.25"/>
    <row r="69" spans="1:37" ht="12.75" customHeight="1" x14ac:dyDescent="0.25">
      <c r="A69" s="24" t="s">
        <v>77</v>
      </c>
    </row>
    <row r="70" spans="1:37" ht="12.75" customHeight="1" x14ac:dyDescent="0.25">
      <c r="A70" s="5" t="s">
        <v>78</v>
      </c>
      <c r="C70" s="52" t="s">
        <v>135</v>
      </c>
      <c r="D70" s="42" t="s">
        <v>106</v>
      </c>
      <c r="E70" s="40">
        <v>1</v>
      </c>
      <c r="F70" s="40">
        <v>1</v>
      </c>
      <c r="G70" s="40">
        <v>1</v>
      </c>
      <c r="H70" s="40">
        <v>1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 spans="1:37" ht="12.75" customHeight="1" x14ac:dyDescent="0.25">
      <c r="A71" s="5" t="s">
        <v>78</v>
      </c>
      <c r="C71" s="52" t="s">
        <v>136</v>
      </c>
      <c r="D71" s="42" t="s">
        <v>106</v>
      </c>
      <c r="E71" s="40">
        <v>1</v>
      </c>
      <c r="F71" s="40">
        <v>1</v>
      </c>
      <c r="G71" s="40">
        <v>1</v>
      </c>
      <c r="H71" s="40">
        <v>1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 spans="1:37" ht="12.75" customHeight="1" x14ac:dyDescent="0.25">
      <c r="A72" s="5"/>
    </row>
    <row r="73" spans="1:37" ht="12.75" customHeight="1" x14ac:dyDescent="0.25">
      <c r="A73" s="33" t="s">
        <v>79</v>
      </c>
      <c r="C73" s="45" t="s">
        <v>137</v>
      </c>
    </row>
    <row r="74" spans="1:37" ht="12.75" customHeight="1" x14ac:dyDescent="0.25">
      <c r="A74" s="5" t="s">
        <v>80</v>
      </c>
      <c r="C74" s="49" t="s">
        <v>138</v>
      </c>
      <c r="D74" s="44" t="s">
        <v>3</v>
      </c>
      <c r="E74" s="29" t="e">
        <f>E67</f>
        <v>#DIV/0!</v>
      </c>
      <c r="F74" s="29" t="e">
        <f>F67</f>
        <v>#DIV/0!</v>
      </c>
      <c r="G74" s="29" t="e">
        <f>G67</f>
        <v>#DIV/0!</v>
      </c>
      <c r="H74" s="29" t="e">
        <f>H67</f>
        <v>#DIV/0!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ht="12.75" customHeight="1" x14ac:dyDescent="0.25">
      <c r="A75" s="5" t="s">
        <v>81</v>
      </c>
      <c r="C75" s="49" t="s">
        <v>139</v>
      </c>
      <c r="D75" s="44" t="s">
        <v>3</v>
      </c>
      <c r="E75" s="29">
        <f>E23*E13/E70/1000</f>
        <v>0</v>
      </c>
      <c r="F75" s="29">
        <f>F23*F13/F70/1000</f>
        <v>0</v>
      </c>
      <c r="G75" s="29">
        <f>G23*G13/G70/1000</f>
        <v>0</v>
      </c>
      <c r="H75" s="29">
        <f>H23*H13/H70/1000</f>
        <v>0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ht="12.75" customHeight="1" x14ac:dyDescent="0.25">
      <c r="A76" s="5" t="s">
        <v>31</v>
      </c>
      <c r="C76" s="49" t="s">
        <v>140</v>
      </c>
      <c r="D76" s="42" t="s">
        <v>106</v>
      </c>
      <c r="E76" s="47" t="e">
        <f>E74/E75</f>
        <v>#DIV/0!</v>
      </c>
      <c r="F76" s="47" t="e">
        <f>F74/F75</f>
        <v>#DIV/0!</v>
      </c>
      <c r="G76" s="47" t="e">
        <f>G74/G75</f>
        <v>#DIV/0!</v>
      </c>
      <c r="H76" s="47" t="e">
        <f>H74/H75</f>
        <v>#DIV/0!</v>
      </c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37" ht="12.75" customHeight="1" x14ac:dyDescent="0.25">
      <c r="A77" s="5"/>
      <c r="C77" s="51"/>
    </row>
    <row r="78" spans="1:37" ht="12.75" customHeight="1" x14ac:dyDescent="0.25">
      <c r="A78" s="33" t="s">
        <v>82</v>
      </c>
      <c r="C78" s="45" t="s">
        <v>141</v>
      </c>
    </row>
    <row r="79" spans="1:37" ht="12.75" customHeight="1" x14ac:dyDescent="0.25">
      <c r="A79" s="5" t="s">
        <v>83</v>
      </c>
      <c r="C79" s="49" t="s">
        <v>142</v>
      </c>
      <c r="D79" s="14" t="s">
        <v>130</v>
      </c>
      <c r="E79" s="29" t="e">
        <f>E64</f>
        <v>#DIV/0!</v>
      </c>
      <c r="F79" s="29" t="e">
        <f>F64</f>
        <v>#DIV/0!</v>
      </c>
      <c r="G79" s="29" t="e">
        <f>G64</f>
        <v>#DIV/0!</v>
      </c>
      <c r="H79" s="29" t="e">
        <f>H64</f>
        <v>#DIV/0!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ht="12.75" customHeight="1" x14ac:dyDescent="0.25">
      <c r="A80" s="5" t="s">
        <v>84</v>
      </c>
      <c r="C80" s="51"/>
      <c r="D80" s="42" t="s">
        <v>106</v>
      </c>
      <c r="E80" s="8" t="e">
        <f>E42</f>
        <v>#DIV/0!</v>
      </c>
      <c r="F80" s="8" t="e">
        <f>F42</f>
        <v>#DIV/0!</v>
      </c>
      <c r="G80" s="8" t="e">
        <f>G42</f>
        <v>#DIV/0!</v>
      </c>
      <c r="H80" s="8" t="e">
        <f>H42</f>
        <v>#DIV/0!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ht="12.75" customHeight="1" x14ac:dyDescent="0.25">
      <c r="A81" s="5" t="s">
        <v>143</v>
      </c>
      <c r="C81" s="51"/>
      <c r="D81" s="42" t="s">
        <v>144</v>
      </c>
      <c r="E81" s="30" t="e">
        <f>IF(E80&lt;=2,E27,E26)</f>
        <v>#DIV/0!</v>
      </c>
      <c r="F81" s="30" t="e">
        <f>IF(F80&lt;=2,F27,F26)</f>
        <v>#DIV/0!</v>
      </c>
      <c r="G81" s="30" t="e">
        <f>IF(G80&lt;=2,G27,G26)</f>
        <v>#DIV/0!</v>
      </c>
      <c r="H81" s="30" t="e">
        <f>IF(H80&lt;=2,H27,H26)</f>
        <v>#DIV/0!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:37" ht="12.75" customHeight="1" x14ac:dyDescent="0.25">
      <c r="A82" s="5" t="s">
        <v>85</v>
      </c>
      <c r="C82" s="49" t="s">
        <v>145</v>
      </c>
      <c r="D82" s="14" t="s">
        <v>130</v>
      </c>
      <c r="E82" s="29" t="e">
        <f>E81*E13/1000000</f>
        <v>#DIV/0!</v>
      </c>
      <c r="F82" s="29" t="e">
        <f>F81*F13/1000000</f>
        <v>#DIV/0!</v>
      </c>
      <c r="G82" s="29" t="e">
        <f>G81*G13/1000000</f>
        <v>#DIV/0!</v>
      </c>
      <c r="H82" s="29" t="e">
        <f>H81*H13/1000000</f>
        <v>#DIV/0!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ht="12.75" customHeight="1" x14ac:dyDescent="0.25">
      <c r="A83" s="5" t="s">
        <v>31</v>
      </c>
      <c r="C83" s="49" t="s">
        <v>146</v>
      </c>
      <c r="D83" s="42" t="s">
        <v>106</v>
      </c>
      <c r="E83" s="47" t="e">
        <f>E79/E82</f>
        <v>#DIV/0!</v>
      </c>
      <c r="F83" s="47" t="e">
        <f>F79/F82</f>
        <v>#DIV/0!</v>
      </c>
      <c r="G83" s="47" t="e">
        <f>G79/G82</f>
        <v>#DIV/0!</v>
      </c>
      <c r="H83" s="47" t="e">
        <f>H79/H82</f>
        <v>#DIV/0!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2.75" customHeight="1" x14ac:dyDescent="0.25">
      <c r="A84" s="5"/>
      <c r="C84" s="51"/>
    </row>
    <row r="85" spans="1:37" ht="12.75" customHeight="1" x14ac:dyDescent="0.25">
      <c r="A85" s="33" t="s">
        <v>86</v>
      </c>
      <c r="C85" s="4" t="s">
        <v>147</v>
      </c>
    </row>
    <row r="86" spans="1:37" ht="12.75" customHeight="1" x14ac:dyDescent="0.25">
      <c r="A86" s="5" t="s">
        <v>87</v>
      </c>
      <c r="C86" s="49" t="s">
        <v>148</v>
      </c>
      <c r="D86" s="44" t="s">
        <v>3</v>
      </c>
      <c r="E86" s="29">
        <f>E65</f>
        <v>0</v>
      </c>
      <c r="F86" s="29">
        <f>F65</f>
        <v>0</v>
      </c>
      <c r="G86" s="29">
        <f>G65</f>
        <v>0</v>
      </c>
      <c r="H86" s="29">
        <f>H65</f>
        <v>0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ht="12.75" customHeight="1" x14ac:dyDescent="0.25">
      <c r="A87" s="5" t="s">
        <v>88</v>
      </c>
      <c r="C87" s="49" t="s">
        <v>149</v>
      </c>
      <c r="D87" s="44" t="s">
        <v>3</v>
      </c>
      <c r="E87" s="29">
        <f>(E24*(E13/SQRT(3)))/E71/1000</f>
        <v>0</v>
      </c>
      <c r="F87" s="29">
        <f>(F24*(F13/SQRT(3)))/F71/1000</f>
        <v>0</v>
      </c>
      <c r="G87" s="29">
        <f>(G24*(G13/SQRT(3)))/G71/1000</f>
        <v>0</v>
      </c>
      <c r="H87" s="29">
        <f>(H24*(H13/SQRT(3)))/H71/1000</f>
        <v>0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</row>
    <row r="88" spans="1:37" ht="12.75" customHeight="1" x14ac:dyDescent="0.25">
      <c r="A88" s="5" t="s">
        <v>31</v>
      </c>
      <c r="C88" s="49" t="s">
        <v>150</v>
      </c>
      <c r="D88" s="42" t="s">
        <v>106</v>
      </c>
      <c r="E88" s="47" t="e">
        <f>E86/E87</f>
        <v>#DIV/0!</v>
      </c>
      <c r="F88" s="47" t="e">
        <f>F86/F87</f>
        <v>#DIV/0!</v>
      </c>
      <c r="G88" s="47" t="e">
        <f>G86/G87</f>
        <v>#DIV/0!</v>
      </c>
      <c r="H88" s="47" t="e">
        <f>H86/H87</f>
        <v>#DIV/0!</v>
      </c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2.75" customHeight="1" x14ac:dyDescent="0.25">
      <c r="A89" s="5"/>
      <c r="C89" s="51"/>
    </row>
    <row r="90" spans="1:37" ht="12.75" customHeight="1" x14ac:dyDescent="0.25">
      <c r="A90" s="33" t="s">
        <v>89</v>
      </c>
      <c r="C90" s="50" t="s">
        <v>157</v>
      </c>
    </row>
    <row r="91" spans="1:37" ht="12.75" customHeight="1" x14ac:dyDescent="0.25">
      <c r="A91" s="5" t="s">
        <v>31</v>
      </c>
      <c r="B91" s="46"/>
      <c r="C91" s="49" t="s">
        <v>151</v>
      </c>
      <c r="D91" s="42" t="s">
        <v>106</v>
      </c>
      <c r="E91" s="47" t="e">
        <f>(E79/(1.04*E82))+((E74/E75)^1.7)</f>
        <v>#DIV/0!</v>
      </c>
      <c r="F91" s="47" t="e">
        <f>(F79/(1.04*F82))+((F74/F75)^1.7)</f>
        <v>#DIV/0!</v>
      </c>
      <c r="G91" s="47" t="e">
        <f>(G79/(1.04*G82))+((G74/G75)^1.7)</f>
        <v>#DIV/0!</v>
      </c>
      <c r="H91" s="47" t="e">
        <f>(H79/(1.04*H82))+((H74/H75)^1.7)</f>
        <v>#DIV/0!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2.75" customHeight="1" x14ac:dyDescent="0.25">
      <c r="A92" s="5" t="s">
        <v>31</v>
      </c>
      <c r="C92" s="49" t="s">
        <v>152</v>
      </c>
      <c r="D92" s="42" t="s">
        <v>106</v>
      </c>
      <c r="E92" s="47" t="e">
        <f>E83</f>
        <v>#DIV/0!</v>
      </c>
      <c r="F92" s="47" t="e">
        <f>F83</f>
        <v>#DIV/0!</v>
      </c>
      <c r="G92" s="47" t="e">
        <f>G83</f>
        <v>#DIV/0!</v>
      </c>
      <c r="H92" s="47" t="e">
        <f>H83</f>
        <v>#DIV/0!</v>
      </c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2.75" customHeight="1" x14ac:dyDescent="0.25"/>
    <row r="94" spans="1:37" ht="12.75" customHeight="1" x14ac:dyDescent="0.25">
      <c r="A94" s="33" t="s">
        <v>90</v>
      </c>
      <c r="C94" s="50" t="s">
        <v>175</v>
      </c>
    </row>
    <row r="95" spans="1:37" ht="12.75" customHeight="1" x14ac:dyDescent="0.25">
      <c r="A95" s="33"/>
      <c r="C95" s="49" t="s">
        <v>150</v>
      </c>
      <c r="D95" s="42" t="s">
        <v>106</v>
      </c>
      <c r="E95" s="40" t="e">
        <f>E88</f>
        <v>#DIV/0!</v>
      </c>
      <c r="F95" s="40" t="e">
        <f>F88</f>
        <v>#DIV/0!</v>
      </c>
      <c r="G95" s="40" t="e">
        <f>G88</f>
        <v>#DIV/0!</v>
      </c>
      <c r="H95" s="40" t="e">
        <f>H88</f>
        <v>#DIV/0!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 spans="1:37" ht="12.75" customHeight="1" x14ac:dyDescent="0.25">
      <c r="A96" s="5"/>
      <c r="C96" s="4" t="s">
        <v>153</v>
      </c>
      <c r="D96" s="42" t="s">
        <v>106</v>
      </c>
      <c r="E96" s="40" t="e">
        <f>IF(E95&lt;=0.5,1,(1.03*SQRT((1-(E86/E87)^2))))</f>
        <v>#DIV/0!</v>
      </c>
      <c r="F96" s="40" t="e">
        <f>IF(F95&lt;=0.5,1,(1.03*SQRT((1-(F86/F87)^2))))</f>
        <v>#DIV/0!</v>
      </c>
      <c r="G96" s="40" t="e">
        <f>IF(G95&lt;=0.5,1,(1.03*SQRT((1-(G86/G87)^2))))</f>
        <v>#DIV/0!</v>
      </c>
      <c r="H96" s="40" t="e">
        <f>IF(H95&lt;=0.5,1,(1.03*SQRT((1-(H86/H87)^2))))</f>
        <v>#DIV/0!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</row>
    <row r="97" spans="1:37" ht="12.75" customHeight="1" x14ac:dyDescent="0.25">
      <c r="A97" s="33"/>
      <c r="C97" s="49" t="s">
        <v>154</v>
      </c>
      <c r="D97" s="42" t="s">
        <v>3</v>
      </c>
      <c r="E97" s="29" t="e">
        <f>(E75*E96)/E70</f>
        <v>#DIV/0!</v>
      </c>
      <c r="F97" s="29" t="e">
        <f>(F75*F96)/F70</f>
        <v>#DIV/0!</v>
      </c>
      <c r="G97" s="29" t="e">
        <f>(G75*G96)/G70</f>
        <v>#DIV/0!</v>
      </c>
      <c r="H97" s="29" t="e">
        <f>(H75*H96)/H70</f>
        <v>#DIV/0!</v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ht="12.75" customHeight="1" x14ac:dyDescent="0.25">
      <c r="A98" s="33"/>
      <c r="C98" s="49" t="s">
        <v>155</v>
      </c>
      <c r="D98" s="42" t="s">
        <v>130</v>
      </c>
      <c r="E98" s="29" t="e">
        <f>(E82*E96)/E71</f>
        <v>#DIV/0!</v>
      </c>
      <c r="F98" s="29" t="e">
        <f>(F82*F96)/F71</f>
        <v>#DIV/0!</v>
      </c>
      <c r="G98" s="29" t="e">
        <f>(G82*G96)/G71</f>
        <v>#DIV/0!</v>
      </c>
      <c r="H98" s="29" t="e">
        <f>(H82*H96)/H71</f>
        <v>#DIV/0!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ht="12.75" customHeight="1" x14ac:dyDescent="0.25">
      <c r="A99" s="5" t="s">
        <v>31</v>
      </c>
      <c r="C99" s="49" t="s">
        <v>156</v>
      </c>
      <c r="D99" s="42" t="s">
        <v>106</v>
      </c>
      <c r="E99" s="47" t="e">
        <f>E79/E98</f>
        <v>#DIV/0!</v>
      </c>
      <c r="F99" s="47" t="e">
        <f>F79/F98</f>
        <v>#DIV/0!</v>
      </c>
      <c r="G99" s="47" t="e">
        <f>G79/G98</f>
        <v>#DIV/0!</v>
      </c>
      <c r="H99" s="47" t="e">
        <f>H79/H98</f>
        <v>#DIV/0!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25">
      <c r="A100" s="5" t="s">
        <v>31</v>
      </c>
      <c r="C100" s="49" t="s">
        <v>158</v>
      </c>
      <c r="D100" s="42" t="s">
        <v>106</v>
      </c>
      <c r="E100" s="47" t="e">
        <f>(E79/(1.04*E98))+((E74/E97)^1.7)</f>
        <v>#DIV/0!</v>
      </c>
      <c r="F100" s="47" t="e">
        <f>(F79/(1.04*F98))+((F74/F97)^1.7)</f>
        <v>#DIV/0!</v>
      </c>
      <c r="G100" s="47" t="e">
        <f>(G79/(1.04*G98))+((G74/G97)^1.7)</f>
        <v>#DIV/0!</v>
      </c>
      <c r="H100" s="47" t="e">
        <f>(H79/(1.04*H98))+((H74/H97)^1.7)</f>
        <v>#DIV/0!</v>
      </c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2.75" customHeight="1" x14ac:dyDescent="0.25">
      <c r="A101" s="33"/>
      <c r="C101" s="51"/>
    </row>
    <row r="102" spans="1:37" ht="12.75" customHeight="1" x14ac:dyDescent="0.25">
      <c r="A102" s="24" t="s">
        <v>91</v>
      </c>
      <c r="C102" s="51"/>
    </row>
    <row r="103" spans="1:37" ht="12.75" customHeight="1" x14ac:dyDescent="0.25">
      <c r="A103" s="33" t="s">
        <v>92</v>
      </c>
      <c r="C103" s="50" t="s">
        <v>159</v>
      </c>
    </row>
    <row r="104" spans="1:37" ht="12.75" customHeight="1" x14ac:dyDescent="0.4">
      <c r="A104" s="5"/>
      <c r="C104" s="4" t="s">
        <v>160</v>
      </c>
      <c r="D104" s="42" t="s">
        <v>3</v>
      </c>
      <c r="E104" s="29" t="e">
        <f>PI()^2*E15*E25/(E29*1000)^2/1000</f>
        <v>#DIV/0!</v>
      </c>
      <c r="F104" s="29" t="e">
        <f>PI()^2*F15*F25/(F29*1000)^2/1000</f>
        <v>#DIV/0!</v>
      </c>
      <c r="G104" s="29" t="e">
        <f>PI()^2*G15*G25/(G29*1000)^2/1000</f>
        <v>#DIV/0!</v>
      </c>
      <c r="H104" s="29" t="e">
        <f>PI()^2*H15*H25/(H29*1000)^2/1000</f>
        <v>#DIV/0!</v>
      </c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ht="12.75" customHeight="1" x14ac:dyDescent="0.4">
      <c r="A105" s="5"/>
      <c r="C105" s="6" t="s">
        <v>17</v>
      </c>
      <c r="D105" s="42" t="s">
        <v>106</v>
      </c>
      <c r="E105" s="40" t="e">
        <f>SQRT((E23*E13)/(E104*1000))</f>
        <v>#DIV/0!</v>
      </c>
      <c r="F105" s="40" t="e">
        <f>SQRT((F23*F13)/(F104*1000))</f>
        <v>#DIV/0!</v>
      </c>
      <c r="G105" s="40" t="e">
        <f>SQRT((G23*G13)/(G104*1000))</f>
        <v>#DIV/0!</v>
      </c>
      <c r="H105" s="40" t="e">
        <f>SQRT((H23*H13)/(H104*1000))</f>
        <v>#DIV/0!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</row>
    <row r="106" spans="1:37" ht="12.75" customHeight="1" x14ac:dyDescent="0.4">
      <c r="A106" s="5"/>
      <c r="C106" s="4" t="s">
        <v>161</v>
      </c>
      <c r="D106" s="42" t="s">
        <v>106</v>
      </c>
      <c r="E106" s="47" t="e">
        <f>E74/E104</f>
        <v>#DIV/0!</v>
      </c>
      <c r="F106" s="47" t="e">
        <f>F74/F104</f>
        <v>#DIV/0!</v>
      </c>
      <c r="G106" s="47" t="e">
        <f>G74/G104</f>
        <v>#DIV/0!</v>
      </c>
      <c r="H106" s="47" t="e">
        <f>H74/H104</f>
        <v>#DIV/0!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25">
      <c r="A107" s="5"/>
      <c r="C107" s="51"/>
    </row>
    <row r="108" spans="1:37" ht="12.75" customHeight="1" x14ac:dyDescent="0.25">
      <c r="A108" s="5"/>
      <c r="C108" s="4" t="s">
        <v>162</v>
      </c>
      <c r="D108" s="44" t="s">
        <v>106</v>
      </c>
      <c r="E108" s="8" t="str">
        <f t="shared" ref="E108:H109" si="20">E35</f>
        <v>a</v>
      </c>
      <c r="F108" s="8" t="str">
        <f t="shared" si="20"/>
        <v>a</v>
      </c>
      <c r="G108" s="8" t="str">
        <f t="shared" si="20"/>
        <v>a</v>
      </c>
      <c r="H108" s="8" t="str">
        <f t="shared" si="20"/>
        <v>a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ht="12.75" customHeight="1" x14ac:dyDescent="0.25">
      <c r="A109" s="5"/>
      <c r="C109" s="4" t="s">
        <v>15</v>
      </c>
      <c r="D109" s="44" t="s">
        <v>106</v>
      </c>
      <c r="E109" s="40">
        <f t="shared" si="20"/>
        <v>0.21</v>
      </c>
      <c r="F109" s="40">
        <f t="shared" si="20"/>
        <v>0.21</v>
      </c>
      <c r="G109" s="40">
        <f t="shared" si="20"/>
        <v>0.21</v>
      </c>
      <c r="H109" s="40">
        <f t="shared" si="20"/>
        <v>0.21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</row>
    <row r="110" spans="1:37" ht="12.75" customHeight="1" x14ac:dyDescent="0.25">
      <c r="A110" s="5"/>
      <c r="C110" s="6" t="s">
        <v>16</v>
      </c>
      <c r="D110" s="44" t="s">
        <v>106</v>
      </c>
      <c r="E110" s="40" t="e">
        <f>0.5*(1+(E109*(E105-0.2))+E105^2)</f>
        <v>#DIV/0!</v>
      </c>
      <c r="F110" s="40" t="e">
        <f>0.5*(1+(F109*(F105-0.2))+F105^2)</f>
        <v>#DIV/0!</v>
      </c>
      <c r="G110" s="40" t="e">
        <f>0.5*(1+(G109*(G105-0.2))+G105^2)</f>
        <v>#DIV/0!</v>
      </c>
      <c r="H110" s="40" t="e">
        <f>0.5*(1+(H109*(H105-0.2))+H105^2)</f>
        <v>#DIV/0!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</row>
    <row r="111" spans="1:37" ht="12.75" customHeight="1" x14ac:dyDescent="0.25">
      <c r="A111" s="33"/>
      <c r="C111" s="6" t="s">
        <v>18</v>
      </c>
      <c r="D111" s="44" t="s">
        <v>106</v>
      </c>
      <c r="E111" s="40" t="e">
        <f>1/(E110+SQRT(E110^2-E105^2))</f>
        <v>#DIV/0!</v>
      </c>
      <c r="F111" s="40" t="e">
        <f>1/(F110+SQRT(F110^2-F105^2))</f>
        <v>#DIV/0!</v>
      </c>
      <c r="G111" s="40" t="e">
        <f>1/(G110+SQRT(G110^2-G105^2))</f>
        <v>#DIV/0!</v>
      </c>
      <c r="H111" s="40" t="e">
        <f>1/(H110+SQRT(H110^2-H105^2))</f>
        <v>#DIV/0!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</row>
    <row r="112" spans="1:37" ht="12.75" customHeight="1" x14ac:dyDescent="0.4">
      <c r="A112" s="33"/>
      <c r="C112" s="4" t="s">
        <v>163</v>
      </c>
      <c r="D112" s="44" t="s">
        <v>3</v>
      </c>
      <c r="E112" s="29" t="e">
        <f>(E111*E23*E13)/E71/1000</f>
        <v>#DIV/0!</v>
      </c>
      <c r="F112" s="29" t="e">
        <f>(F111*F23*F13)/F71/1000</f>
        <v>#DIV/0!</v>
      </c>
      <c r="G112" s="29" t="e">
        <f>(G111*G23*G13)/G71/1000</f>
        <v>#DIV/0!</v>
      </c>
      <c r="H112" s="29" t="e">
        <f>(H111*H23*H13)/H71/1000</f>
        <v>#DIV/0!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ht="12.75" customHeight="1" x14ac:dyDescent="0.4">
      <c r="A113" s="5" t="s">
        <v>31</v>
      </c>
      <c r="C113" s="4" t="s">
        <v>164</v>
      </c>
      <c r="D113" s="44" t="s">
        <v>106</v>
      </c>
      <c r="E113" s="47" t="e">
        <f>E74/E112</f>
        <v>#DIV/0!</v>
      </c>
      <c r="F113" s="47" t="e">
        <f>F74/F112</f>
        <v>#DIV/0!</v>
      </c>
      <c r="G113" s="47" t="e">
        <f>G74/G112</f>
        <v>#DIV/0!</v>
      </c>
      <c r="H113" s="47" t="e">
        <f>H74/H112</f>
        <v>#DIV/0!</v>
      </c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25">
      <c r="A114" s="33"/>
      <c r="C114" s="51"/>
    </row>
    <row r="115" spans="1:37" ht="12.75" customHeight="1" x14ac:dyDescent="0.25">
      <c r="A115" s="33" t="s">
        <v>93</v>
      </c>
      <c r="C115" s="50" t="s">
        <v>165</v>
      </c>
    </row>
    <row r="116" spans="1:37" ht="12.75" customHeight="1" x14ac:dyDescent="0.25">
      <c r="A116" s="33"/>
      <c r="C116" s="6" t="s">
        <v>18</v>
      </c>
      <c r="D116" s="44" t="s">
        <v>106</v>
      </c>
      <c r="E116" s="40" t="e">
        <f>E111</f>
        <v>#DIV/0!</v>
      </c>
      <c r="F116" s="40" t="e">
        <f>F111</f>
        <v>#DIV/0!</v>
      </c>
      <c r="G116" s="40" t="e">
        <f>G111</f>
        <v>#DIV/0!</v>
      </c>
      <c r="H116" s="40" t="e">
        <f>H111</f>
        <v>#DIV/0!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 spans="1:37" ht="12.75" customHeight="1" x14ac:dyDescent="0.4">
      <c r="A117" s="33"/>
      <c r="C117" s="6" t="s">
        <v>166</v>
      </c>
      <c r="D117" s="44" t="s">
        <v>106</v>
      </c>
      <c r="E117" s="40">
        <v>1</v>
      </c>
      <c r="F117" s="40">
        <v>2</v>
      </c>
      <c r="G117" s="40">
        <v>3</v>
      </c>
      <c r="H117" s="40">
        <v>4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</row>
    <row r="118" spans="1:37" ht="12.75" customHeight="1" x14ac:dyDescent="0.4">
      <c r="A118" s="33"/>
      <c r="C118" s="4" t="s">
        <v>167</v>
      </c>
      <c r="D118" s="44" t="s">
        <v>3</v>
      </c>
      <c r="E118" s="29">
        <f>E75</f>
        <v>0</v>
      </c>
      <c r="F118" s="29">
        <f>F75</f>
        <v>0</v>
      </c>
      <c r="G118" s="29">
        <f>G75</f>
        <v>0</v>
      </c>
      <c r="H118" s="29">
        <f>H75</f>
        <v>0</v>
      </c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7" ht="12.75" customHeight="1" x14ac:dyDescent="0.4">
      <c r="A119" s="33"/>
      <c r="C119" s="4" t="s">
        <v>168</v>
      </c>
      <c r="D119" s="44" t="s">
        <v>3</v>
      </c>
      <c r="E119" s="29" t="e">
        <f>E82</f>
        <v>#DIV/0!</v>
      </c>
      <c r="F119" s="29" t="e">
        <f>F82</f>
        <v>#DIV/0!</v>
      </c>
      <c r="G119" s="29" t="e">
        <f>G82</f>
        <v>#DIV/0!</v>
      </c>
      <c r="H119" s="29" t="e">
        <f>H82</f>
        <v>#DIV/0!</v>
      </c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ht="12.75" customHeight="1" x14ac:dyDescent="0.25">
      <c r="A120" s="33"/>
    </row>
    <row r="121" spans="1:37" ht="12.75" customHeight="1" x14ac:dyDescent="0.4">
      <c r="A121" s="5" t="s">
        <v>94</v>
      </c>
      <c r="C121" s="4" t="s">
        <v>169</v>
      </c>
      <c r="D121" s="44" t="s">
        <v>130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ht="12.75" customHeight="1" x14ac:dyDescent="0.4">
      <c r="A122" s="33"/>
      <c r="C122" s="4" t="s">
        <v>170</v>
      </c>
      <c r="D122" s="44" t="s">
        <v>130</v>
      </c>
      <c r="E122" s="29" t="e">
        <f>E64</f>
        <v>#DIV/0!</v>
      </c>
      <c r="F122" s="29" t="e">
        <f>F64</f>
        <v>#DIV/0!</v>
      </c>
      <c r="G122" s="29" t="e">
        <f>G64</f>
        <v>#DIV/0!</v>
      </c>
      <c r="H122" s="29" t="e">
        <f>H64</f>
        <v>#DIV/0!</v>
      </c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ht="12.75" customHeight="1" x14ac:dyDescent="0.4">
      <c r="A123" s="33"/>
      <c r="C123" s="6" t="s">
        <v>171</v>
      </c>
      <c r="D123" s="44" t="s">
        <v>106</v>
      </c>
      <c r="E123" s="8" t="e">
        <f>E121/E122</f>
        <v>#DIV/0!</v>
      </c>
      <c r="F123" s="8" t="e">
        <f>F121/F122</f>
        <v>#DIV/0!</v>
      </c>
      <c r="G123" s="8" t="e">
        <f>G121/G122</f>
        <v>#DIV/0!</v>
      </c>
      <c r="H123" s="8" t="e">
        <f>H121/H122</f>
        <v>#DIV/0!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ht="12.75" customHeight="1" x14ac:dyDescent="0.25">
      <c r="A124" s="33"/>
      <c r="C124" s="6" t="s">
        <v>19</v>
      </c>
      <c r="D124" s="44" t="s">
        <v>106</v>
      </c>
      <c r="E124" s="8">
        <f>1</f>
        <v>1</v>
      </c>
      <c r="F124" s="8">
        <f>1</f>
        <v>1</v>
      </c>
      <c r="G124" s="8">
        <f>1</f>
        <v>1</v>
      </c>
      <c r="H124" s="8">
        <f>1</f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ht="12.75" customHeight="1" x14ac:dyDescent="0.4">
      <c r="A125" s="33"/>
      <c r="C125" s="4" t="s">
        <v>20</v>
      </c>
      <c r="D125" s="44" t="s">
        <v>106</v>
      </c>
      <c r="E125" s="8">
        <f>0.95</f>
        <v>0.95</v>
      </c>
      <c r="F125" s="8">
        <f>0.95</f>
        <v>0.95</v>
      </c>
      <c r="G125" s="8">
        <f>0.95</f>
        <v>0.95</v>
      </c>
      <c r="H125" s="8">
        <f>0.95</f>
        <v>0.95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ht="12.75" customHeight="1" x14ac:dyDescent="0.25">
      <c r="A126" s="5" t="s">
        <v>179</v>
      </c>
      <c r="C126" s="4" t="s">
        <v>176</v>
      </c>
      <c r="D126" s="44"/>
      <c r="E126" s="40" t="e">
        <f t="shared" ref="E126" si="21">E125*(1+(0.6*E105*(E67/(E116*E118/E71))))</f>
        <v>#DIV/0!</v>
      </c>
      <c r="F126" s="40" t="e">
        <f t="shared" ref="F126:G126" si="22">F125*(1+(0.6*F105*(F67/(F116*F118/F71))))</f>
        <v>#DIV/0!</v>
      </c>
      <c r="G126" s="40" t="e">
        <f t="shared" si="22"/>
        <v>#DIV/0!</v>
      </c>
      <c r="H126" s="40" t="e">
        <f t="shared" ref="H126" si="23">H125*(1+(0.6*H105*(H67/(H116*H118/H71))))</f>
        <v>#DIV/0!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</row>
    <row r="127" spans="1:37" ht="12.75" customHeight="1" x14ac:dyDescent="0.25">
      <c r="A127" s="5" t="s">
        <v>179</v>
      </c>
      <c r="C127" s="4" t="s">
        <v>177</v>
      </c>
      <c r="D127" s="44"/>
      <c r="E127" s="40" t="e">
        <f t="shared" ref="E127" si="24">E125*(1+(0.6*(E74/(E116*E118/E71))))</f>
        <v>#DIV/0!</v>
      </c>
      <c r="F127" s="40" t="e">
        <f t="shared" ref="F127:G127" si="25">F125*(1+(0.6*(F74/(F116*F118/F71))))</f>
        <v>#DIV/0!</v>
      </c>
      <c r="G127" s="40" t="e">
        <f t="shared" si="25"/>
        <v>#DIV/0!</v>
      </c>
      <c r="H127" s="40" t="e">
        <f t="shared" ref="H127" si="26">H125*(1+(0.6*(H74/(H116*H118/H71))))</f>
        <v>#DIV/0!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1:37" ht="12.75" customHeight="1" x14ac:dyDescent="0.25">
      <c r="A128" s="5" t="s">
        <v>179</v>
      </c>
      <c r="C128" s="4" t="s">
        <v>178</v>
      </c>
      <c r="D128" s="44"/>
      <c r="E128" s="40" t="e">
        <f t="shared" ref="E128:H129" si="27">0.8*E126</f>
        <v>#DIV/0!</v>
      </c>
      <c r="F128" s="40" t="e">
        <f t="shared" si="27"/>
        <v>#DIV/0!</v>
      </c>
      <c r="G128" s="40" t="e">
        <f t="shared" si="27"/>
        <v>#DIV/0!</v>
      </c>
      <c r="H128" s="40" t="e">
        <f t="shared" si="27"/>
        <v>#DIV/0!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1:37" ht="12.75" customHeight="1" x14ac:dyDescent="0.25">
      <c r="A129" s="5" t="s">
        <v>179</v>
      </c>
      <c r="C129" s="4" t="s">
        <v>181</v>
      </c>
      <c r="D129" s="44"/>
      <c r="E129" s="40" t="e">
        <f t="shared" si="27"/>
        <v>#DIV/0!</v>
      </c>
      <c r="F129" s="40" t="e">
        <f t="shared" si="27"/>
        <v>#DIV/0!</v>
      </c>
      <c r="G129" s="40" t="e">
        <f t="shared" si="27"/>
        <v>#DIV/0!</v>
      </c>
      <c r="H129" s="40" t="e">
        <f t="shared" si="27"/>
        <v>#DIV/0!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 spans="1:37" ht="12.75" customHeight="1" x14ac:dyDescent="0.25">
      <c r="A130" s="5" t="s">
        <v>180</v>
      </c>
      <c r="C130" s="4" t="s">
        <v>176</v>
      </c>
      <c r="D130" s="44"/>
      <c r="E130" s="40" t="e">
        <f t="shared" ref="E130" si="28">E125*(1+((E105-0.2)*(E74/(E116*E118/E71))))</f>
        <v>#DIV/0!</v>
      </c>
      <c r="F130" s="40" t="e">
        <f t="shared" ref="F130:G130" si="29">F125*(1+((F105-0.2)*(F74/(F116*F118/F71))))</f>
        <v>#DIV/0!</v>
      </c>
      <c r="G130" s="40" t="e">
        <f t="shared" si="29"/>
        <v>#DIV/0!</v>
      </c>
      <c r="H130" s="40" t="e">
        <f t="shared" ref="H130" si="30">H125*(1+((H105-0.2)*(H74/(H116*H118/H71))))</f>
        <v>#DIV/0!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</row>
    <row r="131" spans="1:37" ht="12.75" customHeight="1" x14ac:dyDescent="0.25">
      <c r="A131" s="5" t="s">
        <v>180</v>
      </c>
      <c r="C131" s="4" t="s">
        <v>177</v>
      </c>
      <c r="D131" s="44"/>
      <c r="E131" s="40" t="e">
        <f t="shared" ref="E131" si="31">E125*(1+(0.8*(E74/(E116*E118/E71))))</f>
        <v>#DIV/0!</v>
      </c>
      <c r="F131" s="40" t="e">
        <f t="shared" ref="F131:G131" si="32">F125*(1+(0.8*(F74/(F116*F118/F71))))</f>
        <v>#DIV/0!</v>
      </c>
      <c r="G131" s="40" t="e">
        <f t="shared" si="32"/>
        <v>#DIV/0!</v>
      </c>
      <c r="H131" s="40" t="e">
        <f t="shared" ref="H131" si="33">H125*(1+(0.8*(H74/(H116*H118/H71))))</f>
        <v>#DIV/0!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</row>
    <row r="132" spans="1:37" ht="12.75" customHeight="1" x14ac:dyDescent="0.25">
      <c r="A132" s="5" t="s">
        <v>180</v>
      </c>
      <c r="C132" s="4" t="s">
        <v>178</v>
      </c>
      <c r="D132" s="44"/>
      <c r="E132" s="40" t="e">
        <f t="shared" ref="E132:H133" si="34">0.6*E130</f>
        <v>#DIV/0!</v>
      </c>
      <c r="F132" s="40" t="e">
        <f t="shared" si="34"/>
        <v>#DIV/0!</v>
      </c>
      <c r="G132" s="40" t="e">
        <f t="shared" si="34"/>
        <v>#DIV/0!</v>
      </c>
      <c r="H132" s="40" t="e">
        <f t="shared" si="34"/>
        <v>#DIV/0!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</row>
    <row r="133" spans="1:37" ht="12.75" customHeight="1" x14ac:dyDescent="0.25">
      <c r="A133" s="5" t="s">
        <v>180</v>
      </c>
      <c r="C133" s="4" t="s">
        <v>181</v>
      </c>
      <c r="D133" s="44"/>
      <c r="E133" s="40" t="e">
        <f t="shared" si="34"/>
        <v>#DIV/0!</v>
      </c>
      <c r="F133" s="40" t="e">
        <f t="shared" si="34"/>
        <v>#DIV/0!</v>
      </c>
      <c r="G133" s="40" t="e">
        <f t="shared" si="34"/>
        <v>#DIV/0!</v>
      </c>
      <c r="H133" s="40" t="e">
        <f t="shared" si="34"/>
        <v>#DIV/0!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</row>
    <row r="134" spans="1:37" ht="12.75" customHeight="1" x14ac:dyDescent="0.25">
      <c r="A134" s="33"/>
      <c r="C134" s="4"/>
      <c r="D134" s="4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ht="12.75" customHeight="1" x14ac:dyDescent="0.4">
      <c r="A135" s="33"/>
      <c r="C135" s="3" t="s">
        <v>120</v>
      </c>
      <c r="D135" s="44" t="s">
        <v>106</v>
      </c>
      <c r="E135" s="40" t="e">
        <f t="shared" ref="E135" si="35">IF(E80&lt;3,MIN(E130,E131),MIN(E126,E127))</f>
        <v>#DIV/0!</v>
      </c>
      <c r="F135" s="40" t="e">
        <f t="shared" ref="F135:G135" si="36">IF(F80&lt;3,MIN(F130,F131),MIN(F126,F127))</f>
        <v>#DIV/0!</v>
      </c>
      <c r="G135" s="40" t="e">
        <f t="shared" si="36"/>
        <v>#DIV/0!</v>
      </c>
      <c r="H135" s="40" t="e">
        <f t="shared" ref="H135" si="37">IF(H80&lt;3,MIN(H130,H131),MIN(H126,H127))</f>
        <v>#DIV/0!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</row>
    <row r="136" spans="1:37" ht="12.75" customHeight="1" x14ac:dyDescent="0.4">
      <c r="A136" s="33"/>
      <c r="C136" s="3" t="s">
        <v>121</v>
      </c>
      <c r="D136" s="44" t="s">
        <v>106</v>
      </c>
      <c r="E136" s="40" t="e">
        <f t="shared" ref="E136" si="38">IF(E80&lt;3,MIN(E132,E133),MIN(E128,E129))</f>
        <v>#DIV/0!</v>
      </c>
      <c r="F136" s="40" t="e">
        <f t="shared" ref="F136:G136" si="39">IF(F80&lt;3,MIN(F132,F133),MIN(F128,F129))</f>
        <v>#DIV/0!</v>
      </c>
      <c r="G136" s="40" t="e">
        <f t="shared" si="39"/>
        <v>#DIV/0!</v>
      </c>
      <c r="H136" s="40" t="e">
        <f t="shared" ref="H136" si="40">IF(H80&lt;3,MIN(H132,H133),MIN(H128,H129))</f>
        <v>#DIV/0!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</row>
    <row r="137" spans="1:37" ht="12.75" customHeight="1" x14ac:dyDescent="0.4">
      <c r="A137" s="5" t="s">
        <v>31</v>
      </c>
      <c r="C137" s="4" t="s">
        <v>172</v>
      </c>
      <c r="D137" s="44" t="s">
        <v>106</v>
      </c>
      <c r="E137" s="40" t="e">
        <f t="shared" ref="E137" si="41">E74/(E116*E118)+E135*E79/(E117*E119)</f>
        <v>#DIV/0!</v>
      </c>
      <c r="F137" s="40" t="e">
        <f t="shared" ref="F137:G137" si="42">F74/(F116*F118)+F135*F79/(F117*F119)</f>
        <v>#DIV/0!</v>
      </c>
      <c r="G137" s="40" t="e">
        <f t="shared" si="42"/>
        <v>#DIV/0!</v>
      </c>
      <c r="H137" s="40" t="e">
        <f t="shared" ref="H137" si="43">H74/(H116*H118)+H135*H79/(H117*H119)</f>
        <v>#DIV/0!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</row>
    <row r="138" spans="1:37" ht="12.75" customHeight="1" x14ac:dyDescent="0.4">
      <c r="A138" s="5" t="s">
        <v>31</v>
      </c>
      <c r="C138" s="4" t="s">
        <v>173</v>
      </c>
      <c r="D138" s="44" t="s">
        <v>106</v>
      </c>
      <c r="E138" s="40" t="e">
        <f t="shared" ref="E138" si="44">E74/(E116*E118)+E136*E79/(E117*E119)</f>
        <v>#DIV/0!</v>
      </c>
      <c r="F138" s="40" t="e">
        <f t="shared" ref="F138:G138" si="45">F74/(F116*F118)+F136*F79/(F117*F119)</f>
        <v>#DIV/0!</v>
      </c>
      <c r="G138" s="40" t="e">
        <f t="shared" si="45"/>
        <v>#DIV/0!</v>
      </c>
      <c r="H138" s="40" t="e">
        <f t="shared" ref="H138" si="46">H74/(H116*H118)+H136*H79/(H117*H119)</f>
        <v>#DIV/0!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</row>
    <row r="139" spans="1:37" ht="12.75" customHeight="1" x14ac:dyDescent="0.25">
      <c r="A139" s="33"/>
      <c r="E139" s="8"/>
      <c r="F139" s="8"/>
      <c r="G139" s="8"/>
      <c r="H139" s="8"/>
      <c r="I139" s="8"/>
      <c r="K139" s="8"/>
      <c r="M139" s="8"/>
      <c r="O139" s="8"/>
      <c r="Q139" s="8"/>
      <c r="S139" s="8"/>
      <c r="U139" s="8"/>
      <c r="W139" s="8"/>
      <c r="Y139" s="8"/>
      <c r="AA139" s="8"/>
      <c r="AC139" s="8"/>
      <c r="AE139" s="8"/>
      <c r="AG139" s="8"/>
      <c r="AI139" s="8"/>
      <c r="AK139" s="8"/>
    </row>
    <row r="140" spans="1:37" ht="12.75" customHeight="1" x14ac:dyDescent="0.25">
      <c r="A140" s="34" t="s">
        <v>95</v>
      </c>
      <c r="E140" s="8"/>
      <c r="F140" s="8"/>
      <c r="G140" s="8"/>
      <c r="H140" s="8"/>
      <c r="I140" s="8"/>
      <c r="K140" s="8"/>
      <c r="M140" s="8"/>
      <c r="O140" s="8"/>
      <c r="Q140" s="8"/>
      <c r="S140" s="8"/>
      <c r="U140" s="8"/>
      <c r="W140" s="8"/>
      <c r="Y140" s="8"/>
      <c r="AA140" s="8"/>
      <c r="AC140" s="8"/>
      <c r="AE140" s="8"/>
      <c r="AG140" s="8"/>
      <c r="AI140" s="8"/>
      <c r="AK140" s="8"/>
    </row>
    <row r="141" spans="1:37" ht="12.75" customHeight="1" x14ac:dyDescent="0.25">
      <c r="A141" s="28" t="s">
        <v>96</v>
      </c>
      <c r="C141" s="17" t="s">
        <v>174</v>
      </c>
      <c r="D141" s="20" t="s">
        <v>31</v>
      </c>
      <c r="E141" s="40" t="e">
        <f t="shared" ref="E141" si="47">E76</f>
        <v>#DIV/0!</v>
      </c>
      <c r="F141" s="40" t="e">
        <f t="shared" ref="F141:G141" si="48">F76</f>
        <v>#DIV/0!</v>
      </c>
      <c r="G141" s="40" t="e">
        <f t="shared" si="48"/>
        <v>#DIV/0!</v>
      </c>
      <c r="H141" s="40" t="e">
        <f t="shared" ref="H141" si="49">H76</f>
        <v>#DIV/0!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</row>
    <row r="142" spans="1:37" ht="12.75" customHeight="1" x14ac:dyDescent="0.25">
      <c r="A142" s="15" t="s">
        <v>82</v>
      </c>
      <c r="C142" s="17" t="s">
        <v>141</v>
      </c>
      <c r="D142" s="20" t="s">
        <v>31</v>
      </c>
      <c r="E142" s="40" t="e">
        <f t="shared" ref="E142" si="50">E83</f>
        <v>#DIV/0!</v>
      </c>
      <c r="F142" s="40" t="e">
        <f t="shared" ref="F142:G142" si="51">F83</f>
        <v>#DIV/0!</v>
      </c>
      <c r="G142" s="40" t="e">
        <f t="shared" si="51"/>
        <v>#DIV/0!</v>
      </c>
      <c r="H142" s="40" t="e">
        <f t="shared" ref="H142" si="52">H83</f>
        <v>#DIV/0!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</row>
    <row r="143" spans="1:37" ht="12.75" customHeight="1" x14ac:dyDescent="0.25">
      <c r="A143" s="15" t="s">
        <v>86</v>
      </c>
      <c r="C143" s="17" t="s">
        <v>147</v>
      </c>
      <c r="D143" s="20" t="s">
        <v>31</v>
      </c>
      <c r="E143" s="40" t="e">
        <f t="shared" ref="E143" si="53">E88</f>
        <v>#DIV/0!</v>
      </c>
      <c r="F143" s="40" t="e">
        <f t="shared" ref="F143:G143" si="54">F88</f>
        <v>#DIV/0!</v>
      </c>
      <c r="G143" s="40" t="e">
        <f t="shared" si="54"/>
        <v>#DIV/0!</v>
      </c>
      <c r="H143" s="40" t="e">
        <f t="shared" ref="H143" si="55">H88</f>
        <v>#DIV/0!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</row>
    <row r="144" spans="1:37" ht="12.75" customHeight="1" x14ac:dyDescent="0.25">
      <c r="A144" s="15" t="s">
        <v>89</v>
      </c>
      <c r="C144" s="17" t="s">
        <v>157</v>
      </c>
      <c r="D144" s="20" t="s">
        <v>31</v>
      </c>
      <c r="E144" s="40" t="e">
        <f t="shared" ref="E144" si="56">E91</f>
        <v>#DIV/0!</v>
      </c>
      <c r="F144" s="40" t="e">
        <f t="shared" ref="F144:G144" si="57">F91</f>
        <v>#DIV/0!</v>
      </c>
      <c r="G144" s="40" t="e">
        <f t="shared" si="57"/>
        <v>#DIV/0!</v>
      </c>
      <c r="H144" s="40" t="e">
        <f t="shared" ref="H144" si="58">H91</f>
        <v>#DIV/0!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</row>
    <row r="145" spans="1:37" ht="12.75" customHeight="1" x14ac:dyDescent="0.25">
      <c r="C145" s="17"/>
      <c r="D145" s="20" t="s">
        <v>31</v>
      </c>
      <c r="E145" s="40" t="e">
        <f t="shared" ref="E145" si="59">E92</f>
        <v>#DIV/0!</v>
      </c>
      <c r="F145" s="40" t="e">
        <f t="shared" ref="F145:G145" si="60">F92</f>
        <v>#DIV/0!</v>
      </c>
      <c r="G145" s="40" t="e">
        <f t="shared" si="60"/>
        <v>#DIV/0!</v>
      </c>
      <c r="H145" s="40" t="e">
        <f t="shared" ref="H145" si="61">H92</f>
        <v>#DIV/0!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</row>
    <row r="146" spans="1:37" ht="12.75" customHeight="1" x14ac:dyDescent="0.25">
      <c r="A146" s="15" t="s">
        <v>90</v>
      </c>
      <c r="C146" s="17" t="s">
        <v>175</v>
      </c>
      <c r="D146" s="20" t="s">
        <v>31</v>
      </c>
      <c r="E146" s="40" t="e">
        <f t="shared" ref="E146" si="62">E99</f>
        <v>#DIV/0!</v>
      </c>
      <c r="F146" s="40" t="e">
        <f t="shared" ref="F146:G146" si="63">F99</f>
        <v>#DIV/0!</v>
      </c>
      <c r="G146" s="40" t="e">
        <f t="shared" si="63"/>
        <v>#DIV/0!</v>
      </c>
      <c r="H146" s="40" t="e">
        <f t="shared" ref="H146" si="64">H99</f>
        <v>#DIV/0!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1:37" ht="12.75" customHeight="1" x14ac:dyDescent="0.25">
      <c r="A147" s="5"/>
      <c r="C147" s="4"/>
      <c r="D147" s="20" t="s">
        <v>31</v>
      </c>
      <c r="E147" s="40" t="e">
        <f t="shared" ref="E147" si="65">E100</f>
        <v>#DIV/0!</v>
      </c>
      <c r="F147" s="40" t="e">
        <f t="shared" ref="F147:G147" si="66">F100</f>
        <v>#DIV/0!</v>
      </c>
      <c r="G147" s="40" t="e">
        <f t="shared" si="66"/>
        <v>#DIV/0!</v>
      </c>
      <c r="H147" s="40" t="e">
        <f t="shared" ref="H147" si="67">H100</f>
        <v>#DIV/0!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</row>
    <row r="148" spans="1:37" ht="12.75" customHeight="1" x14ac:dyDescent="0.25">
      <c r="A148" s="5" t="s">
        <v>92</v>
      </c>
      <c r="C148" s="45" t="s">
        <v>159</v>
      </c>
      <c r="D148" s="20" t="s">
        <v>31</v>
      </c>
      <c r="E148" s="40" t="e">
        <f t="shared" ref="E148" si="68">MAX(E106,E113)</f>
        <v>#DIV/0!</v>
      </c>
      <c r="F148" s="40" t="e">
        <f t="shared" ref="F148:G148" si="69">MAX(F106,F113)</f>
        <v>#DIV/0!</v>
      </c>
      <c r="G148" s="40" t="e">
        <f t="shared" si="69"/>
        <v>#DIV/0!</v>
      </c>
      <c r="H148" s="40" t="e">
        <f t="shared" ref="H148" si="70">MAX(H106,H113)</f>
        <v>#DIV/0!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</row>
    <row r="149" spans="1:37" ht="12.75" customHeight="1" x14ac:dyDescent="0.25">
      <c r="A149" s="5" t="s">
        <v>93</v>
      </c>
      <c r="C149" s="45" t="s">
        <v>165</v>
      </c>
      <c r="D149" s="20" t="s">
        <v>31</v>
      </c>
      <c r="E149" s="40" t="e">
        <f t="shared" ref="E149:H150" si="71">E137</f>
        <v>#DIV/0!</v>
      </c>
      <c r="F149" s="40" t="e">
        <f t="shared" si="71"/>
        <v>#DIV/0!</v>
      </c>
      <c r="G149" s="40" t="e">
        <f t="shared" si="71"/>
        <v>#DIV/0!</v>
      </c>
      <c r="H149" s="40" t="e">
        <f t="shared" si="71"/>
        <v>#DIV/0!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</row>
    <row r="150" spans="1:37" ht="12.75" customHeight="1" x14ac:dyDescent="0.25">
      <c r="A150" s="33"/>
      <c r="D150" s="20" t="s">
        <v>31</v>
      </c>
      <c r="E150" s="40" t="e">
        <f t="shared" si="71"/>
        <v>#DIV/0!</v>
      </c>
      <c r="F150" s="40" t="e">
        <f t="shared" si="71"/>
        <v>#DIV/0!</v>
      </c>
      <c r="G150" s="40" t="e">
        <f t="shared" si="71"/>
        <v>#DIV/0!</v>
      </c>
      <c r="H150" s="40" t="e">
        <f t="shared" si="71"/>
        <v>#DIV/0!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</row>
    <row r="151" spans="1:37" ht="12.75" customHeight="1" x14ac:dyDescent="0.25">
      <c r="D151" s="50" t="s">
        <v>182</v>
      </c>
      <c r="E151" s="47" t="e">
        <f>MAX(E141:E150)</f>
        <v>#DIV/0!</v>
      </c>
      <c r="F151" s="47" t="e">
        <f>MAX(F141:F150)</f>
        <v>#DIV/0!</v>
      </c>
      <c r="G151" s="47" t="e">
        <f>MAX(G141:G150)</f>
        <v>#DIV/0!</v>
      </c>
      <c r="H151" s="47" t="e">
        <f>MAX(H141:H150)</f>
        <v>#DIV/0!</v>
      </c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3" x14ac:dyDescent="0.25">
      <c r="E152" s="48" t="e">
        <f>IF(E151&lt;=1,"voldoet","voldoet niet")</f>
        <v>#DIV/0!</v>
      </c>
      <c r="F152" s="48" t="e">
        <f>IF(F151&lt;=1,"voldoet","voldoet niet")</f>
        <v>#DIV/0!</v>
      </c>
      <c r="G152" s="48" t="e">
        <f>IF(G151&lt;=1,"voldoet","voldoet niet")</f>
        <v>#DIV/0!</v>
      </c>
      <c r="H152" s="48" t="e">
        <f>IF(H151&lt;=1,"voldoet","voldoet niet")</f>
        <v>#DIV/0!</v>
      </c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</row>
  </sheetData>
  <conditionalFormatting sqref="E151:Y151">
    <cfRule type="cellIs" dxfId="5" priority="4" operator="lessThan">
      <formula>1</formula>
    </cfRule>
  </conditionalFormatting>
  <conditionalFormatting sqref="E151:Y151">
    <cfRule type="cellIs" dxfId="4" priority="3" operator="greaterThan">
      <formula>1</formula>
    </cfRule>
  </conditionalFormatting>
  <conditionalFormatting sqref="Z151:AK151">
    <cfRule type="cellIs" dxfId="3" priority="2" operator="lessThan">
      <formula>1</formula>
    </cfRule>
  </conditionalFormatting>
  <conditionalFormatting sqref="Z151:AK151">
    <cfRule type="cellIs" dxfId="2" priority="1" operator="greaterThan">
      <formula>1</formula>
    </cfRule>
  </conditionalFormatting>
  <pageMargins left="0.7" right="0.7" top="0.75" bottom="0.75" header="0.3" footer="0.3"/>
  <pageSetup paperSize="8" scale="52" fitToHeight="0" orientation="landscape" r:id="rId1"/>
  <headerFooter>
    <oddHeader xml:space="preserve">&amp;L
&amp;C&amp;G
&amp;R
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76C-C007-45A1-ACB5-22DAAAF089CD}">
  <sheetPr>
    <pageSetUpPr fitToPage="1"/>
  </sheetPr>
  <dimension ref="A3:AL168"/>
  <sheetViews>
    <sheetView zoomScale="145" zoomScaleNormal="145" workbookViewId="0">
      <selection activeCell="B65" sqref="B65"/>
    </sheetView>
  </sheetViews>
  <sheetFormatPr defaultColWidth="9.1796875" defaultRowHeight="12.5" x14ac:dyDescent="0.25"/>
  <cols>
    <col min="1" max="1" width="24.7265625" style="15" customWidth="1"/>
    <col min="2" max="2" width="21.7265625" style="15" bestFit="1" customWidth="1"/>
    <col min="3" max="3" width="3.453125" style="15" bestFit="1" customWidth="1"/>
    <col min="4" max="4" width="7.7265625" style="8" bestFit="1" customWidth="1"/>
    <col min="5" max="5" width="11.7265625" style="15" bestFit="1" customWidth="1"/>
    <col min="6" max="25" width="9.7265625" style="15" customWidth="1"/>
    <col min="26" max="26" width="9.7265625" style="70" customWidth="1"/>
    <col min="27" max="37" width="9.7265625" style="15" customWidth="1"/>
    <col min="38" max="16384" width="9.1796875" style="15"/>
  </cols>
  <sheetData>
    <row r="3" spans="1:38" ht="17.5" x14ac:dyDescent="0.25">
      <c r="A3" s="22" t="s">
        <v>32</v>
      </c>
      <c r="G3" s="32"/>
      <c r="J3" s="8"/>
    </row>
    <row r="4" spans="1:38" ht="14" x14ac:dyDescent="0.25">
      <c r="A4" s="23" t="s">
        <v>28</v>
      </c>
      <c r="B4" s="15" t="e">
        <f>#REF!</f>
        <v>#REF!</v>
      </c>
      <c r="F4" s="31" t="s">
        <v>118</v>
      </c>
      <c r="I4" s="55" t="s">
        <v>56</v>
      </c>
      <c r="J4" s="26" t="s">
        <v>106</v>
      </c>
      <c r="K4" s="8">
        <f>hulpblad!$B$11</f>
        <v>1.25</v>
      </c>
      <c r="L4" s="8"/>
    </row>
    <row r="5" spans="1:38" ht="14" x14ac:dyDescent="0.25">
      <c r="A5" s="23" t="s">
        <v>33</v>
      </c>
      <c r="B5" s="15" t="e">
        <f>#REF!</f>
        <v>#REF!</v>
      </c>
      <c r="I5" s="55" t="s">
        <v>412</v>
      </c>
      <c r="J5" s="26" t="s">
        <v>106</v>
      </c>
      <c r="K5" s="8">
        <v>1.1000000000000001</v>
      </c>
      <c r="L5" s="8"/>
    </row>
    <row r="6" spans="1:38" ht="14" x14ac:dyDescent="0.25">
      <c r="A6" s="23" t="s">
        <v>4</v>
      </c>
      <c r="B6" s="15" t="e">
        <f>#REF!</f>
        <v>#REF!</v>
      </c>
      <c r="G6" s="31"/>
      <c r="I6" s="54"/>
      <c r="J6" s="26"/>
      <c r="K6" s="8"/>
      <c r="L6" s="8"/>
      <c r="P6" s="55"/>
      <c r="Q6" s="26"/>
      <c r="R6" s="8"/>
    </row>
    <row r="7" spans="1:38" ht="14" x14ac:dyDescent="0.25">
      <c r="A7" s="23" t="s">
        <v>34</v>
      </c>
      <c r="B7" s="15" t="e">
        <f>#REF!</f>
        <v>#REF!</v>
      </c>
      <c r="G7" s="31"/>
      <c r="I7" s="54"/>
      <c r="J7" s="26"/>
      <c r="K7" s="8"/>
      <c r="L7" s="8"/>
      <c r="P7" s="55"/>
      <c r="Q7" s="26"/>
      <c r="R7" s="8"/>
    </row>
    <row r="8" spans="1:38" ht="14" x14ac:dyDescent="0.25">
      <c r="A8" s="23" t="s">
        <v>29</v>
      </c>
      <c r="B8" s="15" t="e">
        <f>#REF!</f>
        <v>#REF!</v>
      </c>
      <c r="G8" s="31"/>
      <c r="I8" s="51"/>
      <c r="J8" s="42"/>
      <c r="K8" s="8"/>
      <c r="L8" s="8"/>
    </row>
    <row r="9" spans="1:38" x14ac:dyDescent="0.25">
      <c r="D9" s="15"/>
    </row>
    <row r="10" spans="1:38" ht="61.5" x14ac:dyDescent="0.25">
      <c r="A10" s="24" t="s">
        <v>35</v>
      </c>
      <c r="E10" s="35" t="s">
        <v>108</v>
      </c>
      <c r="F10" s="35" t="s">
        <v>108</v>
      </c>
      <c r="G10" s="35" t="s">
        <v>108</v>
      </c>
      <c r="H10" s="35" t="s">
        <v>108</v>
      </c>
      <c r="I10" s="35" t="s">
        <v>108</v>
      </c>
      <c r="J10" s="35" t="s">
        <v>108</v>
      </c>
      <c r="K10" s="35" t="s">
        <v>108</v>
      </c>
      <c r="L10" s="35" t="s">
        <v>108</v>
      </c>
      <c r="M10" s="35" t="s">
        <v>108</v>
      </c>
      <c r="N10" s="35" t="s">
        <v>108</v>
      </c>
      <c r="O10" s="35" t="s">
        <v>108</v>
      </c>
      <c r="P10" s="35" t="s">
        <v>108</v>
      </c>
      <c r="Q10" s="35" t="s">
        <v>108</v>
      </c>
      <c r="R10" s="35" t="s">
        <v>108</v>
      </c>
      <c r="S10" s="35" t="s">
        <v>108</v>
      </c>
      <c r="T10" s="35" t="s">
        <v>108</v>
      </c>
      <c r="U10" s="35" t="s">
        <v>108</v>
      </c>
      <c r="V10" s="35" t="s">
        <v>108</v>
      </c>
      <c r="W10" s="35" t="s">
        <v>108</v>
      </c>
      <c r="X10" s="35" t="s">
        <v>108</v>
      </c>
      <c r="Y10" s="35" t="s">
        <v>108</v>
      </c>
      <c r="Z10" s="71" t="s">
        <v>108</v>
      </c>
      <c r="AA10" s="35" t="s">
        <v>108</v>
      </c>
      <c r="AB10" s="35" t="s">
        <v>108</v>
      </c>
      <c r="AC10" s="35" t="s">
        <v>108</v>
      </c>
      <c r="AD10" s="35" t="s">
        <v>108</v>
      </c>
      <c r="AE10" s="35" t="s">
        <v>108</v>
      </c>
      <c r="AF10" s="35" t="s">
        <v>108</v>
      </c>
      <c r="AG10" s="35" t="s">
        <v>108</v>
      </c>
      <c r="AH10" s="35" t="s">
        <v>108</v>
      </c>
      <c r="AI10" s="35" t="s">
        <v>108</v>
      </c>
      <c r="AJ10" s="35" t="s">
        <v>108</v>
      </c>
      <c r="AK10" s="35" t="s">
        <v>108</v>
      </c>
      <c r="AL10" s="35"/>
    </row>
    <row r="11" spans="1:38" ht="12.75" customHeight="1" x14ac:dyDescent="0.25">
      <c r="A11" s="25" t="s">
        <v>36</v>
      </c>
      <c r="E11" s="58" t="e">
        <f>#REF!</f>
        <v>#REF!</v>
      </c>
      <c r="F11" s="58" t="e">
        <f>#REF!</f>
        <v>#REF!</v>
      </c>
      <c r="G11" s="58" t="e">
        <f>#REF!</f>
        <v>#REF!</v>
      </c>
      <c r="H11" s="58" t="e">
        <f>#REF!</f>
        <v>#REF!</v>
      </c>
      <c r="I11" s="58" t="e">
        <f>#REF!</f>
        <v>#REF!</v>
      </c>
      <c r="J11" s="58" t="e">
        <f>#REF!</f>
        <v>#REF!</v>
      </c>
      <c r="K11" s="58" t="e">
        <f>#REF!</f>
        <v>#REF!</v>
      </c>
      <c r="L11" s="58" t="e">
        <f>#REF!</f>
        <v>#REF!</v>
      </c>
      <c r="M11" s="58" t="e">
        <f>#REF!</f>
        <v>#REF!</v>
      </c>
      <c r="N11" s="58" t="e">
        <f>#REF!</f>
        <v>#REF!</v>
      </c>
      <c r="O11" s="58" t="e">
        <f>#REF!</f>
        <v>#REF!</v>
      </c>
      <c r="P11" s="58" t="e">
        <f>#REF!</f>
        <v>#REF!</v>
      </c>
      <c r="Q11" s="58" t="e">
        <f>#REF!</f>
        <v>#REF!</v>
      </c>
      <c r="R11" s="58" t="e">
        <f>#REF!</f>
        <v>#REF!</v>
      </c>
      <c r="S11" s="58" t="e">
        <f>#REF!</f>
        <v>#REF!</v>
      </c>
      <c r="T11" s="58" t="e">
        <f>#REF!</f>
        <v>#REF!</v>
      </c>
      <c r="U11" s="58" t="e">
        <f>#REF!</f>
        <v>#REF!</v>
      </c>
      <c r="V11" s="58" t="e">
        <f>#REF!</f>
        <v>#REF!</v>
      </c>
      <c r="W11" s="58" t="e">
        <f>#REF!</f>
        <v>#REF!</v>
      </c>
      <c r="X11" s="58" t="e">
        <f>#REF!</f>
        <v>#REF!</v>
      </c>
      <c r="Y11" s="58" t="e">
        <f>#REF!</f>
        <v>#REF!</v>
      </c>
      <c r="Z11" s="72" t="e">
        <f>#REF!</f>
        <v>#REF!</v>
      </c>
      <c r="AA11" s="58" t="e">
        <f>#REF!</f>
        <v>#REF!</v>
      </c>
      <c r="AB11" s="58" t="e">
        <f>#REF!</f>
        <v>#REF!</v>
      </c>
      <c r="AC11" s="58" t="e">
        <f>#REF!</f>
        <v>#REF!</v>
      </c>
      <c r="AD11" s="58" t="e">
        <f>#REF!</f>
        <v>#REF!</v>
      </c>
      <c r="AE11" s="58" t="e">
        <f>#REF!</f>
        <v>#REF!</v>
      </c>
      <c r="AF11" s="58" t="e">
        <f>#REF!</f>
        <v>#REF!</v>
      </c>
      <c r="AG11" s="58" t="e">
        <f>#REF!</f>
        <v>#REF!</v>
      </c>
      <c r="AH11" s="58" t="e">
        <f>#REF!</f>
        <v>#REF!</v>
      </c>
      <c r="AI11" s="58" t="e">
        <f>#REF!</f>
        <v>#REF!</v>
      </c>
      <c r="AJ11" s="58" t="e">
        <f>#REF!</f>
        <v>#REF!</v>
      </c>
      <c r="AK11" s="58" t="e">
        <f>#REF!</f>
        <v>#REF!</v>
      </c>
      <c r="AL11" s="8"/>
    </row>
    <row r="12" spans="1:38" ht="12.75" customHeight="1" x14ac:dyDescent="0.25">
      <c r="A12" s="15" t="s">
        <v>37</v>
      </c>
      <c r="C12" s="15" t="s">
        <v>102</v>
      </c>
      <c r="D12" s="26" t="s">
        <v>106</v>
      </c>
      <c r="E12" s="8" t="e">
        <f>VLOOKUP(E11,#REF!,5)</f>
        <v>#REF!</v>
      </c>
      <c r="F12" s="8" t="e">
        <f>VLOOKUP(F11,#REF!,5)</f>
        <v>#REF!</v>
      </c>
      <c r="G12" s="8" t="e">
        <f>VLOOKUP(G11,#REF!,5)</f>
        <v>#REF!</v>
      </c>
      <c r="H12" s="8" t="e">
        <f>VLOOKUP(H11,#REF!,5)</f>
        <v>#REF!</v>
      </c>
      <c r="I12" s="8" t="e">
        <f>VLOOKUP(I11,#REF!,5)</f>
        <v>#REF!</v>
      </c>
      <c r="J12" s="8" t="e">
        <f>VLOOKUP(J11,#REF!,5)</f>
        <v>#REF!</v>
      </c>
      <c r="K12" s="8" t="e">
        <f>VLOOKUP(K11,#REF!,5)</f>
        <v>#REF!</v>
      </c>
      <c r="L12" s="8" t="e">
        <f>VLOOKUP(L11,#REF!,5)</f>
        <v>#REF!</v>
      </c>
      <c r="M12" s="8" t="e">
        <f>VLOOKUP(M11,#REF!,5)</f>
        <v>#REF!</v>
      </c>
      <c r="N12" s="8" t="e">
        <f>VLOOKUP(N11,#REF!,5)</f>
        <v>#REF!</v>
      </c>
      <c r="O12" s="8" t="e">
        <f>VLOOKUP(O11,#REF!,5)</f>
        <v>#REF!</v>
      </c>
      <c r="P12" s="8" t="e">
        <f>VLOOKUP(P11,#REF!,5)</f>
        <v>#REF!</v>
      </c>
      <c r="Q12" s="8" t="e">
        <f>VLOOKUP(Q11,#REF!,5)</f>
        <v>#REF!</v>
      </c>
      <c r="R12" s="8" t="e">
        <f>VLOOKUP(R11,#REF!,5)</f>
        <v>#REF!</v>
      </c>
      <c r="S12" s="8" t="e">
        <f>VLOOKUP(S11,#REF!,5)</f>
        <v>#REF!</v>
      </c>
      <c r="T12" s="8" t="e">
        <f>VLOOKUP(T11,#REF!,5)</f>
        <v>#REF!</v>
      </c>
      <c r="U12" s="8" t="e">
        <f>VLOOKUP(U11,#REF!,5)</f>
        <v>#REF!</v>
      </c>
      <c r="V12" s="8" t="e">
        <f>VLOOKUP(V11,#REF!,5)</f>
        <v>#REF!</v>
      </c>
      <c r="W12" s="8" t="e">
        <f>VLOOKUP(W11,#REF!,5)</f>
        <v>#REF!</v>
      </c>
      <c r="X12" s="8" t="e">
        <f>VLOOKUP(X11,#REF!,5)</f>
        <v>#REF!</v>
      </c>
      <c r="Y12" s="8" t="e">
        <f>VLOOKUP(Y11,#REF!,5)</f>
        <v>#REF!</v>
      </c>
      <c r="Z12" s="72" t="e">
        <f>VLOOKUP(Z11,#REF!,5)</f>
        <v>#REF!</v>
      </c>
      <c r="AA12" s="8" t="e">
        <f>VLOOKUP(AA11,#REF!,5)</f>
        <v>#REF!</v>
      </c>
      <c r="AB12" s="8" t="e">
        <f>VLOOKUP(AB11,#REF!,5)</f>
        <v>#REF!</v>
      </c>
      <c r="AC12" s="8" t="e">
        <f>VLOOKUP(AC11,#REF!,5)</f>
        <v>#REF!</v>
      </c>
      <c r="AD12" s="8" t="e">
        <f>VLOOKUP(AD11,#REF!,5)</f>
        <v>#REF!</v>
      </c>
      <c r="AE12" s="8" t="e">
        <f>VLOOKUP(AE11,#REF!,5)</f>
        <v>#REF!</v>
      </c>
      <c r="AF12" s="8" t="e">
        <f>VLOOKUP(AF11,#REF!,5)</f>
        <v>#REF!</v>
      </c>
      <c r="AG12" s="8" t="e">
        <f>VLOOKUP(AG11,#REF!,5)</f>
        <v>#REF!</v>
      </c>
      <c r="AH12" s="8" t="e">
        <f>VLOOKUP(AH11,#REF!,5)</f>
        <v>#REF!</v>
      </c>
      <c r="AI12" s="8" t="e">
        <f>VLOOKUP(AI11,#REF!,5)</f>
        <v>#REF!</v>
      </c>
      <c r="AJ12" s="8" t="e">
        <f>VLOOKUP(AJ11,#REF!,5)</f>
        <v>#REF!</v>
      </c>
      <c r="AK12" s="8" t="e">
        <f>VLOOKUP(AK11,#REF!,5)</f>
        <v>#REF!</v>
      </c>
    </row>
    <row r="13" spans="1:38" ht="12.75" customHeight="1" x14ac:dyDescent="0.25">
      <c r="A13" s="15" t="s">
        <v>38</v>
      </c>
      <c r="B13" s="53" t="s">
        <v>98</v>
      </c>
      <c r="C13" s="15" t="s">
        <v>103</v>
      </c>
      <c r="D13" s="8" t="s">
        <v>107</v>
      </c>
      <c r="E13" s="8" t="e">
        <f>E12</f>
        <v>#REF!</v>
      </c>
      <c r="F13" s="8" t="e">
        <f>F12</f>
        <v>#REF!</v>
      </c>
      <c r="G13" s="8" t="e">
        <f t="shared" ref="G13:AK13" si="0">G12</f>
        <v>#REF!</v>
      </c>
      <c r="H13" s="8" t="e">
        <f t="shared" si="0"/>
        <v>#REF!</v>
      </c>
      <c r="I13" s="8" t="e">
        <f t="shared" si="0"/>
        <v>#REF!</v>
      </c>
      <c r="J13" s="8" t="e">
        <f t="shared" si="0"/>
        <v>#REF!</v>
      </c>
      <c r="K13" s="8" t="e">
        <f t="shared" si="0"/>
        <v>#REF!</v>
      </c>
      <c r="L13" s="8" t="e">
        <f t="shared" si="0"/>
        <v>#REF!</v>
      </c>
      <c r="M13" s="8" t="e">
        <f t="shared" si="0"/>
        <v>#REF!</v>
      </c>
      <c r="N13" s="8" t="e">
        <f t="shared" si="0"/>
        <v>#REF!</v>
      </c>
      <c r="O13" s="8" t="e">
        <f t="shared" si="0"/>
        <v>#REF!</v>
      </c>
      <c r="P13" s="8" t="e">
        <f t="shared" si="0"/>
        <v>#REF!</v>
      </c>
      <c r="Q13" s="8" t="e">
        <f t="shared" si="0"/>
        <v>#REF!</v>
      </c>
      <c r="R13" s="8" t="e">
        <f t="shared" si="0"/>
        <v>#REF!</v>
      </c>
      <c r="S13" s="8" t="e">
        <f t="shared" si="0"/>
        <v>#REF!</v>
      </c>
      <c r="T13" s="8" t="e">
        <f t="shared" si="0"/>
        <v>#REF!</v>
      </c>
      <c r="U13" s="8" t="e">
        <f t="shared" si="0"/>
        <v>#REF!</v>
      </c>
      <c r="V13" s="8" t="e">
        <f t="shared" si="0"/>
        <v>#REF!</v>
      </c>
      <c r="W13" s="8" t="e">
        <f t="shared" si="0"/>
        <v>#REF!</v>
      </c>
      <c r="X13" s="8" t="e">
        <f t="shared" si="0"/>
        <v>#REF!</v>
      </c>
      <c r="Y13" s="8" t="e">
        <f t="shared" si="0"/>
        <v>#REF!</v>
      </c>
      <c r="Z13" s="72" t="e">
        <f t="shared" si="0"/>
        <v>#REF!</v>
      </c>
      <c r="AA13" s="8" t="e">
        <f t="shared" si="0"/>
        <v>#REF!</v>
      </c>
      <c r="AB13" s="8" t="e">
        <f t="shared" si="0"/>
        <v>#REF!</v>
      </c>
      <c r="AC13" s="8" t="e">
        <f t="shared" si="0"/>
        <v>#REF!</v>
      </c>
      <c r="AD13" s="8" t="e">
        <f t="shared" si="0"/>
        <v>#REF!</v>
      </c>
      <c r="AE13" s="8" t="e">
        <f t="shared" si="0"/>
        <v>#REF!</v>
      </c>
      <c r="AF13" s="8" t="e">
        <f t="shared" si="0"/>
        <v>#REF!</v>
      </c>
      <c r="AG13" s="8" t="e">
        <f t="shared" si="0"/>
        <v>#REF!</v>
      </c>
      <c r="AH13" s="8" t="e">
        <f t="shared" si="0"/>
        <v>#REF!</v>
      </c>
      <c r="AI13" s="8" t="e">
        <f t="shared" si="0"/>
        <v>#REF!</v>
      </c>
      <c r="AJ13" s="8" t="e">
        <f t="shared" si="0"/>
        <v>#REF!</v>
      </c>
      <c r="AK13" s="8" t="e">
        <f t="shared" si="0"/>
        <v>#REF!</v>
      </c>
    </row>
    <row r="14" spans="1:38" ht="12.75" customHeight="1" x14ac:dyDescent="0.25">
      <c r="A14" s="15" t="s">
        <v>39</v>
      </c>
      <c r="B14" s="53" t="s">
        <v>98</v>
      </c>
      <c r="C14" s="15" t="s">
        <v>104</v>
      </c>
      <c r="D14" s="8" t="s">
        <v>107</v>
      </c>
      <c r="E14" s="8" t="e">
        <f>VLOOKUP(E13,hulpblad!$C$1:$E$4,3)</f>
        <v>#REF!</v>
      </c>
      <c r="F14" s="8" t="e">
        <f>VLOOKUP(F13,hulpblad!$C$1:$E$4,3)</f>
        <v>#REF!</v>
      </c>
      <c r="G14" s="8" t="e">
        <f>VLOOKUP(G13,hulpblad!$C$1:$E$4,3)</f>
        <v>#REF!</v>
      </c>
      <c r="H14" s="8" t="e">
        <f>VLOOKUP(H13,hulpblad!$C$1:$E$4,3)</f>
        <v>#REF!</v>
      </c>
      <c r="I14" s="8" t="e">
        <f>VLOOKUP(I13,hulpblad!$C$1:$E$4,3)</f>
        <v>#REF!</v>
      </c>
      <c r="J14" s="8" t="e">
        <f>VLOOKUP(J13,hulpblad!$C$1:$E$4,3)</f>
        <v>#REF!</v>
      </c>
      <c r="K14" s="8" t="e">
        <f>VLOOKUP(K13,hulpblad!$C$1:$E$4,3)</f>
        <v>#REF!</v>
      </c>
      <c r="L14" s="8" t="e">
        <f>VLOOKUP(L13,hulpblad!$C$1:$E$4,3)</f>
        <v>#REF!</v>
      </c>
      <c r="M14" s="8" t="e">
        <f>VLOOKUP(M13,hulpblad!$C$1:$E$4,3)</f>
        <v>#REF!</v>
      </c>
      <c r="N14" s="8" t="e">
        <f>VLOOKUP(N13,hulpblad!$C$1:$E$4,3)</f>
        <v>#REF!</v>
      </c>
      <c r="O14" s="8" t="e">
        <f>VLOOKUP(O13,hulpblad!$C$1:$E$4,3)</f>
        <v>#REF!</v>
      </c>
      <c r="P14" s="8" t="e">
        <f>VLOOKUP(P13,hulpblad!$C$1:$E$4,3)</f>
        <v>#REF!</v>
      </c>
      <c r="Q14" s="8" t="e">
        <f>VLOOKUP(Q13,hulpblad!$C$1:$E$4,3)</f>
        <v>#REF!</v>
      </c>
      <c r="R14" s="8" t="e">
        <f>VLOOKUP(R13,hulpblad!$C$1:$E$4,3)</f>
        <v>#REF!</v>
      </c>
      <c r="S14" s="8" t="e">
        <f>VLOOKUP(S13,hulpblad!$C$1:$E$4,3)</f>
        <v>#REF!</v>
      </c>
      <c r="T14" s="8" t="e">
        <f>VLOOKUP(T13,hulpblad!$C$1:$E$4,3)</f>
        <v>#REF!</v>
      </c>
      <c r="U14" s="8" t="e">
        <f>VLOOKUP(U13,hulpblad!$C$1:$E$4,3)</f>
        <v>#REF!</v>
      </c>
      <c r="V14" s="8" t="e">
        <f>VLOOKUP(V13,hulpblad!$C$1:$E$4,3)</f>
        <v>#REF!</v>
      </c>
      <c r="W14" s="8" t="e">
        <f>VLOOKUP(W13,hulpblad!$C$1:$E$4,3)</f>
        <v>#REF!</v>
      </c>
      <c r="X14" s="8" t="e">
        <f>VLOOKUP(X13,hulpblad!$C$1:$E$4,3)</f>
        <v>#REF!</v>
      </c>
      <c r="Y14" s="8" t="e">
        <f>VLOOKUP(Y13,hulpblad!$C$1:$E$4,3)</f>
        <v>#REF!</v>
      </c>
      <c r="Z14" s="72" t="e">
        <f>VLOOKUP(Z13,hulpblad!$C$1:$E$4,3)</f>
        <v>#REF!</v>
      </c>
      <c r="AA14" s="8" t="e">
        <f>VLOOKUP(AA13,hulpblad!$C$1:$E$4,3)</f>
        <v>#REF!</v>
      </c>
      <c r="AB14" s="8" t="e">
        <f>VLOOKUP(AB13,hulpblad!$C$1:$E$4,3)</f>
        <v>#REF!</v>
      </c>
      <c r="AC14" s="8" t="e">
        <f>VLOOKUP(AC13,hulpblad!$C$1:$E$4,3)</f>
        <v>#REF!</v>
      </c>
      <c r="AD14" s="8" t="e">
        <f>VLOOKUP(AD13,hulpblad!$C$1:$E$4,3)</f>
        <v>#REF!</v>
      </c>
      <c r="AE14" s="8" t="e">
        <f>VLOOKUP(AE13,hulpblad!$C$1:$E$4,3)</f>
        <v>#REF!</v>
      </c>
      <c r="AF14" s="8" t="e">
        <f>VLOOKUP(AF13,hulpblad!$C$1:$E$4,3)</f>
        <v>#REF!</v>
      </c>
      <c r="AG14" s="8" t="e">
        <f>VLOOKUP(AG13,hulpblad!$C$1:$E$4,3)</f>
        <v>#REF!</v>
      </c>
      <c r="AH14" s="8" t="e">
        <f>VLOOKUP(AH13,hulpblad!$C$1:$E$4,3)</f>
        <v>#REF!</v>
      </c>
      <c r="AI14" s="8" t="e">
        <f>VLOOKUP(AI13,hulpblad!$C$1:$E$4,3)</f>
        <v>#REF!</v>
      </c>
      <c r="AJ14" s="8" t="e">
        <f>VLOOKUP(AJ13,hulpblad!$C$1:$E$4,3)</f>
        <v>#REF!</v>
      </c>
      <c r="AK14" s="8" t="e">
        <f>VLOOKUP(AK13,hulpblad!$C$1:$E$4,3)</f>
        <v>#REF!</v>
      </c>
    </row>
    <row r="15" spans="1:38" ht="12.75" customHeight="1" x14ac:dyDescent="0.25">
      <c r="A15" s="15" t="s">
        <v>40</v>
      </c>
      <c r="B15" s="53" t="s">
        <v>99</v>
      </c>
      <c r="C15" s="15" t="s">
        <v>105</v>
      </c>
      <c r="D15" s="8" t="s">
        <v>107</v>
      </c>
      <c r="E15" s="36">
        <f>2.1*10^5</f>
        <v>210000</v>
      </c>
      <c r="F15" s="36">
        <f>2.1*10^5</f>
        <v>210000</v>
      </c>
      <c r="G15" s="36">
        <f t="shared" ref="G15:AK15" si="1">2.1*10^5</f>
        <v>210000</v>
      </c>
      <c r="H15" s="36">
        <f t="shared" si="1"/>
        <v>210000</v>
      </c>
      <c r="I15" s="36">
        <f t="shared" si="1"/>
        <v>210000</v>
      </c>
      <c r="J15" s="36">
        <f t="shared" si="1"/>
        <v>210000</v>
      </c>
      <c r="K15" s="36">
        <f t="shared" si="1"/>
        <v>210000</v>
      </c>
      <c r="L15" s="36">
        <f t="shared" si="1"/>
        <v>210000</v>
      </c>
      <c r="M15" s="36">
        <f t="shared" si="1"/>
        <v>210000</v>
      </c>
      <c r="N15" s="36">
        <f t="shared" si="1"/>
        <v>210000</v>
      </c>
      <c r="O15" s="36">
        <f t="shared" si="1"/>
        <v>210000</v>
      </c>
      <c r="P15" s="36">
        <f t="shared" si="1"/>
        <v>210000</v>
      </c>
      <c r="Q15" s="36">
        <f t="shared" si="1"/>
        <v>210000</v>
      </c>
      <c r="R15" s="36">
        <f t="shared" si="1"/>
        <v>210000</v>
      </c>
      <c r="S15" s="36">
        <f t="shared" si="1"/>
        <v>210000</v>
      </c>
      <c r="T15" s="36">
        <f t="shared" si="1"/>
        <v>210000</v>
      </c>
      <c r="U15" s="36">
        <f t="shared" si="1"/>
        <v>210000</v>
      </c>
      <c r="V15" s="36">
        <f t="shared" si="1"/>
        <v>210000</v>
      </c>
      <c r="W15" s="36">
        <f t="shared" si="1"/>
        <v>210000</v>
      </c>
      <c r="X15" s="36">
        <f t="shared" si="1"/>
        <v>210000</v>
      </c>
      <c r="Y15" s="36">
        <f t="shared" si="1"/>
        <v>210000</v>
      </c>
      <c r="Z15" s="73">
        <f t="shared" si="1"/>
        <v>210000</v>
      </c>
      <c r="AA15" s="36">
        <f t="shared" si="1"/>
        <v>210000</v>
      </c>
      <c r="AB15" s="36">
        <f t="shared" si="1"/>
        <v>210000</v>
      </c>
      <c r="AC15" s="36">
        <f t="shared" si="1"/>
        <v>210000</v>
      </c>
      <c r="AD15" s="36">
        <f t="shared" si="1"/>
        <v>210000</v>
      </c>
      <c r="AE15" s="36">
        <f t="shared" si="1"/>
        <v>210000</v>
      </c>
      <c r="AF15" s="36">
        <f t="shared" si="1"/>
        <v>210000</v>
      </c>
      <c r="AG15" s="36">
        <f t="shared" si="1"/>
        <v>210000</v>
      </c>
      <c r="AH15" s="36">
        <f t="shared" si="1"/>
        <v>210000</v>
      </c>
      <c r="AI15" s="36">
        <f t="shared" si="1"/>
        <v>210000</v>
      </c>
      <c r="AJ15" s="36">
        <f t="shared" si="1"/>
        <v>210000</v>
      </c>
      <c r="AK15" s="36">
        <f t="shared" si="1"/>
        <v>210000</v>
      </c>
    </row>
    <row r="16" spans="1:38" ht="12.75" customHeight="1" x14ac:dyDescent="0.25">
      <c r="A16" s="27" t="s">
        <v>41</v>
      </c>
      <c r="B16" s="53" t="s">
        <v>100</v>
      </c>
      <c r="D16" s="26" t="s">
        <v>106</v>
      </c>
      <c r="E16" s="29" t="e">
        <f>SQRT(235/E13)</f>
        <v>#REF!</v>
      </c>
      <c r="F16" s="29" t="e">
        <f>SQRT(235/F13)</f>
        <v>#REF!</v>
      </c>
      <c r="G16" s="29" t="e">
        <f t="shared" ref="G16:AK16" si="2">SQRT(235/G13)</f>
        <v>#REF!</v>
      </c>
      <c r="H16" s="29" t="e">
        <f t="shared" si="2"/>
        <v>#REF!</v>
      </c>
      <c r="I16" s="29" t="e">
        <f t="shared" si="2"/>
        <v>#REF!</v>
      </c>
      <c r="J16" s="29" t="e">
        <f t="shared" si="2"/>
        <v>#REF!</v>
      </c>
      <c r="K16" s="29" t="e">
        <f t="shared" si="2"/>
        <v>#REF!</v>
      </c>
      <c r="L16" s="29" t="e">
        <f t="shared" si="2"/>
        <v>#REF!</v>
      </c>
      <c r="M16" s="29" t="e">
        <f t="shared" si="2"/>
        <v>#REF!</v>
      </c>
      <c r="N16" s="29" t="e">
        <f t="shared" si="2"/>
        <v>#REF!</v>
      </c>
      <c r="O16" s="29" t="e">
        <f t="shared" si="2"/>
        <v>#REF!</v>
      </c>
      <c r="P16" s="29" t="e">
        <f t="shared" si="2"/>
        <v>#REF!</v>
      </c>
      <c r="Q16" s="29" t="e">
        <f t="shared" si="2"/>
        <v>#REF!</v>
      </c>
      <c r="R16" s="29" t="e">
        <f t="shared" si="2"/>
        <v>#REF!</v>
      </c>
      <c r="S16" s="29" t="e">
        <f t="shared" si="2"/>
        <v>#REF!</v>
      </c>
      <c r="T16" s="29" t="e">
        <f t="shared" si="2"/>
        <v>#REF!</v>
      </c>
      <c r="U16" s="29" t="e">
        <f t="shared" si="2"/>
        <v>#REF!</v>
      </c>
      <c r="V16" s="29" t="e">
        <f t="shared" si="2"/>
        <v>#REF!</v>
      </c>
      <c r="W16" s="29" t="e">
        <f t="shared" si="2"/>
        <v>#REF!</v>
      </c>
      <c r="X16" s="29" t="e">
        <f t="shared" si="2"/>
        <v>#REF!</v>
      </c>
      <c r="Y16" s="29" t="e">
        <f t="shared" si="2"/>
        <v>#REF!</v>
      </c>
      <c r="Z16" s="74" t="e">
        <f t="shared" si="2"/>
        <v>#REF!</v>
      </c>
      <c r="AA16" s="29" t="e">
        <f t="shared" si="2"/>
        <v>#REF!</v>
      </c>
      <c r="AB16" s="29" t="e">
        <f t="shared" si="2"/>
        <v>#REF!</v>
      </c>
      <c r="AC16" s="29" t="e">
        <f t="shared" si="2"/>
        <v>#REF!</v>
      </c>
      <c r="AD16" s="29" t="e">
        <f t="shared" si="2"/>
        <v>#REF!</v>
      </c>
      <c r="AE16" s="29" t="e">
        <f t="shared" si="2"/>
        <v>#REF!</v>
      </c>
      <c r="AF16" s="29" t="e">
        <f t="shared" si="2"/>
        <v>#REF!</v>
      </c>
      <c r="AG16" s="29" t="e">
        <f t="shared" si="2"/>
        <v>#REF!</v>
      </c>
      <c r="AH16" s="29" t="e">
        <f t="shared" si="2"/>
        <v>#REF!</v>
      </c>
      <c r="AI16" s="29" t="e">
        <f t="shared" si="2"/>
        <v>#REF!</v>
      </c>
      <c r="AJ16" s="29" t="e">
        <f t="shared" si="2"/>
        <v>#REF!</v>
      </c>
      <c r="AK16" s="29" t="e">
        <f t="shared" si="2"/>
        <v>#REF!</v>
      </c>
    </row>
    <row r="17" spans="1:37" ht="12.75" customHeight="1" x14ac:dyDescent="0.25">
      <c r="A17" s="27" t="s">
        <v>109</v>
      </c>
      <c r="B17" s="53" t="s">
        <v>101</v>
      </c>
      <c r="D17" s="26" t="s">
        <v>106</v>
      </c>
      <c r="E17" s="29" t="e">
        <f>PI()*SQRT((E15/E13))</f>
        <v>#REF!</v>
      </c>
      <c r="F17" s="29" t="e">
        <f>PI()*SQRT((F15/F13))</f>
        <v>#REF!</v>
      </c>
      <c r="G17" s="29" t="e">
        <f t="shared" ref="G17:AK17" si="3">PI()*SQRT((G15/G13))</f>
        <v>#REF!</v>
      </c>
      <c r="H17" s="29" t="e">
        <f t="shared" si="3"/>
        <v>#REF!</v>
      </c>
      <c r="I17" s="29" t="e">
        <f t="shared" si="3"/>
        <v>#REF!</v>
      </c>
      <c r="J17" s="29" t="e">
        <f t="shared" si="3"/>
        <v>#REF!</v>
      </c>
      <c r="K17" s="29" t="e">
        <f t="shared" si="3"/>
        <v>#REF!</v>
      </c>
      <c r="L17" s="29" t="e">
        <f t="shared" si="3"/>
        <v>#REF!</v>
      </c>
      <c r="M17" s="29" t="e">
        <f t="shared" si="3"/>
        <v>#REF!</v>
      </c>
      <c r="N17" s="29" t="e">
        <f t="shared" si="3"/>
        <v>#REF!</v>
      </c>
      <c r="O17" s="29" t="e">
        <f t="shared" si="3"/>
        <v>#REF!</v>
      </c>
      <c r="P17" s="29" t="e">
        <f t="shared" si="3"/>
        <v>#REF!</v>
      </c>
      <c r="Q17" s="29" t="e">
        <f t="shared" si="3"/>
        <v>#REF!</v>
      </c>
      <c r="R17" s="29" t="e">
        <f t="shared" si="3"/>
        <v>#REF!</v>
      </c>
      <c r="S17" s="29" t="e">
        <f t="shared" si="3"/>
        <v>#REF!</v>
      </c>
      <c r="T17" s="29" t="e">
        <f t="shared" si="3"/>
        <v>#REF!</v>
      </c>
      <c r="U17" s="29" t="e">
        <f t="shared" si="3"/>
        <v>#REF!</v>
      </c>
      <c r="V17" s="29" t="e">
        <f t="shared" si="3"/>
        <v>#REF!</v>
      </c>
      <c r="W17" s="29" t="e">
        <f t="shared" si="3"/>
        <v>#REF!</v>
      </c>
      <c r="X17" s="29" t="e">
        <f t="shared" si="3"/>
        <v>#REF!</v>
      </c>
      <c r="Y17" s="29" t="e">
        <f t="shared" si="3"/>
        <v>#REF!</v>
      </c>
      <c r="Z17" s="74" t="e">
        <f t="shared" si="3"/>
        <v>#REF!</v>
      </c>
      <c r="AA17" s="29" t="e">
        <f t="shared" si="3"/>
        <v>#REF!</v>
      </c>
      <c r="AB17" s="29" t="e">
        <f t="shared" si="3"/>
        <v>#REF!</v>
      </c>
      <c r="AC17" s="29" t="e">
        <f t="shared" si="3"/>
        <v>#REF!</v>
      </c>
      <c r="AD17" s="29" t="e">
        <f t="shared" si="3"/>
        <v>#REF!</v>
      </c>
      <c r="AE17" s="29" t="e">
        <f t="shared" si="3"/>
        <v>#REF!</v>
      </c>
      <c r="AF17" s="29" t="e">
        <f t="shared" si="3"/>
        <v>#REF!</v>
      </c>
      <c r="AG17" s="29" t="e">
        <f t="shared" si="3"/>
        <v>#REF!</v>
      </c>
      <c r="AH17" s="29" t="e">
        <f t="shared" si="3"/>
        <v>#REF!</v>
      </c>
      <c r="AI17" s="29" t="e">
        <f t="shared" si="3"/>
        <v>#REF!</v>
      </c>
      <c r="AJ17" s="29" t="e">
        <f t="shared" si="3"/>
        <v>#REF!</v>
      </c>
      <c r="AK17" s="29" t="e">
        <f t="shared" si="3"/>
        <v>#REF!</v>
      </c>
    </row>
    <row r="18" spans="1:37" ht="12.75" customHeight="1" x14ac:dyDescent="0.25">
      <c r="B18" s="53"/>
    </row>
    <row r="19" spans="1:37" ht="12.75" customHeight="1" x14ac:dyDescent="0.25">
      <c r="A19" s="25" t="s">
        <v>398</v>
      </c>
      <c r="B19" s="53"/>
    </row>
    <row r="20" spans="1:37" ht="12.75" customHeight="1" x14ac:dyDescent="0.25">
      <c r="A20" s="15" t="s">
        <v>399</v>
      </c>
      <c r="B20" s="53"/>
      <c r="E20" s="8" t="e">
        <f>VLOOKUP(#REF!,hulpblad!$O$5:$P$238,2)</f>
        <v>#REF!</v>
      </c>
      <c r="F20" s="8" t="e">
        <f>VLOOKUP(#REF!,hulpblad!$O$5:$P$238,2)</f>
        <v>#REF!</v>
      </c>
      <c r="G20" s="8" t="e">
        <f>VLOOKUP(#REF!,hulpblad!$O$5:$P$238,2)</f>
        <v>#REF!</v>
      </c>
      <c r="H20" s="8" t="e">
        <f>VLOOKUP(#REF!,hulpblad!$O$5:$P$238,2)</f>
        <v>#REF!</v>
      </c>
      <c r="I20" s="8" t="e">
        <f>VLOOKUP(#REF!,hulpblad!$O$5:$P$238,2)</f>
        <v>#REF!</v>
      </c>
      <c r="J20" s="8" t="e">
        <f>VLOOKUP(#REF!,hulpblad!$O$5:$P$238,2)</f>
        <v>#REF!</v>
      </c>
      <c r="K20" s="8" t="e">
        <f>VLOOKUP(#REF!,hulpblad!$O$5:$P$238,2)</f>
        <v>#REF!</v>
      </c>
      <c r="L20" s="8" t="e">
        <f>VLOOKUP(#REF!,hulpblad!$O$5:$P$238,2)</f>
        <v>#REF!</v>
      </c>
      <c r="M20" s="8" t="e">
        <f>VLOOKUP(#REF!,hulpblad!$O$5:$P$238,2)</f>
        <v>#REF!</v>
      </c>
      <c r="N20" s="8" t="e">
        <f>VLOOKUP(#REF!,hulpblad!$O$5:$P$238,2)</f>
        <v>#REF!</v>
      </c>
      <c r="O20" s="8" t="e">
        <f>VLOOKUP(#REF!,hulpblad!$O$5:$P$238,2)</f>
        <v>#REF!</v>
      </c>
      <c r="P20" s="8" t="e">
        <f>VLOOKUP(#REF!,hulpblad!$O$5:$P$238,2)</f>
        <v>#REF!</v>
      </c>
      <c r="Q20" s="8" t="e">
        <f>VLOOKUP(#REF!,hulpblad!$O$5:$P$238,2)</f>
        <v>#REF!</v>
      </c>
      <c r="R20" s="8" t="e">
        <f>VLOOKUP(#REF!,hulpblad!$O$5:$P$238,2)</f>
        <v>#REF!</v>
      </c>
      <c r="S20" s="8" t="e">
        <f>VLOOKUP(#REF!,hulpblad!$O$5:$P$238,2)</f>
        <v>#REF!</v>
      </c>
      <c r="T20" s="8" t="e">
        <f>VLOOKUP(#REF!,hulpblad!$O$5:$P$238,2)</f>
        <v>#REF!</v>
      </c>
      <c r="U20" s="8" t="e">
        <f>VLOOKUP(#REF!,hulpblad!$O$5:$P$238,2)</f>
        <v>#REF!</v>
      </c>
      <c r="V20" s="8" t="e">
        <f>VLOOKUP(#REF!,hulpblad!$O$5:$P$238,2)</f>
        <v>#REF!</v>
      </c>
      <c r="W20" s="8" t="e">
        <f>VLOOKUP(#REF!,hulpblad!$O$5:$P$238,2)</f>
        <v>#REF!</v>
      </c>
      <c r="X20" s="8" t="e">
        <f>VLOOKUP(#REF!,hulpblad!$O$5:$P$238,2)</f>
        <v>#REF!</v>
      </c>
      <c r="Y20" s="8" t="e">
        <f>VLOOKUP(#REF!,hulpblad!$O$5:$P$238,2)</f>
        <v>#REF!</v>
      </c>
      <c r="Z20" s="72" t="e">
        <f>VLOOKUP(#REF!,hulpblad!$O$5:$P$238,2)</f>
        <v>#REF!</v>
      </c>
      <c r="AA20" s="8" t="e">
        <f>VLOOKUP(#REF!,hulpblad!$O$5:$P$238,2)</f>
        <v>#REF!</v>
      </c>
      <c r="AB20" s="8" t="e">
        <f>VLOOKUP(#REF!,hulpblad!$O$5:$P$238,2)</f>
        <v>#REF!</v>
      </c>
      <c r="AC20" s="8" t="e">
        <f>VLOOKUP(#REF!,hulpblad!$O$5:$P$238,2)</f>
        <v>#REF!</v>
      </c>
      <c r="AD20" s="8" t="e">
        <f>VLOOKUP(#REF!,hulpblad!$O$5:$P$238,2)</f>
        <v>#REF!</v>
      </c>
      <c r="AE20" s="8" t="e">
        <f>VLOOKUP(#REF!,hulpblad!$O$5:$P$238,2)</f>
        <v>#REF!</v>
      </c>
      <c r="AF20" s="8" t="e">
        <f>VLOOKUP(#REF!,hulpblad!$O$5:$P$238,2)</f>
        <v>#REF!</v>
      </c>
      <c r="AG20" s="8" t="e">
        <f>VLOOKUP(#REF!,hulpblad!$O$5:$P$238,2)</f>
        <v>#REF!</v>
      </c>
      <c r="AH20" s="8" t="e">
        <f>VLOOKUP(#REF!,hulpblad!$O$5:$P$238,2)</f>
        <v>#REF!</v>
      </c>
      <c r="AI20" s="8" t="e">
        <f>VLOOKUP(#REF!,hulpblad!$O$5:$P$238,2)</f>
        <v>#REF!</v>
      </c>
      <c r="AJ20" s="8" t="e">
        <f>VLOOKUP(#REF!,hulpblad!$O$5:$P$238,2)</f>
        <v>#REF!</v>
      </c>
      <c r="AK20" s="8" t="e">
        <f>VLOOKUP(#REF!,hulpblad!$O$5:$P$238,2)</f>
        <v>#REF!</v>
      </c>
    </row>
    <row r="21" spans="1:37" ht="12.75" customHeight="1" x14ac:dyDescent="0.25">
      <c r="A21" s="15" t="s">
        <v>400</v>
      </c>
      <c r="B21" s="53"/>
      <c r="E21" s="8" t="e">
        <f>#REF!</f>
        <v>#REF!</v>
      </c>
      <c r="F21" s="8" t="e">
        <f>#REF!</f>
        <v>#REF!</v>
      </c>
      <c r="G21" s="8" t="e">
        <f>#REF!</f>
        <v>#REF!</v>
      </c>
      <c r="H21" s="8" t="e">
        <f>#REF!</f>
        <v>#REF!</v>
      </c>
      <c r="I21" s="8" t="e">
        <f>#REF!</f>
        <v>#REF!</v>
      </c>
      <c r="J21" s="8" t="e">
        <f>#REF!</f>
        <v>#REF!</v>
      </c>
      <c r="K21" s="8" t="e">
        <f>#REF!</f>
        <v>#REF!</v>
      </c>
      <c r="L21" s="8" t="e">
        <f>#REF!</f>
        <v>#REF!</v>
      </c>
      <c r="M21" s="8" t="e">
        <f>#REF!</f>
        <v>#REF!</v>
      </c>
      <c r="N21" s="8" t="e">
        <f>#REF!</f>
        <v>#REF!</v>
      </c>
      <c r="O21" s="8" t="e">
        <f>#REF!</f>
        <v>#REF!</v>
      </c>
      <c r="P21" s="8" t="e">
        <f>#REF!</f>
        <v>#REF!</v>
      </c>
      <c r="Q21" s="8" t="e">
        <f>#REF!</f>
        <v>#REF!</v>
      </c>
      <c r="R21" s="8" t="e">
        <f>#REF!</f>
        <v>#REF!</v>
      </c>
      <c r="S21" s="8" t="e">
        <f>#REF!</f>
        <v>#REF!</v>
      </c>
      <c r="T21" s="8" t="e">
        <f>#REF!</f>
        <v>#REF!</v>
      </c>
      <c r="U21" s="8" t="e">
        <f>#REF!</f>
        <v>#REF!</v>
      </c>
      <c r="V21" s="8" t="e">
        <f>#REF!</f>
        <v>#REF!</v>
      </c>
      <c r="W21" s="8" t="e">
        <f>#REF!</f>
        <v>#REF!</v>
      </c>
      <c r="X21" s="8" t="e">
        <f>#REF!</f>
        <v>#REF!</v>
      </c>
      <c r="Y21" s="8" t="e">
        <f>#REF!</f>
        <v>#REF!</v>
      </c>
      <c r="Z21" s="72" t="e">
        <f>#REF!</f>
        <v>#REF!</v>
      </c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#REF!</f>
        <v>#REF!</v>
      </c>
      <c r="AH21" s="8" t="e">
        <f>#REF!</f>
        <v>#REF!</v>
      </c>
      <c r="AI21" s="8" t="e">
        <f>#REF!</f>
        <v>#REF!</v>
      </c>
      <c r="AJ21" s="8" t="e">
        <f>#REF!</f>
        <v>#REF!</v>
      </c>
      <c r="AK21" s="8" t="e">
        <f>#REF!</f>
        <v>#REF!</v>
      </c>
    </row>
    <row r="22" spans="1:37" ht="12.75" customHeight="1" x14ac:dyDescent="0.25">
      <c r="A22" s="15" t="s">
        <v>25</v>
      </c>
      <c r="B22" s="53"/>
      <c r="C22" s="51" t="s">
        <v>189</v>
      </c>
      <c r="D22" s="8" t="s">
        <v>110</v>
      </c>
      <c r="E22" s="8" t="e">
        <f>VLOOKUP(#REF!,hulpblad!$O$5:$AC$238,3)</f>
        <v>#REF!</v>
      </c>
      <c r="F22" s="8" t="e">
        <f>VLOOKUP(#REF!,hulpblad!$O$5:$AC$238,3)</f>
        <v>#REF!</v>
      </c>
      <c r="G22" s="8" t="e">
        <f>VLOOKUP(#REF!,hulpblad!$O$5:$AC$238,3)</f>
        <v>#REF!</v>
      </c>
      <c r="H22" s="8" t="e">
        <f>VLOOKUP(#REF!,hulpblad!$O$5:$AC$238,3)</f>
        <v>#REF!</v>
      </c>
      <c r="I22" s="8" t="e">
        <f>VLOOKUP(#REF!,hulpblad!$O$5:$AC$238,3)</f>
        <v>#REF!</v>
      </c>
      <c r="J22" s="8" t="e">
        <f>VLOOKUP(#REF!,hulpblad!$O$5:$AC$238,3)</f>
        <v>#REF!</v>
      </c>
      <c r="K22" s="8" t="e">
        <f>VLOOKUP(#REF!,hulpblad!$O$5:$AC$238,3)</f>
        <v>#REF!</v>
      </c>
      <c r="L22" s="8" t="e">
        <f>VLOOKUP(#REF!,hulpblad!$O$5:$AC$238,3)</f>
        <v>#REF!</v>
      </c>
      <c r="M22" s="8" t="e">
        <f>VLOOKUP(#REF!,hulpblad!$O$5:$AC$238,3)</f>
        <v>#REF!</v>
      </c>
      <c r="N22" s="8" t="e">
        <f>VLOOKUP(#REF!,hulpblad!$O$5:$AC$238,3)</f>
        <v>#REF!</v>
      </c>
      <c r="O22" s="8" t="e">
        <f>VLOOKUP(#REF!,hulpblad!$O$5:$AC$238,3)</f>
        <v>#REF!</v>
      </c>
      <c r="P22" s="8" t="e">
        <f>VLOOKUP(#REF!,hulpblad!$O$5:$AC$238,3)</f>
        <v>#REF!</v>
      </c>
      <c r="Q22" s="8" t="e">
        <f>VLOOKUP(#REF!,hulpblad!$O$5:$AC$238,3)</f>
        <v>#REF!</v>
      </c>
      <c r="R22" s="8" t="e">
        <f>VLOOKUP(#REF!,hulpblad!$O$5:$AC$238,3)</f>
        <v>#REF!</v>
      </c>
      <c r="S22" s="8" t="e">
        <f>VLOOKUP(#REF!,hulpblad!$O$5:$AC$238,3)</f>
        <v>#REF!</v>
      </c>
      <c r="T22" s="8" t="e">
        <f>VLOOKUP(#REF!,hulpblad!$O$5:$AC$238,3)</f>
        <v>#REF!</v>
      </c>
      <c r="U22" s="8" t="e">
        <f>VLOOKUP(#REF!,hulpblad!$O$5:$AC$238,3)</f>
        <v>#REF!</v>
      </c>
      <c r="V22" s="8" t="e">
        <f>VLOOKUP(#REF!,hulpblad!$O$5:$AC$238,3)</f>
        <v>#REF!</v>
      </c>
      <c r="W22" s="8" t="e">
        <f>VLOOKUP(#REF!,hulpblad!$O$5:$AC$238,3)</f>
        <v>#REF!</v>
      </c>
      <c r="X22" s="8" t="e">
        <f>VLOOKUP(#REF!,hulpblad!$O$5:$AC$238,3)</f>
        <v>#REF!</v>
      </c>
      <c r="Y22" s="8" t="e">
        <f>VLOOKUP(#REF!,hulpblad!$O$5:$AC$238,3)</f>
        <v>#REF!</v>
      </c>
      <c r="Z22" s="72" t="e">
        <f>VLOOKUP(#REF!,hulpblad!$O$5:$AC$238,3)</f>
        <v>#REF!</v>
      </c>
      <c r="AA22" s="8" t="e">
        <f>VLOOKUP(#REF!,hulpblad!$O$5:$AC$238,3)</f>
        <v>#REF!</v>
      </c>
      <c r="AB22" s="8" t="e">
        <f>VLOOKUP(#REF!,hulpblad!$O$5:$AC$238,3)</f>
        <v>#REF!</v>
      </c>
      <c r="AC22" s="8" t="e">
        <f>VLOOKUP(#REF!,hulpblad!$O$5:$AC$238,3)</f>
        <v>#REF!</v>
      </c>
      <c r="AD22" s="8" t="e">
        <f>VLOOKUP(#REF!,hulpblad!$O$5:$AC$238,3)</f>
        <v>#REF!</v>
      </c>
      <c r="AE22" s="8" t="e">
        <f>VLOOKUP(#REF!,hulpblad!$O$5:$AC$238,3)</f>
        <v>#REF!</v>
      </c>
      <c r="AF22" s="8" t="e">
        <f>VLOOKUP(#REF!,hulpblad!$O$5:$AC$238,3)</f>
        <v>#REF!</v>
      </c>
      <c r="AG22" s="8" t="e">
        <f>VLOOKUP(#REF!,hulpblad!$O$5:$AC$238,3)</f>
        <v>#REF!</v>
      </c>
      <c r="AH22" s="8" t="e">
        <f>VLOOKUP(#REF!,hulpblad!$O$5:$AC$238,3)</f>
        <v>#REF!</v>
      </c>
      <c r="AI22" s="8" t="e">
        <f>VLOOKUP(#REF!,hulpblad!$O$5:$AC$238,3)</f>
        <v>#REF!</v>
      </c>
      <c r="AJ22" s="8" t="e">
        <f>VLOOKUP(#REF!,hulpblad!$O$5:$AC$238,3)</f>
        <v>#REF!</v>
      </c>
      <c r="AK22" s="8" t="e">
        <f>VLOOKUP(#REF!,hulpblad!$O$5:$AC$238,3)</f>
        <v>#REF!</v>
      </c>
    </row>
    <row r="23" spans="1:37" ht="12.75" customHeight="1" x14ac:dyDescent="0.25">
      <c r="A23" s="15" t="s">
        <v>401</v>
      </c>
      <c r="B23" s="53"/>
      <c r="C23" s="51" t="s">
        <v>27</v>
      </c>
      <c r="D23" s="8" t="s">
        <v>110</v>
      </c>
      <c r="E23" s="8" t="e">
        <f>VLOOKUP(#REF!,hulpblad!$O$5:$AC$238,4)</f>
        <v>#REF!</v>
      </c>
      <c r="F23" s="8" t="e">
        <f>VLOOKUP(#REF!,hulpblad!$O$5:$AC$238,4)</f>
        <v>#REF!</v>
      </c>
      <c r="G23" s="8" t="e">
        <f>VLOOKUP(#REF!,hulpblad!$O$5:$AC$238,4)</f>
        <v>#REF!</v>
      </c>
      <c r="H23" s="8" t="e">
        <f>VLOOKUP(#REF!,hulpblad!$O$5:$AC$238,4)</f>
        <v>#REF!</v>
      </c>
      <c r="I23" s="8" t="e">
        <f>VLOOKUP(#REF!,hulpblad!$O$5:$AC$238,4)</f>
        <v>#REF!</v>
      </c>
      <c r="J23" s="8" t="e">
        <f>VLOOKUP(#REF!,hulpblad!$O$5:$AC$238,4)</f>
        <v>#REF!</v>
      </c>
      <c r="K23" s="8" t="e">
        <f>VLOOKUP(#REF!,hulpblad!$O$5:$AC$238,4)</f>
        <v>#REF!</v>
      </c>
      <c r="L23" s="8" t="e">
        <f>VLOOKUP(#REF!,hulpblad!$O$5:$AC$238,4)</f>
        <v>#REF!</v>
      </c>
      <c r="M23" s="8" t="e">
        <f>VLOOKUP(#REF!,hulpblad!$O$5:$AC$238,4)</f>
        <v>#REF!</v>
      </c>
      <c r="N23" s="8" t="e">
        <f>VLOOKUP(#REF!,hulpblad!$O$5:$AC$238,4)</f>
        <v>#REF!</v>
      </c>
      <c r="O23" s="8" t="e">
        <f>VLOOKUP(#REF!,hulpblad!$O$5:$AC$238,4)</f>
        <v>#REF!</v>
      </c>
      <c r="P23" s="8" t="e">
        <f>VLOOKUP(#REF!,hulpblad!$O$5:$AC$238,4)</f>
        <v>#REF!</v>
      </c>
      <c r="Q23" s="8" t="e">
        <f>VLOOKUP(#REF!,hulpblad!$O$5:$AC$238,4)</f>
        <v>#REF!</v>
      </c>
      <c r="R23" s="8" t="e">
        <f>VLOOKUP(#REF!,hulpblad!$O$5:$AC$238,4)</f>
        <v>#REF!</v>
      </c>
      <c r="S23" s="8" t="e">
        <f>VLOOKUP(#REF!,hulpblad!$O$5:$AC$238,4)</f>
        <v>#REF!</v>
      </c>
      <c r="T23" s="8" t="e">
        <f>VLOOKUP(#REF!,hulpblad!$O$5:$AC$238,4)</f>
        <v>#REF!</v>
      </c>
      <c r="U23" s="8" t="e">
        <f>VLOOKUP(#REF!,hulpblad!$O$5:$AC$238,4)</f>
        <v>#REF!</v>
      </c>
      <c r="V23" s="8" t="e">
        <f>VLOOKUP(#REF!,hulpblad!$O$5:$AC$238,4)</f>
        <v>#REF!</v>
      </c>
      <c r="W23" s="8" t="e">
        <f>VLOOKUP(#REF!,hulpblad!$O$5:$AC$238,4)</f>
        <v>#REF!</v>
      </c>
      <c r="X23" s="8" t="e">
        <f>VLOOKUP(#REF!,hulpblad!$O$5:$AC$238,4)</f>
        <v>#REF!</v>
      </c>
      <c r="Y23" s="8" t="e">
        <f>VLOOKUP(#REF!,hulpblad!$O$5:$AC$238,4)</f>
        <v>#REF!</v>
      </c>
      <c r="Z23" s="72" t="e">
        <f>VLOOKUP(#REF!,hulpblad!$O$5:$AC$238,4)</f>
        <v>#REF!</v>
      </c>
      <c r="AA23" s="8" t="e">
        <f>VLOOKUP(#REF!,hulpblad!$O$5:$AC$238,4)</f>
        <v>#REF!</v>
      </c>
      <c r="AB23" s="8" t="e">
        <f>VLOOKUP(#REF!,hulpblad!$O$5:$AC$238,4)</f>
        <v>#REF!</v>
      </c>
      <c r="AC23" s="8" t="e">
        <f>VLOOKUP(#REF!,hulpblad!$O$5:$AC$238,4)</f>
        <v>#REF!</v>
      </c>
      <c r="AD23" s="8" t="e">
        <f>VLOOKUP(#REF!,hulpblad!$O$5:$AC$238,4)</f>
        <v>#REF!</v>
      </c>
      <c r="AE23" s="8" t="e">
        <f>VLOOKUP(#REF!,hulpblad!$O$5:$AC$238,4)</f>
        <v>#REF!</v>
      </c>
      <c r="AF23" s="8" t="e">
        <f>VLOOKUP(#REF!,hulpblad!$O$5:$AC$238,4)</f>
        <v>#REF!</v>
      </c>
      <c r="AG23" s="8" t="e">
        <f>VLOOKUP(#REF!,hulpblad!$O$5:$AC$238,4)</f>
        <v>#REF!</v>
      </c>
      <c r="AH23" s="8" t="e">
        <f>VLOOKUP(#REF!,hulpblad!$O$5:$AC$238,4)</f>
        <v>#REF!</v>
      </c>
      <c r="AI23" s="8" t="e">
        <f>VLOOKUP(#REF!,hulpblad!$O$5:$AC$238,4)</f>
        <v>#REF!</v>
      </c>
      <c r="AJ23" s="8" t="e">
        <f>VLOOKUP(#REF!,hulpblad!$O$5:$AC$238,4)</f>
        <v>#REF!</v>
      </c>
      <c r="AK23" s="8" t="e">
        <f>VLOOKUP(#REF!,hulpblad!$O$5:$AC$238,4)</f>
        <v>#REF!</v>
      </c>
    </row>
    <row r="24" spans="1:37" ht="12.75" customHeight="1" x14ac:dyDescent="0.25">
      <c r="A24" s="15" t="s">
        <v>402</v>
      </c>
      <c r="B24" s="53"/>
      <c r="C24" s="51" t="s">
        <v>7</v>
      </c>
      <c r="D24" s="8" t="s">
        <v>408</v>
      </c>
      <c r="E24" s="8" t="e">
        <f>VLOOKUP(#REF!,hulpblad!$O$5:$AC$238,11)</f>
        <v>#REF!</v>
      </c>
      <c r="F24" s="8" t="e">
        <f>VLOOKUP(#REF!,hulpblad!$O$5:$AC$238,11)</f>
        <v>#REF!</v>
      </c>
      <c r="G24" s="8" t="e">
        <f>VLOOKUP(#REF!,hulpblad!$O$5:$AC$238,11)</f>
        <v>#REF!</v>
      </c>
      <c r="H24" s="8" t="e">
        <f>VLOOKUP(#REF!,hulpblad!$O$5:$AC$238,11)</f>
        <v>#REF!</v>
      </c>
      <c r="I24" s="8" t="e">
        <f>VLOOKUP(#REF!,hulpblad!$O$5:$AC$238,11)</f>
        <v>#REF!</v>
      </c>
      <c r="J24" s="8" t="e">
        <f>VLOOKUP(#REF!,hulpblad!$O$5:$AC$238,11)</f>
        <v>#REF!</v>
      </c>
      <c r="K24" s="8" t="e">
        <f>VLOOKUP(#REF!,hulpblad!$O$5:$AC$238,11)</f>
        <v>#REF!</v>
      </c>
      <c r="L24" s="8" t="e">
        <f>VLOOKUP(#REF!,hulpblad!$O$5:$AC$238,11)</f>
        <v>#REF!</v>
      </c>
      <c r="M24" s="8" t="e">
        <f>VLOOKUP(#REF!,hulpblad!$O$5:$AC$238,11)</f>
        <v>#REF!</v>
      </c>
      <c r="N24" s="8" t="e">
        <f>VLOOKUP(#REF!,hulpblad!$O$5:$AC$238,11)</f>
        <v>#REF!</v>
      </c>
      <c r="O24" s="8" t="e">
        <f>VLOOKUP(#REF!,hulpblad!$O$5:$AC$238,11)</f>
        <v>#REF!</v>
      </c>
      <c r="P24" s="8" t="e">
        <f>VLOOKUP(#REF!,hulpblad!$O$5:$AC$238,11)</f>
        <v>#REF!</v>
      </c>
      <c r="Q24" s="8" t="e">
        <f>VLOOKUP(#REF!,hulpblad!$O$5:$AC$238,11)</f>
        <v>#REF!</v>
      </c>
      <c r="R24" s="8" t="e">
        <f>VLOOKUP(#REF!,hulpblad!$O$5:$AC$238,11)</f>
        <v>#REF!</v>
      </c>
      <c r="S24" s="8" t="e">
        <f>VLOOKUP(#REF!,hulpblad!$O$5:$AC$238,11)</f>
        <v>#REF!</v>
      </c>
      <c r="T24" s="8" t="e">
        <f>VLOOKUP(#REF!,hulpblad!$O$5:$AC$238,11)</f>
        <v>#REF!</v>
      </c>
      <c r="U24" s="8" t="e">
        <f>VLOOKUP(#REF!,hulpblad!$O$5:$AC$238,11)</f>
        <v>#REF!</v>
      </c>
      <c r="V24" s="8" t="e">
        <f>VLOOKUP(#REF!,hulpblad!$O$5:$AC$238,11)</f>
        <v>#REF!</v>
      </c>
      <c r="W24" s="8" t="e">
        <f>VLOOKUP(#REF!,hulpblad!$O$5:$AC$238,11)</f>
        <v>#REF!</v>
      </c>
      <c r="X24" s="8" t="e">
        <f>VLOOKUP(#REF!,hulpblad!$O$5:$AC$238,11)</f>
        <v>#REF!</v>
      </c>
      <c r="Y24" s="8" t="e">
        <f>VLOOKUP(#REF!,hulpblad!$O$5:$AC$238,11)</f>
        <v>#REF!</v>
      </c>
      <c r="Z24" s="72" t="e">
        <f>VLOOKUP(#REF!,hulpblad!$O$5:$AC$238,11)</f>
        <v>#REF!</v>
      </c>
      <c r="AA24" s="8" t="e">
        <f>VLOOKUP(#REF!,hulpblad!$O$5:$AC$238,11)</f>
        <v>#REF!</v>
      </c>
      <c r="AB24" s="8" t="e">
        <f>VLOOKUP(#REF!,hulpblad!$O$5:$AC$238,11)</f>
        <v>#REF!</v>
      </c>
      <c r="AC24" s="8" t="e">
        <f>VLOOKUP(#REF!,hulpblad!$O$5:$AC$238,11)</f>
        <v>#REF!</v>
      </c>
      <c r="AD24" s="8" t="e">
        <f>VLOOKUP(#REF!,hulpblad!$O$5:$AC$238,11)</f>
        <v>#REF!</v>
      </c>
      <c r="AE24" s="8" t="e">
        <f>VLOOKUP(#REF!,hulpblad!$O$5:$AC$238,11)</f>
        <v>#REF!</v>
      </c>
      <c r="AF24" s="8" t="e">
        <f>VLOOKUP(#REF!,hulpblad!$O$5:$AC$238,11)</f>
        <v>#REF!</v>
      </c>
      <c r="AG24" s="8" t="e">
        <f>VLOOKUP(#REF!,hulpblad!$O$5:$AC$238,11)</f>
        <v>#REF!</v>
      </c>
      <c r="AH24" s="8" t="e">
        <f>VLOOKUP(#REF!,hulpblad!$O$5:$AC$238,11)</f>
        <v>#REF!</v>
      </c>
      <c r="AI24" s="8" t="e">
        <f>VLOOKUP(#REF!,hulpblad!$O$5:$AC$238,11)</f>
        <v>#REF!</v>
      </c>
      <c r="AJ24" s="8" t="e">
        <f>VLOOKUP(#REF!,hulpblad!$O$5:$AC$238,11)</f>
        <v>#REF!</v>
      </c>
      <c r="AK24" s="8" t="e">
        <f>VLOOKUP(#REF!,hulpblad!$O$5:$AC$238,11)</f>
        <v>#REF!</v>
      </c>
    </row>
    <row r="25" spans="1:37" ht="12.75" customHeight="1" x14ac:dyDescent="0.4">
      <c r="B25"/>
      <c r="C25" s="2" t="s">
        <v>405</v>
      </c>
      <c r="D25" s="8" t="s">
        <v>110</v>
      </c>
      <c r="E25" s="8" t="e">
        <f>E22-E27-E27</f>
        <v>#REF!</v>
      </c>
      <c r="F25" s="8" t="e">
        <f t="shared" ref="F25:AK25" si="4">F22-F27-F27</f>
        <v>#REF!</v>
      </c>
      <c r="G25" s="8" t="e">
        <f t="shared" si="4"/>
        <v>#REF!</v>
      </c>
      <c r="H25" s="8" t="e">
        <f t="shared" si="4"/>
        <v>#REF!</v>
      </c>
      <c r="I25" s="8" t="e">
        <f t="shared" si="4"/>
        <v>#REF!</v>
      </c>
      <c r="J25" s="8" t="e">
        <f t="shared" si="4"/>
        <v>#REF!</v>
      </c>
      <c r="K25" s="8" t="e">
        <f t="shared" si="4"/>
        <v>#REF!</v>
      </c>
      <c r="L25" s="8" t="e">
        <f t="shared" si="4"/>
        <v>#REF!</v>
      </c>
      <c r="M25" s="8" t="e">
        <f t="shared" si="4"/>
        <v>#REF!</v>
      </c>
      <c r="N25" s="8" t="e">
        <f t="shared" si="4"/>
        <v>#REF!</v>
      </c>
      <c r="O25" s="8" t="e">
        <f t="shared" si="4"/>
        <v>#REF!</v>
      </c>
      <c r="P25" s="8" t="e">
        <f t="shared" si="4"/>
        <v>#REF!</v>
      </c>
      <c r="Q25" s="8" t="e">
        <f t="shared" si="4"/>
        <v>#REF!</v>
      </c>
      <c r="R25" s="8" t="e">
        <f t="shared" si="4"/>
        <v>#REF!</v>
      </c>
      <c r="S25" s="8" t="e">
        <f t="shared" si="4"/>
        <v>#REF!</v>
      </c>
      <c r="T25" s="8" t="e">
        <f t="shared" si="4"/>
        <v>#REF!</v>
      </c>
      <c r="U25" s="8" t="e">
        <f t="shared" si="4"/>
        <v>#REF!</v>
      </c>
      <c r="V25" s="8" t="e">
        <f t="shared" si="4"/>
        <v>#REF!</v>
      </c>
      <c r="W25" s="8" t="e">
        <f t="shared" si="4"/>
        <v>#REF!</v>
      </c>
      <c r="X25" s="8" t="e">
        <f t="shared" si="4"/>
        <v>#REF!</v>
      </c>
      <c r="Y25" s="8" t="e">
        <f t="shared" si="4"/>
        <v>#REF!</v>
      </c>
      <c r="Z25" s="72" t="e">
        <f t="shared" si="4"/>
        <v>#REF!</v>
      </c>
      <c r="AA25" s="8" t="e">
        <f t="shared" si="4"/>
        <v>#REF!</v>
      </c>
      <c r="AB25" s="8" t="e">
        <f t="shared" si="4"/>
        <v>#REF!</v>
      </c>
      <c r="AC25" s="8" t="e">
        <f t="shared" si="4"/>
        <v>#REF!</v>
      </c>
      <c r="AD25" s="8" t="e">
        <f t="shared" si="4"/>
        <v>#REF!</v>
      </c>
      <c r="AE25" s="8" t="e">
        <f t="shared" si="4"/>
        <v>#REF!</v>
      </c>
      <c r="AF25" s="8" t="e">
        <f t="shared" si="4"/>
        <v>#REF!</v>
      </c>
      <c r="AG25" s="8" t="e">
        <f t="shared" si="4"/>
        <v>#REF!</v>
      </c>
      <c r="AH25" s="8" t="e">
        <f t="shared" si="4"/>
        <v>#REF!</v>
      </c>
      <c r="AI25" s="8" t="e">
        <f t="shared" si="4"/>
        <v>#REF!</v>
      </c>
      <c r="AJ25" s="8" t="e">
        <f t="shared" si="4"/>
        <v>#REF!</v>
      </c>
      <c r="AK25" s="8" t="e">
        <f t="shared" si="4"/>
        <v>#REF!</v>
      </c>
    </row>
    <row r="26" spans="1:37" ht="12.75" customHeight="1" x14ac:dyDescent="0.4">
      <c r="B26"/>
      <c r="C26" s="2" t="s">
        <v>406</v>
      </c>
      <c r="D26" s="8" t="s">
        <v>110</v>
      </c>
      <c r="E26" s="8" t="e">
        <f>VLOOKUP(#REF!,hulpblad!$O$5:$AC$238,5)</f>
        <v>#REF!</v>
      </c>
      <c r="F26" s="8" t="e">
        <f>VLOOKUP(#REF!,hulpblad!$O$5:$AC$238,5)</f>
        <v>#REF!</v>
      </c>
      <c r="G26" s="8" t="e">
        <f>VLOOKUP(#REF!,hulpblad!$O$5:$AC$238,5)</f>
        <v>#REF!</v>
      </c>
      <c r="H26" s="8" t="e">
        <f>VLOOKUP(#REF!,hulpblad!$O$5:$AC$238,5)</f>
        <v>#REF!</v>
      </c>
      <c r="I26" s="8" t="e">
        <f>VLOOKUP(#REF!,hulpblad!$O$5:$AC$238,5)</f>
        <v>#REF!</v>
      </c>
      <c r="J26" s="8" t="e">
        <f>VLOOKUP(#REF!,hulpblad!$O$5:$AC$238,5)</f>
        <v>#REF!</v>
      </c>
      <c r="K26" s="8" t="e">
        <f>VLOOKUP(#REF!,hulpblad!$O$5:$AC$238,5)</f>
        <v>#REF!</v>
      </c>
      <c r="L26" s="8" t="e">
        <f>VLOOKUP(#REF!,hulpblad!$O$5:$AC$238,5)</f>
        <v>#REF!</v>
      </c>
      <c r="M26" s="8" t="e">
        <f>VLOOKUP(#REF!,hulpblad!$O$5:$AC$238,5)</f>
        <v>#REF!</v>
      </c>
      <c r="N26" s="8" t="e">
        <f>VLOOKUP(#REF!,hulpblad!$O$5:$AC$238,5)</f>
        <v>#REF!</v>
      </c>
      <c r="O26" s="8" t="e">
        <f>VLOOKUP(#REF!,hulpblad!$O$5:$AC$238,5)</f>
        <v>#REF!</v>
      </c>
      <c r="P26" s="8" t="e">
        <f>VLOOKUP(#REF!,hulpblad!$O$5:$AC$238,5)</f>
        <v>#REF!</v>
      </c>
      <c r="Q26" s="8" t="e">
        <f>VLOOKUP(#REF!,hulpblad!$O$5:$AC$238,5)</f>
        <v>#REF!</v>
      </c>
      <c r="R26" s="8" t="e">
        <f>VLOOKUP(#REF!,hulpblad!$O$5:$AC$238,5)</f>
        <v>#REF!</v>
      </c>
      <c r="S26" s="8" t="e">
        <f>VLOOKUP(#REF!,hulpblad!$O$5:$AC$238,5)</f>
        <v>#REF!</v>
      </c>
      <c r="T26" s="8" t="e">
        <f>VLOOKUP(#REF!,hulpblad!$O$5:$AC$238,5)</f>
        <v>#REF!</v>
      </c>
      <c r="U26" s="8" t="e">
        <f>VLOOKUP(#REF!,hulpblad!$O$5:$AC$238,5)</f>
        <v>#REF!</v>
      </c>
      <c r="V26" s="8" t="e">
        <f>VLOOKUP(#REF!,hulpblad!$O$5:$AC$238,5)</f>
        <v>#REF!</v>
      </c>
      <c r="W26" s="8" t="e">
        <f>VLOOKUP(#REF!,hulpblad!$O$5:$AC$238,5)</f>
        <v>#REF!</v>
      </c>
      <c r="X26" s="8" t="e">
        <f>VLOOKUP(#REF!,hulpblad!$O$5:$AC$238,5)</f>
        <v>#REF!</v>
      </c>
      <c r="Y26" s="8" t="e">
        <f>VLOOKUP(#REF!,hulpblad!$O$5:$AC$238,5)</f>
        <v>#REF!</v>
      </c>
      <c r="Z26" s="72" t="e">
        <f>VLOOKUP(#REF!,hulpblad!$O$5:$AC$238,5)</f>
        <v>#REF!</v>
      </c>
      <c r="AA26" s="8" t="e">
        <f>VLOOKUP(#REF!,hulpblad!$O$5:$AC$238,5)</f>
        <v>#REF!</v>
      </c>
      <c r="AB26" s="8" t="e">
        <f>VLOOKUP(#REF!,hulpblad!$O$5:$AC$238,5)</f>
        <v>#REF!</v>
      </c>
      <c r="AC26" s="8" t="e">
        <f>VLOOKUP(#REF!,hulpblad!$O$5:$AC$238,5)</f>
        <v>#REF!</v>
      </c>
      <c r="AD26" s="8" t="e">
        <f>VLOOKUP(#REF!,hulpblad!$O$5:$AC$238,5)</f>
        <v>#REF!</v>
      </c>
      <c r="AE26" s="8" t="e">
        <f>VLOOKUP(#REF!,hulpblad!$O$5:$AC$238,5)</f>
        <v>#REF!</v>
      </c>
      <c r="AF26" s="8" t="e">
        <f>VLOOKUP(#REF!,hulpblad!$O$5:$AC$238,5)</f>
        <v>#REF!</v>
      </c>
      <c r="AG26" s="8" t="e">
        <f>VLOOKUP(#REF!,hulpblad!$O$5:$AC$238,5)</f>
        <v>#REF!</v>
      </c>
      <c r="AH26" s="8" t="e">
        <f>VLOOKUP(#REF!,hulpblad!$O$5:$AC$238,5)</f>
        <v>#REF!</v>
      </c>
      <c r="AI26" s="8" t="e">
        <f>VLOOKUP(#REF!,hulpblad!$O$5:$AC$238,5)</f>
        <v>#REF!</v>
      </c>
      <c r="AJ26" s="8" t="e">
        <f>VLOOKUP(#REF!,hulpblad!$O$5:$AC$238,5)</f>
        <v>#REF!</v>
      </c>
      <c r="AK26" s="8" t="e">
        <f>VLOOKUP(#REF!,hulpblad!$O$5:$AC$238,5)</f>
        <v>#REF!</v>
      </c>
    </row>
    <row r="27" spans="1:37" ht="12.75" customHeight="1" x14ac:dyDescent="0.4">
      <c r="B27"/>
      <c r="C27" s="2" t="s">
        <v>407</v>
      </c>
      <c r="D27" s="8" t="s">
        <v>110</v>
      </c>
      <c r="E27" s="8" t="e">
        <f>VLOOKUP(#REF!,hulpblad!$O$5:$AC$238,6)</f>
        <v>#REF!</v>
      </c>
      <c r="F27" s="8" t="e">
        <f>VLOOKUP(#REF!,hulpblad!$O$5:$AC$238,6)</f>
        <v>#REF!</v>
      </c>
      <c r="G27" s="8" t="e">
        <f>VLOOKUP(#REF!,hulpblad!$O$5:$AC$238,6)</f>
        <v>#REF!</v>
      </c>
      <c r="H27" s="8" t="e">
        <f>VLOOKUP(#REF!,hulpblad!$O$5:$AC$238,6)</f>
        <v>#REF!</v>
      </c>
      <c r="I27" s="8" t="e">
        <f>VLOOKUP(#REF!,hulpblad!$O$5:$AC$238,6)</f>
        <v>#REF!</v>
      </c>
      <c r="J27" s="8" t="e">
        <f>VLOOKUP(#REF!,hulpblad!$O$5:$AC$238,6)</f>
        <v>#REF!</v>
      </c>
      <c r="K27" s="8" t="e">
        <f>VLOOKUP(#REF!,hulpblad!$O$5:$AC$238,6)</f>
        <v>#REF!</v>
      </c>
      <c r="L27" s="8" t="e">
        <f>VLOOKUP(#REF!,hulpblad!$O$5:$AC$238,6)</f>
        <v>#REF!</v>
      </c>
      <c r="M27" s="8" t="e">
        <f>VLOOKUP(#REF!,hulpblad!$O$5:$AC$238,6)</f>
        <v>#REF!</v>
      </c>
      <c r="N27" s="8" t="e">
        <f>VLOOKUP(#REF!,hulpblad!$O$5:$AC$238,6)</f>
        <v>#REF!</v>
      </c>
      <c r="O27" s="8" t="e">
        <f>VLOOKUP(#REF!,hulpblad!$O$5:$AC$238,6)</f>
        <v>#REF!</v>
      </c>
      <c r="P27" s="8" t="e">
        <f>VLOOKUP(#REF!,hulpblad!$O$5:$AC$238,6)</f>
        <v>#REF!</v>
      </c>
      <c r="Q27" s="8" t="e">
        <f>VLOOKUP(#REF!,hulpblad!$O$5:$AC$238,6)</f>
        <v>#REF!</v>
      </c>
      <c r="R27" s="8" t="e">
        <f>VLOOKUP(#REF!,hulpblad!$O$5:$AC$238,6)</f>
        <v>#REF!</v>
      </c>
      <c r="S27" s="8" t="e">
        <f>VLOOKUP(#REF!,hulpblad!$O$5:$AC$238,6)</f>
        <v>#REF!</v>
      </c>
      <c r="T27" s="8" t="e">
        <f>VLOOKUP(#REF!,hulpblad!$O$5:$AC$238,6)</f>
        <v>#REF!</v>
      </c>
      <c r="U27" s="8" t="e">
        <f>VLOOKUP(#REF!,hulpblad!$O$5:$AC$238,6)</f>
        <v>#REF!</v>
      </c>
      <c r="V27" s="8" t="e">
        <f>VLOOKUP(#REF!,hulpblad!$O$5:$AC$238,6)</f>
        <v>#REF!</v>
      </c>
      <c r="W27" s="8" t="e">
        <f>VLOOKUP(#REF!,hulpblad!$O$5:$AC$238,6)</f>
        <v>#REF!</v>
      </c>
      <c r="X27" s="8" t="e">
        <f>VLOOKUP(#REF!,hulpblad!$O$5:$AC$238,6)</f>
        <v>#REF!</v>
      </c>
      <c r="Y27" s="8" t="e">
        <f>VLOOKUP(#REF!,hulpblad!$O$5:$AC$238,6)</f>
        <v>#REF!</v>
      </c>
      <c r="Z27" s="72" t="e">
        <f>VLOOKUP(#REF!,hulpblad!$O$5:$AC$238,6)</f>
        <v>#REF!</v>
      </c>
      <c r="AA27" s="8" t="e">
        <f>VLOOKUP(#REF!,hulpblad!$O$5:$AC$238,6)</f>
        <v>#REF!</v>
      </c>
      <c r="AB27" s="8" t="e">
        <f>VLOOKUP(#REF!,hulpblad!$O$5:$AC$238,6)</f>
        <v>#REF!</v>
      </c>
      <c r="AC27" s="8" t="e">
        <f>VLOOKUP(#REF!,hulpblad!$O$5:$AC$238,6)</f>
        <v>#REF!</v>
      </c>
      <c r="AD27" s="8" t="e">
        <f>VLOOKUP(#REF!,hulpblad!$O$5:$AC$238,6)</f>
        <v>#REF!</v>
      </c>
      <c r="AE27" s="8" t="e">
        <f>VLOOKUP(#REF!,hulpblad!$O$5:$AC$238,6)</f>
        <v>#REF!</v>
      </c>
      <c r="AF27" s="8" t="e">
        <f>VLOOKUP(#REF!,hulpblad!$O$5:$AC$238,6)</f>
        <v>#REF!</v>
      </c>
      <c r="AG27" s="8" t="e">
        <f>VLOOKUP(#REF!,hulpblad!$O$5:$AC$238,6)</f>
        <v>#REF!</v>
      </c>
      <c r="AH27" s="8" t="e">
        <f>VLOOKUP(#REF!,hulpblad!$O$5:$AC$238,6)</f>
        <v>#REF!</v>
      </c>
      <c r="AI27" s="8" t="e">
        <f>VLOOKUP(#REF!,hulpblad!$O$5:$AC$238,6)</f>
        <v>#REF!</v>
      </c>
      <c r="AJ27" s="8" t="e">
        <f>VLOOKUP(#REF!,hulpblad!$O$5:$AC$238,6)</f>
        <v>#REF!</v>
      </c>
      <c r="AK27" s="8" t="e">
        <f>VLOOKUP(#REF!,hulpblad!$O$5:$AC$238,6)</f>
        <v>#REF!</v>
      </c>
    </row>
    <row r="28" spans="1:37" ht="12.75" customHeight="1" x14ac:dyDescent="0.25">
      <c r="B28"/>
      <c r="C28" s="2" t="s">
        <v>194</v>
      </c>
      <c r="D28" s="8" t="s">
        <v>110</v>
      </c>
      <c r="E28" s="8" t="e">
        <f>VLOOKUP(#REF!,hulpblad!$O$5:$AC$238,12)</f>
        <v>#REF!</v>
      </c>
      <c r="F28" s="8" t="e">
        <f>VLOOKUP(#REF!,hulpblad!$O$5:$AC$238,12)</f>
        <v>#REF!</v>
      </c>
      <c r="G28" s="8" t="e">
        <f>VLOOKUP(#REF!,hulpblad!$O$5:$AC$238,12)</f>
        <v>#REF!</v>
      </c>
      <c r="H28" s="8" t="e">
        <f>VLOOKUP(#REF!,hulpblad!$O$5:$AC$238,12)</f>
        <v>#REF!</v>
      </c>
      <c r="I28" s="8" t="e">
        <f>VLOOKUP(#REF!,hulpblad!$O$5:$AC$238,12)</f>
        <v>#REF!</v>
      </c>
      <c r="J28" s="8" t="e">
        <f>VLOOKUP(#REF!,hulpblad!$O$5:$AC$238,12)</f>
        <v>#REF!</v>
      </c>
      <c r="K28" s="8" t="e">
        <f>VLOOKUP(#REF!,hulpblad!$O$5:$AC$238,12)</f>
        <v>#REF!</v>
      </c>
      <c r="L28" s="8" t="e">
        <f>VLOOKUP(#REF!,hulpblad!$O$5:$AC$238,12)</f>
        <v>#REF!</v>
      </c>
      <c r="M28" s="8" t="e">
        <f>VLOOKUP(#REF!,hulpblad!$O$5:$AC$238,12)</f>
        <v>#REF!</v>
      </c>
      <c r="N28" s="8" t="e">
        <f>VLOOKUP(#REF!,hulpblad!$O$5:$AC$238,12)</f>
        <v>#REF!</v>
      </c>
      <c r="O28" s="8" t="e">
        <f>VLOOKUP(#REF!,hulpblad!$O$5:$AC$238,12)</f>
        <v>#REF!</v>
      </c>
      <c r="P28" s="8" t="e">
        <f>VLOOKUP(#REF!,hulpblad!$O$5:$AC$238,12)</f>
        <v>#REF!</v>
      </c>
      <c r="Q28" s="8" t="e">
        <f>VLOOKUP(#REF!,hulpblad!$O$5:$AC$238,12)</f>
        <v>#REF!</v>
      </c>
      <c r="R28" s="8" t="e">
        <f>VLOOKUP(#REF!,hulpblad!$O$5:$AC$238,12)</f>
        <v>#REF!</v>
      </c>
      <c r="S28" s="8" t="e">
        <f>VLOOKUP(#REF!,hulpblad!$O$5:$AC$238,12)</f>
        <v>#REF!</v>
      </c>
      <c r="T28" s="8" t="e">
        <f>VLOOKUP(#REF!,hulpblad!$O$5:$AC$238,12)</f>
        <v>#REF!</v>
      </c>
      <c r="U28" s="8" t="e">
        <f>VLOOKUP(#REF!,hulpblad!$O$5:$AC$238,12)</f>
        <v>#REF!</v>
      </c>
      <c r="V28" s="8" t="e">
        <f>VLOOKUP(#REF!,hulpblad!$O$5:$AC$238,12)</f>
        <v>#REF!</v>
      </c>
      <c r="W28" s="8" t="e">
        <f>VLOOKUP(#REF!,hulpblad!$O$5:$AC$238,12)</f>
        <v>#REF!</v>
      </c>
      <c r="X28" s="8" t="e">
        <f>VLOOKUP(#REF!,hulpblad!$O$5:$AC$238,12)</f>
        <v>#REF!</v>
      </c>
      <c r="Y28" s="8" t="e">
        <f>VLOOKUP(#REF!,hulpblad!$O$5:$AC$238,12)</f>
        <v>#REF!</v>
      </c>
      <c r="Z28" s="72" t="e">
        <f>VLOOKUP(#REF!,hulpblad!$O$5:$AC$238,12)</f>
        <v>#REF!</v>
      </c>
      <c r="AA28" s="8" t="e">
        <f>VLOOKUP(#REF!,hulpblad!$O$5:$AC$238,12)</f>
        <v>#REF!</v>
      </c>
      <c r="AB28" s="8" t="e">
        <f>VLOOKUP(#REF!,hulpblad!$O$5:$AC$238,12)</f>
        <v>#REF!</v>
      </c>
      <c r="AC28" s="8" t="e">
        <f>VLOOKUP(#REF!,hulpblad!$O$5:$AC$238,12)</f>
        <v>#REF!</v>
      </c>
      <c r="AD28" s="8" t="e">
        <f>VLOOKUP(#REF!,hulpblad!$O$5:$AC$238,12)</f>
        <v>#REF!</v>
      </c>
      <c r="AE28" s="8" t="e">
        <f>VLOOKUP(#REF!,hulpblad!$O$5:$AC$238,12)</f>
        <v>#REF!</v>
      </c>
      <c r="AF28" s="8" t="e">
        <f>VLOOKUP(#REF!,hulpblad!$O$5:$AC$238,12)</f>
        <v>#REF!</v>
      </c>
      <c r="AG28" s="8" t="e">
        <f>VLOOKUP(#REF!,hulpblad!$O$5:$AC$238,12)</f>
        <v>#REF!</v>
      </c>
      <c r="AH28" s="8" t="e">
        <f>VLOOKUP(#REF!,hulpblad!$O$5:$AC$238,12)</f>
        <v>#REF!</v>
      </c>
      <c r="AI28" s="8" t="e">
        <f>VLOOKUP(#REF!,hulpblad!$O$5:$AC$238,12)</f>
        <v>#REF!</v>
      </c>
      <c r="AJ28" s="8" t="e">
        <f>VLOOKUP(#REF!,hulpblad!$O$5:$AC$238,12)</f>
        <v>#REF!</v>
      </c>
      <c r="AK28" s="8" t="e">
        <f>VLOOKUP(#REF!,hulpblad!$O$5:$AC$238,12)</f>
        <v>#REF!</v>
      </c>
    </row>
    <row r="29" spans="1:37" ht="12.75" customHeight="1" x14ac:dyDescent="0.4">
      <c r="B29" s="53"/>
      <c r="C29" s="2" t="s">
        <v>403</v>
      </c>
      <c r="D29" s="8" t="s">
        <v>144</v>
      </c>
      <c r="E29" s="30" t="e">
        <f>VLOOKUP(#REF!,hulpblad!$O$5:$AC$238,7)</f>
        <v>#REF!</v>
      </c>
      <c r="F29" s="30" t="e">
        <f>VLOOKUP(#REF!,hulpblad!$O$5:$AC$238,7)</f>
        <v>#REF!</v>
      </c>
      <c r="G29" s="30" t="e">
        <f>VLOOKUP(#REF!,hulpblad!$O$5:$AC$238,7)</f>
        <v>#REF!</v>
      </c>
      <c r="H29" s="30" t="e">
        <f>VLOOKUP(#REF!,hulpblad!$O$5:$AC$238,7)</f>
        <v>#REF!</v>
      </c>
      <c r="I29" s="30" t="e">
        <f>VLOOKUP(#REF!,hulpblad!$O$5:$AC$238,7)</f>
        <v>#REF!</v>
      </c>
      <c r="J29" s="30" t="e">
        <f>VLOOKUP(#REF!,hulpblad!$O$5:$AC$238,7)</f>
        <v>#REF!</v>
      </c>
      <c r="K29" s="30" t="e">
        <f>VLOOKUP(#REF!,hulpblad!$O$5:$AC$238,7)</f>
        <v>#REF!</v>
      </c>
      <c r="L29" s="30" t="e">
        <f>VLOOKUP(#REF!,hulpblad!$O$5:$AC$238,7)</f>
        <v>#REF!</v>
      </c>
      <c r="M29" s="30" t="e">
        <f>VLOOKUP(#REF!,hulpblad!$O$5:$AC$238,7)</f>
        <v>#REF!</v>
      </c>
      <c r="N29" s="30" t="e">
        <f>VLOOKUP(#REF!,hulpblad!$O$5:$AC$238,7)</f>
        <v>#REF!</v>
      </c>
      <c r="O29" s="30" t="e">
        <f>VLOOKUP(#REF!,hulpblad!$O$5:$AC$238,7)</f>
        <v>#REF!</v>
      </c>
      <c r="P29" s="30" t="e">
        <f>VLOOKUP(#REF!,hulpblad!$O$5:$AC$238,7)</f>
        <v>#REF!</v>
      </c>
      <c r="Q29" s="30" t="e">
        <f>VLOOKUP(#REF!,hulpblad!$O$5:$AC$238,7)</f>
        <v>#REF!</v>
      </c>
      <c r="R29" s="30" t="e">
        <f>VLOOKUP(#REF!,hulpblad!$O$5:$AC$238,7)</f>
        <v>#REF!</v>
      </c>
      <c r="S29" s="30" t="e">
        <f>VLOOKUP(#REF!,hulpblad!$O$5:$AC$238,7)</f>
        <v>#REF!</v>
      </c>
      <c r="T29" s="30" t="e">
        <f>VLOOKUP(#REF!,hulpblad!$O$5:$AC$238,7)</f>
        <v>#REF!</v>
      </c>
      <c r="U29" s="30" t="e">
        <f>VLOOKUP(#REF!,hulpblad!$O$5:$AC$238,7)</f>
        <v>#REF!</v>
      </c>
      <c r="V29" s="30" t="e">
        <f>VLOOKUP(#REF!,hulpblad!$O$5:$AC$238,7)</f>
        <v>#REF!</v>
      </c>
      <c r="W29" s="30" t="e">
        <f>VLOOKUP(#REF!,hulpblad!$O$5:$AC$238,7)</f>
        <v>#REF!</v>
      </c>
      <c r="X29" s="30" t="e">
        <f>VLOOKUP(#REF!,hulpblad!$O$5:$AC$238,7)</f>
        <v>#REF!</v>
      </c>
      <c r="Y29" s="30" t="e">
        <f>VLOOKUP(#REF!,hulpblad!$O$5:$AC$238,7)</f>
        <v>#REF!</v>
      </c>
      <c r="Z29" s="75" t="e">
        <f>VLOOKUP(#REF!,hulpblad!$O$5:$AC$238,7)</f>
        <v>#REF!</v>
      </c>
      <c r="AA29" s="30" t="e">
        <f>VLOOKUP(#REF!,hulpblad!$O$5:$AC$238,7)</f>
        <v>#REF!</v>
      </c>
      <c r="AB29" s="30" t="e">
        <f>VLOOKUP(#REF!,hulpblad!$O$5:$AC$238,7)</f>
        <v>#REF!</v>
      </c>
      <c r="AC29" s="30" t="e">
        <f>VLOOKUP(#REF!,hulpblad!$O$5:$AC$238,7)</f>
        <v>#REF!</v>
      </c>
      <c r="AD29" s="30" t="e">
        <f>VLOOKUP(#REF!,hulpblad!$O$5:$AC$238,7)</f>
        <v>#REF!</v>
      </c>
      <c r="AE29" s="30" t="e">
        <f>VLOOKUP(#REF!,hulpblad!$O$5:$AC$238,7)</f>
        <v>#REF!</v>
      </c>
      <c r="AF29" s="30" t="e">
        <f>VLOOKUP(#REF!,hulpblad!$O$5:$AC$238,7)</f>
        <v>#REF!</v>
      </c>
      <c r="AG29" s="30" t="e">
        <f>VLOOKUP(#REF!,hulpblad!$O$5:$AC$238,7)</f>
        <v>#REF!</v>
      </c>
      <c r="AH29" s="30" t="e">
        <f>VLOOKUP(#REF!,hulpblad!$O$5:$AC$238,7)</f>
        <v>#REF!</v>
      </c>
      <c r="AI29" s="30" t="e">
        <f>VLOOKUP(#REF!,hulpblad!$O$5:$AC$238,7)</f>
        <v>#REF!</v>
      </c>
      <c r="AJ29" s="30" t="e">
        <f>VLOOKUP(#REF!,hulpblad!$O$5:$AC$238,7)</f>
        <v>#REF!</v>
      </c>
      <c r="AK29" s="30" t="e">
        <f>VLOOKUP(#REF!,hulpblad!$O$5:$AC$238,7)</f>
        <v>#REF!</v>
      </c>
    </row>
    <row r="30" spans="1:37" ht="12.75" customHeight="1" x14ac:dyDescent="0.4">
      <c r="B30" s="53"/>
      <c r="C30" s="2" t="s">
        <v>404</v>
      </c>
      <c r="D30" s="8" t="s">
        <v>144</v>
      </c>
      <c r="E30" s="30" t="e">
        <f>VLOOKUP(#REF!,hulpblad!$O$5:$AC$238,8)</f>
        <v>#REF!</v>
      </c>
      <c r="F30" s="30" t="e">
        <f>VLOOKUP(#REF!,hulpblad!$O$5:$AC$238,8)</f>
        <v>#REF!</v>
      </c>
      <c r="G30" s="30" t="e">
        <f>VLOOKUP(#REF!,hulpblad!$O$5:$AC$238,8)</f>
        <v>#REF!</v>
      </c>
      <c r="H30" s="30" t="e">
        <f>VLOOKUP(#REF!,hulpblad!$O$5:$AC$238,8)</f>
        <v>#REF!</v>
      </c>
      <c r="I30" s="30" t="e">
        <f>VLOOKUP(#REF!,hulpblad!$O$5:$AC$238,8)</f>
        <v>#REF!</v>
      </c>
      <c r="J30" s="30" t="e">
        <f>VLOOKUP(#REF!,hulpblad!$O$5:$AC$238,8)</f>
        <v>#REF!</v>
      </c>
      <c r="K30" s="30" t="e">
        <f>VLOOKUP(#REF!,hulpblad!$O$5:$AC$238,8)</f>
        <v>#REF!</v>
      </c>
      <c r="L30" s="30" t="e">
        <f>VLOOKUP(#REF!,hulpblad!$O$5:$AC$238,8)</f>
        <v>#REF!</v>
      </c>
      <c r="M30" s="30" t="e">
        <f>VLOOKUP(#REF!,hulpblad!$O$5:$AC$238,8)</f>
        <v>#REF!</v>
      </c>
      <c r="N30" s="30" t="e">
        <f>VLOOKUP(#REF!,hulpblad!$O$5:$AC$238,8)</f>
        <v>#REF!</v>
      </c>
      <c r="O30" s="30" t="e">
        <f>VLOOKUP(#REF!,hulpblad!$O$5:$AC$238,8)</f>
        <v>#REF!</v>
      </c>
      <c r="P30" s="30" t="e">
        <f>VLOOKUP(#REF!,hulpblad!$O$5:$AC$238,8)</f>
        <v>#REF!</v>
      </c>
      <c r="Q30" s="30" t="e">
        <f>VLOOKUP(#REF!,hulpblad!$O$5:$AC$238,8)</f>
        <v>#REF!</v>
      </c>
      <c r="R30" s="30" t="e">
        <f>VLOOKUP(#REF!,hulpblad!$O$5:$AC$238,8)</f>
        <v>#REF!</v>
      </c>
      <c r="S30" s="30" t="e">
        <f>VLOOKUP(#REF!,hulpblad!$O$5:$AC$238,8)</f>
        <v>#REF!</v>
      </c>
      <c r="T30" s="30" t="e">
        <f>VLOOKUP(#REF!,hulpblad!$O$5:$AC$238,8)</f>
        <v>#REF!</v>
      </c>
      <c r="U30" s="30" t="e">
        <f>VLOOKUP(#REF!,hulpblad!$O$5:$AC$238,8)</f>
        <v>#REF!</v>
      </c>
      <c r="V30" s="30" t="e">
        <f>VLOOKUP(#REF!,hulpblad!$O$5:$AC$238,8)</f>
        <v>#REF!</v>
      </c>
      <c r="W30" s="30" t="e">
        <f>VLOOKUP(#REF!,hulpblad!$O$5:$AC$238,8)</f>
        <v>#REF!</v>
      </c>
      <c r="X30" s="30" t="e">
        <f>VLOOKUP(#REF!,hulpblad!$O$5:$AC$238,8)</f>
        <v>#REF!</v>
      </c>
      <c r="Y30" s="30" t="e">
        <f>VLOOKUP(#REF!,hulpblad!$O$5:$AC$238,8)</f>
        <v>#REF!</v>
      </c>
      <c r="Z30" s="75" t="e">
        <f>VLOOKUP(#REF!,hulpblad!$O$5:$AC$238,8)</f>
        <v>#REF!</v>
      </c>
      <c r="AA30" s="30" t="e">
        <f>VLOOKUP(#REF!,hulpblad!$O$5:$AC$238,8)</f>
        <v>#REF!</v>
      </c>
      <c r="AB30" s="30" t="e">
        <f>VLOOKUP(#REF!,hulpblad!$O$5:$AC$238,8)</f>
        <v>#REF!</v>
      </c>
      <c r="AC30" s="30" t="e">
        <f>VLOOKUP(#REF!,hulpblad!$O$5:$AC$238,8)</f>
        <v>#REF!</v>
      </c>
      <c r="AD30" s="30" t="e">
        <f>VLOOKUP(#REF!,hulpblad!$O$5:$AC$238,8)</f>
        <v>#REF!</v>
      </c>
      <c r="AE30" s="30" t="e">
        <f>VLOOKUP(#REF!,hulpblad!$O$5:$AC$238,8)</f>
        <v>#REF!</v>
      </c>
      <c r="AF30" s="30" t="e">
        <f>VLOOKUP(#REF!,hulpblad!$O$5:$AC$238,8)</f>
        <v>#REF!</v>
      </c>
      <c r="AG30" s="30" t="e">
        <f>VLOOKUP(#REF!,hulpblad!$O$5:$AC$238,8)</f>
        <v>#REF!</v>
      </c>
      <c r="AH30" s="30" t="e">
        <f>VLOOKUP(#REF!,hulpblad!$O$5:$AC$238,8)</f>
        <v>#REF!</v>
      </c>
      <c r="AI30" s="30" t="e">
        <f>VLOOKUP(#REF!,hulpblad!$O$5:$AC$238,8)</f>
        <v>#REF!</v>
      </c>
      <c r="AJ30" s="30" t="e">
        <f>VLOOKUP(#REF!,hulpblad!$O$5:$AC$238,8)</f>
        <v>#REF!</v>
      </c>
      <c r="AK30" s="30" t="e">
        <f>VLOOKUP(#REF!,hulpblad!$O$5:$AC$238,8)</f>
        <v>#REF!</v>
      </c>
    </row>
    <row r="31" spans="1:37" ht="12.75" customHeight="1" x14ac:dyDescent="0.25">
      <c r="A31" s="15" t="s">
        <v>38</v>
      </c>
      <c r="B31" s="53" t="s">
        <v>98</v>
      </c>
      <c r="C31" s="15" t="s">
        <v>103</v>
      </c>
      <c r="D31" s="8" t="s">
        <v>107</v>
      </c>
      <c r="E31" s="8" t="e">
        <f>#REF!</f>
        <v>#REF!</v>
      </c>
      <c r="F31" s="8" t="e">
        <f>#REF!</f>
        <v>#REF!</v>
      </c>
      <c r="G31" s="8" t="e">
        <f>#REF!</f>
        <v>#REF!</v>
      </c>
      <c r="H31" s="8" t="e">
        <f>#REF!</f>
        <v>#REF!</v>
      </c>
      <c r="I31" s="8" t="e">
        <f>#REF!</f>
        <v>#REF!</v>
      </c>
      <c r="J31" s="8" t="e">
        <f>#REF!</f>
        <v>#REF!</v>
      </c>
      <c r="K31" s="8" t="e">
        <f>#REF!</f>
        <v>#REF!</v>
      </c>
      <c r="L31" s="8" t="e">
        <f>#REF!</f>
        <v>#REF!</v>
      </c>
      <c r="M31" s="8" t="e">
        <f>#REF!</f>
        <v>#REF!</v>
      </c>
      <c r="N31" s="8" t="e">
        <f>#REF!</f>
        <v>#REF!</v>
      </c>
      <c r="O31" s="8" t="e">
        <f>#REF!</f>
        <v>#REF!</v>
      </c>
      <c r="P31" s="8" t="e">
        <f>#REF!</f>
        <v>#REF!</v>
      </c>
      <c r="Q31" s="8" t="e">
        <f>#REF!</f>
        <v>#REF!</v>
      </c>
      <c r="R31" s="8" t="e">
        <f>#REF!</f>
        <v>#REF!</v>
      </c>
      <c r="S31" s="8" t="e">
        <f>#REF!</f>
        <v>#REF!</v>
      </c>
      <c r="T31" s="8" t="e">
        <f>#REF!</f>
        <v>#REF!</v>
      </c>
      <c r="U31" s="8" t="e">
        <f>#REF!</f>
        <v>#REF!</v>
      </c>
      <c r="V31" s="8" t="e">
        <f>#REF!</f>
        <v>#REF!</v>
      </c>
      <c r="W31" s="8" t="e">
        <f>#REF!</f>
        <v>#REF!</v>
      </c>
      <c r="X31" s="8" t="e">
        <f>#REF!</f>
        <v>#REF!</v>
      </c>
      <c r="Y31" s="8" t="e">
        <f>#REF!</f>
        <v>#REF!</v>
      </c>
      <c r="Z31" s="72" t="e">
        <f>#REF!</f>
        <v>#REF!</v>
      </c>
      <c r="AA31" s="8" t="e">
        <f>#REF!</f>
        <v>#REF!</v>
      </c>
      <c r="AB31" s="8" t="e">
        <f>#REF!</f>
        <v>#REF!</v>
      </c>
      <c r="AC31" s="8" t="e">
        <f>#REF!</f>
        <v>#REF!</v>
      </c>
      <c r="AD31" s="8" t="e">
        <f>#REF!</f>
        <v>#REF!</v>
      </c>
      <c r="AE31" s="8" t="e">
        <f>#REF!</f>
        <v>#REF!</v>
      </c>
      <c r="AF31" s="8" t="e">
        <f>#REF!</f>
        <v>#REF!</v>
      </c>
      <c r="AG31" s="8" t="e">
        <f>#REF!</f>
        <v>#REF!</v>
      </c>
      <c r="AH31" s="8" t="e">
        <f>#REF!</f>
        <v>#REF!</v>
      </c>
      <c r="AI31" s="8" t="e">
        <f>#REF!</f>
        <v>#REF!</v>
      </c>
      <c r="AJ31" s="8" t="e">
        <f>#REF!</f>
        <v>#REF!</v>
      </c>
      <c r="AK31" s="8" t="e">
        <f>#REF!</f>
        <v>#REF!</v>
      </c>
    </row>
    <row r="32" spans="1:37" ht="12.75" customHeight="1" x14ac:dyDescent="0.25">
      <c r="A32" s="25" t="s">
        <v>397</v>
      </c>
      <c r="B32" s="53"/>
    </row>
    <row r="33" spans="1:37" ht="12.75" customHeight="1" x14ac:dyDescent="0.25">
      <c r="A33" s="28" t="s">
        <v>115</v>
      </c>
      <c r="B33" s="53"/>
      <c r="C33" s="51" t="s">
        <v>43</v>
      </c>
      <c r="D33" s="26" t="s">
        <v>110</v>
      </c>
      <c r="E33" s="8" t="e">
        <f>VLOOKUP(E$11,#REF!,3)</f>
        <v>#REF!</v>
      </c>
      <c r="F33" s="8" t="e">
        <f>VLOOKUP(F$11,#REF!,3)</f>
        <v>#REF!</v>
      </c>
      <c r="G33" s="8" t="e">
        <f>VLOOKUP(G$11,#REF!,3)</f>
        <v>#REF!</v>
      </c>
      <c r="H33" s="8" t="e">
        <f>VLOOKUP(H$11,#REF!,3)</f>
        <v>#REF!</v>
      </c>
      <c r="I33" s="8" t="e">
        <f>VLOOKUP(I$11,#REF!,3)</f>
        <v>#REF!</v>
      </c>
      <c r="J33" s="8" t="e">
        <f>VLOOKUP(J$11,#REF!,3)</f>
        <v>#REF!</v>
      </c>
      <c r="K33" s="8" t="e">
        <f>VLOOKUP(K$11,#REF!,3)</f>
        <v>#REF!</v>
      </c>
      <c r="L33" s="8" t="e">
        <f>VLOOKUP(L$11,#REF!,3)</f>
        <v>#REF!</v>
      </c>
      <c r="M33" s="8" t="e">
        <f>VLOOKUP(M$11,#REF!,3)</f>
        <v>#REF!</v>
      </c>
      <c r="N33" s="8" t="e">
        <f>VLOOKUP(N$11,#REF!,3)</f>
        <v>#REF!</v>
      </c>
      <c r="O33" s="8" t="e">
        <f>VLOOKUP(O$11,#REF!,3)</f>
        <v>#REF!</v>
      </c>
      <c r="P33" s="8" t="e">
        <f>VLOOKUP(P$11,#REF!,3)</f>
        <v>#REF!</v>
      </c>
      <c r="Q33" s="8" t="e">
        <f>VLOOKUP(Q$11,#REF!,3)</f>
        <v>#REF!</v>
      </c>
      <c r="R33" s="8" t="e">
        <f>VLOOKUP(R$11,#REF!,3)</f>
        <v>#REF!</v>
      </c>
      <c r="S33" s="8" t="e">
        <f>VLOOKUP(S$11,#REF!,3)</f>
        <v>#REF!</v>
      </c>
      <c r="T33" s="8" t="e">
        <f>VLOOKUP(T$11,#REF!,3)</f>
        <v>#REF!</v>
      </c>
      <c r="U33" s="8" t="e">
        <f>VLOOKUP(U$11,#REF!,3)</f>
        <v>#REF!</v>
      </c>
      <c r="V33" s="8" t="e">
        <f>VLOOKUP(V$11,#REF!,3)</f>
        <v>#REF!</v>
      </c>
      <c r="W33" s="8" t="e">
        <f>VLOOKUP(W$11,#REF!,3)</f>
        <v>#REF!</v>
      </c>
      <c r="X33" s="8" t="e">
        <f>VLOOKUP(X$11,#REF!,3)</f>
        <v>#REF!</v>
      </c>
      <c r="Y33" s="8" t="e">
        <f>VLOOKUP(Y$11,#REF!,3)</f>
        <v>#REF!</v>
      </c>
      <c r="Z33" s="72" t="e">
        <f>VLOOKUP(Z$11,#REF!,3)</f>
        <v>#REF!</v>
      </c>
      <c r="AA33" s="8" t="e">
        <f>VLOOKUP(AA$11,#REF!,3)</f>
        <v>#REF!</v>
      </c>
      <c r="AB33" s="8" t="e">
        <f>VLOOKUP(AB$11,#REF!,3)</f>
        <v>#REF!</v>
      </c>
      <c r="AC33" s="8" t="e">
        <f>VLOOKUP(AC$11,#REF!,3)</f>
        <v>#REF!</v>
      </c>
      <c r="AD33" s="8" t="e">
        <f>VLOOKUP(AD$11,#REF!,3)</f>
        <v>#REF!</v>
      </c>
      <c r="AE33" s="8" t="e">
        <f>VLOOKUP(AE$11,#REF!,3)</f>
        <v>#REF!</v>
      </c>
      <c r="AF33" s="8" t="e">
        <f>VLOOKUP(AF$11,#REF!,3)</f>
        <v>#REF!</v>
      </c>
      <c r="AG33" s="8" t="e">
        <f>VLOOKUP(AG$11,#REF!,3)</f>
        <v>#REF!</v>
      </c>
      <c r="AH33" s="8" t="e">
        <f>VLOOKUP(AH$11,#REF!,3)</f>
        <v>#REF!</v>
      </c>
      <c r="AI33" s="8" t="e">
        <f>VLOOKUP(AI$11,#REF!,3)</f>
        <v>#REF!</v>
      </c>
      <c r="AJ33" s="8" t="e">
        <f>VLOOKUP(AJ$11,#REF!,3)</f>
        <v>#REF!</v>
      </c>
      <c r="AK33" s="8" t="e">
        <f>VLOOKUP(AK$11,#REF!,3)</f>
        <v>#REF!</v>
      </c>
    </row>
    <row r="34" spans="1:37" ht="12.75" customHeight="1" x14ac:dyDescent="0.25">
      <c r="A34" s="28" t="s">
        <v>116</v>
      </c>
      <c r="B34" s="53"/>
      <c r="C34" s="51" t="s">
        <v>44</v>
      </c>
      <c r="D34" s="26" t="s">
        <v>110</v>
      </c>
      <c r="E34" s="8" t="e">
        <f>VLOOKUP(E$11,#REF!,4)</f>
        <v>#REF!</v>
      </c>
      <c r="F34" s="8" t="e">
        <f>VLOOKUP(F$11,#REF!,4)</f>
        <v>#REF!</v>
      </c>
      <c r="G34" s="8" t="e">
        <f>VLOOKUP(G$11,#REF!,4)</f>
        <v>#REF!</v>
      </c>
      <c r="H34" s="8" t="e">
        <f>VLOOKUP(H$11,#REF!,4)</f>
        <v>#REF!</v>
      </c>
      <c r="I34" s="8" t="e">
        <f>VLOOKUP(I$11,#REF!,4)</f>
        <v>#REF!</v>
      </c>
      <c r="J34" s="8" t="e">
        <f>VLOOKUP(J$11,#REF!,4)</f>
        <v>#REF!</v>
      </c>
      <c r="K34" s="8" t="e">
        <f>VLOOKUP(K$11,#REF!,4)</f>
        <v>#REF!</v>
      </c>
      <c r="L34" s="8" t="e">
        <f>VLOOKUP(L$11,#REF!,4)</f>
        <v>#REF!</v>
      </c>
      <c r="M34" s="8" t="e">
        <f>VLOOKUP(M$11,#REF!,4)</f>
        <v>#REF!</v>
      </c>
      <c r="N34" s="8" t="e">
        <f>VLOOKUP(N$11,#REF!,4)</f>
        <v>#REF!</v>
      </c>
      <c r="O34" s="8" t="e">
        <f>VLOOKUP(O$11,#REF!,4)</f>
        <v>#REF!</v>
      </c>
      <c r="P34" s="8" t="e">
        <f>VLOOKUP(P$11,#REF!,4)</f>
        <v>#REF!</v>
      </c>
      <c r="Q34" s="8" t="e">
        <f>VLOOKUP(Q$11,#REF!,4)</f>
        <v>#REF!</v>
      </c>
      <c r="R34" s="8" t="e">
        <f>VLOOKUP(R$11,#REF!,4)</f>
        <v>#REF!</v>
      </c>
      <c r="S34" s="8" t="e">
        <f>VLOOKUP(S$11,#REF!,4)</f>
        <v>#REF!</v>
      </c>
      <c r="T34" s="8" t="e">
        <f>VLOOKUP(T$11,#REF!,4)</f>
        <v>#REF!</v>
      </c>
      <c r="U34" s="8" t="e">
        <f>VLOOKUP(U$11,#REF!,4)</f>
        <v>#REF!</v>
      </c>
      <c r="V34" s="8" t="e">
        <f>VLOOKUP(V$11,#REF!,4)</f>
        <v>#REF!</v>
      </c>
      <c r="W34" s="8" t="e">
        <f>VLOOKUP(W$11,#REF!,4)</f>
        <v>#REF!</v>
      </c>
      <c r="X34" s="8" t="e">
        <f>VLOOKUP(X$11,#REF!,4)</f>
        <v>#REF!</v>
      </c>
      <c r="Y34" s="8" t="e">
        <f>VLOOKUP(Y$11,#REF!,4)</f>
        <v>#REF!</v>
      </c>
      <c r="Z34" s="72" t="e">
        <f>VLOOKUP(Z$11,#REF!,4)</f>
        <v>#REF!</v>
      </c>
      <c r="AA34" s="8" t="e">
        <f>VLOOKUP(AA$11,#REF!,4)</f>
        <v>#REF!</v>
      </c>
      <c r="AB34" s="8" t="e">
        <f>VLOOKUP(AB$11,#REF!,4)</f>
        <v>#REF!</v>
      </c>
      <c r="AC34" s="8" t="e">
        <f>VLOOKUP(AC$11,#REF!,4)</f>
        <v>#REF!</v>
      </c>
      <c r="AD34" s="8" t="e">
        <f>VLOOKUP(AD$11,#REF!,4)</f>
        <v>#REF!</v>
      </c>
      <c r="AE34" s="8" t="e">
        <f>VLOOKUP(AE$11,#REF!,4)</f>
        <v>#REF!</v>
      </c>
      <c r="AF34" s="8" t="e">
        <f>VLOOKUP(AF$11,#REF!,4)</f>
        <v>#REF!</v>
      </c>
      <c r="AG34" s="8" t="e">
        <f>VLOOKUP(AG$11,#REF!,4)</f>
        <v>#REF!</v>
      </c>
      <c r="AH34" s="8" t="e">
        <f>VLOOKUP(AH$11,#REF!,4)</f>
        <v>#REF!</v>
      </c>
      <c r="AI34" s="8" t="e">
        <f>VLOOKUP(AI$11,#REF!,4)</f>
        <v>#REF!</v>
      </c>
      <c r="AJ34" s="8" t="e">
        <f>VLOOKUP(AJ$11,#REF!,4)</f>
        <v>#REF!</v>
      </c>
      <c r="AK34" s="8" t="e">
        <f>VLOOKUP(AK$11,#REF!,4)</f>
        <v>#REF!</v>
      </c>
    </row>
    <row r="35" spans="1:37" ht="12.75" customHeight="1" x14ac:dyDescent="0.25">
      <c r="A35" s="31" t="s">
        <v>55</v>
      </c>
      <c r="B35" s="53"/>
      <c r="D35" s="43" t="s">
        <v>1</v>
      </c>
      <c r="E35" s="8" t="e">
        <f>VLOOKUP(E$11,#REF!,6)</f>
        <v>#REF!</v>
      </c>
      <c r="F35" s="8" t="e">
        <f>VLOOKUP(F$11,#REF!,6)</f>
        <v>#REF!</v>
      </c>
      <c r="G35" s="8" t="e">
        <f>VLOOKUP(G$11,#REF!,6)</f>
        <v>#REF!</v>
      </c>
      <c r="H35" s="8" t="e">
        <f>VLOOKUP(H$11,#REF!,6)</f>
        <v>#REF!</v>
      </c>
      <c r="I35" s="8" t="e">
        <f>VLOOKUP(I$11,#REF!,6)</f>
        <v>#REF!</v>
      </c>
      <c r="J35" s="8" t="e">
        <f>VLOOKUP(J$11,#REF!,6)</f>
        <v>#REF!</v>
      </c>
      <c r="K35" s="8" t="e">
        <f>VLOOKUP(K$11,#REF!,6)</f>
        <v>#REF!</v>
      </c>
      <c r="L35" s="8" t="e">
        <f>VLOOKUP(L$11,#REF!,6)</f>
        <v>#REF!</v>
      </c>
      <c r="M35" s="8" t="e">
        <f>VLOOKUP(M$11,#REF!,6)</f>
        <v>#REF!</v>
      </c>
      <c r="N35" s="8" t="e">
        <f>VLOOKUP(N$11,#REF!,6)</f>
        <v>#REF!</v>
      </c>
      <c r="O35" s="8" t="e">
        <f>VLOOKUP(O$11,#REF!,6)</f>
        <v>#REF!</v>
      </c>
      <c r="P35" s="8" t="e">
        <f>VLOOKUP(P$11,#REF!,6)</f>
        <v>#REF!</v>
      </c>
      <c r="Q35" s="8" t="e">
        <f>VLOOKUP(Q$11,#REF!,6)</f>
        <v>#REF!</v>
      </c>
      <c r="R35" s="8" t="e">
        <f>VLOOKUP(R$11,#REF!,6)</f>
        <v>#REF!</v>
      </c>
      <c r="S35" s="8" t="e">
        <f>VLOOKUP(S$11,#REF!,6)</f>
        <v>#REF!</v>
      </c>
      <c r="T35" s="8" t="e">
        <f>VLOOKUP(T$11,#REF!,6)</f>
        <v>#REF!</v>
      </c>
      <c r="U35" s="8" t="e">
        <f>VLOOKUP(U$11,#REF!,6)</f>
        <v>#REF!</v>
      </c>
      <c r="V35" s="8" t="e">
        <f>VLOOKUP(V$11,#REF!,6)</f>
        <v>#REF!</v>
      </c>
      <c r="W35" s="8" t="e">
        <f>VLOOKUP(W$11,#REF!,6)</f>
        <v>#REF!</v>
      </c>
      <c r="X35" s="8" t="e">
        <f>VLOOKUP(X$11,#REF!,6)</f>
        <v>#REF!</v>
      </c>
      <c r="Y35" s="8" t="e">
        <f>VLOOKUP(Y$11,#REF!,6)</f>
        <v>#REF!</v>
      </c>
      <c r="Z35" s="72" t="e">
        <f>VLOOKUP(Z$11,#REF!,6)</f>
        <v>#REF!</v>
      </c>
      <c r="AA35" s="8" t="e">
        <f>VLOOKUP(AA$11,#REF!,6)</f>
        <v>#REF!</v>
      </c>
      <c r="AB35" s="8" t="e">
        <f>VLOOKUP(AB$11,#REF!,6)</f>
        <v>#REF!</v>
      </c>
      <c r="AC35" s="8" t="e">
        <f>VLOOKUP(AC$11,#REF!,6)</f>
        <v>#REF!</v>
      </c>
      <c r="AD35" s="8" t="e">
        <f>VLOOKUP(AD$11,#REF!,6)</f>
        <v>#REF!</v>
      </c>
      <c r="AE35" s="8" t="e">
        <f>VLOOKUP(AE$11,#REF!,6)</f>
        <v>#REF!</v>
      </c>
      <c r="AF35" s="8" t="e">
        <f>VLOOKUP(AF$11,#REF!,6)</f>
        <v>#REF!</v>
      </c>
      <c r="AG35" s="8" t="e">
        <f>VLOOKUP(AG$11,#REF!,6)</f>
        <v>#REF!</v>
      </c>
      <c r="AH35" s="8" t="e">
        <f>VLOOKUP(AH$11,#REF!,6)</f>
        <v>#REF!</v>
      </c>
      <c r="AI35" s="8" t="e">
        <f>VLOOKUP(AI$11,#REF!,6)</f>
        <v>#REF!</v>
      </c>
      <c r="AJ35" s="8" t="e">
        <f>VLOOKUP(AJ$11,#REF!,6)</f>
        <v>#REF!</v>
      </c>
      <c r="AK35" s="8" t="e">
        <f>VLOOKUP(AK$11,#REF!,6)</f>
        <v>#REF!</v>
      </c>
    </row>
    <row r="36" spans="1:37" ht="12.75" customHeight="1" x14ac:dyDescent="0.25">
      <c r="B36" s="53"/>
      <c r="C36" s="51" t="s">
        <v>45</v>
      </c>
      <c r="D36" s="26" t="s">
        <v>110</v>
      </c>
      <c r="E36" s="8" t="e">
        <f t="shared" ref="E36:AJ36" si="5">E33-E34-E34</f>
        <v>#REF!</v>
      </c>
      <c r="F36" s="8" t="e">
        <f t="shared" si="5"/>
        <v>#REF!</v>
      </c>
      <c r="G36" s="8" t="e">
        <f t="shared" si="5"/>
        <v>#REF!</v>
      </c>
      <c r="H36" s="8" t="e">
        <f t="shared" si="5"/>
        <v>#REF!</v>
      </c>
      <c r="I36" s="8" t="e">
        <f t="shared" si="5"/>
        <v>#REF!</v>
      </c>
      <c r="J36" s="8" t="e">
        <f t="shared" si="5"/>
        <v>#REF!</v>
      </c>
      <c r="K36" s="8" t="e">
        <f t="shared" si="5"/>
        <v>#REF!</v>
      </c>
      <c r="L36" s="8" t="e">
        <f t="shared" si="5"/>
        <v>#REF!</v>
      </c>
      <c r="M36" s="8" t="e">
        <f t="shared" si="5"/>
        <v>#REF!</v>
      </c>
      <c r="N36" s="8" t="e">
        <f t="shared" si="5"/>
        <v>#REF!</v>
      </c>
      <c r="O36" s="8" t="e">
        <f t="shared" si="5"/>
        <v>#REF!</v>
      </c>
      <c r="P36" s="8" t="e">
        <f t="shared" si="5"/>
        <v>#REF!</v>
      </c>
      <c r="Q36" s="8" t="e">
        <f t="shared" si="5"/>
        <v>#REF!</v>
      </c>
      <c r="R36" s="8" t="e">
        <f t="shared" si="5"/>
        <v>#REF!</v>
      </c>
      <c r="S36" s="8" t="e">
        <f t="shared" si="5"/>
        <v>#REF!</v>
      </c>
      <c r="T36" s="8" t="e">
        <f t="shared" si="5"/>
        <v>#REF!</v>
      </c>
      <c r="U36" s="8" t="e">
        <f t="shared" si="5"/>
        <v>#REF!</v>
      </c>
      <c r="V36" s="8" t="e">
        <f t="shared" si="5"/>
        <v>#REF!</v>
      </c>
      <c r="W36" s="8" t="e">
        <f t="shared" si="5"/>
        <v>#REF!</v>
      </c>
      <c r="X36" s="8" t="e">
        <f t="shared" si="5"/>
        <v>#REF!</v>
      </c>
      <c r="Y36" s="8" t="e">
        <f t="shared" si="5"/>
        <v>#REF!</v>
      </c>
      <c r="Z36" s="72" t="e">
        <f t="shared" si="5"/>
        <v>#REF!</v>
      </c>
      <c r="AA36" s="8" t="e">
        <f t="shared" si="5"/>
        <v>#REF!</v>
      </c>
      <c r="AB36" s="8" t="e">
        <f t="shared" si="5"/>
        <v>#REF!</v>
      </c>
      <c r="AC36" s="8" t="e">
        <f t="shared" si="5"/>
        <v>#REF!</v>
      </c>
      <c r="AD36" s="8" t="e">
        <f t="shared" si="5"/>
        <v>#REF!</v>
      </c>
      <c r="AE36" s="8" t="e">
        <f t="shared" si="5"/>
        <v>#REF!</v>
      </c>
      <c r="AF36" s="8" t="e">
        <f t="shared" si="5"/>
        <v>#REF!</v>
      </c>
      <c r="AG36" s="8" t="e">
        <f t="shared" si="5"/>
        <v>#REF!</v>
      </c>
      <c r="AH36" s="8" t="e">
        <f t="shared" si="5"/>
        <v>#REF!</v>
      </c>
      <c r="AI36" s="8" t="e">
        <f t="shared" si="5"/>
        <v>#REF!</v>
      </c>
      <c r="AJ36" s="8" t="e">
        <f t="shared" si="5"/>
        <v>#REF!</v>
      </c>
      <c r="AK36" s="8" t="e">
        <f t="shared" ref="AK36" si="6">AK33-AK34-AK34</f>
        <v>#REF!</v>
      </c>
    </row>
    <row r="37" spans="1:37" ht="12.75" customHeight="1" x14ac:dyDescent="0.25">
      <c r="B37" s="53"/>
      <c r="C37" s="51" t="s">
        <v>46</v>
      </c>
      <c r="D37" s="26" t="s">
        <v>111</v>
      </c>
      <c r="E37" s="29" t="e">
        <f t="shared" ref="E37:AJ37" si="7">(0.25*PI()*E33^2)-(0.25*PI()*E36^2)</f>
        <v>#REF!</v>
      </c>
      <c r="F37" s="29" t="e">
        <f t="shared" si="7"/>
        <v>#REF!</v>
      </c>
      <c r="G37" s="29" t="e">
        <f t="shared" si="7"/>
        <v>#REF!</v>
      </c>
      <c r="H37" s="29" t="e">
        <f t="shared" si="7"/>
        <v>#REF!</v>
      </c>
      <c r="I37" s="29" t="e">
        <f t="shared" si="7"/>
        <v>#REF!</v>
      </c>
      <c r="J37" s="29" t="e">
        <f t="shared" si="7"/>
        <v>#REF!</v>
      </c>
      <c r="K37" s="29" t="e">
        <f t="shared" si="7"/>
        <v>#REF!</v>
      </c>
      <c r="L37" s="29" t="e">
        <f t="shared" si="7"/>
        <v>#REF!</v>
      </c>
      <c r="M37" s="29" t="e">
        <f t="shared" si="7"/>
        <v>#REF!</v>
      </c>
      <c r="N37" s="29" t="e">
        <f t="shared" si="7"/>
        <v>#REF!</v>
      </c>
      <c r="O37" s="29" t="e">
        <f t="shared" si="7"/>
        <v>#REF!</v>
      </c>
      <c r="P37" s="29" t="e">
        <f t="shared" si="7"/>
        <v>#REF!</v>
      </c>
      <c r="Q37" s="29" t="e">
        <f t="shared" si="7"/>
        <v>#REF!</v>
      </c>
      <c r="R37" s="29" t="e">
        <f t="shared" si="7"/>
        <v>#REF!</v>
      </c>
      <c r="S37" s="29" t="e">
        <f t="shared" si="7"/>
        <v>#REF!</v>
      </c>
      <c r="T37" s="29" t="e">
        <f t="shared" si="7"/>
        <v>#REF!</v>
      </c>
      <c r="U37" s="29" t="e">
        <f t="shared" si="7"/>
        <v>#REF!</v>
      </c>
      <c r="V37" s="29" t="e">
        <f t="shared" si="7"/>
        <v>#REF!</v>
      </c>
      <c r="W37" s="29" t="e">
        <f t="shared" si="7"/>
        <v>#REF!</v>
      </c>
      <c r="X37" s="29" t="e">
        <f t="shared" si="7"/>
        <v>#REF!</v>
      </c>
      <c r="Y37" s="29" t="e">
        <f t="shared" si="7"/>
        <v>#REF!</v>
      </c>
      <c r="Z37" s="74" t="e">
        <f t="shared" si="7"/>
        <v>#REF!</v>
      </c>
      <c r="AA37" s="29" t="e">
        <f t="shared" si="7"/>
        <v>#REF!</v>
      </c>
      <c r="AB37" s="29" t="e">
        <f t="shared" si="7"/>
        <v>#REF!</v>
      </c>
      <c r="AC37" s="29" t="e">
        <f t="shared" si="7"/>
        <v>#REF!</v>
      </c>
      <c r="AD37" s="29" t="e">
        <f t="shared" si="7"/>
        <v>#REF!</v>
      </c>
      <c r="AE37" s="29" t="e">
        <f t="shared" si="7"/>
        <v>#REF!</v>
      </c>
      <c r="AF37" s="29" t="e">
        <f t="shared" si="7"/>
        <v>#REF!</v>
      </c>
      <c r="AG37" s="29" t="e">
        <f t="shared" si="7"/>
        <v>#REF!</v>
      </c>
      <c r="AH37" s="29" t="e">
        <f t="shared" si="7"/>
        <v>#REF!</v>
      </c>
      <c r="AI37" s="29" t="e">
        <f t="shared" si="7"/>
        <v>#REF!</v>
      </c>
      <c r="AJ37" s="29" t="e">
        <f t="shared" si="7"/>
        <v>#REF!</v>
      </c>
      <c r="AK37" s="29" t="e">
        <f t="shared" ref="AK37" si="8">(0.25*PI()*AK33^2)-(0.25*PI()*AK36^2)</f>
        <v>#REF!</v>
      </c>
    </row>
    <row r="38" spans="1:37" ht="12.75" customHeight="1" x14ac:dyDescent="0.25">
      <c r="B38" s="53"/>
      <c r="C38" s="51" t="s">
        <v>47</v>
      </c>
      <c r="D38" s="26" t="s">
        <v>111</v>
      </c>
      <c r="E38" s="8" t="e">
        <f>2*E37/PI()</f>
        <v>#REF!</v>
      </c>
      <c r="F38" s="8" t="e">
        <f>2*F37/PI()</f>
        <v>#REF!</v>
      </c>
      <c r="G38" s="8" t="e">
        <f t="shared" ref="G38:AK38" si="9">2*G37/PI()</f>
        <v>#REF!</v>
      </c>
      <c r="H38" s="8" t="e">
        <f t="shared" si="9"/>
        <v>#REF!</v>
      </c>
      <c r="I38" s="8" t="e">
        <f t="shared" si="9"/>
        <v>#REF!</v>
      </c>
      <c r="J38" s="8" t="e">
        <f t="shared" si="9"/>
        <v>#REF!</v>
      </c>
      <c r="K38" s="8" t="e">
        <f t="shared" si="9"/>
        <v>#REF!</v>
      </c>
      <c r="L38" s="8" t="e">
        <f t="shared" si="9"/>
        <v>#REF!</v>
      </c>
      <c r="M38" s="8" t="e">
        <f t="shared" si="9"/>
        <v>#REF!</v>
      </c>
      <c r="N38" s="8" t="e">
        <f t="shared" si="9"/>
        <v>#REF!</v>
      </c>
      <c r="O38" s="8" t="e">
        <f t="shared" si="9"/>
        <v>#REF!</v>
      </c>
      <c r="P38" s="8" t="e">
        <f t="shared" si="9"/>
        <v>#REF!</v>
      </c>
      <c r="Q38" s="8" t="e">
        <f t="shared" si="9"/>
        <v>#REF!</v>
      </c>
      <c r="R38" s="8" t="e">
        <f t="shared" si="9"/>
        <v>#REF!</v>
      </c>
      <c r="S38" s="8" t="e">
        <f t="shared" si="9"/>
        <v>#REF!</v>
      </c>
      <c r="T38" s="8" t="e">
        <f t="shared" si="9"/>
        <v>#REF!</v>
      </c>
      <c r="U38" s="8" t="e">
        <f t="shared" si="9"/>
        <v>#REF!</v>
      </c>
      <c r="V38" s="8" t="e">
        <f t="shared" si="9"/>
        <v>#REF!</v>
      </c>
      <c r="W38" s="8" t="e">
        <f t="shared" si="9"/>
        <v>#REF!</v>
      </c>
      <c r="X38" s="8" t="e">
        <f t="shared" si="9"/>
        <v>#REF!</v>
      </c>
      <c r="Y38" s="8" t="e">
        <f t="shared" si="9"/>
        <v>#REF!</v>
      </c>
      <c r="Z38" s="72" t="e">
        <f t="shared" si="9"/>
        <v>#REF!</v>
      </c>
      <c r="AA38" s="8" t="e">
        <f t="shared" si="9"/>
        <v>#REF!</v>
      </c>
      <c r="AB38" s="8" t="e">
        <f t="shared" si="9"/>
        <v>#REF!</v>
      </c>
      <c r="AC38" s="8" t="e">
        <f t="shared" si="9"/>
        <v>#REF!</v>
      </c>
      <c r="AD38" s="8" t="e">
        <f t="shared" si="9"/>
        <v>#REF!</v>
      </c>
      <c r="AE38" s="8" t="e">
        <f t="shared" si="9"/>
        <v>#REF!</v>
      </c>
      <c r="AF38" s="8" t="e">
        <f t="shared" si="9"/>
        <v>#REF!</v>
      </c>
      <c r="AG38" s="8" t="e">
        <f t="shared" si="9"/>
        <v>#REF!</v>
      </c>
      <c r="AH38" s="8" t="e">
        <f t="shared" si="9"/>
        <v>#REF!</v>
      </c>
      <c r="AI38" s="8" t="e">
        <f t="shared" si="9"/>
        <v>#REF!</v>
      </c>
      <c r="AJ38" s="8" t="e">
        <f t="shared" si="9"/>
        <v>#REF!</v>
      </c>
      <c r="AK38" s="8" t="e">
        <f t="shared" si="9"/>
        <v>#REF!</v>
      </c>
    </row>
    <row r="39" spans="1:37" ht="12.75" customHeight="1" x14ac:dyDescent="0.25">
      <c r="B39" s="53"/>
      <c r="C39" s="51" t="s">
        <v>14</v>
      </c>
      <c r="D39" s="26" t="s">
        <v>112</v>
      </c>
      <c r="E39" s="30" t="e">
        <f t="shared" ref="E39:AJ39" si="10">(PI()*(E33^4-E36^4))/64</f>
        <v>#REF!</v>
      </c>
      <c r="F39" s="30" t="e">
        <f t="shared" si="10"/>
        <v>#REF!</v>
      </c>
      <c r="G39" s="30" t="e">
        <f t="shared" si="10"/>
        <v>#REF!</v>
      </c>
      <c r="H39" s="30" t="e">
        <f t="shared" si="10"/>
        <v>#REF!</v>
      </c>
      <c r="I39" s="30" t="e">
        <f t="shared" si="10"/>
        <v>#REF!</v>
      </c>
      <c r="J39" s="30" t="e">
        <f t="shared" si="10"/>
        <v>#REF!</v>
      </c>
      <c r="K39" s="30" t="e">
        <f t="shared" si="10"/>
        <v>#REF!</v>
      </c>
      <c r="L39" s="30" t="e">
        <f t="shared" si="10"/>
        <v>#REF!</v>
      </c>
      <c r="M39" s="30" t="e">
        <f t="shared" si="10"/>
        <v>#REF!</v>
      </c>
      <c r="N39" s="30" t="e">
        <f t="shared" si="10"/>
        <v>#REF!</v>
      </c>
      <c r="O39" s="30" t="e">
        <f t="shared" si="10"/>
        <v>#REF!</v>
      </c>
      <c r="P39" s="30" t="e">
        <f t="shared" si="10"/>
        <v>#REF!</v>
      </c>
      <c r="Q39" s="30" t="e">
        <f t="shared" si="10"/>
        <v>#REF!</v>
      </c>
      <c r="R39" s="30" t="e">
        <f t="shared" si="10"/>
        <v>#REF!</v>
      </c>
      <c r="S39" s="30" t="e">
        <f t="shared" si="10"/>
        <v>#REF!</v>
      </c>
      <c r="T39" s="30" t="e">
        <f t="shared" si="10"/>
        <v>#REF!</v>
      </c>
      <c r="U39" s="30" t="e">
        <f t="shared" si="10"/>
        <v>#REF!</v>
      </c>
      <c r="V39" s="30" t="e">
        <f t="shared" si="10"/>
        <v>#REF!</v>
      </c>
      <c r="W39" s="30" t="e">
        <f t="shared" si="10"/>
        <v>#REF!</v>
      </c>
      <c r="X39" s="30" t="e">
        <f t="shared" si="10"/>
        <v>#REF!</v>
      </c>
      <c r="Y39" s="30" t="e">
        <f t="shared" si="10"/>
        <v>#REF!</v>
      </c>
      <c r="Z39" s="75" t="e">
        <f t="shared" si="10"/>
        <v>#REF!</v>
      </c>
      <c r="AA39" s="30" t="e">
        <f t="shared" si="10"/>
        <v>#REF!</v>
      </c>
      <c r="AB39" s="30" t="e">
        <f t="shared" si="10"/>
        <v>#REF!</v>
      </c>
      <c r="AC39" s="30" t="e">
        <f t="shared" si="10"/>
        <v>#REF!</v>
      </c>
      <c r="AD39" s="30" t="e">
        <f t="shared" si="10"/>
        <v>#REF!</v>
      </c>
      <c r="AE39" s="30" t="e">
        <f t="shared" si="10"/>
        <v>#REF!</v>
      </c>
      <c r="AF39" s="30" t="e">
        <f t="shared" si="10"/>
        <v>#REF!</v>
      </c>
      <c r="AG39" s="30" t="e">
        <f t="shared" si="10"/>
        <v>#REF!</v>
      </c>
      <c r="AH39" s="30" t="e">
        <f t="shared" si="10"/>
        <v>#REF!</v>
      </c>
      <c r="AI39" s="30" t="e">
        <f t="shared" si="10"/>
        <v>#REF!</v>
      </c>
      <c r="AJ39" s="30" t="e">
        <f t="shared" si="10"/>
        <v>#REF!</v>
      </c>
      <c r="AK39" s="30" t="e">
        <f t="shared" ref="AK39" si="11">(PI()*(AK33^4-AK36^4))/64</f>
        <v>#REF!</v>
      </c>
    </row>
    <row r="40" spans="1:37" ht="12.75" customHeight="1" x14ac:dyDescent="0.25">
      <c r="B40" s="53"/>
      <c r="C40" s="51" t="s">
        <v>48</v>
      </c>
      <c r="D40" s="26" t="s">
        <v>113</v>
      </c>
      <c r="E40" s="30" t="e">
        <f t="shared" ref="E40:AJ40" si="12">PI()*(E33^4-E36^4)/(32*E33)</f>
        <v>#REF!</v>
      </c>
      <c r="F40" s="30" t="e">
        <f t="shared" si="12"/>
        <v>#REF!</v>
      </c>
      <c r="G40" s="30" t="e">
        <f t="shared" si="12"/>
        <v>#REF!</v>
      </c>
      <c r="H40" s="30" t="e">
        <f t="shared" si="12"/>
        <v>#REF!</v>
      </c>
      <c r="I40" s="30" t="e">
        <f t="shared" si="12"/>
        <v>#REF!</v>
      </c>
      <c r="J40" s="30" t="e">
        <f t="shared" si="12"/>
        <v>#REF!</v>
      </c>
      <c r="K40" s="30" t="e">
        <f t="shared" si="12"/>
        <v>#REF!</v>
      </c>
      <c r="L40" s="30" t="e">
        <f t="shared" si="12"/>
        <v>#REF!</v>
      </c>
      <c r="M40" s="30" t="e">
        <f t="shared" si="12"/>
        <v>#REF!</v>
      </c>
      <c r="N40" s="30" t="e">
        <f t="shared" si="12"/>
        <v>#REF!</v>
      </c>
      <c r="O40" s="30" t="e">
        <f t="shared" si="12"/>
        <v>#REF!</v>
      </c>
      <c r="P40" s="30" t="e">
        <f t="shared" si="12"/>
        <v>#REF!</v>
      </c>
      <c r="Q40" s="30" t="e">
        <f t="shared" si="12"/>
        <v>#REF!</v>
      </c>
      <c r="R40" s="30" t="e">
        <f t="shared" si="12"/>
        <v>#REF!</v>
      </c>
      <c r="S40" s="30" t="e">
        <f t="shared" si="12"/>
        <v>#REF!</v>
      </c>
      <c r="T40" s="30" t="e">
        <f t="shared" si="12"/>
        <v>#REF!</v>
      </c>
      <c r="U40" s="30" t="e">
        <f t="shared" si="12"/>
        <v>#REF!</v>
      </c>
      <c r="V40" s="30" t="e">
        <f t="shared" si="12"/>
        <v>#REF!</v>
      </c>
      <c r="W40" s="30" t="e">
        <f t="shared" si="12"/>
        <v>#REF!</v>
      </c>
      <c r="X40" s="30" t="e">
        <f t="shared" si="12"/>
        <v>#REF!</v>
      </c>
      <c r="Y40" s="30" t="e">
        <f t="shared" si="12"/>
        <v>#REF!</v>
      </c>
      <c r="Z40" s="75" t="e">
        <f t="shared" si="12"/>
        <v>#REF!</v>
      </c>
      <c r="AA40" s="30" t="e">
        <f t="shared" si="12"/>
        <v>#REF!</v>
      </c>
      <c r="AB40" s="30" t="e">
        <f t="shared" si="12"/>
        <v>#REF!</v>
      </c>
      <c r="AC40" s="30" t="e">
        <f t="shared" si="12"/>
        <v>#REF!</v>
      </c>
      <c r="AD40" s="30" t="e">
        <f t="shared" si="12"/>
        <v>#REF!</v>
      </c>
      <c r="AE40" s="30" t="e">
        <f t="shared" si="12"/>
        <v>#REF!</v>
      </c>
      <c r="AF40" s="30" t="e">
        <f t="shared" si="12"/>
        <v>#REF!</v>
      </c>
      <c r="AG40" s="30" t="e">
        <f t="shared" si="12"/>
        <v>#REF!</v>
      </c>
      <c r="AH40" s="30" t="e">
        <f t="shared" si="12"/>
        <v>#REF!</v>
      </c>
      <c r="AI40" s="30" t="e">
        <f t="shared" si="12"/>
        <v>#REF!</v>
      </c>
      <c r="AJ40" s="30" t="e">
        <f t="shared" si="12"/>
        <v>#REF!</v>
      </c>
      <c r="AK40" s="30" t="e">
        <f t="shared" ref="AK40" si="13">PI()*(AK33^4-AK36^4)/(32*AK33)</f>
        <v>#REF!</v>
      </c>
    </row>
    <row r="41" spans="1:37" ht="12.75" customHeight="1" x14ac:dyDescent="0.25">
      <c r="B41" s="53"/>
      <c r="C41" s="51" t="s">
        <v>49</v>
      </c>
      <c r="D41" s="26" t="s">
        <v>113</v>
      </c>
      <c r="E41" s="30" t="e">
        <f t="shared" ref="E41:AJ41" si="14">(E33-E34)^2*E34</f>
        <v>#REF!</v>
      </c>
      <c r="F41" s="30" t="e">
        <f t="shared" si="14"/>
        <v>#REF!</v>
      </c>
      <c r="G41" s="30" t="e">
        <f t="shared" si="14"/>
        <v>#REF!</v>
      </c>
      <c r="H41" s="30" t="e">
        <f t="shared" si="14"/>
        <v>#REF!</v>
      </c>
      <c r="I41" s="30" t="e">
        <f t="shared" si="14"/>
        <v>#REF!</v>
      </c>
      <c r="J41" s="30" t="e">
        <f t="shared" si="14"/>
        <v>#REF!</v>
      </c>
      <c r="K41" s="30" t="e">
        <f t="shared" si="14"/>
        <v>#REF!</v>
      </c>
      <c r="L41" s="30" t="e">
        <f t="shared" si="14"/>
        <v>#REF!</v>
      </c>
      <c r="M41" s="30" t="e">
        <f t="shared" si="14"/>
        <v>#REF!</v>
      </c>
      <c r="N41" s="30" t="e">
        <f t="shared" si="14"/>
        <v>#REF!</v>
      </c>
      <c r="O41" s="30" t="e">
        <f t="shared" si="14"/>
        <v>#REF!</v>
      </c>
      <c r="P41" s="30" t="e">
        <f t="shared" si="14"/>
        <v>#REF!</v>
      </c>
      <c r="Q41" s="30" t="e">
        <f t="shared" si="14"/>
        <v>#REF!</v>
      </c>
      <c r="R41" s="30" t="e">
        <f t="shared" si="14"/>
        <v>#REF!</v>
      </c>
      <c r="S41" s="30" t="e">
        <f t="shared" si="14"/>
        <v>#REF!</v>
      </c>
      <c r="T41" s="30" t="e">
        <f t="shared" si="14"/>
        <v>#REF!</v>
      </c>
      <c r="U41" s="30" t="e">
        <f t="shared" si="14"/>
        <v>#REF!</v>
      </c>
      <c r="V41" s="30" t="e">
        <f t="shared" si="14"/>
        <v>#REF!</v>
      </c>
      <c r="W41" s="30" t="e">
        <f t="shared" si="14"/>
        <v>#REF!</v>
      </c>
      <c r="X41" s="30" t="e">
        <f t="shared" si="14"/>
        <v>#REF!</v>
      </c>
      <c r="Y41" s="30" t="e">
        <f t="shared" si="14"/>
        <v>#REF!</v>
      </c>
      <c r="Z41" s="75" t="e">
        <f t="shared" si="14"/>
        <v>#REF!</v>
      </c>
      <c r="AA41" s="30" t="e">
        <f t="shared" si="14"/>
        <v>#REF!</v>
      </c>
      <c r="AB41" s="30" t="e">
        <f t="shared" si="14"/>
        <v>#REF!</v>
      </c>
      <c r="AC41" s="30" t="e">
        <f t="shared" si="14"/>
        <v>#REF!</v>
      </c>
      <c r="AD41" s="30" t="e">
        <f t="shared" si="14"/>
        <v>#REF!</v>
      </c>
      <c r="AE41" s="30" t="e">
        <f t="shared" si="14"/>
        <v>#REF!</v>
      </c>
      <c r="AF41" s="30" t="e">
        <f t="shared" si="14"/>
        <v>#REF!</v>
      </c>
      <c r="AG41" s="30" t="e">
        <f t="shared" si="14"/>
        <v>#REF!</v>
      </c>
      <c r="AH41" s="30" t="e">
        <f t="shared" si="14"/>
        <v>#REF!</v>
      </c>
      <c r="AI41" s="30" t="e">
        <f t="shared" si="14"/>
        <v>#REF!</v>
      </c>
      <c r="AJ41" s="30" t="e">
        <f t="shared" si="14"/>
        <v>#REF!</v>
      </c>
      <c r="AK41" s="30" t="e">
        <f t="shared" ref="AK41" si="15">(AK33-AK34)^2*AK34</f>
        <v>#REF!</v>
      </c>
    </row>
    <row r="42" spans="1:37" ht="12.75" customHeight="1" x14ac:dyDescent="0.25">
      <c r="B42" s="53"/>
      <c r="C42" s="51" t="s">
        <v>8</v>
      </c>
      <c r="D42" s="26" t="s">
        <v>114</v>
      </c>
      <c r="E42" s="29" t="e">
        <f>E37*78.5/1000000</f>
        <v>#REF!</v>
      </c>
      <c r="F42" s="29" t="e">
        <f>F37*78.5/1000000</f>
        <v>#REF!</v>
      </c>
      <c r="G42" s="29" t="e">
        <f t="shared" ref="G42:AK42" si="16">G37*78.5/1000000</f>
        <v>#REF!</v>
      </c>
      <c r="H42" s="29" t="e">
        <f t="shared" si="16"/>
        <v>#REF!</v>
      </c>
      <c r="I42" s="29" t="e">
        <f t="shared" si="16"/>
        <v>#REF!</v>
      </c>
      <c r="J42" s="29" t="e">
        <f t="shared" si="16"/>
        <v>#REF!</v>
      </c>
      <c r="K42" s="29" t="e">
        <f t="shared" si="16"/>
        <v>#REF!</v>
      </c>
      <c r="L42" s="29" t="e">
        <f t="shared" si="16"/>
        <v>#REF!</v>
      </c>
      <c r="M42" s="29" t="e">
        <f t="shared" si="16"/>
        <v>#REF!</v>
      </c>
      <c r="N42" s="29" t="e">
        <f t="shared" si="16"/>
        <v>#REF!</v>
      </c>
      <c r="O42" s="29" t="e">
        <f t="shared" si="16"/>
        <v>#REF!</v>
      </c>
      <c r="P42" s="29" t="e">
        <f t="shared" si="16"/>
        <v>#REF!</v>
      </c>
      <c r="Q42" s="29" t="e">
        <f t="shared" si="16"/>
        <v>#REF!</v>
      </c>
      <c r="R42" s="29" t="e">
        <f t="shared" si="16"/>
        <v>#REF!</v>
      </c>
      <c r="S42" s="29" t="e">
        <f t="shared" si="16"/>
        <v>#REF!</v>
      </c>
      <c r="T42" s="29" t="e">
        <f t="shared" si="16"/>
        <v>#REF!</v>
      </c>
      <c r="U42" s="29" t="e">
        <f t="shared" si="16"/>
        <v>#REF!</v>
      </c>
      <c r="V42" s="29" t="e">
        <f t="shared" si="16"/>
        <v>#REF!</v>
      </c>
      <c r="W42" s="29" t="e">
        <f t="shared" si="16"/>
        <v>#REF!</v>
      </c>
      <c r="X42" s="29" t="e">
        <f t="shared" si="16"/>
        <v>#REF!</v>
      </c>
      <c r="Y42" s="29" t="e">
        <f t="shared" si="16"/>
        <v>#REF!</v>
      </c>
      <c r="Z42" s="74" t="e">
        <f t="shared" si="16"/>
        <v>#REF!</v>
      </c>
      <c r="AA42" s="29" t="e">
        <f t="shared" si="16"/>
        <v>#REF!</v>
      </c>
      <c r="AB42" s="29" t="e">
        <f t="shared" si="16"/>
        <v>#REF!</v>
      </c>
      <c r="AC42" s="29" t="e">
        <f t="shared" si="16"/>
        <v>#REF!</v>
      </c>
      <c r="AD42" s="29" t="e">
        <f t="shared" si="16"/>
        <v>#REF!</v>
      </c>
      <c r="AE42" s="29" t="e">
        <f t="shared" si="16"/>
        <v>#REF!</v>
      </c>
      <c r="AF42" s="29" t="e">
        <f t="shared" si="16"/>
        <v>#REF!</v>
      </c>
      <c r="AG42" s="29" t="e">
        <f t="shared" si="16"/>
        <v>#REF!</v>
      </c>
      <c r="AH42" s="29" t="e">
        <f t="shared" si="16"/>
        <v>#REF!</v>
      </c>
      <c r="AI42" s="29" t="e">
        <f t="shared" si="16"/>
        <v>#REF!</v>
      </c>
      <c r="AJ42" s="29" t="e">
        <f t="shared" si="16"/>
        <v>#REF!</v>
      </c>
      <c r="AK42" s="29" t="e">
        <f t="shared" si="16"/>
        <v>#REF!</v>
      </c>
    </row>
    <row r="43" spans="1:37" ht="12.75" customHeight="1" x14ac:dyDescent="0.25">
      <c r="B43" s="53"/>
      <c r="D43" s="26"/>
    </row>
    <row r="44" spans="1:37" ht="12.75" customHeight="1" x14ac:dyDescent="0.25">
      <c r="B44" s="53"/>
    </row>
    <row r="45" spans="1:37" ht="12.75" customHeight="1" x14ac:dyDescent="0.25">
      <c r="A45" s="25" t="s">
        <v>50</v>
      </c>
      <c r="B45" s="53"/>
    </row>
    <row r="46" spans="1:37" ht="12.75" customHeight="1" x14ac:dyDescent="0.25">
      <c r="A46" s="15" t="s">
        <v>51</v>
      </c>
      <c r="B46" s="53" t="s">
        <v>100</v>
      </c>
      <c r="D46" s="14" t="s">
        <v>106</v>
      </c>
      <c r="E46" s="40" t="e">
        <f t="shared" ref="E46:AK46" si="17">E33/E34</f>
        <v>#REF!</v>
      </c>
      <c r="F46" s="40" t="e">
        <f t="shared" si="17"/>
        <v>#REF!</v>
      </c>
      <c r="G46" s="40" t="e">
        <f t="shared" si="17"/>
        <v>#REF!</v>
      </c>
      <c r="H46" s="40" t="e">
        <f t="shared" si="17"/>
        <v>#REF!</v>
      </c>
      <c r="I46" s="40" t="e">
        <f t="shared" si="17"/>
        <v>#REF!</v>
      </c>
      <c r="J46" s="40" t="e">
        <f t="shared" si="17"/>
        <v>#REF!</v>
      </c>
      <c r="K46" s="40" t="e">
        <f t="shared" si="17"/>
        <v>#REF!</v>
      </c>
      <c r="L46" s="40" t="e">
        <f t="shared" si="17"/>
        <v>#REF!</v>
      </c>
      <c r="M46" s="40" t="e">
        <f t="shared" si="17"/>
        <v>#REF!</v>
      </c>
      <c r="N46" s="40" t="e">
        <f t="shared" si="17"/>
        <v>#REF!</v>
      </c>
      <c r="O46" s="40" t="e">
        <f t="shared" si="17"/>
        <v>#REF!</v>
      </c>
      <c r="P46" s="40" t="e">
        <f t="shared" si="17"/>
        <v>#REF!</v>
      </c>
      <c r="Q46" s="40" t="e">
        <f t="shared" si="17"/>
        <v>#REF!</v>
      </c>
      <c r="R46" s="40" t="e">
        <f t="shared" si="17"/>
        <v>#REF!</v>
      </c>
      <c r="S46" s="40" t="e">
        <f t="shared" si="17"/>
        <v>#REF!</v>
      </c>
      <c r="T46" s="40" t="e">
        <f t="shared" si="17"/>
        <v>#REF!</v>
      </c>
      <c r="U46" s="40" t="e">
        <f t="shared" si="17"/>
        <v>#REF!</v>
      </c>
      <c r="V46" s="40" t="e">
        <f t="shared" si="17"/>
        <v>#REF!</v>
      </c>
      <c r="W46" s="40" t="e">
        <f t="shared" si="17"/>
        <v>#REF!</v>
      </c>
      <c r="X46" s="40" t="e">
        <f t="shared" si="17"/>
        <v>#REF!</v>
      </c>
      <c r="Y46" s="40" t="e">
        <f t="shared" si="17"/>
        <v>#REF!</v>
      </c>
      <c r="Z46" s="76" t="e">
        <f t="shared" si="17"/>
        <v>#REF!</v>
      </c>
      <c r="AA46" s="40" t="e">
        <f t="shared" si="17"/>
        <v>#REF!</v>
      </c>
      <c r="AB46" s="40" t="e">
        <f t="shared" si="17"/>
        <v>#REF!</v>
      </c>
      <c r="AC46" s="40" t="e">
        <f t="shared" si="17"/>
        <v>#REF!</v>
      </c>
      <c r="AD46" s="40" t="e">
        <f t="shared" si="17"/>
        <v>#REF!</v>
      </c>
      <c r="AE46" s="40" t="e">
        <f t="shared" si="17"/>
        <v>#REF!</v>
      </c>
      <c r="AF46" s="40" t="e">
        <f t="shared" si="17"/>
        <v>#REF!</v>
      </c>
      <c r="AG46" s="40" t="e">
        <f t="shared" si="17"/>
        <v>#REF!</v>
      </c>
      <c r="AH46" s="40" t="e">
        <f t="shared" si="17"/>
        <v>#REF!</v>
      </c>
      <c r="AI46" s="40" t="e">
        <f t="shared" si="17"/>
        <v>#REF!</v>
      </c>
      <c r="AJ46" s="40" t="e">
        <f t="shared" si="17"/>
        <v>#REF!</v>
      </c>
      <c r="AK46" s="40" t="e">
        <f t="shared" si="17"/>
        <v>#REF!</v>
      </c>
    </row>
    <row r="47" spans="1:37" ht="12.75" customHeight="1" x14ac:dyDescent="0.25">
      <c r="A47" s="27" t="s">
        <v>52</v>
      </c>
      <c r="B47" s="53" t="s">
        <v>100</v>
      </c>
      <c r="D47" s="14" t="s">
        <v>106</v>
      </c>
      <c r="E47" s="29" t="e">
        <f t="shared" ref="E47:AK47" si="18">E16^2</f>
        <v>#REF!</v>
      </c>
      <c r="F47" s="29" t="e">
        <f t="shared" si="18"/>
        <v>#REF!</v>
      </c>
      <c r="G47" s="29" t="e">
        <f t="shared" si="18"/>
        <v>#REF!</v>
      </c>
      <c r="H47" s="29" t="e">
        <f t="shared" si="18"/>
        <v>#REF!</v>
      </c>
      <c r="I47" s="29" t="e">
        <f t="shared" si="18"/>
        <v>#REF!</v>
      </c>
      <c r="J47" s="29" t="e">
        <f t="shared" si="18"/>
        <v>#REF!</v>
      </c>
      <c r="K47" s="29" t="e">
        <f t="shared" si="18"/>
        <v>#REF!</v>
      </c>
      <c r="L47" s="29" t="e">
        <f t="shared" si="18"/>
        <v>#REF!</v>
      </c>
      <c r="M47" s="29" t="e">
        <f t="shared" si="18"/>
        <v>#REF!</v>
      </c>
      <c r="N47" s="29" t="e">
        <f t="shared" si="18"/>
        <v>#REF!</v>
      </c>
      <c r="O47" s="29" t="e">
        <f t="shared" si="18"/>
        <v>#REF!</v>
      </c>
      <c r="P47" s="29" t="e">
        <f t="shared" si="18"/>
        <v>#REF!</v>
      </c>
      <c r="Q47" s="29" t="e">
        <f t="shared" si="18"/>
        <v>#REF!</v>
      </c>
      <c r="R47" s="29" t="e">
        <f t="shared" si="18"/>
        <v>#REF!</v>
      </c>
      <c r="S47" s="29" t="e">
        <f t="shared" si="18"/>
        <v>#REF!</v>
      </c>
      <c r="T47" s="29" t="e">
        <f t="shared" si="18"/>
        <v>#REF!</v>
      </c>
      <c r="U47" s="29" t="e">
        <f t="shared" si="18"/>
        <v>#REF!</v>
      </c>
      <c r="V47" s="29" t="e">
        <f t="shared" si="18"/>
        <v>#REF!</v>
      </c>
      <c r="W47" s="29" t="e">
        <f t="shared" si="18"/>
        <v>#REF!</v>
      </c>
      <c r="X47" s="29" t="e">
        <f t="shared" si="18"/>
        <v>#REF!</v>
      </c>
      <c r="Y47" s="29" t="e">
        <f t="shared" si="18"/>
        <v>#REF!</v>
      </c>
      <c r="Z47" s="74" t="e">
        <f t="shared" si="18"/>
        <v>#REF!</v>
      </c>
      <c r="AA47" s="29" t="e">
        <f t="shared" si="18"/>
        <v>#REF!</v>
      </c>
      <c r="AB47" s="29" t="e">
        <f t="shared" si="18"/>
        <v>#REF!</v>
      </c>
      <c r="AC47" s="29" t="e">
        <f t="shared" si="18"/>
        <v>#REF!</v>
      </c>
      <c r="AD47" s="29" t="e">
        <f t="shared" si="18"/>
        <v>#REF!</v>
      </c>
      <c r="AE47" s="29" t="e">
        <f t="shared" si="18"/>
        <v>#REF!</v>
      </c>
      <c r="AF47" s="29" t="e">
        <f t="shared" si="18"/>
        <v>#REF!</v>
      </c>
      <c r="AG47" s="29" t="e">
        <f t="shared" si="18"/>
        <v>#REF!</v>
      </c>
      <c r="AH47" s="29" t="e">
        <f t="shared" si="18"/>
        <v>#REF!</v>
      </c>
      <c r="AI47" s="29" t="e">
        <f t="shared" si="18"/>
        <v>#REF!</v>
      </c>
      <c r="AJ47" s="29" t="e">
        <f t="shared" si="18"/>
        <v>#REF!</v>
      </c>
      <c r="AK47" s="29" t="e">
        <f t="shared" si="18"/>
        <v>#REF!</v>
      </c>
    </row>
    <row r="48" spans="1:37" ht="12.75" customHeight="1" x14ac:dyDescent="0.25">
      <c r="A48" s="28" t="s">
        <v>129</v>
      </c>
      <c r="D48" s="44" t="s">
        <v>106</v>
      </c>
      <c r="E48" s="39" t="e">
        <f t="shared" ref="E48:AK48" si="19">IF(E13&lt;=420,"a","a0")</f>
        <v>#REF!</v>
      </c>
      <c r="F48" s="39" t="e">
        <f t="shared" si="19"/>
        <v>#REF!</v>
      </c>
      <c r="G48" s="39" t="e">
        <f t="shared" si="19"/>
        <v>#REF!</v>
      </c>
      <c r="H48" s="39" t="e">
        <f t="shared" si="19"/>
        <v>#REF!</v>
      </c>
      <c r="I48" s="39" t="e">
        <f t="shared" si="19"/>
        <v>#REF!</v>
      </c>
      <c r="J48" s="39" t="e">
        <f t="shared" si="19"/>
        <v>#REF!</v>
      </c>
      <c r="K48" s="39" t="e">
        <f t="shared" si="19"/>
        <v>#REF!</v>
      </c>
      <c r="L48" s="39" t="e">
        <f t="shared" si="19"/>
        <v>#REF!</v>
      </c>
      <c r="M48" s="39" t="e">
        <f t="shared" si="19"/>
        <v>#REF!</v>
      </c>
      <c r="N48" s="39" t="e">
        <f t="shared" si="19"/>
        <v>#REF!</v>
      </c>
      <c r="O48" s="39" t="e">
        <f t="shared" si="19"/>
        <v>#REF!</v>
      </c>
      <c r="P48" s="39" t="e">
        <f t="shared" si="19"/>
        <v>#REF!</v>
      </c>
      <c r="Q48" s="39" t="e">
        <f t="shared" si="19"/>
        <v>#REF!</v>
      </c>
      <c r="R48" s="39" t="e">
        <f t="shared" si="19"/>
        <v>#REF!</v>
      </c>
      <c r="S48" s="39" t="e">
        <f t="shared" si="19"/>
        <v>#REF!</v>
      </c>
      <c r="T48" s="39" t="e">
        <f t="shared" si="19"/>
        <v>#REF!</v>
      </c>
      <c r="U48" s="39" t="e">
        <f t="shared" si="19"/>
        <v>#REF!</v>
      </c>
      <c r="V48" s="39" t="e">
        <f t="shared" si="19"/>
        <v>#REF!</v>
      </c>
      <c r="W48" s="39" t="e">
        <f t="shared" si="19"/>
        <v>#REF!</v>
      </c>
      <c r="X48" s="39" t="e">
        <f t="shared" si="19"/>
        <v>#REF!</v>
      </c>
      <c r="Y48" s="39" t="e">
        <f t="shared" si="19"/>
        <v>#REF!</v>
      </c>
      <c r="Z48" s="77" t="e">
        <f t="shared" si="19"/>
        <v>#REF!</v>
      </c>
      <c r="AA48" s="39" t="e">
        <f t="shared" si="19"/>
        <v>#REF!</v>
      </c>
      <c r="AB48" s="39" t="e">
        <f t="shared" si="19"/>
        <v>#REF!</v>
      </c>
      <c r="AC48" s="39" t="e">
        <f t="shared" si="19"/>
        <v>#REF!</v>
      </c>
      <c r="AD48" s="39" t="e">
        <f t="shared" si="19"/>
        <v>#REF!</v>
      </c>
      <c r="AE48" s="39" t="e">
        <f t="shared" si="19"/>
        <v>#REF!</v>
      </c>
      <c r="AF48" s="39" t="e">
        <f t="shared" si="19"/>
        <v>#REF!</v>
      </c>
      <c r="AG48" s="39" t="e">
        <f t="shared" si="19"/>
        <v>#REF!</v>
      </c>
      <c r="AH48" s="39" t="e">
        <f t="shared" si="19"/>
        <v>#REF!</v>
      </c>
      <c r="AI48" s="39" t="e">
        <f t="shared" si="19"/>
        <v>#REF!</v>
      </c>
      <c r="AJ48" s="39" t="e">
        <f t="shared" si="19"/>
        <v>#REF!</v>
      </c>
      <c r="AK48" s="39" t="e">
        <f t="shared" si="19"/>
        <v>#REF!</v>
      </c>
    </row>
    <row r="49" spans="1:37" ht="12.75" customHeight="1" x14ac:dyDescent="0.25">
      <c r="A49" s="41" t="s">
        <v>15</v>
      </c>
      <c r="D49" s="44" t="s">
        <v>106</v>
      </c>
      <c r="E49" s="40" t="e">
        <f>HLOOKUP(E48,hulpblad!$C$21:$G$22,2,FALSE)</f>
        <v>#REF!</v>
      </c>
      <c r="F49" s="40" t="e">
        <f>HLOOKUP(F48,hulpblad!$C$21:$G$22,2,FALSE)</f>
        <v>#REF!</v>
      </c>
      <c r="G49" s="40" t="e">
        <f>HLOOKUP(G48,hulpblad!$C$21:$G$22,2,FALSE)</f>
        <v>#REF!</v>
      </c>
      <c r="H49" s="40" t="e">
        <f>HLOOKUP(H48,hulpblad!$C$21:$G$22,2,FALSE)</f>
        <v>#REF!</v>
      </c>
      <c r="I49" s="40" t="e">
        <f>HLOOKUP(I48,hulpblad!$C$21:$G$22,2,FALSE)</f>
        <v>#REF!</v>
      </c>
      <c r="J49" s="40" t="e">
        <f>HLOOKUP(J48,hulpblad!$C$21:$G$22,2,FALSE)</f>
        <v>#REF!</v>
      </c>
      <c r="K49" s="40" t="e">
        <f>HLOOKUP(K48,hulpblad!$C$21:$G$22,2,FALSE)</f>
        <v>#REF!</v>
      </c>
      <c r="L49" s="40" t="e">
        <f>HLOOKUP(L48,hulpblad!$C$21:$G$22,2,FALSE)</f>
        <v>#REF!</v>
      </c>
      <c r="M49" s="40" t="e">
        <f>HLOOKUP(M48,hulpblad!$C$21:$G$22,2,FALSE)</f>
        <v>#REF!</v>
      </c>
      <c r="N49" s="40" t="e">
        <f>HLOOKUP(N48,hulpblad!$C$21:$G$22,2,FALSE)</f>
        <v>#REF!</v>
      </c>
      <c r="O49" s="40" t="e">
        <f>HLOOKUP(O48,hulpblad!$C$21:$G$22,2,FALSE)</f>
        <v>#REF!</v>
      </c>
      <c r="P49" s="40" t="e">
        <f>HLOOKUP(P48,hulpblad!$C$21:$G$22,2,FALSE)</f>
        <v>#REF!</v>
      </c>
      <c r="Q49" s="40" t="e">
        <f>HLOOKUP(Q48,hulpblad!$C$21:$G$22,2,FALSE)</f>
        <v>#REF!</v>
      </c>
      <c r="R49" s="40" t="e">
        <f>HLOOKUP(R48,hulpblad!$C$21:$G$22,2,FALSE)</f>
        <v>#REF!</v>
      </c>
      <c r="S49" s="40" t="e">
        <f>HLOOKUP(S48,hulpblad!$C$21:$G$22,2,FALSE)</f>
        <v>#REF!</v>
      </c>
      <c r="T49" s="40" t="e">
        <f>HLOOKUP(T48,hulpblad!$C$21:$G$22,2,FALSE)</f>
        <v>#REF!</v>
      </c>
      <c r="U49" s="40" t="e">
        <f>HLOOKUP(U48,hulpblad!$C$21:$G$22,2,FALSE)</f>
        <v>#REF!</v>
      </c>
      <c r="V49" s="40" t="e">
        <f>HLOOKUP(V48,hulpblad!$C$21:$G$22,2,FALSE)</f>
        <v>#REF!</v>
      </c>
      <c r="W49" s="40" t="e">
        <f>HLOOKUP(W48,hulpblad!$C$21:$G$22,2,FALSE)</f>
        <v>#REF!</v>
      </c>
      <c r="X49" s="40" t="e">
        <f>HLOOKUP(X48,hulpblad!$C$21:$G$22,2,FALSE)</f>
        <v>#REF!</v>
      </c>
      <c r="Y49" s="40" t="e">
        <f>HLOOKUP(Y48,hulpblad!$C$21:$G$22,2,FALSE)</f>
        <v>#REF!</v>
      </c>
      <c r="Z49" s="76" t="e">
        <f>HLOOKUP(Z48,hulpblad!$C$21:$G$22,2,FALSE)</f>
        <v>#REF!</v>
      </c>
      <c r="AA49" s="40" t="e">
        <f>HLOOKUP(AA48,hulpblad!$C$21:$G$22,2,FALSE)</f>
        <v>#REF!</v>
      </c>
      <c r="AB49" s="40" t="e">
        <f>HLOOKUP(AB48,hulpblad!$C$21:$G$22,2,FALSE)</f>
        <v>#REF!</v>
      </c>
      <c r="AC49" s="40" t="e">
        <f>HLOOKUP(AC48,hulpblad!$C$21:$G$22,2,FALSE)</f>
        <v>#REF!</v>
      </c>
      <c r="AD49" s="40" t="e">
        <f>HLOOKUP(AD48,hulpblad!$C$21:$G$22,2,FALSE)</f>
        <v>#REF!</v>
      </c>
      <c r="AE49" s="40" t="e">
        <f>HLOOKUP(AE48,hulpblad!$C$21:$G$22,2,FALSE)</f>
        <v>#REF!</v>
      </c>
      <c r="AF49" s="40" t="e">
        <f>HLOOKUP(AF48,hulpblad!$C$21:$G$22,2,FALSE)</f>
        <v>#REF!</v>
      </c>
      <c r="AG49" s="40" t="e">
        <f>HLOOKUP(AG48,hulpblad!$C$21:$G$22,2,FALSE)</f>
        <v>#REF!</v>
      </c>
      <c r="AH49" s="40" t="e">
        <f>HLOOKUP(AH48,hulpblad!$C$21:$G$22,2,FALSE)</f>
        <v>#REF!</v>
      </c>
      <c r="AI49" s="40" t="e">
        <f>HLOOKUP(AI48,hulpblad!$C$21:$G$22,2,FALSE)</f>
        <v>#REF!</v>
      </c>
      <c r="AJ49" s="40" t="e">
        <f>HLOOKUP(AJ48,hulpblad!$C$21:$G$22,2,FALSE)</f>
        <v>#REF!</v>
      </c>
      <c r="AK49" s="40" t="e">
        <f>HLOOKUP(AK48,hulpblad!$C$21:$G$22,2,FALSE)</f>
        <v>#REF!</v>
      </c>
    </row>
    <row r="50" spans="1:37" ht="12.75" customHeight="1" x14ac:dyDescent="0.25">
      <c r="A50" s="27"/>
      <c r="D50" s="14"/>
      <c r="E50" s="29" t="e">
        <f>E46/E47</f>
        <v>#REF!</v>
      </c>
      <c r="F50" s="29" t="e">
        <f>F46/F47</f>
        <v>#REF!</v>
      </c>
      <c r="G50" s="29" t="e">
        <f t="shared" ref="G50:AK50" si="20">G46/G47</f>
        <v>#REF!</v>
      </c>
      <c r="H50" s="29" t="e">
        <f t="shared" si="20"/>
        <v>#REF!</v>
      </c>
      <c r="I50" s="29" t="e">
        <f t="shared" si="20"/>
        <v>#REF!</v>
      </c>
      <c r="J50" s="29" t="e">
        <f t="shared" si="20"/>
        <v>#REF!</v>
      </c>
      <c r="K50" s="29" t="e">
        <f t="shared" si="20"/>
        <v>#REF!</v>
      </c>
      <c r="L50" s="29" t="e">
        <f t="shared" si="20"/>
        <v>#REF!</v>
      </c>
      <c r="M50" s="29" t="e">
        <f t="shared" si="20"/>
        <v>#REF!</v>
      </c>
      <c r="N50" s="29" t="e">
        <f t="shared" si="20"/>
        <v>#REF!</v>
      </c>
      <c r="O50" s="29" t="e">
        <f t="shared" si="20"/>
        <v>#REF!</v>
      </c>
      <c r="P50" s="29" t="e">
        <f t="shared" si="20"/>
        <v>#REF!</v>
      </c>
      <c r="Q50" s="29" t="e">
        <f t="shared" si="20"/>
        <v>#REF!</v>
      </c>
      <c r="R50" s="29" t="e">
        <f t="shared" si="20"/>
        <v>#REF!</v>
      </c>
      <c r="S50" s="29" t="e">
        <f t="shared" si="20"/>
        <v>#REF!</v>
      </c>
      <c r="T50" s="29" t="e">
        <f t="shared" si="20"/>
        <v>#REF!</v>
      </c>
      <c r="U50" s="29" t="e">
        <f t="shared" si="20"/>
        <v>#REF!</v>
      </c>
      <c r="V50" s="29" t="e">
        <f t="shared" si="20"/>
        <v>#REF!</v>
      </c>
      <c r="W50" s="29" t="e">
        <f t="shared" si="20"/>
        <v>#REF!</v>
      </c>
      <c r="X50" s="29" t="e">
        <f t="shared" si="20"/>
        <v>#REF!</v>
      </c>
      <c r="Y50" s="29" t="e">
        <f t="shared" si="20"/>
        <v>#REF!</v>
      </c>
      <c r="Z50" s="74" t="e">
        <f t="shared" si="20"/>
        <v>#REF!</v>
      </c>
      <c r="AA50" s="29" t="e">
        <f t="shared" si="20"/>
        <v>#REF!</v>
      </c>
      <c r="AB50" s="29" t="e">
        <f t="shared" si="20"/>
        <v>#REF!</v>
      </c>
      <c r="AC50" s="29" t="e">
        <f t="shared" si="20"/>
        <v>#REF!</v>
      </c>
      <c r="AD50" s="29" t="e">
        <f t="shared" si="20"/>
        <v>#REF!</v>
      </c>
      <c r="AE50" s="29" t="e">
        <f t="shared" si="20"/>
        <v>#REF!</v>
      </c>
      <c r="AF50" s="29" t="e">
        <f t="shared" si="20"/>
        <v>#REF!</v>
      </c>
      <c r="AG50" s="29" t="e">
        <f t="shared" si="20"/>
        <v>#REF!</v>
      </c>
      <c r="AH50" s="29" t="e">
        <f t="shared" si="20"/>
        <v>#REF!</v>
      </c>
      <c r="AI50" s="29" t="e">
        <f t="shared" si="20"/>
        <v>#REF!</v>
      </c>
      <c r="AJ50" s="29" t="e">
        <f t="shared" si="20"/>
        <v>#REF!</v>
      </c>
      <c r="AK50" s="29" t="e">
        <f t="shared" si="20"/>
        <v>#REF!</v>
      </c>
    </row>
    <row r="51" spans="1:37" ht="12.75" hidden="1" customHeight="1" x14ac:dyDescent="0.25">
      <c r="A51" s="27"/>
      <c r="D51" s="14">
        <v>1</v>
      </c>
      <c r="E51" s="29" t="e">
        <f>IF(E50&lt;=50,1,0)</f>
        <v>#REF!</v>
      </c>
      <c r="F51" s="29" t="e">
        <f>IF(F50&lt;=50,1,0)</f>
        <v>#REF!</v>
      </c>
      <c r="G51" s="29" t="e">
        <f t="shared" ref="G51:AK51" si="21">IF(G50&lt;=50,1,0)</f>
        <v>#REF!</v>
      </c>
      <c r="H51" s="29" t="e">
        <f t="shared" si="21"/>
        <v>#REF!</v>
      </c>
      <c r="I51" s="29" t="e">
        <f t="shared" si="21"/>
        <v>#REF!</v>
      </c>
      <c r="J51" s="29" t="e">
        <f t="shared" si="21"/>
        <v>#REF!</v>
      </c>
      <c r="K51" s="29" t="e">
        <f t="shared" si="21"/>
        <v>#REF!</v>
      </c>
      <c r="L51" s="29" t="e">
        <f t="shared" si="21"/>
        <v>#REF!</v>
      </c>
      <c r="M51" s="29" t="e">
        <f t="shared" si="21"/>
        <v>#REF!</v>
      </c>
      <c r="N51" s="29" t="e">
        <f t="shared" si="21"/>
        <v>#REF!</v>
      </c>
      <c r="O51" s="29" t="e">
        <f t="shared" si="21"/>
        <v>#REF!</v>
      </c>
      <c r="P51" s="29" t="e">
        <f t="shared" si="21"/>
        <v>#REF!</v>
      </c>
      <c r="Q51" s="29" t="e">
        <f t="shared" si="21"/>
        <v>#REF!</v>
      </c>
      <c r="R51" s="29" t="e">
        <f t="shared" si="21"/>
        <v>#REF!</v>
      </c>
      <c r="S51" s="29" t="e">
        <f t="shared" si="21"/>
        <v>#REF!</v>
      </c>
      <c r="T51" s="29" t="e">
        <f t="shared" si="21"/>
        <v>#REF!</v>
      </c>
      <c r="U51" s="29" t="e">
        <f t="shared" si="21"/>
        <v>#REF!</v>
      </c>
      <c r="V51" s="29" t="e">
        <f t="shared" si="21"/>
        <v>#REF!</v>
      </c>
      <c r="W51" s="29" t="e">
        <f t="shared" si="21"/>
        <v>#REF!</v>
      </c>
      <c r="X51" s="29" t="e">
        <f t="shared" si="21"/>
        <v>#REF!</v>
      </c>
      <c r="Y51" s="29" t="e">
        <f t="shared" si="21"/>
        <v>#REF!</v>
      </c>
      <c r="Z51" s="74" t="e">
        <f t="shared" si="21"/>
        <v>#REF!</v>
      </c>
      <c r="AA51" s="29" t="e">
        <f t="shared" si="21"/>
        <v>#REF!</v>
      </c>
      <c r="AB51" s="29" t="e">
        <f t="shared" si="21"/>
        <v>#REF!</v>
      </c>
      <c r="AC51" s="29" t="e">
        <f t="shared" si="21"/>
        <v>#REF!</v>
      </c>
      <c r="AD51" s="29" t="e">
        <f t="shared" si="21"/>
        <v>#REF!</v>
      </c>
      <c r="AE51" s="29" t="e">
        <f t="shared" si="21"/>
        <v>#REF!</v>
      </c>
      <c r="AF51" s="29" t="e">
        <f t="shared" si="21"/>
        <v>#REF!</v>
      </c>
      <c r="AG51" s="29" t="e">
        <f t="shared" si="21"/>
        <v>#REF!</v>
      </c>
      <c r="AH51" s="29" t="e">
        <f t="shared" si="21"/>
        <v>#REF!</v>
      </c>
      <c r="AI51" s="29" t="e">
        <f t="shared" si="21"/>
        <v>#REF!</v>
      </c>
      <c r="AJ51" s="29" t="e">
        <f t="shared" si="21"/>
        <v>#REF!</v>
      </c>
      <c r="AK51" s="29" t="e">
        <f t="shared" si="21"/>
        <v>#REF!</v>
      </c>
    </row>
    <row r="52" spans="1:37" ht="12.75" hidden="1" customHeight="1" x14ac:dyDescent="0.25">
      <c r="A52" s="27"/>
      <c r="D52" s="14">
        <v>2</v>
      </c>
      <c r="E52" s="29" t="e">
        <f>IF(E50&lt;=70,1,0)</f>
        <v>#REF!</v>
      </c>
      <c r="F52" s="29" t="e">
        <f>IF(F50&lt;=70,1,0)</f>
        <v>#REF!</v>
      </c>
      <c r="G52" s="29" t="e">
        <f t="shared" ref="G52:AK52" si="22">IF(G50&lt;=70,1,0)</f>
        <v>#REF!</v>
      </c>
      <c r="H52" s="29" t="e">
        <f t="shared" si="22"/>
        <v>#REF!</v>
      </c>
      <c r="I52" s="29" t="e">
        <f t="shared" si="22"/>
        <v>#REF!</v>
      </c>
      <c r="J52" s="29" t="e">
        <f t="shared" si="22"/>
        <v>#REF!</v>
      </c>
      <c r="K52" s="29" t="e">
        <f t="shared" si="22"/>
        <v>#REF!</v>
      </c>
      <c r="L52" s="29" t="e">
        <f t="shared" si="22"/>
        <v>#REF!</v>
      </c>
      <c r="M52" s="29" t="e">
        <f t="shared" si="22"/>
        <v>#REF!</v>
      </c>
      <c r="N52" s="29" t="e">
        <f t="shared" si="22"/>
        <v>#REF!</v>
      </c>
      <c r="O52" s="29" t="e">
        <f t="shared" si="22"/>
        <v>#REF!</v>
      </c>
      <c r="P52" s="29" t="e">
        <f t="shared" si="22"/>
        <v>#REF!</v>
      </c>
      <c r="Q52" s="29" t="e">
        <f t="shared" si="22"/>
        <v>#REF!</v>
      </c>
      <c r="R52" s="29" t="e">
        <f t="shared" si="22"/>
        <v>#REF!</v>
      </c>
      <c r="S52" s="29" t="e">
        <f t="shared" si="22"/>
        <v>#REF!</v>
      </c>
      <c r="T52" s="29" t="e">
        <f t="shared" si="22"/>
        <v>#REF!</v>
      </c>
      <c r="U52" s="29" t="e">
        <f t="shared" si="22"/>
        <v>#REF!</v>
      </c>
      <c r="V52" s="29" t="e">
        <f t="shared" si="22"/>
        <v>#REF!</v>
      </c>
      <c r="W52" s="29" t="e">
        <f t="shared" si="22"/>
        <v>#REF!</v>
      </c>
      <c r="X52" s="29" t="e">
        <f t="shared" si="22"/>
        <v>#REF!</v>
      </c>
      <c r="Y52" s="29" t="e">
        <f t="shared" si="22"/>
        <v>#REF!</v>
      </c>
      <c r="Z52" s="74" t="e">
        <f t="shared" si="22"/>
        <v>#REF!</v>
      </c>
      <c r="AA52" s="29" t="e">
        <f t="shared" si="22"/>
        <v>#REF!</v>
      </c>
      <c r="AB52" s="29" t="e">
        <f t="shared" si="22"/>
        <v>#REF!</v>
      </c>
      <c r="AC52" s="29" t="e">
        <f t="shared" si="22"/>
        <v>#REF!</v>
      </c>
      <c r="AD52" s="29" t="e">
        <f t="shared" si="22"/>
        <v>#REF!</v>
      </c>
      <c r="AE52" s="29" t="e">
        <f t="shared" si="22"/>
        <v>#REF!</v>
      </c>
      <c r="AF52" s="29" t="e">
        <f t="shared" si="22"/>
        <v>#REF!</v>
      </c>
      <c r="AG52" s="29" t="e">
        <f t="shared" si="22"/>
        <v>#REF!</v>
      </c>
      <c r="AH52" s="29" t="e">
        <f t="shared" si="22"/>
        <v>#REF!</v>
      </c>
      <c r="AI52" s="29" t="e">
        <f t="shared" si="22"/>
        <v>#REF!</v>
      </c>
      <c r="AJ52" s="29" t="e">
        <f t="shared" si="22"/>
        <v>#REF!</v>
      </c>
      <c r="AK52" s="29" t="e">
        <f t="shared" si="22"/>
        <v>#REF!</v>
      </c>
    </row>
    <row r="53" spans="1:37" ht="12.75" hidden="1" customHeight="1" x14ac:dyDescent="0.25">
      <c r="A53" s="27"/>
      <c r="D53" s="14">
        <v>3</v>
      </c>
      <c r="E53" s="29" t="e">
        <f>IF(E50&lt;=90,1,0)</f>
        <v>#REF!</v>
      </c>
      <c r="F53" s="29" t="e">
        <f>IF(F50&lt;=90,1,0)</f>
        <v>#REF!</v>
      </c>
      <c r="G53" s="29" t="e">
        <f t="shared" ref="G53:AK53" si="23">IF(G50&lt;=90,1,0)</f>
        <v>#REF!</v>
      </c>
      <c r="H53" s="29" t="e">
        <f t="shared" si="23"/>
        <v>#REF!</v>
      </c>
      <c r="I53" s="29" t="e">
        <f t="shared" si="23"/>
        <v>#REF!</v>
      </c>
      <c r="J53" s="29" t="e">
        <f t="shared" si="23"/>
        <v>#REF!</v>
      </c>
      <c r="K53" s="29" t="e">
        <f t="shared" si="23"/>
        <v>#REF!</v>
      </c>
      <c r="L53" s="29" t="e">
        <f t="shared" si="23"/>
        <v>#REF!</v>
      </c>
      <c r="M53" s="29" t="e">
        <f t="shared" si="23"/>
        <v>#REF!</v>
      </c>
      <c r="N53" s="29" t="e">
        <f t="shared" si="23"/>
        <v>#REF!</v>
      </c>
      <c r="O53" s="29" t="e">
        <f t="shared" si="23"/>
        <v>#REF!</v>
      </c>
      <c r="P53" s="29" t="e">
        <f t="shared" si="23"/>
        <v>#REF!</v>
      </c>
      <c r="Q53" s="29" t="e">
        <f t="shared" si="23"/>
        <v>#REF!</v>
      </c>
      <c r="R53" s="29" t="e">
        <f t="shared" si="23"/>
        <v>#REF!</v>
      </c>
      <c r="S53" s="29" t="e">
        <f t="shared" si="23"/>
        <v>#REF!</v>
      </c>
      <c r="T53" s="29" t="e">
        <f t="shared" si="23"/>
        <v>#REF!</v>
      </c>
      <c r="U53" s="29" t="e">
        <f t="shared" si="23"/>
        <v>#REF!</v>
      </c>
      <c r="V53" s="29" t="e">
        <f t="shared" si="23"/>
        <v>#REF!</v>
      </c>
      <c r="W53" s="29" t="e">
        <f t="shared" si="23"/>
        <v>#REF!</v>
      </c>
      <c r="X53" s="29" t="e">
        <f t="shared" si="23"/>
        <v>#REF!</v>
      </c>
      <c r="Y53" s="29" t="e">
        <f t="shared" si="23"/>
        <v>#REF!</v>
      </c>
      <c r="Z53" s="74" t="e">
        <f t="shared" si="23"/>
        <v>#REF!</v>
      </c>
      <c r="AA53" s="29" t="e">
        <f t="shared" si="23"/>
        <v>#REF!</v>
      </c>
      <c r="AB53" s="29" t="e">
        <f t="shared" si="23"/>
        <v>#REF!</v>
      </c>
      <c r="AC53" s="29" t="e">
        <f t="shared" si="23"/>
        <v>#REF!</v>
      </c>
      <c r="AD53" s="29" t="e">
        <f t="shared" si="23"/>
        <v>#REF!</v>
      </c>
      <c r="AE53" s="29" t="e">
        <f t="shared" si="23"/>
        <v>#REF!</v>
      </c>
      <c r="AF53" s="29" t="e">
        <f t="shared" si="23"/>
        <v>#REF!</v>
      </c>
      <c r="AG53" s="29" t="e">
        <f t="shared" si="23"/>
        <v>#REF!</v>
      </c>
      <c r="AH53" s="29" t="e">
        <f t="shared" si="23"/>
        <v>#REF!</v>
      </c>
      <c r="AI53" s="29" t="e">
        <f t="shared" si="23"/>
        <v>#REF!</v>
      </c>
      <c r="AJ53" s="29" t="e">
        <f t="shared" si="23"/>
        <v>#REF!</v>
      </c>
      <c r="AK53" s="29" t="e">
        <f t="shared" si="23"/>
        <v>#REF!</v>
      </c>
    </row>
    <row r="54" spans="1:37" ht="12.75" hidden="1" customHeight="1" x14ac:dyDescent="0.25">
      <c r="A54" s="27"/>
      <c r="D54" s="14"/>
      <c r="E54" s="29" t="e">
        <f>SUM(E51:E53)</f>
        <v>#REF!</v>
      </c>
      <c r="F54" s="29" t="e">
        <f>SUM(F51:F53)</f>
        <v>#REF!</v>
      </c>
      <c r="G54" s="29" t="e">
        <f t="shared" ref="G54:AK54" si="24">SUM(G51:G53)</f>
        <v>#REF!</v>
      </c>
      <c r="H54" s="29" t="e">
        <f t="shared" si="24"/>
        <v>#REF!</v>
      </c>
      <c r="I54" s="29" t="e">
        <f t="shared" si="24"/>
        <v>#REF!</v>
      </c>
      <c r="J54" s="29" t="e">
        <f t="shared" si="24"/>
        <v>#REF!</v>
      </c>
      <c r="K54" s="29" t="e">
        <f t="shared" si="24"/>
        <v>#REF!</v>
      </c>
      <c r="L54" s="29" t="e">
        <f t="shared" si="24"/>
        <v>#REF!</v>
      </c>
      <c r="M54" s="29" t="e">
        <f t="shared" si="24"/>
        <v>#REF!</v>
      </c>
      <c r="N54" s="29" t="e">
        <f t="shared" si="24"/>
        <v>#REF!</v>
      </c>
      <c r="O54" s="29" t="e">
        <f t="shared" si="24"/>
        <v>#REF!</v>
      </c>
      <c r="P54" s="29" t="e">
        <f t="shared" si="24"/>
        <v>#REF!</v>
      </c>
      <c r="Q54" s="29" t="e">
        <f t="shared" si="24"/>
        <v>#REF!</v>
      </c>
      <c r="R54" s="29" t="e">
        <f t="shared" si="24"/>
        <v>#REF!</v>
      </c>
      <c r="S54" s="29" t="e">
        <f t="shared" si="24"/>
        <v>#REF!</v>
      </c>
      <c r="T54" s="29" t="e">
        <f t="shared" si="24"/>
        <v>#REF!</v>
      </c>
      <c r="U54" s="29" t="e">
        <f t="shared" si="24"/>
        <v>#REF!</v>
      </c>
      <c r="V54" s="29" t="e">
        <f t="shared" si="24"/>
        <v>#REF!</v>
      </c>
      <c r="W54" s="29" t="e">
        <f t="shared" si="24"/>
        <v>#REF!</v>
      </c>
      <c r="X54" s="29" t="e">
        <f t="shared" si="24"/>
        <v>#REF!</v>
      </c>
      <c r="Y54" s="29" t="e">
        <f t="shared" si="24"/>
        <v>#REF!</v>
      </c>
      <c r="Z54" s="74" t="e">
        <f t="shared" si="24"/>
        <v>#REF!</v>
      </c>
      <c r="AA54" s="29" t="e">
        <f t="shared" si="24"/>
        <v>#REF!</v>
      </c>
      <c r="AB54" s="29" t="e">
        <f t="shared" si="24"/>
        <v>#REF!</v>
      </c>
      <c r="AC54" s="29" t="e">
        <f t="shared" si="24"/>
        <v>#REF!</v>
      </c>
      <c r="AD54" s="29" t="e">
        <f t="shared" si="24"/>
        <v>#REF!</v>
      </c>
      <c r="AE54" s="29" t="e">
        <f t="shared" si="24"/>
        <v>#REF!</v>
      </c>
      <c r="AF54" s="29" t="e">
        <f t="shared" si="24"/>
        <v>#REF!</v>
      </c>
      <c r="AG54" s="29" t="e">
        <f t="shared" si="24"/>
        <v>#REF!</v>
      </c>
      <c r="AH54" s="29" t="e">
        <f t="shared" si="24"/>
        <v>#REF!</v>
      </c>
      <c r="AI54" s="29" t="e">
        <f t="shared" si="24"/>
        <v>#REF!</v>
      </c>
      <c r="AJ54" s="29" t="e">
        <f t="shared" si="24"/>
        <v>#REF!</v>
      </c>
      <c r="AK54" s="29" t="e">
        <f t="shared" si="24"/>
        <v>#REF!</v>
      </c>
    </row>
    <row r="55" spans="1:37" ht="12.75" customHeight="1" x14ac:dyDescent="0.25">
      <c r="A55" s="15" t="s">
        <v>53</v>
      </c>
      <c r="D55" s="14" t="s">
        <v>106</v>
      </c>
      <c r="E55" s="8" t="e">
        <f>IF(E54=3,1,IF(E54=2,2,IF(E54=1,3,IF(E54=0,4))))</f>
        <v>#REF!</v>
      </c>
      <c r="F55" s="8" t="e">
        <f>IF(F54=3,1,IF(F54=2,2,IF(F54=1,3,IF(F54=0,4))))</f>
        <v>#REF!</v>
      </c>
      <c r="G55" s="8" t="e">
        <f t="shared" ref="G55:AK55" si="25">IF(G54=3,1,IF(G54=2,2,IF(G54=1,3,IF(G54=0,4))))</f>
        <v>#REF!</v>
      </c>
      <c r="H55" s="8" t="e">
        <f t="shared" si="25"/>
        <v>#REF!</v>
      </c>
      <c r="I55" s="8" t="e">
        <f t="shared" si="25"/>
        <v>#REF!</v>
      </c>
      <c r="J55" s="8" t="e">
        <f t="shared" si="25"/>
        <v>#REF!</v>
      </c>
      <c r="K55" s="8" t="e">
        <f t="shared" si="25"/>
        <v>#REF!</v>
      </c>
      <c r="L55" s="8" t="e">
        <f t="shared" si="25"/>
        <v>#REF!</v>
      </c>
      <c r="M55" s="8" t="e">
        <f t="shared" si="25"/>
        <v>#REF!</v>
      </c>
      <c r="N55" s="8" t="e">
        <f t="shared" si="25"/>
        <v>#REF!</v>
      </c>
      <c r="O55" s="8" t="e">
        <f t="shared" si="25"/>
        <v>#REF!</v>
      </c>
      <c r="P55" s="8" t="e">
        <f t="shared" si="25"/>
        <v>#REF!</v>
      </c>
      <c r="Q55" s="8" t="e">
        <f t="shared" si="25"/>
        <v>#REF!</v>
      </c>
      <c r="R55" s="8" t="e">
        <f t="shared" si="25"/>
        <v>#REF!</v>
      </c>
      <c r="S55" s="8" t="e">
        <f t="shared" si="25"/>
        <v>#REF!</v>
      </c>
      <c r="T55" s="8" t="e">
        <f t="shared" si="25"/>
        <v>#REF!</v>
      </c>
      <c r="U55" s="8" t="e">
        <f t="shared" si="25"/>
        <v>#REF!</v>
      </c>
      <c r="V55" s="8" t="e">
        <f t="shared" si="25"/>
        <v>#REF!</v>
      </c>
      <c r="W55" s="8" t="e">
        <f t="shared" si="25"/>
        <v>#REF!</v>
      </c>
      <c r="X55" s="8" t="e">
        <f t="shared" si="25"/>
        <v>#REF!</v>
      </c>
      <c r="Y55" s="8" t="e">
        <f t="shared" si="25"/>
        <v>#REF!</v>
      </c>
      <c r="Z55" s="72" t="e">
        <f t="shared" si="25"/>
        <v>#REF!</v>
      </c>
      <c r="AA55" s="8" t="e">
        <f t="shared" si="25"/>
        <v>#REF!</v>
      </c>
      <c r="AB55" s="8" t="e">
        <f t="shared" si="25"/>
        <v>#REF!</v>
      </c>
      <c r="AC55" s="8" t="e">
        <f t="shared" si="25"/>
        <v>#REF!</v>
      </c>
      <c r="AD55" s="8" t="e">
        <f t="shared" si="25"/>
        <v>#REF!</v>
      </c>
      <c r="AE55" s="8" t="e">
        <f t="shared" si="25"/>
        <v>#REF!</v>
      </c>
      <c r="AF55" s="8" t="e">
        <f t="shared" si="25"/>
        <v>#REF!</v>
      </c>
      <c r="AG55" s="8" t="e">
        <f t="shared" si="25"/>
        <v>#REF!</v>
      </c>
      <c r="AH55" s="8" t="e">
        <f t="shared" si="25"/>
        <v>#REF!</v>
      </c>
      <c r="AI55" s="8" t="e">
        <f t="shared" si="25"/>
        <v>#REF!</v>
      </c>
      <c r="AJ55" s="8" t="e">
        <f t="shared" si="25"/>
        <v>#REF!</v>
      </c>
      <c r="AK55" s="8" t="e">
        <f t="shared" si="25"/>
        <v>#REF!</v>
      </c>
    </row>
    <row r="56" spans="1:37" ht="12.75" customHeight="1" x14ac:dyDescent="0.25"/>
    <row r="57" spans="1:37" ht="12.75" customHeight="1" x14ac:dyDescent="0.25">
      <c r="A57" s="24" t="s">
        <v>419</v>
      </c>
    </row>
    <row r="58" spans="1:37" ht="12.75" customHeight="1" x14ac:dyDescent="0.4">
      <c r="A58" s="65" t="s">
        <v>417</v>
      </c>
      <c r="C58" s="52"/>
      <c r="D58" s="42" t="s">
        <v>106</v>
      </c>
      <c r="E58" s="40">
        <f t="shared" ref="E58:AK58" si="26">$K$5</f>
        <v>1.1000000000000001</v>
      </c>
      <c r="F58" s="40">
        <f t="shared" si="26"/>
        <v>1.1000000000000001</v>
      </c>
      <c r="G58" s="40">
        <f t="shared" si="26"/>
        <v>1.1000000000000001</v>
      </c>
      <c r="H58" s="40">
        <f t="shared" si="26"/>
        <v>1.1000000000000001</v>
      </c>
      <c r="I58" s="40">
        <f t="shared" si="26"/>
        <v>1.1000000000000001</v>
      </c>
      <c r="J58" s="40">
        <f t="shared" si="26"/>
        <v>1.1000000000000001</v>
      </c>
      <c r="K58" s="40">
        <f t="shared" si="26"/>
        <v>1.1000000000000001</v>
      </c>
      <c r="L58" s="40">
        <f t="shared" si="26"/>
        <v>1.1000000000000001</v>
      </c>
      <c r="M58" s="40">
        <f t="shared" si="26"/>
        <v>1.1000000000000001</v>
      </c>
      <c r="N58" s="40">
        <f t="shared" si="26"/>
        <v>1.1000000000000001</v>
      </c>
      <c r="O58" s="40">
        <f t="shared" si="26"/>
        <v>1.1000000000000001</v>
      </c>
      <c r="P58" s="40">
        <f t="shared" si="26"/>
        <v>1.1000000000000001</v>
      </c>
      <c r="Q58" s="40">
        <f t="shared" si="26"/>
        <v>1.1000000000000001</v>
      </c>
      <c r="R58" s="40">
        <f t="shared" si="26"/>
        <v>1.1000000000000001</v>
      </c>
      <c r="S58" s="40">
        <f t="shared" si="26"/>
        <v>1.1000000000000001</v>
      </c>
      <c r="T58" s="40">
        <f t="shared" si="26"/>
        <v>1.1000000000000001</v>
      </c>
      <c r="U58" s="40">
        <f t="shared" si="26"/>
        <v>1.1000000000000001</v>
      </c>
      <c r="V58" s="40">
        <f t="shared" si="26"/>
        <v>1.1000000000000001</v>
      </c>
      <c r="W58" s="40">
        <f t="shared" si="26"/>
        <v>1.1000000000000001</v>
      </c>
      <c r="X58" s="40">
        <f t="shared" si="26"/>
        <v>1.1000000000000001</v>
      </c>
      <c r="Y58" s="40">
        <f t="shared" si="26"/>
        <v>1.1000000000000001</v>
      </c>
      <c r="Z58" s="76">
        <f t="shared" si="26"/>
        <v>1.1000000000000001</v>
      </c>
      <c r="AA58" s="40">
        <f t="shared" si="26"/>
        <v>1.1000000000000001</v>
      </c>
      <c r="AB58" s="40">
        <f t="shared" si="26"/>
        <v>1.1000000000000001</v>
      </c>
      <c r="AC58" s="40">
        <f t="shared" si="26"/>
        <v>1.1000000000000001</v>
      </c>
      <c r="AD58" s="40">
        <f t="shared" si="26"/>
        <v>1.1000000000000001</v>
      </c>
      <c r="AE58" s="40">
        <f t="shared" si="26"/>
        <v>1.1000000000000001</v>
      </c>
      <c r="AF58" s="40">
        <f t="shared" si="26"/>
        <v>1.1000000000000001</v>
      </c>
      <c r="AG58" s="40">
        <f t="shared" si="26"/>
        <v>1.1000000000000001</v>
      </c>
      <c r="AH58" s="40">
        <f t="shared" si="26"/>
        <v>1.1000000000000001</v>
      </c>
      <c r="AI58" s="40">
        <f t="shared" si="26"/>
        <v>1.1000000000000001</v>
      </c>
      <c r="AJ58" s="40">
        <f t="shared" si="26"/>
        <v>1.1000000000000001</v>
      </c>
      <c r="AK58" s="40">
        <f t="shared" si="26"/>
        <v>1.1000000000000001</v>
      </c>
    </row>
    <row r="59" spans="1:37" ht="12.75" customHeight="1" x14ac:dyDescent="0.4">
      <c r="A59" s="65" t="s">
        <v>418</v>
      </c>
      <c r="C59" s="52"/>
      <c r="D59" s="42" t="s">
        <v>106</v>
      </c>
      <c r="E59" s="40">
        <f t="shared" ref="E59:AK59" si="27">$K$4</f>
        <v>1.25</v>
      </c>
      <c r="F59" s="40">
        <f t="shared" si="27"/>
        <v>1.25</v>
      </c>
      <c r="G59" s="40">
        <f t="shared" si="27"/>
        <v>1.25</v>
      </c>
      <c r="H59" s="40">
        <f t="shared" si="27"/>
        <v>1.25</v>
      </c>
      <c r="I59" s="40">
        <f t="shared" si="27"/>
        <v>1.25</v>
      </c>
      <c r="J59" s="40">
        <f t="shared" si="27"/>
        <v>1.25</v>
      </c>
      <c r="K59" s="40">
        <f t="shared" si="27"/>
        <v>1.25</v>
      </c>
      <c r="L59" s="40">
        <f t="shared" si="27"/>
        <v>1.25</v>
      </c>
      <c r="M59" s="40">
        <f t="shared" si="27"/>
        <v>1.25</v>
      </c>
      <c r="N59" s="40">
        <f t="shared" si="27"/>
        <v>1.25</v>
      </c>
      <c r="O59" s="40">
        <f t="shared" si="27"/>
        <v>1.25</v>
      </c>
      <c r="P59" s="40">
        <f t="shared" si="27"/>
        <v>1.25</v>
      </c>
      <c r="Q59" s="40">
        <f t="shared" si="27"/>
        <v>1.25</v>
      </c>
      <c r="R59" s="40">
        <f t="shared" si="27"/>
        <v>1.25</v>
      </c>
      <c r="S59" s="40">
        <f t="shared" si="27"/>
        <v>1.25</v>
      </c>
      <c r="T59" s="40">
        <f t="shared" si="27"/>
        <v>1.25</v>
      </c>
      <c r="U59" s="40">
        <f t="shared" si="27"/>
        <v>1.25</v>
      </c>
      <c r="V59" s="40">
        <f t="shared" si="27"/>
        <v>1.25</v>
      </c>
      <c r="W59" s="40">
        <f t="shared" si="27"/>
        <v>1.25</v>
      </c>
      <c r="X59" s="40">
        <f t="shared" si="27"/>
        <v>1.25</v>
      </c>
      <c r="Y59" s="40">
        <f t="shared" si="27"/>
        <v>1.25</v>
      </c>
      <c r="Z59" s="76">
        <f t="shared" si="27"/>
        <v>1.25</v>
      </c>
      <c r="AA59" s="40">
        <f t="shared" si="27"/>
        <v>1.25</v>
      </c>
      <c r="AB59" s="40">
        <f t="shared" si="27"/>
        <v>1.25</v>
      </c>
      <c r="AC59" s="40">
        <f t="shared" si="27"/>
        <v>1.25</v>
      </c>
      <c r="AD59" s="40">
        <f t="shared" si="27"/>
        <v>1.25</v>
      </c>
      <c r="AE59" s="40">
        <f t="shared" si="27"/>
        <v>1.25</v>
      </c>
      <c r="AF59" s="40">
        <f t="shared" si="27"/>
        <v>1.25</v>
      </c>
      <c r="AG59" s="40">
        <f t="shared" si="27"/>
        <v>1.25</v>
      </c>
      <c r="AH59" s="40">
        <f t="shared" si="27"/>
        <v>1.25</v>
      </c>
      <c r="AI59" s="40">
        <f t="shared" si="27"/>
        <v>1.25</v>
      </c>
      <c r="AJ59" s="40">
        <f t="shared" si="27"/>
        <v>1.25</v>
      </c>
      <c r="AK59" s="40">
        <f t="shared" si="27"/>
        <v>1.25</v>
      </c>
    </row>
    <row r="60" spans="1:37" ht="12.75" customHeight="1" x14ac:dyDescent="0.25">
      <c r="A60" s="65"/>
      <c r="C60" s="52"/>
      <c r="D60" s="42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76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1:37" ht="12.75" customHeight="1" x14ac:dyDescent="0.25">
      <c r="A61" s="32" t="s">
        <v>424</v>
      </c>
    </row>
    <row r="62" spans="1:37" ht="12.75" customHeight="1" x14ac:dyDescent="0.25">
      <c r="A62" s="31" t="s">
        <v>413</v>
      </c>
      <c r="D62" s="42" t="s">
        <v>3</v>
      </c>
      <c r="E62" s="8" t="e">
        <f>VLOOKUP(E$11,#REF!,9)</f>
        <v>#REF!</v>
      </c>
      <c r="F62" s="8" t="e">
        <f>VLOOKUP(F$11,#REF!,9)</f>
        <v>#REF!</v>
      </c>
      <c r="G62" s="8" t="e">
        <f>VLOOKUP(G$11,#REF!,9)</f>
        <v>#REF!</v>
      </c>
      <c r="H62" s="8" t="e">
        <f>VLOOKUP(H$11,#REF!,9)</f>
        <v>#REF!</v>
      </c>
      <c r="I62" s="8" t="e">
        <f>VLOOKUP(I$11,#REF!,9)</f>
        <v>#REF!</v>
      </c>
      <c r="J62" s="8" t="e">
        <f>VLOOKUP(J$11,#REF!,9)</f>
        <v>#REF!</v>
      </c>
      <c r="K62" s="8" t="e">
        <f>VLOOKUP(K$11,#REF!,9)</f>
        <v>#REF!</v>
      </c>
      <c r="L62" s="8" t="e">
        <f>VLOOKUP(L$11,#REF!,9)</f>
        <v>#REF!</v>
      </c>
      <c r="M62" s="8" t="e">
        <f>VLOOKUP(M$11,#REF!,9)</f>
        <v>#REF!</v>
      </c>
      <c r="N62" s="8" t="e">
        <f>VLOOKUP(N$11,#REF!,9)</f>
        <v>#REF!</v>
      </c>
      <c r="O62" s="8" t="e">
        <f>VLOOKUP(O$11,#REF!,9)</f>
        <v>#REF!</v>
      </c>
      <c r="P62" s="8" t="e">
        <f>VLOOKUP(P$11,#REF!,9)</f>
        <v>#REF!</v>
      </c>
      <c r="Q62" s="8" t="e">
        <f>VLOOKUP(Q$11,#REF!,9)</f>
        <v>#REF!</v>
      </c>
      <c r="R62" s="8" t="e">
        <f>VLOOKUP(R$11,#REF!,9)</f>
        <v>#REF!</v>
      </c>
      <c r="S62" s="8" t="e">
        <f>VLOOKUP(S$11,#REF!,9)</f>
        <v>#REF!</v>
      </c>
      <c r="T62" s="8" t="e">
        <f>VLOOKUP(T$11,#REF!,9)</f>
        <v>#REF!</v>
      </c>
      <c r="U62" s="8" t="e">
        <f>VLOOKUP(U$11,#REF!,9)</f>
        <v>#REF!</v>
      </c>
      <c r="V62" s="8" t="e">
        <f>VLOOKUP(V$11,#REF!,9)</f>
        <v>#REF!</v>
      </c>
      <c r="W62" s="8" t="e">
        <f>VLOOKUP(W$11,#REF!,9)</f>
        <v>#REF!</v>
      </c>
      <c r="X62" s="8" t="e">
        <f>VLOOKUP(X$11,#REF!,9)</f>
        <v>#REF!</v>
      </c>
      <c r="Y62" s="8" t="e">
        <f>VLOOKUP(Y$11,#REF!,9)</f>
        <v>#REF!</v>
      </c>
      <c r="Z62" s="72" t="e">
        <f>VLOOKUP(Z$11,#REF!,9)</f>
        <v>#REF!</v>
      </c>
      <c r="AA62" s="8" t="e">
        <f>VLOOKUP(AA$11,#REF!,9)</f>
        <v>#REF!</v>
      </c>
      <c r="AB62" s="8" t="e">
        <f>VLOOKUP(AB$11,#REF!,9)</f>
        <v>#REF!</v>
      </c>
      <c r="AC62" s="8" t="e">
        <f>VLOOKUP(AC$11,#REF!,9)</f>
        <v>#REF!</v>
      </c>
      <c r="AD62" s="8" t="e">
        <f>VLOOKUP(AD$11,#REF!,9)</f>
        <v>#REF!</v>
      </c>
      <c r="AE62" s="8" t="e">
        <f>VLOOKUP(AE$11,#REF!,9)</f>
        <v>#REF!</v>
      </c>
      <c r="AF62" s="8" t="e">
        <f>VLOOKUP(AF$11,#REF!,9)</f>
        <v>#REF!</v>
      </c>
      <c r="AG62" s="8" t="e">
        <f>VLOOKUP(AG$11,#REF!,9)</f>
        <v>#REF!</v>
      </c>
      <c r="AH62" s="8" t="e">
        <f>VLOOKUP(AH$11,#REF!,9)</f>
        <v>#REF!</v>
      </c>
      <c r="AI62" s="8" t="e">
        <f>VLOOKUP(AI$11,#REF!,9)</f>
        <v>#REF!</v>
      </c>
      <c r="AJ62" s="8" t="e">
        <f>VLOOKUP(AJ$11,#REF!,9)</f>
        <v>#REF!</v>
      </c>
      <c r="AK62" s="8" t="e">
        <f>VLOOKUP(AK$11,#REF!,9)</f>
        <v>#REF!</v>
      </c>
    </row>
    <row r="63" spans="1:37" ht="12.75" customHeight="1" x14ac:dyDescent="0.25">
      <c r="A63" s="31" t="s">
        <v>414</v>
      </c>
      <c r="D63" s="42" t="s">
        <v>3</v>
      </c>
      <c r="E63" s="8" t="e">
        <f>VLOOKUP(E$11,#REF!,12)</f>
        <v>#REF!</v>
      </c>
      <c r="F63" s="8" t="e">
        <f>VLOOKUP(F$11,#REF!,12)</f>
        <v>#REF!</v>
      </c>
      <c r="G63" s="8" t="e">
        <f>VLOOKUP(G$11,#REF!,12)</f>
        <v>#REF!</v>
      </c>
      <c r="H63" s="8" t="e">
        <f>VLOOKUP(H$11,#REF!,12)</f>
        <v>#REF!</v>
      </c>
      <c r="I63" s="8" t="e">
        <f>VLOOKUP(I$11,#REF!,12)</f>
        <v>#REF!</v>
      </c>
      <c r="J63" s="8" t="e">
        <f>VLOOKUP(J$11,#REF!,12)</f>
        <v>#REF!</v>
      </c>
      <c r="K63" s="8" t="e">
        <f>VLOOKUP(K$11,#REF!,12)</f>
        <v>#REF!</v>
      </c>
      <c r="L63" s="8" t="e">
        <f>VLOOKUP(L$11,#REF!,12)</f>
        <v>#REF!</v>
      </c>
      <c r="M63" s="8" t="e">
        <f>VLOOKUP(M$11,#REF!,12)</f>
        <v>#REF!</v>
      </c>
      <c r="N63" s="8" t="e">
        <f>VLOOKUP(N$11,#REF!,12)</f>
        <v>#REF!</v>
      </c>
      <c r="O63" s="8" t="e">
        <f>VLOOKUP(O$11,#REF!,12)</f>
        <v>#REF!</v>
      </c>
      <c r="P63" s="8" t="e">
        <f>VLOOKUP(P$11,#REF!,12)</f>
        <v>#REF!</v>
      </c>
      <c r="Q63" s="8" t="e">
        <f>VLOOKUP(Q$11,#REF!,12)</f>
        <v>#REF!</v>
      </c>
      <c r="R63" s="8" t="e">
        <f>VLOOKUP(R$11,#REF!,12)</f>
        <v>#REF!</v>
      </c>
      <c r="S63" s="8" t="e">
        <f>VLOOKUP(S$11,#REF!,12)</f>
        <v>#REF!</v>
      </c>
      <c r="T63" s="8" t="e">
        <f>VLOOKUP(T$11,#REF!,12)</f>
        <v>#REF!</v>
      </c>
      <c r="U63" s="8" t="e">
        <f>VLOOKUP(U$11,#REF!,12)</f>
        <v>#REF!</v>
      </c>
      <c r="V63" s="8" t="e">
        <f>VLOOKUP(V$11,#REF!,12)</f>
        <v>#REF!</v>
      </c>
      <c r="W63" s="8" t="e">
        <f>VLOOKUP(W$11,#REF!,12)</f>
        <v>#REF!</v>
      </c>
      <c r="X63" s="8" t="e">
        <f>VLOOKUP(X$11,#REF!,12)</f>
        <v>#REF!</v>
      </c>
      <c r="Y63" s="8" t="e">
        <f>VLOOKUP(Y$11,#REF!,12)</f>
        <v>#REF!</v>
      </c>
      <c r="Z63" s="72" t="e">
        <f>VLOOKUP(Z$11,#REF!,12)</f>
        <v>#REF!</v>
      </c>
      <c r="AA63" s="8" t="e">
        <f>VLOOKUP(AA$11,#REF!,12)</f>
        <v>#REF!</v>
      </c>
      <c r="AB63" s="8" t="e">
        <f>VLOOKUP(AB$11,#REF!,12)</f>
        <v>#REF!</v>
      </c>
      <c r="AC63" s="8" t="e">
        <f>VLOOKUP(AC$11,#REF!,12)</f>
        <v>#REF!</v>
      </c>
      <c r="AD63" s="8" t="e">
        <f>VLOOKUP(AD$11,#REF!,12)</f>
        <v>#REF!</v>
      </c>
      <c r="AE63" s="8" t="e">
        <f>VLOOKUP(AE$11,#REF!,12)</f>
        <v>#REF!</v>
      </c>
      <c r="AF63" s="8" t="e">
        <f>VLOOKUP(AF$11,#REF!,12)</f>
        <v>#REF!</v>
      </c>
      <c r="AG63" s="8" t="e">
        <f>VLOOKUP(AG$11,#REF!,12)</f>
        <v>#REF!</v>
      </c>
      <c r="AH63" s="8" t="e">
        <f>VLOOKUP(AH$11,#REF!,12)</f>
        <v>#REF!</v>
      </c>
      <c r="AI63" s="8" t="e">
        <f>VLOOKUP(AI$11,#REF!,12)</f>
        <v>#REF!</v>
      </c>
      <c r="AJ63" s="8" t="e">
        <f>VLOOKUP(AJ$11,#REF!,12)</f>
        <v>#REF!</v>
      </c>
      <c r="AK63" s="8" t="e">
        <f>VLOOKUP(AK$11,#REF!,12)</f>
        <v>#REF!</v>
      </c>
    </row>
    <row r="64" spans="1:37" ht="12.75" customHeight="1" x14ac:dyDescent="0.25">
      <c r="A64" s="31" t="s">
        <v>415</v>
      </c>
      <c r="D64" s="42" t="s">
        <v>130</v>
      </c>
      <c r="E64" s="8" t="e">
        <f>VLOOKUP(E$11,#REF!,13)</f>
        <v>#REF!</v>
      </c>
      <c r="F64" s="8" t="e">
        <f>VLOOKUP(F$11,#REF!,13)</f>
        <v>#REF!</v>
      </c>
      <c r="G64" s="8" t="e">
        <f>VLOOKUP(G$11,#REF!,13)</f>
        <v>#REF!</v>
      </c>
      <c r="H64" s="8" t="e">
        <f>VLOOKUP(H$11,#REF!,13)</f>
        <v>#REF!</v>
      </c>
      <c r="I64" s="8" t="e">
        <f>VLOOKUP(I$11,#REF!,13)</f>
        <v>#REF!</v>
      </c>
      <c r="J64" s="8" t="e">
        <f>VLOOKUP(J$11,#REF!,13)</f>
        <v>#REF!</v>
      </c>
      <c r="K64" s="8" t="e">
        <f>VLOOKUP(K$11,#REF!,13)</f>
        <v>#REF!</v>
      </c>
      <c r="L64" s="8" t="e">
        <f>VLOOKUP(L$11,#REF!,13)</f>
        <v>#REF!</v>
      </c>
      <c r="M64" s="8" t="e">
        <f>VLOOKUP(M$11,#REF!,13)</f>
        <v>#REF!</v>
      </c>
      <c r="N64" s="8" t="e">
        <f>VLOOKUP(N$11,#REF!,13)</f>
        <v>#REF!</v>
      </c>
      <c r="O64" s="8" t="e">
        <f>VLOOKUP(O$11,#REF!,13)</f>
        <v>#REF!</v>
      </c>
      <c r="P64" s="8" t="e">
        <f>VLOOKUP(P$11,#REF!,13)</f>
        <v>#REF!</v>
      </c>
      <c r="Q64" s="8" t="e">
        <f>VLOOKUP(Q$11,#REF!,13)</f>
        <v>#REF!</v>
      </c>
      <c r="R64" s="8" t="e">
        <f>VLOOKUP(R$11,#REF!,13)</f>
        <v>#REF!</v>
      </c>
      <c r="S64" s="8" t="e">
        <f>VLOOKUP(S$11,#REF!,13)</f>
        <v>#REF!</v>
      </c>
      <c r="T64" s="8" t="e">
        <f>VLOOKUP(T$11,#REF!,13)</f>
        <v>#REF!</v>
      </c>
      <c r="U64" s="8" t="e">
        <f>VLOOKUP(U$11,#REF!,13)</f>
        <v>#REF!</v>
      </c>
      <c r="V64" s="8" t="e">
        <f>VLOOKUP(V$11,#REF!,13)</f>
        <v>#REF!</v>
      </c>
      <c r="W64" s="8" t="e">
        <f>VLOOKUP(W$11,#REF!,13)</f>
        <v>#REF!</v>
      </c>
      <c r="X64" s="8" t="e">
        <f>VLOOKUP(X$11,#REF!,13)</f>
        <v>#REF!</v>
      </c>
      <c r="Y64" s="8" t="e">
        <f>VLOOKUP(Y$11,#REF!,13)</f>
        <v>#REF!</v>
      </c>
      <c r="Z64" s="72" t="e">
        <f>VLOOKUP(Z$11,#REF!,13)</f>
        <v>#REF!</v>
      </c>
      <c r="AA64" s="8" t="e">
        <f>VLOOKUP(AA$11,#REF!,13)</f>
        <v>#REF!</v>
      </c>
      <c r="AB64" s="8" t="e">
        <f>VLOOKUP(AB$11,#REF!,13)</f>
        <v>#REF!</v>
      </c>
      <c r="AC64" s="8" t="e">
        <f>VLOOKUP(AC$11,#REF!,13)</f>
        <v>#REF!</v>
      </c>
      <c r="AD64" s="8" t="e">
        <f>VLOOKUP(AD$11,#REF!,13)</f>
        <v>#REF!</v>
      </c>
      <c r="AE64" s="8" t="e">
        <f>VLOOKUP(AE$11,#REF!,13)</f>
        <v>#REF!</v>
      </c>
      <c r="AF64" s="8" t="e">
        <f>VLOOKUP(AF$11,#REF!,13)</f>
        <v>#REF!</v>
      </c>
      <c r="AG64" s="8" t="e">
        <f>VLOOKUP(AG$11,#REF!,13)</f>
        <v>#REF!</v>
      </c>
      <c r="AH64" s="8" t="e">
        <f>VLOOKUP(AH$11,#REF!,13)</f>
        <v>#REF!</v>
      </c>
      <c r="AI64" s="8" t="e">
        <f>VLOOKUP(AI$11,#REF!,13)</f>
        <v>#REF!</v>
      </c>
      <c r="AJ64" s="8" t="e">
        <f>VLOOKUP(AJ$11,#REF!,13)</f>
        <v>#REF!</v>
      </c>
      <c r="AK64" s="8" t="e">
        <f>VLOOKUP(AK$11,#REF!,13)</f>
        <v>#REF!</v>
      </c>
    </row>
    <row r="65" spans="1:37" ht="12.75" customHeight="1" x14ac:dyDescent="0.25">
      <c r="A65" s="31"/>
    </row>
    <row r="66" spans="1:37" ht="12.75" customHeight="1" x14ac:dyDescent="0.25">
      <c r="A66" s="24" t="s">
        <v>420</v>
      </c>
    </row>
    <row r="67" spans="1:37" ht="12.75" customHeight="1" x14ac:dyDescent="0.25">
      <c r="A67" s="66" t="s">
        <v>421</v>
      </c>
      <c r="C67" s="52"/>
      <c r="D67" s="42" t="s">
        <v>423</v>
      </c>
      <c r="E67" s="40" t="e">
        <f>MAX(VLOOKUP(E$11,#REF!,7,(VLOOKUP(E11,#REF!,8))))</f>
        <v>#REF!</v>
      </c>
      <c r="F67" s="40" t="e">
        <f>MAX(VLOOKUP(F$11,#REF!,7,(VLOOKUP(F11,#REF!,8))))</f>
        <v>#REF!</v>
      </c>
      <c r="G67" s="40" t="e">
        <f>MAX(VLOOKUP(G$11,#REF!,7,(VLOOKUP(G11,#REF!,8))))</f>
        <v>#REF!</v>
      </c>
      <c r="H67" s="40" t="e">
        <f>MAX(VLOOKUP(H$11,#REF!,7,(VLOOKUP(H11,#REF!,8))))</f>
        <v>#REF!</v>
      </c>
      <c r="I67" s="40" t="e">
        <f>MAX(VLOOKUP(I$11,#REF!,7,(VLOOKUP(I11,#REF!,8))))</f>
        <v>#REF!</v>
      </c>
      <c r="J67" s="40" t="e">
        <f>MAX(VLOOKUP(J$11,#REF!,7,(VLOOKUP(J11,#REF!,8))))</f>
        <v>#REF!</v>
      </c>
      <c r="K67" s="40" t="e">
        <f>MAX(VLOOKUP(K$11,#REF!,7,(VLOOKUP(K11,#REF!,8))))</f>
        <v>#REF!</v>
      </c>
      <c r="L67" s="40" t="e">
        <f>MAX(VLOOKUP(L$11,#REF!,7,(VLOOKUP(L11,#REF!,8))))</f>
        <v>#REF!</v>
      </c>
      <c r="M67" s="40" t="e">
        <f>MAX(VLOOKUP(M$11,#REF!,7,(VLOOKUP(M11,#REF!,8))))</f>
        <v>#REF!</v>
      </c>
      <c r="N67" s="40" t="e">
        <f>MAX(VLOOKUP(N$11,#REF!,7,(VLOOKUP(N11,#REF!,8))))</f>
        <v>#REF!</v>
      </c>
      <c r="O67" s="40" t="e">
        <f>MAX(VLOOKUP(O$11,#REF!,7,(VLOOKUP(O11,#REF!,8))))</f>
        <v>#REF!</v>
      </c>
      <c r="P67" s="40" t="e">
        <f>MAX(VLOOKUP(P$11,#REF!,7,(VLOOKUP(P11,#REF!,8))))</f>
        <v>#REF!</v>
      </c>
      <c r="Q67" s="40" t="e">
        <f>MAX(VLOOKUP(Q$11,#REF!,7,(VLOOKUP(Q11,#REF!,8))))</f>
        <v>#REF!</v>
      </c>
      <c r="R67" s="40" t="e">
        <f>MAX(VLOOKUP(R$11,#REF!,7,(VLOOKUP(R11,#REF!,8))))</f>
        <v>#REF!</v>
      </c>
      <c r="S67" s="40" t="e">
        <f>MAX(VLOOKUP(S$11,#REF!,7,(VLOOKUP(S11,#REF!,8))))</f>
        <v>#REF!</v>
      </c>
      <c r="T67" s="40" t="e">
        <f>MAX(VLOOKUP(T$11,#REF!,7,(VLOOKUP(T11,#REF!,8))))</f>
        <v>#REF!</v>
      </c>
      <c r="U67" s="40" t="e">
        <f>MAX(VLOOKUP(U$11,#REF!,7,(VLOOKUP(U11,#REF!,8))))</f>
        <v>#REF!</v>
      </c>
      <c r="V67" s="40" t="e">
        <f>MAX(VLOOKUP(V$11,#REF!,7,(VLOOKUP(V11,#REF!,8))))</f>
        <v>#REF!</v>
      </c>
      <c r="W67" s="40" t="e">
        <f>MAX(VLOOKUP(W$11,#REF!,7,(VLOOKUP(W11,#REF!,8))))</f>
        <v>#REF!</v>
      </c>
      <c r="X67" s="40" t="e">
        <f>MAX(VLOOKUP(X$11,#REF!,7,(VLOOKUP(X11,#REF!,8))))</f>
        <v>#REF!</v>
      </c>
      <c r="Y67" s="40" t="e">
        <f>MAX(VLOOKUP(Y$11,#REF!,7,(VLOOKUP(Y11,#REF!,8))))</f>
        <v>#REF!</v>
      </c>
      <c r="Z67" s="76" t="e">
        <f>MAX(VLOOKUP(Z$11,#REF!,7,(VLOOKUP(Z11,#REF!,8))))</f>
        <v>#REF!</v>
      </c>
      <c r="AA67" s="40" t="e">
        <f>MAX(VLOOKUP(AA$11,#REF!,7,(VLOOKUP(AA11,#REF!,8))))</f>
        <v>#REF!</v>
      </c>
      <c r="AB67" s="40" t="e">
        <f>MAX(VLOOKUP(AB$11,#REF!,7,(VLOOKUP(AB11,#REF!,8))))</f>
        <v>#REF!</v>
      </c>
      <c r="AC67" s="40" t="e">
        <f>MAX(VLOOKUP(AC$11,#REF!,7,(VLOOKUP(AC11,#REF!,8))))</f>
        <v>#REF!</v>
      </c>
      <c r="AD67" s="40" t="e">
        <f>MAX(VLOOKUP(AD$11,#REF!,7,(VLOOKUP(AD11,#REF!,8))))</f>
        <v>#REF!</v>
      </c>
      <c r="AE67" s="40" t="e">
        <f>MAX(VLOOKUP(AE$11,#REF!,7,(VLOOKUP(AE11,#REF!,8))))</f>
        <v>#REF!</v>
      </c>
      <c r="AF67" s="40" t="e">
        <f>MAX(VLOOKUP(AF$11,#REF!,7,(VLOOKUP(AF11,#REF!,8))))</f>
        <v>#REF!</v>
      </c>
      <c r="AG67" s="40" t="e">
        <f>MAX(VLOOKUP(AG$11,#REF!,7,(VLOOKUP(AG11,#REF!,8))))</f>
        <v>#REF!</v>
      </c>
      <c r="AH67" s="40" t="e">
        <f>MAX(VLOOKUP(AH$11,#REF!,7,(VLOOKUP(AH11,#REF!,8))))</f>
        <v>#REF!</v>
      </c>
      <c r="AI67" s="40" t="e">
        <f>MAX(VLOOKUP(AI$11,#REF!,7,(VLOOKUP(AI11,#REF!,8))))</f>
        <v>#REF!</v>
      </c>
      <c r="AJ67" s="40" t="e">
        <f>MAX(VLOOKUP(AJ$11,#REF!,7,(VLOOKUP(AJ11,#REF!,8))))</f>
        <v>#REF!</v>
      </c>
      <c r="AK67" s="40" t="e">
        <f>MAX(VLOOKUP(AK$11,#REF!,7,(VLOOKUP(AK11,#REF!,8))))</f>
        <v>#REF!</v>
      </c>
    </row>
    <row r="68" spans="1:37" ht="12.75" customHeight="1" x14ac:dyDescent="0.4">
      <c r="A68" s="66" t="s">
        <v>422</v>
      </c>
      <c r="C68" s="52"/>
      <c r="D68" s="42" t="s">
        <v>110</v>
      </c>
      <c r="E68" s="78" t="e">
        <f>VLOOKUP(E$11,#REF!,22)</f>
        <v>#REF!</v>
      </c>
      <c r="F68" s="78" t="e">
        <f>VLOOKUP(F$11,#REF!,22)</f>
        <v>#REF!</v>
      </c>
      <c r="G68" s="78" t="e">
        <f>VLOOKUP(G$11,#REF!,22)</f>
        <v>#REF!</v>
      </c>
      <c r="H68" s="78" t="e">
        <f>VLOOKUP(H$11,#REF!,22)</f>
        <v>#REF!</v>
      </c>
      <c r="I68" s="78" t="e">
        <f>VLOOKUP(I$11,#REF!,22)</f>
        <v>#REF!</v>
      </c>
      <c r="J68" s="78" t="e">
        <f>VLOOKUP(J$11,#REF!,22)</f>
        <v>#REF!</v>
      </c>
      <c r="K68" s="78" t="e">
        <f>VLOOKUP(K$11,#REF!,22)</f>
        <v>#REF!</v>
      </c>
      <c r="L68" s="78" t="e">
        <f>VLOOKUP(L$11,#REF!,22)</f>
        <v>#REF!</v>
      </c>
      <c r="M68" s="78" t="e">
        <f>VLOOKUP(M$11,#REF!,22)</f>
        <v>#REF!</v>
      </c>
      <c r="N68" s="78" t="e">
        <f>VLOOKUP(N$11,#REF!,22)</f>
        <v>#REF!</v>
      </c>
      <c r="O68" s="78" t="e">
        <f>VLOOKUP(O$11,#REF!,22)</f>
        <v>#REF!</v>
      </c>
      <c r="P68" s="78" t="e">
        <f>VLOOKUP(P$11,#REF!,22)</f>
        <v>#REF!</v>
      </c>
      <c r="Q68" s="78" t="e">
        <f>VLOOKUP(Q$11,#REF!,22)</f>
        <v>#REF!</v>
      </c>
      <c r="R68" s="78" t="e">
        <f>VLOOKUP(R$11,#REF!,22)</f>
        <v>#REF!</v>
      </c>
      <c r="S68" s="78" t="e">
        <f>VLOOKUP(S$11,#REF!,22)</f>
        <v>#REF!</v>
      </c>
      <c r="T68" s="78" t="e">
        <f>VLOOKUP(T$11,#REF!,22)</f>
        <v>#REF!</v>
      </c>
      <c r="U68" s="78" t="e">
        <f>VLOOKUP(U$11,#REF!,22)</f>
        <v>#REF!</v>
      </c>
      <c r="V68" s="78" t="e">
        <f>VLOOKUP(V$11,#REF!,22)</f>
        <v>#REF!</v>
      </c>
      <c r="W68" s="78" t="e">
        <f>VLOOKUP(W$11,#REF!,22)</f>
        <v>#REF!</v>
      </c>
      <c r="X68" s="78" t="e">
        <f>VLOOKUP(X$11,#REF!,22)</f>
        <v>#REF!</v>
      </c>
      <c r="Y68" s="78" t="e">
        <f>VLOOKUP(Y$11,#REF!,22)</f>
        <v>#REF!</v>
      </c>
      <c r="Z68" s="78" t="e">
        <f>VLOOKUP(Z$11,#REF!,22)</f>
        <v>#REF!</v>
      </c>
      <c r="AA68" s="78" t="e">
        <f>VLOOKUP(AA$11,#REF!,22)</f>
        <v>#REF!</v>
      </c>
      <c r="AB68" s="78" t="e">
        <f>VLOOKUP(AB$11,#REF!,22)</f>
        <v>#REF!</v>
      </c>
      <c r="AC68" s="78" t="e">
        <f>VLOOKUP(AC$11,#REF!,22)</f>
        <v>#REF!</v>
      </c>
      <c r="AD68" s="78" t="e">
        <f>VLOOKUP(AD$11,#REF!,22)</f>
        <v>#REF!</v>
      </c>
      <c r="AE68" s="78" t="e">
        <f>VLOOKUP(AE$11,#REF!,22)</f>
        <v>#REF!</v>
      </c>
      <c r="AF68" s="78" t="e">
        <f>VLOOKUP(AF$11,#REF!,22)</f>
        <v>#REF!</v>
      </c>
      <c r="AG68" s="78" t="e">
        <f>VLOOKUP(AG$11,#REF!,22)</f>
        <v>#REF!</v>
      </c>
      <c r="AH68" s="78" t="e">
        <f>VLOOKUP(AH$11,#REF!,22)</f>
        <v>#REF!</v>
      </c>
      <c r="AI68" s="78" t="e">
        <f>VLOOKUP(AI$11,#REF!,22)</f>
        <v>#REF!</v>
      </c>
      <c r="AJ68" s="78" t="e">
        <f>VLOOKUP(AJ$11,#REF!,22)</f>
        <v>#REF!</v>
      </c>
      <c r="AK68" s="78" t="e">
        <f>VLOOKUP(AK$11,#REF!,22)</f>
        <v>#REF!</v>
      </c>
    </row>
    <row r="69" spans="1:37" ht="12.75" customHeight="1" x14ac:dyDescent="0.25">
      <c r="A69" s="5"/>
    </row>
    <row r="70" spans="1:37" ht="12.75" customHeight="1" x14ac:dyDescent="0.3">
      <c r="A70" s="10" t="s">
        <v>425</v>
      </c>
    </row>
    <row r="71" spans="1:37" ht="12.75" customHeight="1" x14ac:dyDescent="0.25">
      <c r="A71" s="3" t="s">
        <v>426</v>
      </c>
      <c r="C71" s="49" t="s">
        <v>427</v>
      </c>
      <c r="D71" s="20" t="s">
        <v>3</v>
      </c>
      <c r="E71" s="26" t="e">
        <f>(E59*E62*SIN(E67*PI()/180))/(E21*2)</f>
        <v>#REF!</v>
      </c>
      <c r="F71" s="8" t="e">
        <f>VLOOKUP(F$11,#REF!,9)</f>
        <v>#REF!</v>
      </c>
      <c r="G71" s="8" t="e">
        <f>VLOOKUP(G$11,#REF!,9)</f>
        <v>#REF!</v>
      </c>
      <c r="H71" s="8" t="e">
        <f>VLOOKUP(H$11,#REF!,9)</f>
        <v>#REF!</v>
      </c>
      <c r="I71" s="8" t="e">
        <f>VLOOKUP(I$11,#REF!,9)</f>
        <v>#REF!</v>
      </c>
      <c r="J71" s="8" t="e">
        <f>VLOOKUP(J$11,#REF!,9)</f>
        <v>#REF!</v>
      </c>
      <c r="K71" s="8" t="e">
        <f>VLOOKUP(K$11,#REF!,9)</f>
        <v>#REF!</v>
      </c>
      <c r="L71" s="8" t="e">
        <f>VLOOKUP(L$11,#REF!,9)</f>
        <v>#REF!</v>
      </c>
      <c r="M71" s="8" t="e">
        <f>VLOOKUP(M$11,#REF!,9)</f>
        <v>#REF!</v>
      </c>
      <c r="N71" s="8" t="e">
        <f>VLOOKUP(N$11,#REF!,9)</f>
        <v>#REF!</v>
      </c>
      <c r="O71" s="8" t="e">
        <f>VLOOKUP(O$11,#REF!,9)</f>
        <v>#REF!</v>
      </c>
      <c r="P71" s="8" t="e">
        <f>VLOOKUP(P$11,#REF!,9)</f>
        <v>#REF!</v>
      </c>
      <c r="Q71" s="8" t="e">
        <f>VLOOKUP(Q$11,#REF!,9)</f>
        <v>#REF!</v>
      </c>
      <c r="R71" s="8" t="e">
        <f>VLOOKUP(R$11,#REF!,9)</f>
        <v>#REF!</v>
      </c>
      <c r="S71" s="8" t="e">
        <f>VLOOKUP(S$11,#REF!,9)</f>
        <v>#REF!</v>
      </c>
      <c r="T71" s="8" t="e">
        <f>VLOOKUP(T$11,#REF!,9)</f>
        <v>#REF!</v>
      </c>
      <c r="U71" s="8" t="e">
        <f>VLOOKUP(U$11,#REF!,9)</f>
        <v>#REF!</v>
      </c>
      <c r="V71" s="8" t="e">
        <f>VLOOKUP(V$11,#REF!,9)</f>
        <v>#REF!</v>
      </c>
      <c r="W71" s="8" t="e">
        <f>VLOOKUP(W$11,#REF!,9)</f>
        <v>#REF!</v>
      </c>
      <c r="X71" s="8" t="e">
        <f>VLOOKUP(X$11,#REF!,9)</f>
        <v>#REF!</v>
      </c>
      <c r="Y71" s="8" t="e">
        <f>VLOOKUP(Y$11,#REF!,9)</f>
        <v>#REF!</v>
      </c>
      <c r="Z71" s="72" t="e">
        <f>VLOOKUP(Z$11,#REF!,9)</f>
        <v>#REF!</v>
      </c>
      <c r="AA71" s="8" t="e">
        <f>VLOOKUP(AA$11,#REF!,9)</f>
        <v>#REF!</v>
      </c>
      <c r="AB71" s="8" t="e">
        <f>VLOOKUP(AB$11,#REF!,9)</f>
        <v>#REF!</v>
      </c>
      <c r="AC71" s="8" t="e">
        <f>VLOOKUP(AC$11,#REF!,9)</f>
        <v>#REF!</v>
      </c>
      <c r="AD71" s="8" t="e">
        <f>VLOOKUP(AD$11,#REF!,9)</f>
        <v>#REF!</v>
      </c>
      <c r="AE71" s="8" t="e">
        <f>VLOOKUP(AE$11,#REF!,9)</f>
        <v>#REF!</v>
      </c>
      <c r="AF71" s="8" t="e">
        <f>VLOOKUP(AF$11,#REF!,9)</f>
        <v>#REF!</v>
      </c>
      <c r="AG71" s="8" t="e">
        <f>VLOOKUP(AG$11,#REF!,9)</f>
        <v>#REF!</v>
      </c>
      <c r="AH71" s="8" t="e">
        <f>VLOOKUP(AH$11,#REF!,9)</f>
        <v>#REF!</v>
      </c>
      <c r="AI71" s="8" t="e">
        <f>VLOOKUP(AI$11,#REF!,9)</f>
        <v>#REF!</v>
      </c>
      <c r="AJ71" s="8" t="e">
        <f>VLOOKUP(AJ$11,#REF!,9)</f>
        <v>#REF!</v>
      </c>
      <c r="AK71" s="8" t="e">
        <f>VLOOKUP(AK$11,#REF!,9)</f>
        <v>#REF!</v>
      </c>
    </row>
    <row r="72" spans="1:37" ht="12.75" customHeight="1" x14ac:dyDescent="0.4">
      <c r="A72" s="31"/>
      <c r="C72" s="21" t="s">
        <v>428</v>
      </c>
      <c r="D72" s="67" t="s">
        <v>110</v>
      </c>
      <c r="E72" s="8" t="e">
        <f>E26+2*E28+2*E27+2*E68</f>
        <v>#REF!</v>
      </c>
      <c r="F72" s="8" t="e">
        <f t="shared" ref="F72:AK72" si="28">F26+2*F28+2*F27+2*F68</f>
        <v>#REF!</v>
      </c>
      <c r="G72" s="8" t="e">
        <f t="shared" si="28"/>
        <v>#REF!</v>
      </c>
      <c r="H72" s="8" t="e">
        <f t="shared" si="28"/>
        <v>#REF!</v>
      </c>
      <c r="I72" s="8" t="e">
        <f t="shared" si="28"/>
        <v>#REF!</v>
      </c>
      <c r="J72" s="8" t="e">
        <f t="shared" si="28"/>
        <v>#REF!</v>
      </c>
      <c r="K72" s="8" t="e">
        <f t="shared" si="28"/>
        <v>#REF!</v>
      </c>
      <c r="L72" s="8" t="e">
        <f t="shared" si="28"/>
        <v>#REF!</v>
      </c>
      <c r="M72" s="8" t="e">
        <f t="shared" si="28"/>
        <v>#REF!</v>
      </c>
      <c r="N72" s="8" t="e">
        <f t="shared" si="28"/>
        <v>#REF!</v>
      </c>
      <c r="O72" s="8" t="e">
        <f t="shared" si="28"/>
        <v>#REF!</v>
      </c>
      <c r="P72" s="8" t="e">
        <f t="shared" si="28"/>
        <v>#REF!</v>
      </c>
      <c r="Q72" s="8" t="e">
        <f t="shared" si="28"/>
        <v>#REF!</v>
      </c>
      <c r="R72" s="8" t="e">
        <f t="shared" si="28"/>
        <v>#REF!</v>
      </c>
      <c r="S72" s="8" t="e">
        <f t="shared" si="28"/>
        <v>#REF!</v>
      </c>
      <c r="T72" s="8" t="e">
        <f t="shared" si="28"/>
        <v>#REF!</v>
      </c>
      <c r="U72" s="8" t="e">
        <f t="shared" si="28"/>
        <v>#REF!</v>
      </c>
      <c r="V72" s="8" t="e">
        <f t="shared" si="28"/>
        <v>#REF!</v>
      </c>
      <c r="W72" s="8" t="e">
        <f t="shared" si="28"/>
        <v>#REF!</v>
      </c>
      <c r="X72" s="8" t="e">
        <f t="shared" si="28"/>
        <v>#REF!</v>
      </c>
      <c r="Y72" s="8" t="e">
        <f t="shared" si="28"/>
        <v>#REF!</v>
      </c>
      <c r="Z72" s="72" t="e">
        <f t="shared" si="28"/>
        <v>#REF!</v>
      </c>
      <c r="AA72" s="8" t="e">
        <f t="shared" si="28"/>
        <v>#REF!</v>
      </c>
      <c r="AB72" s="8" t="e">
        <f t="shared" si="28"/>
        <v>#REF!</v>
      </c>
      <c r="AC72" s="8" t="e">
        <f t="shared" si="28"/>
        <v>#REF!</v>
      </c>
      <c r="AD72" s="8" t="e">
        <f t="shared" si="28"/>
        <v>#REF!</v>
      </c>
      <c r="AE72" s="8" t="e">
        <f t="shared" si="28"/>
        <v>#REF!</v>
      </c>
      <c r="AF72" s="8" t="e">
        <f t="shared" si="28"/>
        <v>#REF!</v>
      </c>
      <c r="AG72" s="8" t="e">
        <f t="shared" si="28"/>
        <v>#REF!</v>
      </c>
      <c r="AH72" s="8" t="e">
        <f t="shared" si="28"/>
        <v>#REF!</v>
      </c>
      <c r="AI72" s="8" t="e">
        <f t="shared" si="28"/>
        <v>#REF!</v>
      </c>
      <c r="AJ72" s="8" t="e">
        <f t="shared" si="28"/>
        <v>#REF!</v>
      </c>
      <c r="AK72" s="8" t="e">
        <f t="shared" si="28"/>
        <v>#REF!</v>
      </c>
    </row>
    <row r="73" spans="1:37" ht="12.75" customHeight="1" x14ac:dyDescent="0.4">
      <c r="A73" s="31"/>
      <c r="C73" s="21" t="s">
        <v>429</v>
      </c>
      <c r="D73" s="67" t="s">
        <v>3</v>
      </c>
      <c r="E73" s="29" t="e">
        <f>E72*E34*E13/1000</f>
        <v>#REF!</v>
      </c>
      <c r="F73" s="29" t="e">
        <f t="shared" ref="F73:AK73" si="29">F72*F34*F13/1000</f>
        <v>#REF!</v>
      </c>
      <c r="G73" s="29" t="e">
        <f t="shared" si="29"/>
        <v>#REF!</v>
      </c>
      <c r="H73" s="29" t="e">
        <f t="shared" si="29"/>
        <v>#REF!</v>
      </c>
      <c r="I73" s="29" t="e">
        <f t="shared" si="29"/>
        <v>#REF!</v>
      </c>
      <c r="J73" s="29" t="e">
        <f t="shared" si="29"/>
        <v>#REF!</v>
      </c>
      <c r="K73" s="29" t="e">
        <f t="shared" si="29"/>
        <v>#REF!</v>
      </c>
      <c r="L73" s="29" t="e">
        <f t="shared" si="29"/>
        <v>#REF!</v>
      </c>
      <c r="M73" s="29" t="e">
        <f t="shared" si="29"/>
        <v>#REF!</v>
      </c>
      <c r="N73" s="29" t="e">
        <f t="shared" si="29"/>
        <v>#REF!</v>
      </c>
      <c r="O73" s="29" t="e">
        <f t="shared" si="29"/>
        <v>#REF!</v>
      </c>
      <c r="P73" s="29" t="e">
        <f t="shared" si="29"/>
        <v>#REF!</v>
      </c>
      <c r="Q73" s="29" t="e">
        <f t="shared" si="29"/>
        <v>#REF!</v>
      </c>
      <c r="R73" s="29" t="e">
        <f t="shared" si="29"/>
        <v>#REF!</v>
      </c>
      <c r="S73" s="29" t="e">
        <f t="shared" si="29"/>
        <v>#REF!</v>
      </c>
      <c r="T73" s="29" t="e">
        <f t="shared" si="29"/>
        <v>#REF!</v>
      </c>
      <c r="U73" s="29" t="e">
        <f t="shared" si="29"/>
        <v>#REF!</v>
      </c>
      <c r="V73" s="29" t="e">
        <f t="shared" si="29"/>
        <v>#REF!</v>
      </c>
      <c r="W73" s="29" t="e">
        <f t="shared" si="29"/>
        <v>#REF!</v>
      </c>
      <c r="X73" s="29" t="e">
        <f t="shared" si="29"/>
        <v>#REF!</v>
      </c>
      <c r="Y73" s="29" t="e">
        <f t="shared" si="29"/>
        <v>#REF!</v>
      </c>
      <c r="Z73" s="74" t="e">
        <f t="shared" si="29"/>
        <v>#REF!</v>
      </c>
      <c r="AA73" s="29" t="e">
        <f t="shared" si="29"/>
        <v>#REF!</v>
      </c>
      <c r="AB73" s="29" t="e">
        <f t="shared" si="29"/>
        <v>#REF!</v>
      </c>
      <c r="AC73" s="29" t="e">
        <f t="shared" si="29"/>
        <v>#REF!</v>
      </c>
      <c r="AD73" s="29" t="e">
        <f t="shared" si="29"/>
        <v>#REF!</v>
      </c>
      <c r="AE73" s="29" t="e">
        <f t="shared" si="29"/>
        <v>#REF!</v>
      </c>
      <c r="AF73" s="29" t="e">
        <f t="shared" si="29"/>
        <v>#REF!</v>
      </c>
      <c r="AG73" s="29" t="e">
        <f t="shared" si="29"/>
        <v>#REF!</v>
      </c>
      <c r="AH73" s="29" t="e">
        <f t="shared" si="29"/>
        <v>#REF!</v>
      </c>
      <c r="AI73" s="29" t="e">
        <f t="shared" si="29"/>
        <v>#REF!</v>
      </c>
      <c r="AJ73" s="29" t="e">
        <f t="shared" si="29"/>
        <v>#REF!</v>
      </c>
      <c r="AK73" s="29" t="e">
        <f t="shared" si="29"/>
        <v>#REF!</v>
      </c>
    </row>
    <row r="74" spans="1:37" ht="12.75" customHeight="1" x14ac:dyDescent="0.25">
      <c r="A74" s="3" t="s">
        <v>31</v>
      </c>
      <c r="C74" s="49" t="s">
        <v>430</v>
      </c>
      <c r="D74" s="20" t="s">
        <v>106</v>
      </c>
      <c r="E74" s="47" t="e">
        <f>E71/E73</f>
        <v>#REF!</v>
      </c>
      <c r="F74" s="40" t="e">
        <f t="shared" ref="F74:AK74" si="30">F71/F73</f>
        <v>#REF!</v>
      </c>
      <c r="G74" s="40" t="e">
        <f t="shared" si="30"/>
        <v>#REF!</v>
      </c>
      <c r="H74" s="40" t="e">
        <f t="shared" si="30"/>
        <v>#REF!</v>
      </c>
      <c r="I74" s="40" t="e">
        <f t="shared" si="30"/>
        <v>#REF!</v>
      </c>
      <c r="J74" s="40" t="e">
        <f t="shared" si="30"/>
        <v>#REF!</v>
      </c>
      <c r="K74" s="40" t="e">
        <f t="shared" si="30"/>
        <v>#REF!</v>
      </c>
      <c r="L74" s="40" t="e">
        <f t="shared" si="30"/>
        <v>#REF!</v>
      </c>
      <c r="M74" s="40" t="e">
        <f t="shared" si="30"/>
        <v>#REF!</v>
      </c>
      <c r="N74" s="40" t="e">
        <f t="shared" si="30"/>
        <v>#REF!</v>
      </c>
      <c r="O74" s="40" t="e">
        <f t="shared" si="30"/>
        <v>#REF!</v>
      </c>
      <c r="P74" s="40" t="e">
        <f t="shared" si="30"/>
        <v>#REF!</v>
      </c>
      <c r="Q74" s="40" t="e">
        <f t="shared" si="30"/>
        <v>#REF!</v>
      </c>
      <c r="R74" s="40" t="e">
        <f t="shared" si="30"/>
        <v>#REF!</v>
      </c>
      <c r="S74" s="40" t="e">
        <f t="shared" si="30"/>
        <v>#REF!</v>
      </c>
      <c r="T74" s="40" t="e">
        <f t="shared" si="30"/>
        <v>#REF!</v>
      </c>
      <c r="U74" s="40" t="e">
        <f t="shared" si="30"/>
        <v>#REF!</v>
      </c>
      <c r="V74" s="40" t="e">
        <f t="shared" si="30"/>
        <v>#REF!</v>
      </c>
      <c r="W74" s="40" t="e">
        <f t="shared" si="30"/>
        <v>#REF!</v>
      </c>
      <c r="X74" s="40" t="e">
        <f t="shared" si="30"/>
        <v>#REF!</v>
      </c>
      <c r="Y74" s="40" t="e">
        <f t="shared" si="30"/>
        <v>#REF!</v>
      </c>
      <c r="Z74" s="76" t="e">
        <f t="shared" si="30"/>
        <v>#REF!</v>
      </c>
      <c r="AA74" s="40" t="e">
        <f t="shared" si="30"/>
        <v>#REF!</v>
      </c>
      <c r="AB74" s="40" t="e">
        <f t="shared" si="30"/>
        <v>#REF!</v>
      </c>
      <c r="AC74" s="40" t="e">
        <f t="shared" si="30"/>
        <v>#REF!</v>
      </c>
      <c r="AD74" s="40" t="e">
        <f t="shared" si="30"/>
        <v>#REF!</v>
      </c>
      <c r="AE74" s="40" t="e">
        <f t="shared" si="30"/>
        <v>#REF!</v>
      </c>
      <c r="AF74" s="40" t="e">
        <f t="shared" si="30"/>
        <v>#REF!</v>
      </c>
      <c r="AG74" s="40" t="e">
        <f t="shared" si="30"/>
        <v>#REF!</v>
      </c>
      <c r="AH74" s="40" t="e">
        <f t="shared" si="30"/>
        <v>#REF!</v>
      </c>
      <c r="AI74" s="40" t="e">
        <f t="shared" si="30"/>
        <v>#REF!</v>
      </c>
      <c r="AJ74" s="40" t="e">
        <f t="shared" si="30"/>
        <v>#REF!</v>
      </c>
      <c r="AK74" s="40" t="e">
        <f t="shared" si="30"/>
        <v>#REF!</v>
      </c>
    </row>
    <row r="75" spans="1:37" ht="12.75" customHeight="1" x14ac:dyDescent="0.25">
      <c r="A75" s="5"/>
    </row>
    <row r="76" spans="1:37" ht="12.75" customHeight="1" x14ac:dyDescent="0.3">
      <c r="A76" s="11" t="s">
        <v>416</v>
      </c>
      <c r="C76" s="45"/>
    </row>
    <row r="77" spans="1:37" ht="12.75" customHeight="1" x14ac:dyDescent="0.25">
      <c r="A77" s="68" t="s">
        <v>431</v>
      </c>
      <c r="C77" s="45" t="s">
        <v>432</v>
      </c>
    </row>
    <row r="78" spans="1:37" ht="12.75" customHeight="1" x14ac:dyDescent="0.25">
      <c r="A78" s="3" t="s">
        <v>426</v>
      </c>
      <c r="C78" s="49" t="s">
        <v>427</v>
      </c>
      <c r="D78" s="20" t="s">
        <v>3</v>
      </c>
      <c r="E78" s="26" t="e">
        <f>E71</f>
        <v>#REF!</v>
      </c>
      <c r="F78" s="26" t="e">
        <f t="shared" ref="F78:AK78" si="31">F71</f>
        <v>#REF!</v>
      </c>
      <c r="G78" s="26" t="e">
        <f t="shared" si="31"/>
        <v>#REF!</v>
      </c>
      <c r="H78" s="26" t="e">
        <f t="shared" si="31"/>
        <v>#REF!</v>
      </c>
      <c r="I78" s="26" t="e">
        <f t="shared" si="31"/>
        <v>#REF!</v>
      </c>
      <c r="J78" s="26" t="e">
        <f t="shared" si="31"/>
        <v>#REF!</v>
      </c>
      <c r="K78" s="26" t="e">
        <f t="shared" si="31"/>
        <v>#REF!</v>
      </c>
      <c r="L78" s="26" t="e">
        <f t="shared" si="31"/>
        <v>#REF!</v>
      </c>
      <c r="M78" s="26" t="e">
        <f t="shared" si="31"/>
        <v>#REF!</v>
      </c>
      <c r="N78" s="26" t="e">
        <f t="shared" si="31"/>
        <v>#REF!</v>
      </c>
      <c r="O78" s="26" t="e">
        <f t="shared" si="31"/>
        <v>#REF!</v>
      </c>
      <c r="P78" s="26" t="e">
        <f t="shared" si="31"/>
        <v>#REF!</v>
      </c>
      <c r="Q78" s="26" t="e">
        <f t="shared" si="31"/>
        <v>#REF!</v>
      </c>
      <c r="R78" s="26" t="e">
        <f t="shared" si="31"/>
        <v>#REF!</v>
      </c>
      <c r="S78" s="26" t="e">
        <f t="shared" si="31"/>
        <v>#REF!</v>
      </c>
      <c r="T78" s="26" t="e">
        <f t="shared" si="31"/>
        <v>#REF!</v>
      </c>
      <c r="U78" s="26" t="e">
        <f t="shared" si="31"/>
        <v>#REF!</v>
      </c>
      <c r="V78" s="26" t="e">
        <f t="shared" si="31"/>
        <v>#REF!</v>
      </c>
      <c r="W78" s="26" t="e">
        <f t="shared" si="31"/>
        <v>#REF!</v>
      </c>
      <c r="X78" s="26" t="e">
        <f t="shared" si="31"/>
        <v>#REF!</v>
      </c>
      <c r="Y78" s="26" t="e">
        <f t="shared" si="31"/>
        <v>#REF!</v>
      </c>
      <c r="Z78" s="78" t="e">
        <f t="shared" si="31"/>
        <v>#REF!</v>
      </c>
      <c r="AA78" s="26" t="e">
        <f t="shared" si="31"/>
        <v>#REF!</v>
      </c>
      <c r="AB78" s="26" t="e">
        <f t="shared" si="31"/>
        <v>#REF!</v>
      </c>
      <c r="AC78" s="26" t="e">
        <f t="shared" si="31"/>
        <v>#REF!</v>
      </c>
      <c r="AD78" s="26" t="e">
        <f t="shared" si="31"/>
        <v>#REF!</v>
      </c>
      <c r="AE78" s="26" t="e">
        <f t="shared" si="31"/>
        <v>#REF!</v>
      </c>
      <c r="AF78" s="26" t="e">
        <f t="shared" si="31"/>
        <v>#REF!</v>
      </c>
      <c r="AG78" s="26" t="e">
        <f t="shared" si="31"/>
        <v>#REF!</v>
      </c>
      <c r="AH78" s="26" t="e">
        <f t="shared" si="31"/>
        <v>#REF!</v>
      </c>
      <c r="AI78" s="26" t="e">
        <f t="shared" si="31"/>
        <v>#REF!</v>
      </c>
      <c r="AJ78" s="26" t="e">
        <f t="shared" si="31"/>
        <v>#REF!</v>
      </c>
      <c r="AK78" s="26" t="e">
        <f t="shared" si="31"/>
        <v>#REF!</v>
      </c>
    </row>
    <row r="79" spans="1:37" ht="12.75" customHeight="1" x14ac:dyDescent="0.4">
      <c r="A79" s="5"/>
      <c r="C79" s="6" t="s">
        <v>433</v>
      </c>
      <c r="D79" s="42" t="s">
        <v>107</v>
      </c>
      <c r="E79" s="29" t="e">
        <f>(((E64*10^6*E58)/(E30*E21))+((E63*10^3*E58)/(E24*E21)))/2</f>
        <v>#REF!</v>
      </c>
      <c r="F79" s="29" t="e">
        <f t="shared" ref="F79:AK79" si="32">(((F64*10^6*F58)/(F30*F21))+((F63*10^3*F58)/(F24*F21)))/2</f>
        <v>#REF!</v>
      </c>
      <c r="G79" s="29" t="e">
        <f t="shared" si="32"/>
        <v>#REF!</v>
      </c>
      <c r="H79" s="29" t="e">
        <f t="shared" si="32"/>
        <v>#REF!</v>
      </c>
      <c r="I79" s="29" t="e">
        <f t="shared" si="32"/>
        <v>#REF!</v>
      </c>
      <c r="J79" s="29" t="e">
        <f t="shared" si="32"/>
        <v>#REF!</v>
      </c>
      <c r="K79" s="29" t="e">
        <f t="shared" si="32"/>
        <v>#REF!</v>
      </c>
      <c r="L79" s="29" t="e">
        <f t="shared" si="32"/>
        <v>#REF!</v>
      </c>
      <c r="M79" s="29" t="e">
        <f t="shared" si="32"/>
        <v>#REF!</v>
      </c>
      <c r="N79" s="29" t="e">
        <f t="shared" si="32"/>
        <v>#REF!</v>
      </c>
      <c r="O79" s="29" t="e">
        <f t="shared" si="32"/>
        <v>#REF!</v>
      </c>
      <c r="P79" s="29" t="e">
        <f t="shared" si="32"/>
        <v>#REF!</v>
      </c>
      <c r="Q79" s="29" t="e">
        <f t="shared" si="32"/>
        <v>#REF!</v>
      </c>
      <c r="R79" s="29" t="e">
        <f t="shared" si="32"/>
        <v>#REF!</v>
      </c>
      <c r="S79" s="29" t="e">
        <f t="shared" si="32"/>
        <v>#REF!</v>
      </c>
      <c r="T79" s="29" t="e">
        <f t="shared" si="32"/>
        <v>#REF!</v>
      </c>
      <c r="U79" s="29" t="e">
        <f t="shared" si="32"/>
        <v>#REF!</v>
      </c>
      <c r="V79" s="29" t="e">
        <f t="shared" si="32"/>
        <v>#REF!</v>
      </c>
      <c r="W79" s="29" t="e">
        <f t="shared" si="32"/>
        <v>#REF!</v>
      </c>
      <c r="X79" s="29" t="e">
        <f t="shared" si="32"/>
        <v>#REF!</v>
      </c>
      <c r="Y79" s="29" t="e">
        <f t="shared" si="32"/>
        <v>#REF!</v>
      </c>
      <c r="Z79" s="74" t="e">
        <f t="shared" si="32"/>
        <v>#REF!</v>
      </c>
      <c r="AA79" s="29" t="e">
        <f t="shared" si="32"/>
        <v>#REF!</v>
      </c>
      <c r="AB79" s="29" t="e">
        <f t="shared" si="32"/>
        <v>#REF!</v>
      </c>
      <c r="AC79" s="29" t="e">
        <f t="shared" si="32"/>
        <v>#REF!</v>
      </c>
      <c r="AD79" s="29" t="e">
        <f t="shared" si="32"/>
        <v>#REF!</v>
      </c>
      <c r="AE79" s="29" t="e">
        <f t="shared" si="32"/>
        <v>#REF!</v>
      </c>
      <c r="AF79" s="29" t="e">
        <f t="shared" si="32"/>
        <v>#REF!</v>
      </c>
      <c r="AG79" s="29" t="e">
        <f t="shared" si="32"/>
        <v>#REF!</v>
      </c>
      <c r="AH79" s="29" t="e">
        <f t="shared" si="32"/>
        <v>#REF!</v>
      </c>
      <c r="AI79" s="29" t="e">
        <f t="shared" si="32"/>
        <v>#REF!</v>
      </c>
      <c r="AJ79" s="29" t="e">
        <f t="shared" si="32"/>
        <v>#REF!</v>
      </c>
      <c r="AK79" s="29" t="e">
        <f t="shared" si="32"/>
        <v>#REF!</v>
      </c>
    </row>
    <row r="80" spans="1:37" ht="12.75" customHeight="1" x14ac:dyDescent="0.4">
      <c r="A80" s="5"/>
      <c r="C80" s="4" t="s">
        <v>434</v>
      </c>
      <c r="D80" s="42" t="s">
        <v>110</v>
      </c>
      <c r="E80" s="26" t="e">
        <f>IF(E23&lt;=(25*E27),E23,25*E27)</f>
        <v>#REF!</v>
      </c>
      <c r="F80" s="26" t="e">
        <f t="shared" ref="F80:AK80" si="33">IF(F23&lt;=(25*F27),F23,25*F27)</f>
        <v>#REF!</v>
      </c>
      <c r="G80" s="26" t="e">
        <f t="shared" si="33"/>
        <v>#REF!</v>
      </c>
      <c r="H80" s="26" t="e">
        <f t="shared" si="33"/>
        <v>#REF!</v>
      </c>
      <c r="I80" s="26" t="e">
        <f t="shared" si="33"/>
        <v>#REF!</v>
      </c>
      <c r="J80" s="26" t="e">
        <f t="shared" si="33"/>
        <v>#REF!</v>
      </c>
      <c r="K80" s="26" t="e">
        <f t="shared" si="33"/>
        <v>#REF!</v>
      </c>
      <c r="L80" s="26" t="e">
        <f t="shared" si="33"/>
        <v>#REF!</v>
      </c>
      <c r="M80" s="26" t="e">
        <f t="shared" si="33"/>
        <v>#REF!</v>
      </c>
      <c r="N80" s="26" t="e">
        <f t="shared" si="33"/>
        <v>#REF!</v>
      </c>
      <c r="O80" s="26" t="e">
        <f t="shared" si="33"/>
        <v>#REF!</v>
      </c>
      <c r="P80" s="26" t="e">
        <f t="shared" si="33"/>
        <v>#REF!</v>
      </c>
      <c r="Q80" s="26" t="e">
        <f t="shared" si="33"/>
        <v>#REF!</v>
      </c>
      <c r="R80" s="26" t="e">
        <f t="shared" si="33"/>
        <v>#REF!</v>
      </c>
      <c r="S80" s="26" t="e">
        <f t="shared" si="33"/>
        <v>#REF!</v>
      </c>
      <c r="T80" s="26" t="e">
        <f t="shared" si="33"/>
        <v>#REF!</v>
      </c>
      <c r="U80" s="26" t="e">
        <f t="shared" si="33"/>
        <v>#REF!</v>
      </c>
      <c r="V80" s="26" t="e">
        <f t="shared" si="33"/>
        <v>#REF!</v>
      </c>
      <c r="W80" s="26" t="e">
        <f t="shared" si="33"/>
        <v>#REF!</v>
      </c>
      <c r="X80" s="26" t="e">
        <f t="shared" si="33"/>
        <v>#REF!</v>
      </c>
      <c r="Y80" s="26" t="e">
        <f t="shared" si="33"/>
        <v>#REF!</v>
      </c>
      <c r="Z80" s="78" t="e">
        <f t="shared" si="33"/>
        <v>#REF!</v>
      </c>
      <c r="AA80" s="26" t="e">
        <f t="shared" si="33"/>
        <v>#REF!</v>
      </c>
      <c r="AB80" s="26" t="e">
        <f t="shared" si="33"/>
        <v>#REF!</v>
      </c>
      <c r="AC80" s="26" t="e">
        <f t="shared" si="33"/>
        <v>#REF!</v>
      </c>
      <c r="AD80" s="26" t="e">
        <f t="shared" si="33"/>
        <v>#REF!</v>
      </c>
      <c r="AE80" s="26" t="e">
        <f t="shared" si="33"/>
        <v>#REF!</v>
      </c>
      <c r="AF80" s="26" t="e">
        <f t="shared" si="33"/>
        <v>#REF!</v>
      </c>
      <c r="AG80" s="26" t="e">
        <f t="shared" si="33"/>
        <v>#REF!</v>
      </c>
      <c r="AH80" s="26" t="e">
        <f t="shared" si="33"/>
        <v>#REF!</v>
      </c>
      <c r="AI80" s="26" t="e">
        <f t="shared" si="33"/>
        <v>#REF!</v>
      </c>
      <c r="AJ80" s="26" t="e">
        <f t="shared" si="33"/>
        <v>#REF!</v>
      </c>
      <c r="AK80" s="26" t="e">
        <f t="shared" si="33"/>
        <v>#REF!</v>
      </c>
    </row>
    <row r="81" spans="1:37" ht="12.75" customHeight="1" x14ac:dyDescent="0.25">
      <c r="A81" s="5"/>
      <c r="C81" s="4" t="s">
        <v>18</v>
      </c>
      <c r="D81" s="69" t="s">
        <v>110</v>
      </c>
      <c r="E81" s="26" t="e">
        <f>E34+(2*E68)+(2*E27)</f>
        <v>#REF!</v>
      </c>
      <c r="F81" s="26" t="e">
        <f t="shared" ref="F81:AK81" si="34">F34+(2*F68)+(2*F27)</f>
        <v>#REF!</v>
      </c>
      <c r="G81" s="26" t="e">
        <f t="shared" si="34"/>
        <v>#REF!</v>
      </c>
      <c r="H81" s="26" t="e">
        <f t="shared" si="34"/>
        <v>#REF!</v>
      </c>
      <c r="I81" s="26" t="e">
        <f>I34+(2*I68)+(2*I27)</f>
        <v>#REF!</v>
      </c>
      <c r="J81" s="26" t="e">
        <f>J34+(2*J68)+(2*J27)</f>
        <v>#REF!</v>
      </c>
      <c r="K81" s="26" t="e">
        <f t="shared" si="34"/>
        <v>#REF!</v>
      </c>
      <c r="L81" s="26" t="e">
        <f t="shared" si="34"/>
        <v>#REF!</v>
      </c>
      <c r="M81" s="26" t="e">
        <f t="shared" si="34"/>
        <v>#REF!</v>
      </c>
      <c r="N81" s="26" t="e">
        <f t="shared" si="34"/>
        <v>#REF!</v>
      </c>
      <c r="O81" s="26" t="e">
        <f t="shared" si="34"/>
        <v>#REF!</v>
      </c>
      <c r="P81" s="26" t="e">
        <f t="shared" si="34"/>
        <v>#REF!</v>
      </c>
      <c r="Q81" s="26" t="e">
        <f t="shared" si="34"/>
        <v>#REF!</v>
      </c>
      <c r="R81" s="26" t="e">
        <f t="shared" si="34"/>
        <v>#REF!</v>
      </c>
      <c r="S81" s="26" t="e">
        <f t="shared" si="34"/>
        <v>#REF!</v>
      </c>
      <c r="T81" s="26" t="e">
        <f t="shared" si="34"/>
        <v>#REF!</v>
      </c>
      <c r="U81" s="26" t="e">
        <f t="shared" si="34"/>
        <v>#REF!</v>
      </c>
      <c r="V81" s="26" t="e">
        <f t="shared" si="34"/>
        <v>#REF!</v>
      </c>
      <c r="W81" s="26" t="e">
        <f t="shared" si="34"/>
        <v>#REF!</v>
      </c>
      <c r="X81" s="26" t="e">
        <f t="shared" si="34"/>
        <v>#REF!</v>
      </c>
      <c r="Y81" s="26" t="e">
        <f t="shared" si="34"/>
        <v>#REF!</v>
      </c>
      <c r="Z81" s="78" t="e">
        <f t="shared" si="34"/>
        <v>#REF!</v>
      </c>
      <c r="AA81" s="26" t="e">
        <f t="shared" si="34"/>
        <v>#REF!</v>
      </c>
      <c r="AB81" s="26" t="e">
        <f t="shared" si="34"/>
        <v>#REF!</v>
      </c>
      <c r="AC81" s="26" t="e">
        <f t="shared" si="34"/>
        <v>#REF!</v>
      </c>
      <c r="AD81" s="26" t="e">
        <f t="shared" si="34"/>
        <v>#REF!</v>
      </c>
      <c r="AE81" s="26" t="e">
        <f t="shared" si="34"/>
        <v>#REF!</v>
      </c>
      <c r="AF81" s="26" t="e">
        <f t="shared" si="34"/>
        <v>#REF!</v>
      </c>
      <c r="AG81" s="26" t="e">
        <f t="shared" si="34"/>
        <v>#REF!</v>
      </c>
      <c r="AH81" s="26" t="e">
        <f t="shared" si="34"/>
        <v>#REF!</v>
      </c>
      <c r="AI81" s="26" t="e">
        <f t="shared" si="34"/>
        <v>#REF!</v>
      </c>
      <c r="AJ81" s="26" t="e">
        <f t="shared" si="34"/>
        <v>#REF!</v>
      </c>
      <c r="AK81" s="26" t="e">
        <f t="shared" si="34"/>
        <v>#REF!</v>
      </c>
    </row>
    <row r="82" spans="1:37" ht="12.75" customHeight="1" x14ac:dyDescent="0.4">
      <c r="A82" s="3" t="s">
        <v>436</v>
      </c>
      <c r="C82" s="4" t="s">
        <v>435</v>
      </c>
      <c r="D82" s="42" t="s">
        <v>110</v>
      </c>
      <c r="E82" s="43" t="e">
        <f>2*E27*SQRT(E80/E26)*SQRT(1-(E79/E31)^2)</f>
        <v>#REF!</v>
      </c>
      <c r="F82" s="43" t="e">
        <f t="shared" ref="F82:AK82" si="35">2*F27*SQRT(F80/F26)*SQRT(1-(F79/F31)^2)</f>
        <v>#REF!</v>
      </c>
      <c r="G82" s="43" t="e">
        <f t="shared" si="35"/>
        <v>#REF!</v>
      </c>
      <c r="H82" s="43" t="e">
        <f t="shared" si="35"/>
        <v>#REF!</v>
      </c>
      <c r="I82" s="43" t="e">
        <f t="shared" si="35"/>
        <v>#REF!</v>
      </c>
      <c r="J82" s="43" t="e">
        <f t="shared" si="35"/>
        <v>#REF!</v>
      </c>
      <c r="K82" s="43" t="e">
        <f t="shared" si="35"/>
        <v>#REF!</v>
      </c>
      <c r="L82" s="43" t="e">
        <f t="shared" si="35"/>
        <v>#REF!</v>
      </c>
      <c r="M82" s="43" t="e">
        <f t="shared" si="35"/>
        <v>#REF!</v>
      </c>
      <c r="N82" s="43" t="e">
        <f t="shared" si="35"/>
        <v>#REF!</v>
      </c>
      <c r="O82" s="43" t="e">
        <f t="shared" si="35"/>
        <v>#REF!</v>
      </c>
      <c r="P82" s="43" t="e">
        <f t="shared" si="35"/>
        <v>#REF!</v>
      </c>
      <c r="Q82" s="43" t="e">
        <f t="shared" si="35"/>
        <v>#REF!</v>
      </c>
      <c r="R82" s="43" t="e">
        <f t="shared" si="35"/>
        <v>#REF!</v>
      </c>
      <c r="S82" s="43" t="e">
        <f t="shared" si="35"/>
        <v>#REF!</v>
      </c>
      <c r="T82" s="43" t="e">
        <f t="shared" si="35"/>
        <v>#REF!</v>
      </c>
      <c r="U82" s="43" t="e">
        <f t="shared" si="35"/>
        <v>#REF!</v>
      </c>
      <c r="V82" s="43" t="e">
        <f t="shared" si="35"/>
        <v>#REF!</v>
      </c>
      <c r="W82" s="43" t="e">
        <f t="shared" si="35"/>
        <v>#REF!</v>
      </c>
      <c r="X82" s="43" t="e">
        <f t="shared" si="35"/>
        <v>#REF!</v>
      </c>
      <c r="Y82" s="43" t="e">
        <f t="shared" si="35"/>
        <v>#REF!</v>
      </c>
      <c r="Z82" s="79" t="e">
        <f t="shared" si="35"/>
        <v>#REF!</v>
      </c>
      <c r="AA82" s="43" t="e">
        <f t="shared" si="35"/>
        <v>#REF!</v>
      </c>
      <c r="AB82" s="43" t="e">
        <f t="shared" si="35"/>
        <v>#REF!</v>
      </c>
      <c r="AC82" s="43" t="e">
        <f t="shared" si="35"/>
        <v>#REF!</v>
      </c>
      <c r="AD82" s="43" t="e">
        <f t="shared" si="35"/>
        <v>#REF!</v>
      </c>
      <c r="AE82" s="43" t="e">
        <f t="shared" si="35"/>
        <v>#REF!</v>
      </c>
      <c r="AF82" s="43" t="e">
        <f t="shared" si="35"/>
        <v>#REF!</v>
      </c>
      <c r="AG82" s="43" t="e">
        <f t="shared" si="35"/>
        <v>#REF!</v>
      </c>
      <c r="AH82" s="43" t="e">
        <f t="shared" si="35"/>
        <v>#REF!</v>
      </c>
      <c r="AI82" s="43" t="e">
        <f t="shared" si="35"/>
        <v>#REF!</v>
      </c>
      <c r="AJ82" s="43" t="e">
        <f t="shared" si="35"/>
        <v>#REF!</v>
      </c>
      <c r="AK82" s="43" t="e">
        <f t="shared" si="35"/>
        <v>#REF!</v>
      </c>
    </row>
    <row r="83" spans="1:37" ht="12.75" customHeight="1" x14ac:dyDescent="0.4">
      <c r="A83" s="5"/>
      <c r="C83" s="21" t="s">
        <v>437</v>
      </c>
      <c r="D83" s="42" t="s">
        <v>3</v>
      </c>
      <c r="E83" s="26" t="e">
        <f>(E81+E82)*E26*E31/1000</f>
        <v>#REF!</v>
      </c>
      <c r="F83" s="26" t="e">
        <f t="shared" ref="F83:AK83" si="36">(F81+F82)*F26*F31/1000</f>
        <v>#REF!</v>
      </c>
      <c r="G83" s="26" t="e">
        <f t="shared" si="36"/>
        <v>#REF!</v>
      </c>
      <c r="H83" s="26" t="e">
        <f t="shared" si="36"/>
        <v>#REF!</v>
      </c>
      <c r="I83" s="26" t="e">
        <f t="shared" si="36"/>
        <v>#REF!</v>
      </c>
      <c r="J83" s="26" t="e">
        <f t="shared" si="36"/>
        <v>#REF!</v>
      </c>
      <c r="K83" s="26" t="e">
        <f t="shared" si="36"/>
        <v>#REF!</v>
      </c>
      <c r="L83" s="26" t="e">
        <f t="shared" si="36"/>
        <v>#REF!</v>
      </c>
      <c r="M83" s="26" t="e">
        <f t="shared" si="36"/>
        <v>#REF!</v>
      </c>
      <c r="N83" s="26" t="e">
        <f t="shared" si="36"/>
        <v>#REF!</v>
      </c>
      <c r="O83" s="26" t="e">
        <f t="shared" si="36"/>
        <v>#REF!</v>
      </c>
      <c r="P83" s="26" t="e">
        <f t="shared" si="36"/>
        <v>#REF!</v>
      </c>
      <c r="Q83" s="26" t="e">
        <f t="shared" si="36"/>
        <v>#REF!</v>
      </c>
      <c r="R83" s="26" t="e">
        <f t="shared" si="36"/>
        <v>#REF!</v>
      </c>
      <c r="S83" s="26" t="e">
        <f t="shared" si="36"/>
        <v>#REF!</v>
      </c>
      <c r="T83" s="26" t="e">
        <f t="shared" si="36"/>
        <v>#REF!</v>
      </c>
      <c r="U83" s="26" t="e">
        <f t="shared" si="36"/>
        <v>#REF!</v>
      </c>
      <c r="V83" s="26" t="e">
        <f t="shared" si="36"/>
        <v>#REF!</v>
      </c>
      <c r="W83" s="26" t="e">
        <f t="shared" si="36"/>
        <v>#REF!</v>
      </c>
      <c r="X83" s="26" t="e">
        <f t="shared" si="36"/>
        <v>#REF!</v>
      </c>
      <c r="Y83" s="26" t="e">
        <f t="shared" si="36"/>
        <v>#REF!</v>
      </c>
      <c r="Z83" s="26" t="e">
        <f t="shared" si="36"/>
        <v>#REF!</v>
      </c>
      <c r="AA83" s="26" t="e">
        <f t="shared" si="36"/>
        <v>#REF!</v>
      </c>
      <c r="AB83" s="26" t="e">
        <f t="shared" si="36"/>
        <v>#REF!</v>
      </c>
      <c r="AC83" s="26" t="e">
        <f t="shared" si="36"/>
        <v>#REF!</v>
      </c>
      <c r="AD83" s="26" t="e">
        <f t="shared" si="36"/>
        <v>#REF!</v>
      </c>
      <c r="AE83" s="26" t="e">
        <f t="shared" si="36"/>
        <v>#REF!</v>
      </c>
      <c r="AF83" s="26" t="e">
        <f t="shared" si="36"/>
        <v>#REF!</v>
      </c>
      <c r="AG83" s="26" t="e">
        <f t="shared" si="36"/>
        <v>#REF!</v>
      </c>
      <c r="AH83" s="26" t="e">
        <f t="shared" si="36"/>
        <v>#REF!</v>
      </c>
      <c r="AI83" s="26" t="e">
        <f t="shared" si="36"/>
        <v>#REF!</v>
      </c>
      <c r="AJ83" s="26" t="e">
        <f t="shared" si="36"/>
        <v>#REF!</v>
      </c>
      <c r="AK83" s="26" t="e">
        <f t="shared" si="36"/>
        <v>#REF!</v>
      </c>
    </row>
    <row r="84" spans="1:37" ht="12.75" customHeight="1" x14ac:dyDescent="0.25">
      <c r="A84" s="3" t="s">
        <v>31</v>
      </c>
      <c r="C84" s="49" t="s">
        <v>438</v>
      </c>
      <c r="D84" s="42" t="s">
        <v>106</v>
      </c>
      <c r="E84" s="47" t="e">
        <f>E78/E83</f>
        <v>#REF!</v>
      </c>
      <c r="F84" s="47" t="e">
        <f t="shared" ref="F84:AK84" si="37">F78/F83</f>
        <v>#REF!</v>
      </c>
      <c r="G84" s="47" t="e">
        <f t="shared" si="37"/>
        <v>#REF!</v>
      </c>
      <c r="H84" s="47" t="e">
        <f t="shared" si="37"/>
        <v>#REF!</v>
      </c>
      <c r="I84" s="47" t="e">
        <f t="shared" si="37"/>
        <v>#REF!</v>
      </c>
      <c r="J84" s="47" t="e">
        <f t="shared" si="37"/>
        <v>#REF!</v>
      </c>
      <c r="K84" s="47" t="e">
        <f t="shared" si="37"/>
        <v>#REF!</v>
      </c>
      <c r="L84" s="47" t="e">
        <f t="shared" si="37"/>
        <v>#REF!</v>
      </c>
      <c r="M84" s="47" t="e">
        <f t="shared" si="37"/>
        <v>#REF!</v>
      </c>
      <c r="N84" s="47" t="e">
        <f t="shared" si="37"/>
        <v>#REF!</v>
      </c>
      <c r="O84" s="47" t="e">
        <f t="shared" si="37"/>
        <v>#REF!</v>
      </c>
      <c r="P84" s="47" t="e">
        <f t="shared" si="37"/>
        <v>#REF!</v>
      </c>
      <c r="Q84" s="47" t="e">
        <f t="shared" si="37"/>
        <v>#REF!</v>
      </c>
      <c r="R84" s="47" t="e">
        <f t="shared" si="37"/>
        <v>#REF!</v>
      </c>
      <c r="S84" s="47" t="e">
        <f t="shared" si="37"/>
        <v>#REF!</v>
      </c>
      <c r="T84" s="47" t="e">
        <f t="shared" si="37"/>
        <v>#REF!</v>
      </c>
      <c r="U84" s="47" t="e">
        <f t="shared" si="37"/>
        <v>#REF!</v>
      </c>
      <c r="V84" s="47" t="e">
        <f t="shared" si="37"/>
        <v>#REF!</v>
      </c>
      <c r="W84" s="47" t="e">
        <f t="shared" si="37"/>
        <v>#REF!</v>
      </c>
      <c r="X84" s="47" t="e">
        <f t="shared" si="37"/>
        <v>#REF!</v>
      </c>
      <c r="Y84" s="47" t="e">
        <f t="shared" si="37"/>
        <v>#REF!</v>
      </c>
      <c r="Z84" s="47" t="e">
        <f t="shared" si="37"/>
        <v>#REF!</v>
      </c>
      <c r="AA84" s="47" t="e">
        <f t="shared" si="37"/>
        <v>#REF!</v>
      </c>
      <c r="AB84" s="47" t="e">
        <f t="shared" si="37"/>
        <v>#REF!</v>
      </c>
      <c r="AC84" s="47" t="e">
        <f t="shared" si="37"/>
        <v>#REF!</v>
      </c>
      <c r="AD84" s="47" t="e">
        <f t="shared" si="37"/>
        <v>#REF!</v>
      </c>
      <c r="AE84" s="47" t="e">
        <f t="shared" si="37"/>
        <v>#REF!</v>
      </c>
      <c r="AF84" s="47" t="e">
        <f t="shared" si="37"/>
        <v>#REF!</v>
      </c>
      <c r="AG84" s="47" t="e">
        <f t="shared" si="37"/>
        <v>#REF!</v>
      </c>
      <c r="AH84" s="47" t="e">
        <f t="shared" si="37"/>
        <v>#REF!</v>
      </c>
      <c r="AI84" s="47" t="e">
        <f t="shared" si="37"/>
        <v>#REF!</v>
      </c>
      <c r="AJ84" s="47" t="e">
        <f t="shared" si="37"/>
        <v>#REF!</v>
      </c>
      <c r="AK84" s="47" t="e">
        <f t="shared" si="37"/>
        <v>#REF!</v>
      </c>
    </row>
    <row r="85" spans="1:37" ht="12.75" customHeight="1" x14ac:dyDescent="0.25">
      <c r="A85" s="5"/>
      <c r="C85" s="21"/>
      <c r="Z85" s="15"/>
    </row>
    <row r="86" spans="1:37" ht="12.75" customHeight="1" x14ac:dyDescent="0.25">
      <c r="A86" s="68" t="s">
        <v>439</v>
      </c>
      <c r="B86" s="3"/>
      <c r="C86" s="45" t="s">
        <v>444</v>
      </c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2.75" customHeight="1" x14ac:dyDescent="0.25">
      <c r="A87" s="3" t="s">
        <v>426</v>
      </c>
      <c r="B87" s="3"/>
      <c r="C87" s="49" t="s">
        <v>427</v>
      </c>
      <c r="D87" s="44" t="s">
        <v>3</v>
      </c>
      <c r="E87" s="82" t="e">
        <f>E78</f>
        <v>#REF!</v>
      </c>
      <c r="F87" s="82" t="e">
        <f t="shared" ref="F87:AK87" si="38">F78</f>
        <v>#REF!</v>
      </c>
      <c r="G87" s="82" t="e">
        <f t="shared" si="38"/>
        <v>#REF!</v>
      </c>
      <c r="H87" s="82" t="e">
        <f t="shared" si="38"/>
        <v>#REF!</v>
      </c>
      <c r="I87" s="82" t="e">
        <f t="shared" si="38"/>
        <v>#REF!</v>
      </c>
      <c r="J87" s="82" t="e">
        <f t="shared" si="38"/>
        <v>#REF!</v>
      </c>
      <c r="K87" s="82" t="e">
        <f t="shared" si="38"/>
        <v>#REF!</v>
      </c>
      <c r="L87" s="82" t="e">
        <f t="shared" si="38"/>
        <v>#REF!</v>
      </c>
      <c r="M87" s="82" t="e">
        <f t="shared" si="38"/>
        <v>#REF!</v>
      </c>
      <c r="N87" s="82" t="e">
        <f t="shared" si="38"/>
        <v>#REF!</v>
      </c>
      <c r="O87" s="82" t="e">
        <f t="shared" si="38"/>
        <v>#REF!</v>
      </c>
      <c r="P87" s="82" t="e">
        <f t="shared" si="38"/>
        <v>#REF!</v>
      </c>
      <c r="Q87" s="82" t="e">
        <f t="shared" si="38"/>
        <v>#REF!</v>
      </c>
      <c r="R87" s="82" t="e">
        <f t="shared" si="38"/>
        <v>#REF!</v>
      </c>
      <c r="S87" s="82" t="e">
        <f t="shared" si="38"/>
        <v>#REF!</v>
      </c>
      <c r="T87" s="82" t="e">
        <f t="shared" si="38"/>
        <v>#REF!</v>
      </c>
      <c r="U87" s="82" t="e">
        <f t="shared" si="38"/>
        <v>#REF!</v>
      </c>
      <c r="V87" s="82" t="e">
        <f t="shared" si="38"/>
        <v>#REF!</v>
      </c>
      <c r="W87" s="82" t="e">
        <f t="shared" si="38"/>
        <v>#REF!</v>
      </c>
      <c r="X87" s="82" t="e">
        <f t="shared" si="38"/>
        <v>#REF!</v>
      </c>
      <c r="Y87" s="82" t="e">
        <f t="shared" si="38"/>
        <v>#REF!</v>
      </c>
      <c r="Z87" s="82" t="e">
        <f t="shared" si="38"/>
        <v>#REF!</v>
      </c>
      <c r="AA87" s="82" t="e">
        <f t="shared" si="38"/>
        <v>#REF!</v>
      </c>
      <c r="AB87" s="82" t="e">
        <f t="shared" si="38"/>
        <v>#REF!</v>
      </c>
      <c r="AC87" s="82" t="e">
        <f t="shared" si="38"/>
        <v>#REF!</v>
      </c>
      <c r="AD87" s="82" t="e">
        <f t="shared" si="38"/>
        <v>#REF!</v>
      </c>
      <c r="AE87" s="82" t="e">
        <f t="shared" si="38"/>
        <v>#REF!</v>
      </c>
      <c r="AF87" s="82" t="e">
        <f t="shared" si="38"/>
        <v>#REF!</v>
      </c>
      <c r="AG87" s="82" t="e">
        <f t="shared" si="38"/>
        <v>#REF!</v>
      </c>
      <c r="AH87" s="82" t="e">
        <f t="shared" si="38"/>
        <v>#REF!</v>
      </c>
      <c r="AI87" s="82" t="e">
        <f t="shared" si="38"/>
        <v>#REF!</v>
      </c>
      <c r="AJ87" s="82" t="e">
        <f t="shared" si="38"/>
        <v>#REF!</v>
      </c>
      <c r="AK87" s="82" t="e">
        <f t="shared" si="38"/>
        <v>#REF!</v>
      </c>
    </row>
    <row r="88" spans="1:37" ht="12.75" customHeight="1" x14ac:dyDescent="0.25">
      <c r="A88" s="3" t="s">
        <v>83</v>
      </c>
      <c r="B88" s="3"/>
      <c r="C88" s="49" t="s">
        <v>142</v>
      </c>
      <c r="D88" s="44" t="s">
        <v>130</v>
      </c>
      <c r="E88" s="20" t="e">
        <f>E64*E58/E21</f>
        <v>#REF!</v>
      </c>
      <c r="F88" s="20" t="e">
        <f t="shared" ref="F88:AK88" si="39">F64*F58/F21</f>
        <v>#REF!</v>
      </c>
      <c r="G88" s="20" t="e">
        <f t="shared" si="39"/>
        <v>#REF!</v>
      </c>
      <c r="H88" s="20" t="e">
        <f t="shared" si="39"/>
        <v>#REF!</v>
      </c>
      <c r="I88" s="20" t="e">
        <f t="shared" si="39"/>
        <v>#REF!</v>
      </c>
      <c r="J88" s="20" t="e">
        <f t="shared" si="39"/>
        <v>#REF!</v>
      </c>
      <c r="K88" s="20" t="e">
        <f t="shared" si="39"/>
        <v>#REF!</v>
      </c>
      <c r="L88" s="20" t="e">
        <f t="shared" si="39"/>
        <v>#REF!</v>
      </c>
      <c r="M88" s="20" t="e">
        <f t="shared" si="39"/>
        <v>#REF!</v>
      </c>
      <c r="N88" s="20" t="e">
        <f t="shared" si="39"/>
        <v>#REF!</v>
      </c>
      <c r="O88" s="20" t="e">
        <f t="shared" si="39"/>
        <v>#REF!</v>
      </c>
      <c r="P88" s="20" t="e">
        <f t="shared" si="39"/>
        <v>#REF!</v>
      </c>
      <c r="Q88" s="20" t="e">
        <f t="shared" si="39"/>
        <v>#REF!</v>
      </c>
      <c r="R88" s="20" t="e">
        <f t="shared" si="39"/>
        <v>#REF!</v>
      </c>
      <c r="S88" s="20" t="e">
        <f t="shared" si="39"/>
        <v>#REF!</v>
      </c>
      <c r="T88" s="20" t="e">
        <f t="shared" si="39"/>
        <v>#REF!</v>
      </c>
      <c r="U88" s="20" t="e">
        <f t="shared" si="39"/>
        <v>#REF!</v>
      </c>
      <c r="V88" s="20" t="e">
        <f t="shared" si="39"/>
        <v>#REF!</v>
      </c>
      <c r="W88" s="20" t="e">
        <f t="shared" si="39"/>
        <v>#REF!</v>
      </c>
      <c r="X88" s="20" t="e">
        <f t="shared" si="39"/>
        <v>#REF!</v>
      </c>
      <c r="Y88" s="20" t="e">
        <f t="shared" si="39"/>
        <v>#REF!</v>
      </c>
      <c r="Z88" s="20" t="e">
        <f t="shared" si="39"/>
        <v>#REF!</v>
      </c>
      <c r="AA88" s="20" t="e">
        <f t="shared" si="39"/>
        <v>#REF!</v>
      </c>
      <c r="AB88" s="20" t="e">
        <f t="shared" si="39"/>
        <v>#REF!</v>
      </c>
      <c r="AC88" s="20" t="e">
        <f t="shared" si="39"/>
        <v>#REF!</v>
      </c>
      <c r="AD88" s="20" t="e">
        <f t="shared" si="39"/>
        <v>#REF!</v>
      </c>
      <c r="AE88" s="20" t="e">
        <f t="shared" si="39"/>
        <v>#REF!</v>
      </c>
      <c r="AF88" s="20" t="e">
        <f t="shared" si="39"/>
        <v>#REF!</v>
      </c>
      <c r="AG88" s="20" t="e">
        <f t="shared" si="39"/>
        <v>#REF!</v>
      </c>
      <c r="AH88" s="20" t="e">
        <f t="shared" si="39"/>
        <v>#REF!</v>
      </c>
      <c r="AI88" s="20" t="e">
        <f t="shared" si="39"/>
        <v>#REF!</v>
      </c>
      <c r="AJ88" s="20" t="e">
        <f t="shared" si="39"/>
        <v>#REF!</v>
      </c>
      <c r="AK88" s="20" t="e">
        <f t="shared" si="39"/>
        <v>#REF!</v>
      </c>
    </row>
    <row r="89" spans="1:37" ht="12.75" customHeight="1" x14ac:dyDescent="0.25">
      <c r="A89" s="3"/>
      <c r="B89" s="3"/>
      <c r="C89" s="49" t="s">
        <v>445</v>
      </c>
      <c r="D89" s="44" t="s">
        <v>106</v>
      </c>
      <c r="E89" s="63" t="e">
        <f>IF(E81/(E22-(2*E27))&lt;=0.2,E81/(E22-(2*E27)),0.2)</f>
        <v>#REF!</v>
      </c>
      <c r="F89" s="63" t="e">
        <f t="shared" ref="F89:AK89" si="40">IF(F81/(F22-(2*F27))&lt;=0.2,F81/(F22-(2*F27)),0.2)</f>
        <v>#REF!</v>
      </c>
      <c r="G89" s="63" t="e">
        <f t="shared" si="40"/>
        <v>#REF!</v>
      </c>
      <c r="H89" s="63" t="e">
        <f t="shared" si="40"/>
        <v>#REF!</v>
      </c>
      <c r="I89" s="63" t="e">
        <f t="shared" si="40"/>
        <v>#REF!</v>
      </c>
      <c r="J89" s="63" t="e">
        <f t="shared" si="40"/>
        <v>#REF!</v>
      </c>
      <c r="K89" s="63" t="e">
        <f t="shared" si="40"/>
        <v>#REF!</v>
      </c>
      <c r="L89" s="63" t="e">
        <f t="shared" si="40"/>
        <v>#REF!</v>
      </c>
      <c r="M89" s="63" t="e">
        <f t="shared" si="40"/>
        <v>#REF!</v>
      </c>
      <c r="N89" s="63" t="e">
        <f t="shared" si="40"/>
        <v>#REF!</v>
      </c>
      <c r="O89" s="63" t="e">
        <f t="shared" si="40"/>
        <v>#REF!</v>
      </c>
      <c r="P89" s="63" t="e">
        <f t="shared" si="40"/>
        <v>#REF!</v>
      </c>
      <c r="Q89" s="63" t="e">
        <f t="shared" si="40"/>
        <v>#REF!</v>
      </c>
      <c r="R89" s="63" t="e">
        <f t="shared" si="40"/>
        <v>#REF!</v>
      </c>
      <c r="S89" s="63" t="e">
        <f t="shared" si="40"/>
        <v>#REF!</v>
      </c>
      <c r="T89" s="63" t="e">
        <f t="shared" si="40"/>
        <v>#REF!</v>
      </c>
      <c r="U89" s="63" t="e">
        <f t="shared" si="40"/>
        <v>#REF!</v>
      </c>
      <c r="V89" s="63" t="e">
        <f t="shared" si="40"/>
        <v>#REF!</v>
      </c>
      <c r="W89" s="63" t="e">
        <f t="shared" si="40"/>
        <v>#REF!</v>
      </c>
      <c r="X89" s="63" t="e">
        <f t="shared" si="40"/>
        <v>#REF!</v>
      </c>
      <c r="Y89" s="63" t="e">
        <f t="shared" si="40"/>
        <v>#REF!</v>
      </c>
      <c r="Z89" s="63" t="e">
        <f t="shared" si="40"/>
        <v>#REF!</v>
      </c>
      <c r="AA89" s="63" t="e">
        <f t="shared" si="40"/>
        <v>#REF!</v>
      </c>
      <c r="AB89" s="63" t="e">
        <f t="shared" si="40"/>
        <v>#REF!</v>
      </c>
      <c r="AC89" s="63" t="e">
        <f t="shared" si="40"/>
        <v>#REF!</v>
      </c>
      <c r="AD89" s="63" t="e">
        <f t="shared" si="40"/>
        <v>#REF!</v>
      </c>
      <c r="AE89" s="63" t="e">
        <f t="shared" si="40"/>
        <v>#REF!</v>
      </c>
      <c r="AF89" s="63" t="e">
        <f t="shared" si="40"/>
        <v>#REF!</v>
      </c>
      <c r="AG89" s="63" t="e">
        <f t="shared" si="40"/>
        <v>#REF!</v>
      </c>
      <c r="AH89" s="63" t="e">
        <f t="shared" si="40"/>
        <v>#REF!</v>
      </c>
      <c r="AI89" s="63" t="e">
        <f t="shared" si="40"/>
        <v>#REF!</v>
      </c>
      <c r="AJ89" s="63" t="e">
        <f t="shared" si="40"/>
        <v>#REF!</v>
      </c>
      <c r="AK89" s="63" t="e">
        <f t="shared" si="40"/>
        <v>#REF!</v>
      </c>
    </row>
    <row r="90" spans="1:37" ht="12.75" customHeight="1" x14ac:dyDescent="0.4">
      <c r="A90" s="3"/>
      <c r="B90" s="3"/>
      <c r="C90" s="21" t="s">
        <v>446</v>
      </c>
      <c r="D90" s="44" t="s">
        <v>3</v>
      </c>
      <c r="E90" s="83" t="e">
        <f>0.5*E26^2*SQRT(E31*E15)*(SQRT(E27/E26)+(3*(E26/E27)*E89))/1000</f>
        <v>#REF!</v>
      </c>
      <c r="F90" s="83" t="e">
        <f t="shared" ref="F90:AK90" si="41">0.5*F26^2*SQRT(F31*F15)*(SQRT(F27/F26)+(3*(F26/F27)*F89))/1000</f>
        <v>#REF!</v>
      </c>
      <c r="G90" s="83" t="e">
        <f t="shared" si="41"/>
        <v>#REF!</v>
      </c>
      <c r="H90" s="83" t="e">
        <f t="shared" si="41"/>
        <v>#REF!</v>
      </c>
      <c r="I90" s="83" t="e">
        <f t="shared" si="41"/>
        <v>#REF!</v>
      </c>
      <c r="J90" s="83" t="e">
        <f t="shared" si="41"/>
        <v>#REF!</v>
      </c>
      <c r="K90" s="83" t="e">
        <f t="shared" si="41"/>
        <v>#REF!</v>
      </c>
      <c r="L90" s="83" t="e">
        <f t="shared" si="41"/>
        <v>#REF!</v>
      </c>
      <c r="M90" s="83" t="e">
        <f t="shared" si="41"/>
        <v>#REF!</v>
      </c>
      <c r="N90" s="83" t="e">
        <f t="shared" si="41"/>
        <v>#REF!</v>
      </c>
      <c r="O90" s="83" t="e">
        <f t="shared" si="41"/>
        <v>#REF!</v>
      </c>
      <c r="P90" s="83" t="e">
        <f t="shared" si="41"/>
        <v>#REF!</v>
      </c>
      <c r="Q90" s="83" t="e">
        <f t="shared" si="41"/>
        <v>#REF!</v>
      </c>
      <c r="R90" s="83" t="e">
        <f t="shared" si="41"/>
        <v>#REF!</v>
      </c>
      <c r="S90" s="83" t="e">
        <f t="shared" si="41"/>
        <v>#REF!</v>
      </c>
      <c r="T90" s="83" t="e">
        <f t="shared" si="41"/>
        <v>#REF!</v>
      </c>
      <c r="U90" s="83" t="e">
        <f t="shared" si="41"/>
        <v>#REF!</v>
      </c>
      <c r="V90" s="83" t="e">
        <f t="shared" si="41"/>
        <v>#REF!</v>
      </c>
      <c r="W90" s="83" t="e">
        <f t="shared" si="41"/>
        <v>#REF!</v>
      </c>
      <c r="X90" s="83" t="e">
        <f t="shared" si="41"/>
        <v>#REF!</v>
      </c>
      <c r="Y90" s="83" t="e">
        <f t="shared" si="41"/>
        <v>#REF!</v>
      </c>
      <c r="Z90" s="83" t="e">
        <f t="shared" si="41"/>
        <v>#REF!</v>
      </c>
      <c r="AA90" s="83" t="e">
        <f t="shared" si="41"/>
        <v>#REF!</v>
      </c>
      <c r="AB90" s="83" t="e">
        <f t="shared" si="41"/>
        <v>#REF!</v>
      </c>
      <c r="AC90" s="83" t="e">
        <f t="shared" si="41"/>
        <v>#REF!</v>
      </c>
      <c r="AD90" s="83" t="e">
        <f t="shared" si="41"/>
        <v>#REF!</v>
      </c>
      <c r="AE90" s="83" t="e">
        <f t="shared" si="41"/>
        <v>#REF!</v>
      </c>
      <c r="AF90" s="83" t="e">
        <f t="shared" si="41"/>
        <v>#REF!</v>
      </c>
      <c r="AG90" s="83" t="e">
        <f t="shared" si="41"/>
        <v>#REF!</v>
      </c>
      <c r="AH90" s="83" t="e">
        <f t="shared" si="41"/>
        <v>#REF!</v>
      </c>
      <c r="AI90" s="83" t="e">
        <f t="shared" si="41"/>
        <v>#REF!</v>
      </c>
      <c r="AJ90" s="83" t="e">
        <f t="shared" si="41"/>
        <v>#REF!</v>
      </c>
      <c r="AK90" s="83" t="e">
        <f t="shared" si="41"/>
        <v>#REF!</v>
      </c>
    </row>
    <row r="91" spans="1:37" ht="12.75" customHeight="1" x14ac:dyDescent="0.3">
      <c r="A91" s="3" t="s">
        <v>31</v>
      </c>
      <c r="B91" s="3"/>
      <c r="C91" s="49" t="s">
        <v>447</v>
      </c>
      <c r="D91" s="44" t="s">
        <v>106</v>
      </c>
      <c r="E91" s="84" t="e">
        <f>E87/E90</f>
        <v>#REF!</v>
      </c>
      <c r="F91" s="84" t="e">
        <f t="shared" ref="F91:AK91" si="42">F87/F90</f>
        <v>#REF!</v>
      </c>
      <c r="G91" s="84" t="e">
        <f t="shared" si="42"/>
        <v>#REF!</v>
      </c>
      <c r="H91" s="84" t="e">
        <f t="shared" si="42"/>
        <v>#REF!</v>
      </c>
      <c r="I91" s="84" t="e">
        <f t="shared" si="42"/>
        <v>#REF!</v>
      </c>
      <c r="J91" s="84" t="e">
        <f t="shared" si="42"/>
        <v>#REF!</v>
      </c>
      <c r="K91" s="84" t="e">
        <f t="shared" si="42"/>
        <v>#REF!</v>
      </c>
      <c r="L91" s="84" t="e">
        <f t="shared" si="42"/>
        <v>#REF!</v>
      </c>
      <c r="M91" s="84" t="e">
        <f t="shared" si="42"/>
        <v>#REF!</v>
      </c>
      <c r="N91" s="84" t="e">
        <f t="shared" si="42"/>
        <v>#REF!</v>
      </c>
      <c r="O91" s="84" t="e">
        <f t="shared" si="42"/>
        <v>#REF!</v>
      </c>
      <c r="P91" s="84" t="e">
        <f t="shared" si="42"/>
        <v>#REF!</v>
      </c>
      <c r="Q91" s="84" t="e">
        <f t="shared" si="42"/>
        <v>#REF!</v>
      </c>
      <c r="R91" s="84" t="e">
        <f t="shared" si="42"/>
        <v>#REF!</v>
      </c>
      <c r="S91" s="84" t="e">
        <f t="shared" si="42"/>
        <v>#REF!</v>
      </c>
      <c r="T91" s="84" t="e">
        <f t="shared" si="42"/>
        <v>#REF!</v>
      </c>
      <c r="U91" s="84" t="e">
        <f t="shared" si="42"/>
        <v>#REF!</v>
      </c>
      <c r="V91" s="84" t="e">
        <f t="shared" si="42"/>
        <v>#REF!</v>
      </c>
      <c r="W91" s="84" t="e">
        <f t="shared" si="42"/>
        <v>#REF!</v>
      </c>
      <c r="X91" s="84" t="e">
        <f t="shared" si="42"/>
        <v>#REF!</v>
      </c>
      <c r="Y91" s="84" t="e">
        <f t="shared" si="42"/>
        <v>#REF!</v>
      </c>
      <c r="Z91" s="84" t="e">
        <f t="shared" si="42"/>
        <v>#REF!</v>
      </c>
      <c r="AA91" s="84" t="e">
        <f t="shared" si="42"/>
        <v>#REF!</v>
      </c>
      <c r="AB91" s="84" t="e">
        <f t="shared" si="42"/>
        <v>#REF!</v>
      </c>
      <c r="AC91" s="84" t="e">
        <f t="shared" si="42"/>
        <v>#REF!</v>
      </c>
      <c r="AD91" s="84" t="e">
        <f t="shared" si="42"/>
        <v>#REF!</v>
      </c>
      <c r="AE91" s="84" t="e">
        <f t="shared" si="42"/>
        <v>#REF!</v>
      </c>
      <c r="AF91" s="84" t="e">
        <f t="shared" si="42"/>
        <v>#REF!</v>
      </c>
      <c r="AG91" s="84" t="e">
        <f t="shared" si="42"/>
        <v>#REF!</v>
      </c>
      <c r="AH91" s="84" t="e">
        <f t="shared" si="42"/>
        <v>#REF!</v>
      </c>
      <c r="AI91" s="84" t="e">
        <f t="shared" si="42"/>
        <v>#REF!</v>
      </c>
      <c r="AJ91" s="84" t="e">
        <f t="shared" si="42"/>
        <v>#REF!</v>
      </c>
      <c r="AK91" s="84" t="e">
        <f t="shared" si="42"/>
        <v>#REF!</v>
      </c>
    </row>
    <row r="92" spans="1:37" ht="12.75" customHeight="1" x14ac:dyDescent="0.3">
      <c r="A92" s="3" t="s">
        <v>31</v>
      </c>
      <c r="B92" s="3"/>
      <c r="C92" s="49" t="s">
        <v>448</v>
      </c>
      <c r="D92" s="44" t="s">
        <v>106</v>
      </c>
      <c r="E92" s="84" t="e">
        <f>(E87/(1.5*E90))+(E88*10^6/(1.5*E30*E21*E31))</f>
        <v>#REF!</v>
      </c>
      <c r="F92" s="84" t="e">
        <f t="shared" ref="F92:AK92" si="43">(F87/(1.5*F90))+(F88*10^6/(1.5*F30*F21*F31))</f>
        <v>#REF!</v>
      </c>
      <c r="G92" s="84" t="e">
        <f t="shared" si="43"/>
        <v>#REF!</v>
      </c>
      <c r="H92" s="84" t="e">
        <f t="shared" si="43"/>
        <v>#REF!</v>
      </c>
      <c r="I92" s="84" t="e">
        <f t="shared" si="43"/>
        <v>#REF!</v>
      </c>
      <c r="J92" s="84" t="e">
        <f t="shared" si="43"/>
        <v>#REF!</v>
      </c>
      <c r="K92" s="84" t="e">
        <f t="shared" si="43"/>
        <v>#REF!</v>
      </c>
      <c r="L92" s="84" t="e">
        <f t="shared" si="43"/>
        <v>#REF!</v>
      </c>
      <c r="M92" s="84" t="e">
        <f t="shared" si="43"/>
        <v>#REF!</v>
      </c>
      <c r="N92" s="84" t="e">
        <f t="shared" si="43"/>
        <v>#REF!</v>
      </c>
      <c r="O92" s="84" t="e">
        <f t="shared" si="43"/>
        <v>#REF!</v>
      </c>
      <c r="P92" s="84" t="e">
        <f t="shared" si="43"/>
        <v>#REF!</v>
      </c>
      <c r="Q92" s="84" t="e">
        <f t="shared" si="43"/>
        <v>#REF!</v>
      </c>
      <c r="R92" s="84" t="e">
        <f t="shared" si="43"/>
        <v>#REF!</v>
      </c>
      <c r="S92" s="84" t="e">
        <f t="shared" si="43"/>
        <v>#REF!</v>
      </c>
      <c r="T92" s="84" t="e">
        <f t="shared" si="43"/>
        <v>#REF!</v>
      </c>
      <c r="U92" s="84" t="e">
        <f t="shared" si="43"/>
        <v>#REF!</v>
      </c>
      <c r="V92" s="84" t="e">
        <f t="shared" si="43"/>
        <v>#REF!</v>
      </c>
      <c r="W92" s="84" t="e">
        <f t="shared" si="43"/>
        <v>#REF!</v>
      </c>
      <c r="X92" s="84" t="e">
        <f t="shared" si="43"/>
        <v>#REF!</v>
      </c>
      <c r="Y92" s="84" t="e">
        <f t="shared" si="43"/>
        <v>#REF!</v>
      </c>
      <c r="Z92" s="84" t="e">
        <f t="shared" si="43"/>
        <v>#REF!</v>
      </c>
      <c r="AA92" s="84" t="e">
        <f t="shared" si="43"/>
        <v>#REF!</v>
      </c>
      <c r="AB92" s="84" t="e">
        <f t="shared" si="43"/>
        <v>#REF!</v>
      </c>
      <c r="AC92" s="84" t="e">
        <f t="shared" si="43"/>
        <v>#REF!</v>
      </c>
      <c r="AD92" s="84" t="e">
        <f t="shared" si="43"/>
        <v>#REF!</v>
      </c>
      <c r="AE92" s="84" t="e">
        <f t="shared" si="43"/>
        <v>#REF!</v>
      </c>
      <c r="AF92" s="84" t="e">
        <f t="shared" si="43"/>
        <v>#REF!</v>
      </c>
      <c r="AG92" s="84" t="e">
        <f t="shared" si="43"/>
        <v>#REF!</v>
      </c>
      <c r="AH92" s="84" t="e">
        <f t="shared" si="43"/>
        <v>#REF!</v>
      </c>
      <c r="AI92" s="84" t="e">
        <f t="shared" si="43"/>
        <v>#REF!</v>
      </c>
      <c r="AJ92" s="84" t="e">
        <f t="shared" si="43"/>
        <v>#REF!</v>
      </c>
      <c r="AK92" s="84" t="e">
        <f t="shared" si="43"/>
        <v>#REF!</v>
      </c>
    </row>
    <row r="93" spans="1:37" ht="12.75" customHeight="1" x14ac:dyDescent="0.25">
      <c r="A93" s="5"/>
      <c r="C93" s="21"/>
      <c r="Z93" s="15"/>
    </row>
    <row r="94" spans="1:37" ht="12.75" customHeight="1" x14ac:dyDescent="0.25">
      <c r="A94" s="68" t="s">
        <v>443</v>
      </c>
      <c r="C94" s="4" t="s">
        <v>440</v>
      </c>
      <c r="Z94" s="15"/>
    </row>
    <row r="95" spans="1:37" ht="12.75" customHeight="1" x14ac:dyDescent="0.25">
      <c r="A95" s="3" t="s">
        <v>426</v>
      </c>
      <c r="C95" s="49" t="s">
        <v>427</v>
      </c>
      <c r="D95" s="42" t="s">
        <v>3</v>
      </c>
      <c r="E95" s="26" t="e">
        <f>E78</f>
        <v>#REF!</v>
      </c>
      <c r="F95" s="26" t="e">
        <f t="shared" ref="F95:AK95" si="44">F78</f>
        <v>#REF!</v>
      </c>
      <c r="G95" s="26" t="e">
        <f t="shared" si="44"/>
        <v>#REF!</v>
      </c>
      <c r="H95" s="26" t="e">
        <f t="shared" si="44"/>
        <v>#REF!</v>
      </c>
      <c r="I95" s="26" t="e">
        <f t="shared" si="44"/>
        <v>#REF!</v>
      </c>
      <c r="J95" s="26" t="e">
        <f t="shared" si="44"/>
        <v>#REF!</v>
      </c>
      <c r="K95" s="26" t="e">
        <f t="shared" si="44"/>
        <v>#REF!</v>
      </c>
      <c r="L95" s="26" t="e">
        <f t="shared" si="44"/>
        <v>#REF!</v>
      </c>
      <c r="M95" s="26" t="e">
        <f t="shared" si="44"/>
        <v>#REF!</v>
      </c>
      <c r="N95" s="26" t="e">
        <f t="shared" si="44"/>
        <v>#REF!</v>
      </c>
      <c r="O95" s="26" t="e">
        <f t="shared" si="44"/>
        <v>#REF!</v>
      </c>
      <c r="P95" s="26" t="e">
        <f t="shared" si="44"/>
        <v>#REF!</v>
      </c>
      <c r="Q95" s="26" t="e">
        <f t="shared" si="44"/>
        <v>#REF!</v>
      </c>
      <c r="R95" s="26" t="e">
        <f t="shared" si="44"/>
        <v>#REF!</v>
      </c>
      <c r="S95" s="26" t="e">
        <f t="shared" si="44"/>
        <v>#REF!</v>
      </c>
      <c r="T95" s="26" t="e">
        <f t="shared" si="44"/>
        <v>#REF!</v>
      </c>
      <c r="U95" s="26" t="e">
        <f t="shared" si="44"/>
        <v>#REF!</v>
      </c>
      <c r="V95" s="26" t="e">
        <f t="shared" si="44"/>
        <v>#REF!</v>
      </c>
      <c r="W95" s="26" t="e">
        <f t="shared" si="44"/>
        <v>#REF!</v>
      </c>
      <c r="X95" s="26" t="e">
        <f t="shared" si="44"/>
        <v>#REF!</v>
      </c>
      <c r="Y95" s="26" t="e">
        <f t="shared" si="44"/>
        <v>#REF!</v>
      </c>
      <c r="Z95" s="26" t="e">
        <f t="shared" si="44"/>
        <v>#REF!</v>
      </c>
      <c r="AA95" s="26" t="e">
        <f t="shared" si="44"/>
        <v>#REF!</v>
      </c>
      <c r="AB95" s="26" t="e">
        <f t="shared" si="44"/>
        <v>#REF!</v>
      </c>
      <c r="AC95" s="26" t="e">
        <f t="shared" si="44"/>
        <v>#REF!</v>
      </c>
      <c r="AD95" s="26" t="e">
        <f t="shared" si="44"/>
        <v>#REF!</v>
      </c>
      <c r="AE95" s="26" t="e">
        <f t="shared" si="44"/>
        <v>#REF!</v>
      </c>
      <c r="AF95" s="26" t="e">
        <f t="shared" si="44"/>
        <v>#REF!</v>
      </c>
      <c r="AG95" s="26" t="e">
        <f t="shared" si="44"/>
        <v>#REF!</v>
      </c>
      <c r="AH95" s="26" t="e">
        <f t="shared" si="44"/>
        <v>#REF!</v>
      </c>
      <c r="AI95" s="26" t="e">
        <f t="shared" si="44"/>
        <v>#REF!</v>
      </c>
      <c r="AJ95" s="26" t="e">
        <f t="shared" si="44"/>
        <v>#REF!</v>
      </c>
      <c r="AK95" s="26" t="e">
        <f t="shared" si="44"/>
        <v>#REF!</v>
      </c>
    </row>
    <row r="96" spans="1:37" ht="12.75" customHeight="1" x14ac:dyDescent="0.4">
      <c r="A96" s="33"/>
      <c r="C96" s="21" t="s">
        <v>428</v>
      </c>
      <c r="D96" s="42" t="s">
        <v>110</v>
      </c>
      <c r="E96" s="8" t="e">
        <f>IF((E33/2)+(E22/2)&gt;E22,E22,((E33/2)+(E22/2)))</f>
        <v>#REF!</v>
      </c>
      <c r="F96" s="8" t="e">
        <f t="shared" ref="F96:AK96" si="45">IF((F33/2)+(F22/2)&gt;F22,F22,((F33/2)+(F22/2)))</f>
        <v>#REF!</v>
      </c>
      <c r="G96" s="8" t="e">
        <f t="shared" si="45"/>
        <v>#REF!</v>
      </c>
      <c r="H96" s="8" t="e">
        <f t="shared" si="45"/>
        <v>#REF!</v>
      </c>
      <c r="I96" s="8" t="e">
        <f t="shared" si="45"/>
        <v>#REF!</v>
      </c>
      <c r="J96" s="8" t="e">
        <f t="shared" si="45"/>
        <v>#REF!</v>
      </c>
      <c r="K96" s="8" t="e">
        <f t="shared" si="45"/>
        <v>#REF!</v>
      </c>
      <c r="L96" s="8" t="e">
        <f t="shared" si="45"/>
        <v>#REF!</v>
      </c>
      <c r="M96" s="8" t="e">
        <f t="shared" si="45"/>
        <v>#REF!</v>
      </c>
      <c r="N96" s="8" t="e">
        <f t="shared" si="45"/>
        <v>#REF!</v>
      </c>
      <c r="O96" s="8" t="e">
        <f t="shared" si="45"/>
        <v>#REF!</v>
      </c>
      <c r="P96" s="8" t="e">
        <f t="shared" si="45"/>
        <v>#REF!</v>
      </c>
      <c r="Q96" s="8" t="e">
        <f t="shared" si="45"/>
        <v>#REF!</v>
      </c>
      <c r="R96" s="8" t="e">
        <f t="shared" si="45"/>
        <v>#REF!</v>
      </c>
      <c r="S96" s="8" t="e">
        <f t="shared" si="45"/>
        <v>#REF!</v>
      </c>
      <c r="T96" s="8" t="e">
        <f t="shared" si="45"/>
        <v>#REF!</v>
      </c>
      <c r="U96" s="8" t="e">
        <f t="shared" si="45"/>
        <v>#REF!</v>
      </c>
      <c r="V96" s="8" t="e">
        <f t="shared" si="45"/>
        <v>#REF!</v>
      </c>
      <c r="W96" s="8" t="e">
        <f t="shared" si="45"/>
        <v>#REF!</v>
      </c>
      <c r="X96" s="8" t="e">
        <f t="shared" si="45"/>
        <v>#REF!</v>
      </c>
      <c r="Y96" s="8" t="e">
        <f t="shared" si="45"/>
        <v>#REF!</v>
      </c>
      <c r="Z96" s="8" t="e">
        <f t="shared" si="45"/>
        <v>#REF!</v>
      </c>
      <c r="AA96" s="8" t="e">
        <f t="shared" si="45"/>
        <v>#REF!</v>
      </c>
      <c r="AB96" s="8" t="e">
        <f t="shared" si="45"/>
        <v>#REF!</v>
      </c>
      <c r="AC96" s="8" t="e">
        <f t="shared" si="45"/>
        <v>#REF!</v>
      </c>
      <c r="AD96" s="8" t="e">
        <f t="shared" si="45"/>
        <v>#REF!</v>
      </c>
      <c r="AE96" s="8" t="e">
        <f t="shared" si="45"/>
        <v>#REF!</v>
      </c>
      <c r="AF96" s="8" t="e">
        <f t="shared" si="45"/>
        <v>#REF!</v>
      </c>
      <c r="AG96" s="8" t="e">
        <f t="shared" si="45"/>
        <v>#REF!</v>
      </c>
      <c r="AH96" s="8" t="e">
        <f t="shared" si="45"/>
        <v>#REF!</v>
      </c>
      <c r="AI96" s="8" t="e">
        <f t="shared" si="45"/>
        <v>#REF!</v>
      </c>
      <c r="AJ96" s="8" t="e">
        <f t="shared" si="45"/>
        <v>#REF!</v>
      </c>
      <c r="AK96" s="8" t="e">
        <f t="shared" si="45"/>
        <v>#REF!</v>
      </c>
    </row>
    <row r="97" spans="1:37" ht="12.75" customHeight="1" x14ac:dyDescent="0.4">
      <c r="A97" s="5"/>
      <c r="C97" s="4" t="s">
        <v>441</v>
      </c>
      <c r="D97" s="44" t="s">
        <v>3</v>
      </c>
      <c r="E97" s="26" t="e">
        <f>(PI()^2*((1/12)*E96*E26^3)*E15)/E22^2/1000</f>
        <v>#REF!</v>
      </c>
      <c r="F97" s="26" t="e">
        <f t="shared" ref="F97:AK97" si="46">(PI()^2*((1/12)*F96*F26^3)*F15)/F22^2/1000</f>
        <v>#REF!</v>
      </c>
      <c r="G97" s="26" t="e">
        <f t="shared" si="46"/>
        <v>#REF!</v>
      </c>
      <c r="H97" s="26" t="e">
        <f t="shared" si="46"/>
        <v>#REF!</v>
      </c>
      <c r="I97" s="26" t="e">
        <f t="shared" si="46"/>
        <v>#REF!</v>
      </c>
      <c r="J97" s="26" t="e">
        <f t="shared" si="46"/>
        <v>#REF!</v>
      </c>
      <c r="K97" s="26" t="e">
        <f t="shared" si="46"/>
        <v>#REF!</v>
      </c>
      <c r="L97" s="26" t="e">
        <f t="shared" si="46"/>
        <v>#REF!</v>
      </c>
      <c r="M97" s="26" t="e">
        <f t="shared" si="46"/>
        <v>#REF!</v>
      </c>
      <c r="N97" s="26" t="e">
        <f t="shared" si="46"/>
        <v>#REF!</v>
      </c>
      <c r="O97" s="26" t="e">
        <f t="shared" si="46"/>
        <v>#REF!</v>
      </c>
      <c r="P97" s="26" t="e">
        <f t="shared" si="46"/>
        <v>#REF!</v>
      </c>
      <c r="Q97" s="26" t="e">
        <f t="shared" si="46"/>
        <v>#REF!</v>
      </c>
      <c r="R97" s="26" t="e">
        <f t="shared" si="46"/>
        <v>#REF!</v>
      </c>
      <c r="S97" s="26" t="e">
        <f t="shared" si="46"/>
        <v>#REF!</v>
      </c>
      <c r="T97" s="26" t="e">
        <f t="shared" si="46"/>
        <v>#REF!</v>
      </c>
      <c r="U97" s="26" t="e">
        <f t="shared" si="46"/>
        <v>#REF!</v>
      </c>
      <c r="V97" s="26" t="e">
        <f t="shared" si="46"/>
        <v>#REF!</v>
      </c>
      <c r="W97" s="26" t="e">
        <f t="shared" si="46"/>
        <v>#REF!</v>
      </c>
      <c r="X97" s="26" t="e">
        <f t="shared" si="46"/>
        <v>#REF!</v>
      </c>
      <c r="Y97" s="26" t="e">
        <f t="shared" si="46"/>
        <v>#REF!</v>
      </c>
      <c r="Z97" s="26" t="e">
        <f t="shared" si="46"/>
        <v>#REF!</v>
      </c>
      <c r="AA97" s="26" t="e">
        <f t="shared" si="46"/>
        <v>#REF!</v>
      </c>
      <c r="AB97" s="26" t="e">
        <f t="shared" si="46"/>
        <v>#REF!</v>
      </c>
      <c r="AC97" s="26" t="e">
        <f t="shared" si="46"/>
        <v>#REF!</v>
      </c>
      <c r="AD97" s="26" t="e">
        <f t="shared" si="46"/>
        <v>#REF!</v>
      </c>
      <c r="AE97" s="26" t="e">
        <f t="shared" si="46"/>
        <v>#REF!</v>
      </c>
      <c r="AF97" s="26" t="e">
        <f t="shared" si="46"/>
        <v>#REF!</v>
      </c>
      <c r="AG97" s="26" t="e">
        <f t="shared" si="46"/>
        <v>#REF!</v>
      </c>
      <c r="AH97" s="26" t="e">
        <f t="shared" si="46"/>
        <v>#REF!</v>
      </c>
      <c r="AI97" s="26" t="e">
        <f t="shared" si="46"/>
        <v>#REF!</v>
      </c>
      <c r="AJ97" s="26" t="e">
        <f t="shared" si="46"/>
        <v>#REF!</v>
      </c>
      <c r="AK97" s="26" t="e">
        <f t="shared" si="46"/>
        <v>#REF!</v>
      </c>
    </row>
    <row r="98" spans="1:37" ht="12.75" customHeight="1" x14ac:dyDescent="0.4">
      <c r="A98" s="5"/>
      <c r="C98" s="6" t="s">
        <v>17</v>
      </c>
      <c r="D98" s="44" t="s">
        <v>106</v>
      </c>
      <c r="E98" s="40" t="e">
        <f>SQRT((E96*E26*E31)/(E97*1000))</f>
        <v>#REF!</v>
      </c>
      <c r="F98" s="40" t="e">
        <f t="shared" ref="F98:AK98" si="47">SQRT((F96*F26*F31)/(F97*1000))</f>
        <v>#REF!</v>
      </c>
      <c r="G98" s="40" t="e">
        <f t="shared" si="47"/>
        <v>#REF!</v>
      </c>
      <c r="H98" s="40" t="e">
        <f t="shared" si="47"/>
        <v>#REF!</v>
      </c>
      <c r="I98" s="40" t="e">
        <f t="shared" si="47"/>
        <v>#REF!</v>
      </c>
      <c r="J98" s="40" t="e">
        <f t="shared" si="47"/>
        <v>#REF!</v>
      </c>
      <c r="K98" s="40" t="e">
        <f t="shared" si="47"/>
        <v>#REF!</v>
      </c>
      <c r="L98" s="40" t="e">
        <f t="shared" si="47"/>
        <v>#REF!</v>
      </c>
      <c r="M98" s="40" t="e">
        <f t="shared" si="47"/>
        <v>#REF!</v>
      </c>
      <c r="N98" s="40" t="e">
        <f t="shared" si="47"/>
        <v>#REF!</v>
      </c>
      <c r="O98" s="40" t="e">
        <f t="shared" si="47"/>
        <v>#REF!</v>
      </c>
      <c r="P98" s="40" t="e">
        <f t="shared" si="47"/>
        <v>#REF!</v>
      </c>
      <c r="Q98" s="40" t="e">
        <f t="shared" si="47"/>
        <v>#REF!</v>
      </c>
      <c r="R98" s="40" t="e">
        <f t="shared" si="47"/>
        <v>#REF!</v>
      </c>
      <c r="S98" s="40" t="e">
        <f t="shared" si="47"/>
        <v>#REF!</v>
      </c>
      <c r="T98" s="40" t="e">
        <f t="shared" si="47"/>
        <v>#REF!</v>
      </c>
      <c r="U98" s="40" t="e">
        <f t="shared" si="47"/>
        <v>#REF!</v>
      </c>
      <c r="V98" s="40" t="e">
        <f t="shared" si="47"/>
        <v>#REF!</v>
      </c>
      <c r="W98" s="40" t="e">
        <f t="shared" si="47"/>
        <v>#REF!</v>
      </c>
      <c r="X98" s="40" t="e">
        <f t="shared" si="47"/>
        <v>#REF!</v>
      </c>
      <c r="Y98" s="40" t="e">
        <f t="shared" si="47"/>
        <v>#REF!</v>
      </c>
      <c r="Z98" s="40" t="e">
        <f t="shared" si="47"/>
        <v>#REF!</v>
      </c>
      <c r="AA98" s="40" t="e">
        <f t="shared" si="47"/>
        <v>#REF!</v>
      </c>
      <c r="AB98" s="40" t="e">
        <f t="shared" si="47"/>
        <v>#REF!</v>
      </c>
      <c r="AC98" s="40" t="e">
        <f t="shared" si="47"/>
        <v>#REF!</v>
      </c>
      <c r="AD98" s="40" t="e">
        <f t="shared" si="47"/>
        <v>#REF!</v>
      </c>
      <c r="AE98" s="40" t="e">
        <f t="shared" si="47"/>
        <v>#REF!</v>
      </c>
      <c r="AF98" s="40" t="e">
        <f t="shared" si="47"/>
        <v>#REF!</v>
      </c>
      <c r="AG98" s="40" t="e">
        <f t="shared" si="47"/>
        <v>#REF!</v>
      </c>
      <c r="AH98" s="40" t="e">
        <f t="shared" si="47"/>
        <v>#REF!</v>
      </c>
      <c r="AI98" s="40" t="e">
        <f t="shared" si="47"/>
        <v>#REF!</v>
      </c>
      <c r="AJ98" s="40" t="e">
        <f t="shared" si="47"/>
        <v>#REF!</v>
      </c>
      <c r="AK98" s="40" t="e">
        <f t="shared" si="47"/>
        <v>#REF!</v>
      </c>
    </row>
    <row r="99" spans="1:37" ht="12.75" customHeight="1" x14ac:dyDescent="0.4">
      <c r="A99" s="3" t="s">
        <v>31</v>
      </c>
      <c r="C99" s="4" t="s">
        <v>442</v>
      </c>
      <c r="D99" s="42" t="s">
        <v>106</v>
      </c>
      <c r="E99" s="47" t="e">
        <f>E95/E97</f>
        <v>#REF!</v>
      </c>
      <c r="F99" s="47" t="e">
        <f t="shared" ref="F99:AK99" si="48">F95/F97</f>
        <v>#REF!</v>
      </c>
      <c r="G99" s="47" t="e">
        <f t="shared" si="48"/>
        <v>#REF!</v>
      </c>
      <c r="H99" s="47" t="e">
        <f t="shared" si="48"/>
        <v>#REF!</v>
      </c>
      <c r="I99" s="47" t="e">
        <f t="shared" si="48"/>
        <v>#REF!</v>
      </c>
      <c r="J99" s="47" t="e">
        <f t="shared" si="48"/>
        <v>#REF!</v>
      </c>
      <c r="K99" s="47" t="e">
        <f t="shared" si="48"/>
        <v>#REF!</v>
      </c>
      <c r="L99" s="47" t="e">
        <f t="shared" si="48"/>
        <v>#REF!</v>
      </c>
      <c r="M99" s="47" t="e">
        <f t="shared" si="48"/>
        <v>#REF!</v>
      </c>
      <c r="N99" s="47" t="e">
        <f t="shared" si="48"/>
        <v>#REF!</v>
      </c>
      <c r="O99" s="47" t="e">
        <f t="shared" si="48"/>
        <v>#REF!</v>
      </c>
      <c r="P99" s="47" t="e">
        <f t="shared" si="48"/>
        <v>#REF!</v>
      </c>
      <c r="Q99" s="47" t="e">
        <f t="shared" si="48"/>
        <v>#REF!</v>
      </c>
      <c r="R99" s="47" t="e">
        <f t="shared" si="48"/>
        <v>#REF!</v>
      </c>
      <c r="S99" s="47" t="e">
        <f t="shared" si="48"/>
        <v>#REF!</v>
      </c>
      <c r="T99" s="47" t="e">
        <f t="shared" si="48"/>
        <v>#REF!</v>
      </c>
      <c r="U99" s="47" t="e">
        <f t="shared" si="48"/>
        <v>#REF!</v>
      </c>
      <c r="V99" s="47" t="e">
        <f t="shared" si="48"/>
        <v>#REF!</v>
      </c>
      <c r="W99" s="47" t="e">
        <f t="shared" si="48"/>
        <v>#REF!</v>
      </c>
      <c r="X99" s="47" t="e">
        <f t="shared" si="48"/>
        <v>#REF!</v>
      </c>
      <c r="Y99" s="47" t="e">
        <f t="shared" si="48"/>
        <v>#REF!</v>
      </c>
      <c r="Z99" s="47" t="e">
        <f t="shared" si="48"/>
        <v>#REF!</v>
      </c>
      <c r="AA99" s="47" t="e">
        <f t="shared" si="48"/>
        <v>#REF!</v>
      </c>
      <c r="AB99" s="47" t="e">
        <f t="shared" si="48"/>
        <v>#REF!</v>
      </c>
      <c r="AC99" s="47" t="e">
        <f t="shared" si="48"/>
        <v>#REF!</v>
      </c>
      <c r="AD99" s="47" t="e">
        <f t="shared" si="48"/>
        <v>#REF!</v>
      </c>
      <c r="AE99" s="47" t="e">
        <f t="shared" si="48"/>
        <v>#REF!</v>
      </c>
      <c r="AF99" s="47" t="e">
        <f t="shared" si="48"/>
        <v>#REF!</v>
      </c>
      <c r="AG99" s="47" t="e">
        <f t="shared" si="48"/>
        <v>#REF!</v>
      </c>
      <c r="AH99" s="47" t="e">
        <f t="shared" si="48"/>
        <v>#REF!</v>
      </c>
      <c r="AI99" s="47" t="e">
        <f t="shared" si="48"/>
        <v>#REF!</v>
      </c>
      <c r="AJ99" s="47" t="e">
        <f t="shared" si="48"/>
        <v>#REF!</v>
      </c>
      <c r="AK99" s="47" t="e">
        <f t="shared" si="48"/>
        <v>#REF!</v>
      </c>
    </row>
    <row r="100" spans="1:37" ht="12.75" customHeight="1" x14ac:dyDescent="0.25">
      <c r="A100" s="5"/>
      <c r="C100" s="51"/>
      <c r="Z100" s="15"/>
    </row>
    <row r="101" spans="1:37" ht="12.75" customHeight="1" x14ac:dyDescent="0.25">
      <c r="A101" s="33"/>
      <c r="C101" s="4" t="s">
        <v>162</v>
      </c>
      <c r="D101" s="42" t="s">
        <v>106</v>
      </c>
      <c r="E101" s="85" t="s">
        <v>18</v>
      </c>
      <c r="F101" s="85" t="s">
        <v>18</v>
      </c>
      <c r="G101" s="85" t="s">
        <v>18</v>
      </c>
      <c r="H101" s="85" t="s">
        <v>18</v>
      </c>
      <c r="I101" s="85" t="s">
        <v>18</v>
      </c>
      <c r="J101" s="85" t="s">
        <v>18</v>
      </c>
      <c r="K101" s="85" t="s">
        <v>18</v>
      </c>
      <c r="L101" s="85" t="s">
        <v>18</v>
      </c>
      <c r="M101" s="85" t="s">
        <v>18</v>
      </c>
      <c r="N101" s="85" t="s">
        <v>18</v>
      </c>
      <c r="O101" s="85" t="s">
        <v>18</v>
      </c>
      <c r="P101" s="85" t="s">
        <v>18</v>
      </c>
      <c r="Q101" s="85" t="s">
        <v>18</v>
      </c>
      <c r="R101" s="85" t="s">
        <v>18</v>
      </c>
      <c r="S101" s="85" t="s">
        <v>18</v>
      </c>
      <c r="T101" s="85" t="s">
        <v>18</v>
      </c>
      <c r="U101" s="85" t="s">
        <v>18</v>
      </c>
      <c r="V101" s="85" t="s">
        <v>18</v>
      </c>
      <c r="W101" s="85" t="s">
        <v>18</v>
      </c>
      <c r="X101" s="85" t="s">
        <v>18</v>
      </c>
      <c r="Y101" s="85" t="s">
        <v>18</v>
      </c>
      <c r="Z101" s="85" t="s">
        <v>18</v>
      </c>
      <c r="AA101" s="85" t="s">
        <v>18</v>
      </c>
      <c r="AB101" s="85" t="s">
        <v>18</v>
      </c>
      <c r="AC101" s="85" t="s">
        <v>18</v>
      </c>
      <c r="AD101" s="85" t="s">
        <v>18</v>
      </c>
      <c r="AE101" s="85" t="s">
        <v>18</v>
      </c>
      <c r="AF101" s="85" t="s">
        <v>18</v>
      </c>
      <c r="AG101" s="85" t="s">
        <v>18</v>
      </c>
      <c r="AH101" s="85" t="s">
        <v>18</v>
      </c>
      <c r="AI101" s="85" t="s">
        <v>18</v>
      </c>
      <c r="AJ101" s="85" t="s">
        <v>18</v>
      </c>
      <c r="AK101" s="85" t="s">
        <v>18</v>
      </c>
    </row>
    <row r="102" spans="1:37" ht="12.75" customHeight="1" x14ac:dyDescent="0.25">
      <c r="A102" s="5"/>
      <c r="B102" s="46"/>
      <c r="C102" s="4" t="s">
        <v>15</v>
      </c>
      <c r="D102" s="42" t="s">
        <v>106</v>
      </c>
      <c r="E102" s="86">
        <f>IF(E101="a0",0.13,IF(E101="a",0.21,IF(E101="b",0.34,IF(E101="c",0.49,IF(E101="d",0.76)))))</f>
        <v>0.49</v>
      </c>
      <c r="F102" s="86">
        <f t="shared" ref="F102:AK102" si="49">IF(F101="a0",0.13,IF(F101="a",0.21,IF(F101="b",0.34,IF(F101="c",0.49,IF(F101="d",0.76)))))</f>
        <v>0.49</v>
      </c>
      <c r="G102" s="86">
        <f t="shared" si="49"/>
        <v>0.49</v>
      </c>
      <c r="H102" s="86">
        <f t="shared" si="49"/>
        <v>0.49</v>
      </c>
      <c r="I102" s="86">
        <f t="shared" si="49"/>
        <v>0.49</v>
      </c>
      <c r="J102" s="86">
        <f t="shared" si="49"/>
        <v>0.49</v>
      </c>
      <c r="K102" s="86">
        <f t="shared" si="49"/>
        <v>0.49</v>
      </c>
      <c r="L102" s="86">
        <f t="shared" si="49"/>
        <v>0.49</v>
      </c>
      <c r="M102" s="86">
        <f t="shared" si="49"/>
        <v>0.49</v>
      </c>
      <c r="N102" s="86">
        <f t="shared" si="49"/>
        <v>0.49</v>
      </c>
      <c r="O102" s="86">
        <f t="shared" si="49"/>
        <v>0.49</v>
      </c>
      <c r="P102" s="86">
        <f t="shared" si="49"/>
        <v>0.49</v>
      </c>
      <c r="Q102" s="86">
        <f t="shared" si="49"/>
        <v>0.49</v>
      </c>
      <c r="R102" s="86">
        <f t="shared" si="49"/>
        <v>0.49</v>
      </c>
      <c r="S102" s="86">
        <f t="shared" si="49"/>
        <v>0.49</v>
      </c>
      <c r="T102" s="86">
        <f t="shared" si="49"/>
        <v>0.49</v>
      </c>
      <c r="U102" s="86">
        <f t="shared" si="49"/>
        <v>0.49</v>
      </c>
      <c r="V102" s="86">
        <f t="shared" si="49"/>
        <v>0.49</v>
      </c>
      <c r="W102" s="86">
        <f t="shared" si="49"/>
        <v>0.49</v>
      </c>
      <c r="X102" s="86">
        <f t="shared" si="49"/>
        <v>0.49</v>
      </c>
      <c r="Y102" s="86">
        <f t="shared" si="49"/>
        <v>0.49</v>
      </c>
      <c r="Z102" s="86">
        <f t="shared" si="49"/>
        <v>0.49</v>
      </c>
      <c r="AA102" s="86">
        <f t="shared" si="49"/>
        <v>0.49</v>
      </c>
      <c r="AB102" s="86">
        <f t="shared" si="49"/>
        <v>0.49</v>
      </c>
      <c r="AC102" s="86">
        <f t="shared" si="49"/>
        <v>0.49</v>
      </c>
      <c r="AD102" s="86">
        <f t="shared" si="49"/>
        <v>0.49</v>
      </c>
      <c r="AE102" s="86">
        <f t="shared" si="49"/>
        <v>0.49</v>
      </c>
      <c r="AF102" s="86">
        <f t="shared" si="49"/>
        <v>0.49</v>
      </c>
      <c r="AG102" s="86">
        <f t="shared" si="49"/>
        <v>0.49</v>
      </c>
      <c r="AH102" s="86">
        <f t="shared" si="49"/>
        <v>0.49</v>
      </c>
      <c r="AI102" s="86">
        <f t="shared" si="49"/>
        <v>0.49</v>
      </c>
      <c r="AJ102" s="86">
        <f t="shared" si="49"/>
        <v>0.49</v>
      </c>
      <c r="AK102" s="86">
        <f t="shared" si="49"/>
        <v>0.49</v>
      </c>
    </row>
    <row r="103" spans="1:37" ht="12.75" customHeight="1" x14ac:dyDescent="0.25">
      <c r="A103" s="5"/>
      <c r="C103" s="6" t="s">
        <v>16</v>
      </c>
      <c r="D103" s="42" t="s">
        <v>106</v>
      </c>
      <c r="E103" s="86" t="e">
        <f>0.5*(1+(E102*(E98-0.2))+E98^2)</f>
        <v>#REF!</v>
      </c>
      <c r="F103" s="86" t="e">
        <f t="shared" ref="F103:AK103" si="50">0.5*(1+(F102*(F98-0.2))+F98^2)</f>
        <v>#REF!</v>
      </c>
      <c r="G103" s="86" t="e">
        <f t="shared" si="50"/>
        <v>#REF!</v>
      </c>
      <c r="H103" s="86" t="e">
        <f t="shared" si="50"/>
        <v>#REF!</v>
      </c>
      <c r="I103" s="86" t="e">
        <f t="shared" si="50"/>
        <v>#REF!</v>
      </c>
      <c r="J103" s="86" t="e">
        <f t="shared" si="50"/>
        <v>#REF!</v>
      </c>
      <c r="K103" s="86" t="e">
        <f t="shared" si="50"/>
        <v>#REF!</v>
      </c>
      <c r="L103" s="86" t="e">
        <f t="shared" si="50"/>
        <v>#REF!</v>
      </c>
      <c r="M103" s="86" t="e">
        <f t="shared" si="50"/>
        <v>#REF!</v>
      </c>
      <c r="N103" s="86" t="e">
        <f t="shared" si="50"/>
        <v>#REF!</v>
      </c>
      <c r="O103" s="86" t="e">
        <f t="shared" si="50"/>
        <v>#REF!</v>
      </c>
      <c r="P103" s="86" t="e">
        <f t="shared" si="50"/>
        <v>#REF!</v>
      </c>
      <c r="Q103" s="86" t="e">
        <f t="shared" si="50"/>
        <v>#REF!</v>
      </c>
      <c r="R103" s="86" t="e">
        <f t="shared" si="50"/>
        <v>#REF!</v>
      </c>
      <c r="S103" s="86" t="e">
        <f t="shared" si="50"/>
        <v>#REF!</v>
      </c>
      <c r="T103" s="86" t="e">
        <f t="shared" si="50"/>
        <v>#REF!</v>
      </c>
      <c r="U103" s="86" t="e">
        <f t="shared" si="50"/>
        <v>#REF!</v>
      </c>
      <c r="V103" s="86" t="e">
        <f t="shared" si="50"/>
        <v>#REF!</v>
      </c>
      <c r="W103" s="86" t="e">
        <f t="shared" si="50"/>
        <v>#REF!</v>
      </c>
      <c r="X103" s="86" t="e">
        <f t="shared" si="50"/>
        <v>#REF!</v>
      </c>
      <c r="Y103" s="86" t="e">
        <f t="shared" si="50"/>
        <v>#REF!</v>
      </c>
      <c r="Z103" s="86" t="e">
        <f t="shared" si="50"/>
        <v>#REF!</v>
      </c>
      <c r="AA103" s="86" t="e">
        <f t="shared" si="50"/>
        <v>#REF!</v>
      </c>
      <c r="AB103" s="86" t="e">
        <f t="shared" si="50"/>
        <v>#REF!</v>
      </c>
      <c r="AC103" s="86" t="e">
        <f t="shared" si="50"/>
        <v>#REF!</v>
      </c>
      <c r="AD103" s="86" t="e">
        <f t="shared" si="50"/>
        <v>#REF!</v>
      </c>
      <c r="AE103" s="86" t="e">
        <f t="shared" si="50"/>
        <v>#REF!</v>
      </c>
      <c r="AF103" s="86" t="e">
        <f t="shared" si="50"/>
        <v>#REF!</v>
      </c>
      <c r="AG103" s="86" t="e">
        <f t="shared" si="50"/>
        <v>#REF!</v>
      </c>
      <c r="AH103" s="86" t="e">
        <f t="shared" si="50"/>
        <v>#REF!</v>
      </c>
      <c r="AI103" s="86" t="e">
        <f t="shared" si="50"/>
        <v>#REF!</v>
      </c>
      <c r="AJ103" s="86" t="e">
        <f t="shared" si="50"/>
        <v>#REF!</v>
      </c>
      <c r="AK103" s="86" t="e">
        <f t="shared" si="50"/>
        <v>#REF!</v>
      </c>
    </row>
    <row r="104" spans="1:37" ht="12.75" customHeight="1" x14ac:dyDescent="0.25">
      <c r="C104" s="6" t="s">
        <v>18</v>
      </c>
      <c r="D104" s="42" t="s">
        <v>106</v>
      </c>
      <c r="E104" s="40" t="e">
        <f>1/(E103+SQRT(E103^2-E98^2))</f>
        <v>#REF!</v>
      </c>
      <c r="F104" s="40" t="e">
        <f t="shared" ref="F104:AK104" si="51">1/(F103+SQRT(F103^2-F98^2))</f>
        <v>#REF!</v>
      </c>
      <c r="G104" s="40" t="e">
        <f t="shared" si="51"/>
        <v>#REF!</v>
      </c>
      <c r="H104" s="40" t="e">
        <f t="shared" si="51"/>
        <v>#REF!</v>
      </c>
      <c r="I104" s="40" t="e">
        <f t="shared" si="51"/>
        <v>#REF!</v>
      </c>
      <c r="J104" s="40" t="e">
        <f t="shared" si="51"/>
        <v>#REF!</v>
      </c>
      <c r="K104" s="40" t="e">
        <f t="shared" si="51"/>
        <v>#REF!</v>
      </c>
      <c r="L104" s="40" t="e">
        <f t="shared" si="51"/>
        <v>#REF!</v>
      </c>
      <c r="M104" s="40" t="e">
        <f t="shared" si="51"/>
        <v>#REF!</v>
      </c>
      <c r="N104" s="40" t="e">
        <f t="shared" si="51"/>
        <v>#REF!</v>
      </c>
      <c r="O104" s="40" t="e">
        <f t="shared" si="51"/>
        <v>#REF!</v>
      </c>
      <c r="P104" s="40" t="e">
        <f t="shared" si="51"/>
        <v>#REF!</v>
      </c>
      <c r="Q104" s="40" t="e">
        <f t="shared" si="51"/>
        <v>#REF!</v>
      </c>
      <c r="R104" s="40" t="e">
        <f t="shared" si="51"/>
        <v>#REF!</v>
      </c>
      <c r="S104" s="40" t="e">
        <f t="shared" si="51"/>
        <v>#REF!</v>
      </c>
      <c r="T104" s="40" t="e">
        <f t="shared" si="51"/>
        <v>#REF!</v>
      </c>
      <c r="U104" s="40" t="e">
        <f t="shared" si="51"/>
        <v>#REF!</v>
      </c>
      <c r="V104" s="40" t="e">
        <f t="shared" si="51"/>
        <v>#REF!</v>
      </c>
      <c r="W104" s="40" t="e">
        <f t="shared" si="51"/>
        <v>#REF!</v>
      </c>
      <c r="X104" s="40" t="e">
        <f t="shared" si="51"/>
        <v>#REF!</v>
      </c>
      <c r="Y104" s="40" t="e">
        <f t="shared" si="51"/>
        <v>#REF!</v>
      </c>
      <c r="Z104" s="40" t="e">
        <f t="shared" si="51"/>
        <v>#REF!</v>
      </c>
      <c r="AA104" s="40" t="e">
        <f t="shared" si="51"/>
        <v>#REF!</v>
      </c>
      <c r="AB104" s="40" t="e">
        <f t="shared" si="51"/>
        <v>#REF!</v>
      </c>
      <c r="AC104" s="40" t="e">
        <f t="shared" si="51"/>
        <v>#REF!</v>
      </c>
      <c r="AD104" s="40" t="e">
        <f t="shared" si="51"/>
        <v>#REF!</v>
      </c>
      <c r="AE104" s="40" t="e">
        <f t="shared" si="51"/>
        <v>#REF!</v>
      </c>
      <c r="AF104" s="40" t="e">
        <f t="shared" si="51"/>
        <v>#REF!</v>
      </c>
      <c r="AG104" s="40" t="e">
        <f t="shared" si="51"/>
        <v>#REF!</v>
      </c>
      <c r="AH104" s="40" t="e">
        <f t="shared" si="51"/>
        <v>#REF!</v>
      </c>
      <c r="AI104" s="40" t="e">
        <f t="shared" si="51"/>
        <v>#REF!</v>
      </c>
      <c r="AJ104" s="40" t="e">
        <f t="shared" si="51"/>
        <v>#REF!</v>
      </c>
      <c r="AK104" s="40" t="e">
        <f t="shared" si="51"/>
        <v>#REF!</v>
      </c>
    </row>
    <row r="105" spans="1:37" ht="12.75" customHeight="1" x14ac:dyDescent="0.4">
      <c r="A105" s="33"/>
      <c r="C105" s="4" t="s">
        <v>449</v>
      </c>
      <c r="D105" s="42" t="s">
        <v>3</v>
      </c>
      <c r="E105" s="26" t="e">
        <f>(E104*E26*E96*E31)/1000</f>
        <v>#REF!</v>
      </c>
      <c r="F105" s="26" t="e">
        <f t="shared" ref="F105:AK105" si="52">(F104*F26*F96*F31)/1000</f>
        <v>#REF!</v>
      </c>
      <c r="G105" s="26" t="e">
        <f t="shared" si="52"/>
        <v>#REF!</v>
      </c>
      <c r="H105" s="26" t="e">
        <f t="shared" si="52"/>
        <v>#REF!</v>
      </c>
      <c r="I105" s="26" t="e">
        <f t="shared" si="52"/>
        <v>#REF!</v>
      </c>
      <c r="J105" s="26" t="e">
        <f t="shared" si="52"/>
        <v>#REF!</v>
      </c>
      <c r="K105" s="26" t="e">
        <f t="shared" si="52"/>
        <v>#REF!</v>
      </c>
      <c r="L105" s="26" t="e">
        <f t="shared" si="52"/>
        <v>#REF!</v>
      </c>
      <c r="M105" s="26" t="e">
        <f t="shared" si="52"/>
        <v>#REF!</v>
      </c>
      <c r="N105" s="26" t="e">
        <f t="shared" si="52"/>
        <v>#REF!</v>
      </c>
      <c r="O105" s="26" t="e">
        <f t="shared" si="52"/>
        <v>#REF!</v>
      </c>
      <c r="P105" s="26" t="e">
        <f t="shared" si="52"/>
        <v>#REF!</v>
      </c>
      <c r="Q105" s="26" t="e">
        <f t="shared" si="52"/>
        <v>#REF!</v>
      </c>
      <c r="R105" s="26" t="e">
        <f t="shared" si="52"/>
        <v>#REF!</v>
      </c>
      <c r="S105" s="26" t="e">
        <f t="shared" si="52"/>
        <v>#REF!</v>
      </c>
      <c r="T105" s="26" t="e">
        <f t="shared" si="52"/>
        <v>#REF!</v>
      </c>
      <c r="U105" s="26" t="e">
        <f t="shared" si="52"/>
        <v>#REF!</v>
      </c>
      <c r="V105" s="26" t="e">
        <f t="shared" si="52"/>
        <v>#REF!</v>
      </c>
      <c r="W105" s="26" t="e">
        <f t="shared" si="52"/>
        <v>#REF!</v>
      </c>
      <c r="X105" s="26" t="e">
        <f t="shared" si="52"/>
        <v>#REF!</v>
      </c>
      <c r="Y105" s="26" t="e">
        <f t="shared" si="52"/>
        <v>#REF!</v>
      </c>
      <c r="Z105" s="26" t="e">
        <f t="shared" si="52"/>
        <v>#REF!</v>
      </c>
      <c r="AA105" s="26" t="e">
        <f t="shared" si="52"/>
        <v>#REF!</v>
      </c>
      <c r="AB105" s="26" t="e">
        <f t="shared" si="52"/>
        <v>#REF!</v>
      </c>
      <c r="AC105" s="26" t="e">
        <f t="shared" si="52"/>
        <v>#REF!</v>
      </c>
      <c r="AD105" s="26" t="e">
        <f t="shared" si="52"/>
        <v>#REF!</v>
      </c>
      <c r="AE105" s="26" t="e">
        <f t="shared" si="52"/>
        <v>#REF!</v>
      </c>
      <c r="AF105" s="26" t="e">
        <f t="shared" si="52"/>
        <v>#REF!</v>
      </c>
      <c r="AG105" s="26" t="e">
        <f t="shared" si="52"/>
        <v>#REF!</v>
      </c>
      <c r="AH105" s="26" t="e">
        <f t="shared" si="52"/>
        <v>#REF!</v>
      </c>
      <c r="AI105" s="26" t="e">
        <f t="shared" si="52"/>
        <v>#REF!</v>
      </c>
      <c r="AJ105" s="26" t="e">
        <f t="shared" si="52"/>
        <v>#REF!</v>
      </c>
      <c r="AK105" s="26" t="e">
        <f t="shared" si="52"/>
        <v>#REF!</v>
      </c>
    </row>
    <row r="106" spans="1:37" ht="12.75" customHeight="1" x14ac:dyDescent="0.4">
      <c r="A106" s="3" t="s">
        <v>31</v>
      </c>
      <c r="C106" s="4" t="s">
        <v>450</v>
      </c>
      <c r="D106" s="42" t="s">
        <v>106</v>
      </c>
      <c r="E106" s="47" t="e">
        <f>E95/E105</f>
        <v>#REF!</v>
      </c>
      <c r="F106" s="47" t="e">
        <f t="shared" ref="F106:AK106" si="53">F95/F105</f>
        <v>#REF!</v>
      </c>
      <c r="G106" s="47" t="e">
        <f t="shared" si="53"/>
        <v>#REF!</v>
      </c>
      <c r="H106" s="47" t="e">
        <f t="shared" si="53"/>
        <v>#REF!</v>
      </c>
      <c r="I106" s="47" t="e">
        <f t="shared" si="53"/>
        <v>#REF!</v>
      </c>
      <c r="J106" s="47" t="e">
        <f t="shared" si="53"/>
        <v>#REF!</v>
      </c>
      <c r="K106" s="47" t="e">
        <f t="shared" si="53"/>
        <v>#REF!</v>
      </c>
      <c r="L106" s="47" t="e">
        <f t="shared" si="53"/>
        <v>#REF!</v>
      </c>
      <c r="M106" s="47" t="e">
        <f t="shared" si="53"/>
        <v>#REF!</v>
      </c>
      <c r="N106" s="47" t="e">
        <f t="shared" si="53"/>
        <v>#REF!</v>
      </c>
      <c r="O106" s="47" t="e">
        <f t="shared" si="53"/>
        <v>#REF!</v>
      </c>
      <c r="P106" s="47" t="e">
        <f t="shared" si="53"/>
        <v>#REF!</v>
      </c>
      <c r="Q106" s="47" t="e">
        <f t="shared" si="53"/>
        <v>#REF!</v>
      </c>
      <c r="R106" s="47" t="e">
        <f t="shared" si="53"/>
        <v>#REF!</v>
      </c>
      <c r="S106" s="47" t="e">
        <f t="shared" si="53"/>
        <v>#REF!</v>
      </c>
      <c r="T106" s="47" t="e">
        <f t="shared" si="53"/>
        <v>#REF!</v>
      </c>
      <c r="U106" s="47" t="e">
        <f t="shared" si="53"/>
        <v>#REF!</v>
      </c>
      <c r="V106" s="47" t="e">
        <f t="shared" si="53"/>
        <v>#REF!</v>
      </c>
      <c r="W106" s="47" t="e">
        <f t="shared" si="53"/>
        <v>#REF!</v>
      </c>
      <c r="X106" s="47" t="e">
        <f t="shared" si="53"/>
        <v>#REF!</v>
      </c>
      <c r="Y106" s="47" t="e">
        <f t="shared" si="53"/>
        <v>#REF!</v>
      </c>
      <c r="Z106" s="47" t="e">
        <f t="shared" si="53"/>
        <v>#REF!</v>
      </c>
      <c r="AA106" s="47" t="e">
        <f t="shared" si="53"/>
        <v>#REF!</v>
      </c>
      <c r="AB106" s="47" t="e">
        <f t="shared" si="53"/>
        <v>#REF!</v>
      </c>
      <c r="AC106" s="47" t="e">
        <f t="shared" si="53"/>
        <v>#REF!</v>
      </c>
      <c r="AD106" s="47" t="e">
        <f t="shared" si="53"/>
        <v>#REF!</v>
      </c>
      <c r="AE106" s="47" t="e">
        <f t="shared" si="53"/>
        <v>#REF!</v>
      </c>
      <c r="AF106" s="47" t="e">
        <f t="shared" si="53"/>
        <v>#REF!</v>
      </c>
      <c r="AG106" s="47" t="e">
        <f t="shared" si="53"/>
        <v>#REF!</v>
      </c>
      <c r="AH106" s="47" t="e">
        <f t="shared" si="53"/>
        <v>#REF!</v>
      </c>
      <c r="AI106" s="47" t="e">
        <f t="shared" si="53"/>
        <v>#REF!</v>
      </c>
      <c r="AJ106" s="47" t="e">
        <f t="shared" si="53"/>
        <v>#REF!</v>
      </c>
      <c r="AK106" s="47" t="e">
        <f t="shared" si="53"/>
        <v>#REF!</v>
      </c>
    </row>
    <row r="107" spans="1:37" ht="12.75" customHeight="1" x14ac:dyDescent="0.25">
      <c r="A107" s="5"/>
      <c r="C107" s="4"/>
      <c r="D107" s="42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</row>
    <row r="108" spans="1:37" ht="12.75" customHeight="1" x14ac:dyDescent="0.25">
      <c r="A108" s="34" t="s">
        <v>95</v>
      </c>
      <c r="C108" s="49"/>
      <c r="D108" s="42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ht="12.75" customHeight="1" x14ac:dyDescent="0.3">
      <c r="A109" s="1" t="s">
        <v>425</v>
      </c>
      <c r="C109" s="49"/>
      <c r="D109" s="61" t="s">
        <v>31</v>
      </c>
      <c r="E109" s="47" t="e">
        <f>E74</f>
        <v>#REF!</v>
      </c>
      <c r="F109" s="47" t="e">
        <f t="shared" ref="F109:AK109" si="54">F74</f>
        <v>#REF!</v>
      </c>
      <c r="G109" s="47" t="e">
        <f t="shared" si="54"/>
        <v>#REF!</v>
      </c>
      <c r="H109" s="47" t="e">
        <f t="shared" si="54"/>
        <v>#REF!</v>
      </c>
      <c r="I109" s="47" t="e">
        <f t="shared" si="54"/>
        <v>#REF!</v>
      </c>
      <c r="J109" s="47" t="e">
        <f t="shared" si="54"/>
        <v>#REF!</v>
      </c>
      <c r="K109" s="47" t="e">
        <f t="shared" si="54"/>
        <v>#REF!</v>
      </c>
      <c r="L109" s="47" t="e">
        <f t="shared" si="54"/>
        <v>#REF!</v>
      </c>
      <c r="M109" s="47" t="e">
        <f t="shared" si="54"/>
        <v>#REF!</v>
      </c>
      <c r="N109" s="47" t="e">
        <f t="shared" si="54"/>
        <v>#REF!</v>
      </c>
      <c r="O109" s="47" t="e">
        <f t="shared" si="54"/>
        <v>#REF!</v>
      </c>
      <c r="P109" s="47" t="e">
        <f t="shared" si="54"/>
        <v>#REF!</v>
      </c>
      <c r="Q109" s="47" t="e">
        <f t="shared" si="54"/>
        <v>#REF!</v>
      </c>
      <c r="R109" s="47" t="e">
        <f t="shared" si="54"/>
        <v>#REF!</v>
      </c>
      <c r="S109" s="47" t="e">
        <f t="shared" si="54"/>
        <v>#REF!</v>
      </c>
      <c r="T109" s="47" t="e">
        <f t="shared" si="54"/>
        <v>#REF!</v>
      </c>
      <c r="U109" s="47" t="e">
        <f t="shared" si="54"/>
        <v>#REF!</v>
      </c>
      <c r="V109" s="47" t="e">
        <f t="shared" si="54"/>
        <v>#REF!</v>
      </c>
      <c r="W109" s="47" t="e">
        <f t="shared" si="54"/>
        <v>#REF!</v>
      </c>
      <c r="X109" s="47" t="e">
        <f t="shared" si="54"/>
        <v>#REF!</v>
      </c>
      <c r="Y109" s="47" t="e">
        <f t="shared" si="54"/>
        <v>#REF!</v>
      </c>
      <c r="Z109" s="47" t="e">
        <f t="shared" si="54"/>
        <v>#REF!</v>
      </c>
      <c r="AA109" s="47" t="e">
        <f t="shared" si="54"/>
        <v>#REF!</v>
      </c>
      <c r="AB109" s="47" t="e">
        <f t="shared" si="54"/>
        <v>#REF!</v>
      </c>
      <c r="AC109" s="47" t="e">
        <f t="shared" si="54"/>
        <v>#REF!</v>
      </c>
      <c r="AD109" s="47" t="e">
        <f t="shared" si="54"/>
        <v>#REF!</v>
      </c>
      <c r="AE109" s="47" t="e">
        <f t="shared" si="54"/>
        <v>#REF!</v>
      </c>
      <c r="AF109" s="47" t="e">
        <f t="shared" si="54"/>
        <v>#REF!</v>
      </c>
      <c r="AG109" s="47" t="e">
        <f t="shared" si="54"/>
        <v>#REF!</v>
      </c>
      <c r="AH109" s="47" t="e">
        <f t="shared" si="54"/>
        <v>#REF!</v>
      </c>
      <c r="AI109" s="47" t="e">
        <f t="shared" si="54"/>
        <v>#REF!</v>
      </c>
      <c r="AJ109" s="47" t="e">
        <f t="shared" si="54"/>
        <v>#REF!</v>
      </c>
      <c r="AK109" s="47" t="e">
        <f t="shared" si="54"/>
        <v>#REF!</v>
      </c>
    </row>
    <row r="110" spans="1:37" ht="12.75" customHeight="1" x14ac:dyDescent="0.3">
      <c r="A110" s="3" t="s">
        <v>431</v>
      </c>
      <c r="C110" s="60" t="s">
        <v>432</v>
      </c>
      <c r="D110" s="61" t="s">
        <v>31</v>
      </c>
      <c r="E110" s="47" t="e">
        <f>E84</f>
        <v>#REF!</v>
      </c>
      <c r="F110" s="47" t="e">
        <f t="shared" ref="F110:AK110" si="55">F84</f>
        <v>#REF!</v>
      </c>
      <c r="G110" s="47" t="e">
        <f t="shared" si="55"/>
        <v>#REF!</v>
      </c>
      <c r="H110" s="47" t="e">
        <f t="shared" si="55"/>
        <v>#REF!</v>
      </c>
      <c r="I110" s="47" t="e">
        <f t="shared" si="55"/>
        <v>#REF!</v>
      </c>
      <c r="J110" s="47" t="e">
        <f t="shared" si="55"/>
        <v>#REF!</v>
      </c>
      <c r="K110" s="47" t="e">
        <f t="shared" si="55"/>
        <v>#REF!</v>
      </c>
      <c r="L110" s="47" t="e">
        <f t="shared" si="55"/>
        <v>#REF!</v>
      </c>
      <c r="M110" s="47" t="e">
        <f t="shared" si="55"/>
        <v>#REF!</v>
      </c>
      <c r="N110" s="47" t="e">
        <f t="shared" si="55"/>
        <v>#REF!</v>
      </c>
      <c r="O110" s="47" t="e">
        <f t="shared" si="55"/>
        <v>#REF!</v>
      </c>
      <c r="P110" s="47" t="e">
        <f t="shared" si="55"/>
        <v>#REF!</v>
      </c>
      <c r="Q110" s="47" t="e">
        <f t="shared" si="55"/>
        <v>#REF!</v>
      </c>
      <c r="R110" s="47" t="e">
        <f t="shared" si="55"/>
        <v>#REF!</v>
      </c>
      <c r="S110" s="47" t="e">
        <f t="shared" si="55"/>
        <v>#REF!</v>
      </c>
      <c r="T110" s="47" t="e">
        <f t="shared" si="55"/>
        <v>#REF!</v>
      </c>
      <c r="U110" s="47" t="e">
        <f t="shared" si="55"/>
        <v>#REF!</v>
      </c>
      <c r="V110" s="47" t="e">
        <f t="shared" si="55"/>
        <v>#REF!</v>
      </c>
      <c r="W110" s="47" t="e">
        <f t="shared" si="55"/>
        <v>#REF!</v>
      </c>
      <c r="X110" s="47" t="e">
        <f t="shared" si="55"/>
        <v>#REF!</v>
      </c>
      <c r="Y110" s="47" t="e">
        <f t="shared" si="55"/>
        <v>#REF!</v>
      </c>
      <c r="Z110" s="47" t="e">
        <f t="shared" si="55"/>
        <v>#REF!</v>
      </c>
      <c r="AA110" s="47" t="e">
        <f t="shared" si="55"/>
        <v>#REF!</v>
      </c>
      <c r="AB110" s="47" t="e">
        <f t="shared" si="55"/>
        <v>#REF!</v>
      </c>
      <c r="AC110" s="47" t="e">
        <f t="shared" si="55"/>
        <v>#REF!</v>
      </c>
      <c r="AD110" s="47" t="e">
        <f t="shared" si="55"/>
        <v>#REF!</v>
      </c>
      <c r="AE110" s="47" t="e">
        <f t="shared" si="55"/>
        <v>#REF!</v>
      </c>
      <c r="AF110" s="47" t="e">
        <f t="shared" si="55"/>
        <v>#REF!</v>
      </c>
      <c r="AG110" s="47" t="e">
        <f t="shared" si="55"/>
        <v>#REF!</v>
      </c>
      <c r="AH110" s="47" t="e">
        <f t="shared" si="55"/>
        <v>#REF!</v>
      </c>
      <c r="AI110" s="47" t="e">
        <f t="shared" si="55"/>
        <v>#REF!</v>
      </c>
      <c r="AJ110" s="47" t="e">
        <f t="shared" si="55"/>
        <v>#REF!</v>
      </c>
      <c r="AK110" s="47" t="e">
        <f t="shared" si="55"/>
        <v>#REF!</v>
      </c>
    </row>
    <row r="111" spans="1:37" ht="12.75" customHeight="1" x14ac:dyDescent="0.3">
      <c r="A111" s="3" t="s">
        <v>439</v>
      </c>
      <c r="C111" s="60" t="s">
        <v>444</v>
      </c>
      <c r="D111" s="61" t="s">
        <v>31</v>
      </c>
      <c r="E111" s="47" t="e">
        <f>E91</f>
        <v>#REF!</v>
      </c>
      <c r="F111" s="47" t="e">
        <f t="shared" ref="F111:AK111" si="56">F91</f>
        <v>#REF!</v>
      </c>
      <c r="G111" s="47" t="e">
        <f t="shared" si="56"/>
        <v>#REF!</v>
      </c>
      <c r="H111" s="47" t="e">
        <f t="shared" si="56"/>
        <v>#REF!</v>
      </c>
      <c r="I111" s="47" t="e">
        <f t="shared" si="56"/>
        <v>#REF!</v>
      </c>
      <c r="J111" s="47" t="e">
        <f t="shared" si="56"/>
        <v>#REF!</v>
      </c>
      <c r="K111" s="47" t="e">
        <f t="shared" si="56"/>
        <v>#REF!</v>
      </c>
      <c r="L111" s="47" t="e">
        <f t="shared" si="56"/>
        <v>#REF!</v>
      </c>
      <c r="M111" s="47" t="e">
        <f t="shared" si="56"/>
        <v>#REF!</v>
      </c>
      <c r="N111" s="47" t="e">
        <f t="shared" si="56"/>
        <v>#REF!</v>
      </c>
      <c r="O111" s="47" t="e">
        <f t="shared" si="56"/>
        <v>#REF!</v>
      </c>
      <c r="P111" s="47" t="e">
        <f t="shared" si="56"/>
        <v>#REF!</v>
      </c>
      <c r="Q111" s="47" t="e">
        <f t="shared" si="56"/>
        <v>#REF!</v>
      </c>
      <c r="R111" s="47" t="e">
        <f t="shared" si="56"/>
        <v>#REF!</v>
      </c>
      <c r="S111" s="47" t="e">
        <f t="shared" si="56"/>
        <v>#REF!</v>
      </c>
      <c r="T111" s="47" t="e">
        <f t="shared" si="56"/>
        <v>#REF!</v>
      </c>
      <c r="U111" s="47" t="e">
        <f t="shared" si="56"/>
        <v>#REF!</v>
      </c>
      <c r="V111" s="47" t="e">
        <f t="shared" si="56"/>
        <v>#REF!</v>
      </c>
      <c r="W111" s="47" t="e">
        <f t="shared" si="56"/>
        <v>#REF!</v>
      </c>
      <c r="X111" s="47" t="e">
        <f t="shared" si="56"/>
        <v>#REF!</v>
      </c>
      <c r="Y111" s="47" t="e">
        <f t="shared" si="56"/>
        <v>#REF!</v>
      </c>
      <c r="Z111" s="47" t="e">
        <f t="shared" si="56"/>
        <v>#REF!</v>
      </c>
      <c r="AA111" s="47" t="e">
        <f t="shared" si="56"/>
        <v>#REF!</v>
      </c>
      <c r="AB111" s="47" t="e">
        <f t="shared" si="56"/>
        <v>#REF!</v>
      </c>
      <c r="AC111" s="47" t="e">
        <f t="shared" si="56"/>
        <v>#REF!</v>
      </c>
      <c r="AD111" s="47" t="e">
        <f t="shared" si="56"/>
        <v>#REF!</v>
      </c>
      <c r="AE111" s="47" t="e">
        <f t="shared" si="56"/>
        <v>#REF!</v>
      </c>
      <c r="AF111" s="47" t="e">
        <f t="shared" si="56"/>
        <v>#REF!</v>
      </c>
      <c r="AG111" s="47" t="e">
        <f t="shared" si="56"/>
        <v>#REF!</v>
      </c>
      <c r="AH111" s="47" t="e">
        <f t="shared" si="56"/>
        <v>#REF!</v>
      </c>
      <c r="AI111" s="47" t="e">
        <f t="shared" si="56"/>
        <v>#REF!</v>
      </c>
      <c r="AJ111" s="47" t="e">
        <f t="shared" si="56"/>
        <v>#REF!</v>
      </c>
      <c r="AK111" s="47" t="e">
        <f t="shared" si="56"/>
        <v>#REF!</v>
      </c>
    </row>
    <row r="112" spans="1:37" ht="12.75" customHeight="1" x14ac:dyDescent="0.3">
      <c r="A112" s="3"/>
      <c r="C112" s="60"/>
      <c r="D112" s="61" t="s">
        <v>31</v>
      </c>
      <c r="E112" s="47" t="e">
        <f>E92</f>
        <v>#REF!</v>
      </c>
      <c r="F112" s="47" t="e">
        <f t="shared" ref="F112:AK112" si="57">F92</f>
        <v>#REF!</v>
      </c>
      <c r="G112" s="47" t="e">
        <f t="shared" si="57"/>
        <v>#REF!</v>
      </c>
      <c r="H112" s="47" t="e">
        <f t="shared" si="57"/>
        <v>#REF!</v>
      </c>
      <c r="I112" s="47" t="e">
        <f t="shared" si="57"/>
        <v>#REF!</v>
      </c>
      <c r="J112" s="47" t="e">
        <f t="shared" si="57"/>
        <v>#REF!</v>
      </c>
      <c r="K112" s="47" t="e">
        <f t="shared" si="57"/>
        <v>#REF!</v>
      </c>
      <c r="L112" s="47" t="e">
        <f t="shared" si="57"/>
        <v>#REF!</v>
      </c>
      <c r="M112" s="47" t="e">
        <f t="shared" si="57"/>
        <v>#REF!</v>
      </c>
      <c r="N112" s="47" t="e">
        <f t="shared" si="57"/>
        <v>#REF!</v>
      </c>
      <c r="O112" s="47" t="e">
        <f t="shared" si="57"/>
        <v>#REF!</v>
      </c>
      <c r="P112" s="47" t="e">
        <f t="shared" si="57"/>
        <v>#REF!</v>
      </c>
      <c r="Q112" s="47" t="e">
        <f t="shared" si="57"/>
        <v>#REF!</v>
      </c>
      <c r="R112" s="47" t="e">
        <f t="shared" si="57"/>
        <v>#REF!</v>
      </c>
      <c r="S112" s="47" t="e">
        <f t="shared" si="57"/>
        <v>#REF!</v>
      </c>
      <c r="T112" s="47" t="e">
        <f t="shared" si="57"/>
        <v>#REF!</v>
      </c>
      <c r="U112" s="47" t="e">
        <f t="shared" si="57"/>
        <v>#REF!</v>
      </c>
      <c r="V112" s="47" t="e">
        <f t="shared" si="57"/>
        <v>#REF!</v>
      </c>
      <c r="W112" s="47" t="e">
        <f t="shared" si="57"/>
        <v>#REF!</v>
      </c>
      <c r="X112" s="47" t="e">
        <f t="shared" si="57"/>
        <v>#REF!</v>
      </c>
      <c r="Y112" s="47" t="e">
        <f t="shared" si="57"/>
        <v>#REF!</v>
      </c>
      <c r="Z112" s="47" t="e">
        <f t="shared" si="57"/>
        <v>#REF!</v>
      </c>
      <c r="AA112" s="47" t="e">
        <f t="shared" si="57"/>
        <v>#REF!</v>
      </c>
      <c r="AB112" s="47" t="e">
        <f t="shared" si="57"/>
        <v>#REF!</v>
      </c>
      <c r="AC112" s="47" t="e">
        <f t="shared" si="57"/>
        <v>#REF!</v>
      </c>
      <c r="AD112" s="47" t="e">
        <f t="shared" si="57"/>
        <v>#REF!</v>
      </c>
      <c r="AE112" s="47" t="e">
        <f t="shared" si="57"/>
        <v>#REF!</v>
      </c>
      <c r="AF112" s="47" t="e">
        <f t="shared" si="57"/>
        <v>#REF!</v>
      </c>
      <c r="AG112" s="47" t="e">
        <f t="shared" si="57"/>
        <v>#REF!</v>
      </c>
      <c r="AH112" s="47" t="e">
        <f t="shared" si="57"/>
        <v>#REF!</v>
      </c>
      <c r="AI112" s="47" t="e">
        <f t="shared" si="57"/>
        <v>#REF!</v>
      </c>
      <c r="AJ112" s="47" t="e">
        <f t="shared" si="57"/>
        <v>#REF!</v>
      </c>
      <c r="AK112" s="47" t="e">
        <f t="shared" si="57"/>
        <v>#REF!</v>
      </c>
    </row>
    <row r="113" spans="1:37" ht="12.75" customHeight="1" x14ac:dyDescent="0.3">
      <c r="A113" s="3" t="s">
        <v>443</v>
      </c>
      <c r="C113" s="60" t="s">
        <v>440</v>
      </c>
      <c r="D113" s="61" t="s">
        <v>31</v>
      </c>
      <c r="E113" s="47" t="e">
        <f>E106</f>
        <v>#REF!</v>
      </c>
      <c r="F113" s="47" t="e">
        <f t="shared" ref="F113:AK113" si="58">F106</f>
        <v>#REF!</v>
      </c>
      <c r="G113" s="47" t="e">
        <f t="shared" si="58"/>
        <v>#REF!</v>
      </c>
      <c r="H113" s="47" t="e">
        <f t="shared" si="58"/>
        <v>#REF!</v>
      </c>
      <c r="I113" s="47" t="e">
        <f t="shared" si="58"/>
        <v>#REF!</v>
      </c>
      <c r="J113" s="47" t="e">
        <f t="shared" si="58"/>
        <v>#REF!</v>
      </c>
      <c r="K113" s="47" t="e">
        <f t="shared" si="58"/>
        <v>#REF!</v>
      </c>
      <c r="L113" s="47" t="e">
        <f t="shared" si="58"/>
        <v>#REF!</v>
      </c>
      <c r="M113" s="47" t="e">
        <f t="shared" si="58"/>
        <v>#REF!</v>
      </c>
      <c r="N113" s="47" t="e">
        <f t="shared" si="58"/>
        <v>#REF!</v>
      </c>
      <c r="O113" s="47" t="e">
        <f t="shared" si="58"/>
        <v>#REF!</v>
      </c>
      <c r="P113" s="47" t="e">
        <f t="shared" si="58"/>
        <v>#REF!</v>
      </c>
      <c r="Q113" s="47" t="e">
        <f t="shared" si="58"/>
        <v>#REF!</v>
      </c>
      <c r="R113" s="47" t="e">
        <f t="shared" si="58"/>
        <v>#REF!</v>
      </c>
      <c r="S113" s="47" t="e">
        <f t="shared" si="58"/>
        <v>#REF!</v>
      </c>
      <c r="T113" s="47" t="e">
        <f t="shared" si="58"/>
        <v>#REF!</v>
      </c>
      <c r="U113" s="47" t="e">
        <f t="shared" si="58"/>
        <v>#REF!</v>
      </c>
      <c r="V113" s="47" t="e">
        <f t="shared" si="58"/>
        <v>#REF!</v>
      </c>
      <c r="W113" s="47" t="e">
        <f t="shared" si="58"/>
        <v>#REF!</v>
      </c>
      <c r="X113" s="47" t="e">
        <f t="shared" si="58"/>
        <v>#REF!</v>
      </c>
      <c r="Y113" s="47" t="e">
        <f t="shared" si="58"/>
        <v>#REF!</v>
      </c>
      <c r="Z113" s="47" t="e">
        <f t="shared" si="58"/>
        <v>#REF!</v>
      </c>
      <c r="AA113" s="47" t="e">
        <f t="shared" si="58"/>
        <v>#REF!</v>
      </c>
      <c r="AB113" s="47" t="e">
        <f t="shared" si="58"/>
        <v>#REF!</v>
      </c>
      <c r="AC113" s="47" t="e">
        <f t="shared" si="58"/>
        <v>#REF!</v>
      </c>
      <c r="AD113" s="47" t="e">
        <f t="shared" si="58"/>
        <v>#REF!</v>
      </c>
      <c r="AE113" s="47" t="e">
        <f t="shared" si="58"/>
        <v>#REF!</v>
      </c>
      <c r="AF113" s="47" t="e">
        <f t="shared" si="58"/>
        <v>#REF!</v>
      </c>
      <c r="AG113" s="47" t="e">
        <f t="shared" si="58"/>
        <v>#REF!</v>
      </c>
      <c r="AH113" s="47" t="e">
        <f t="shared" si="58"/>
        <v>#REF!</v>
      </c>
      <c r="AI113" s="47" t="e">
        <f t="shared" si="58"/>
        <v>#REF!</v>
      </c>
      <c r="AJ113" s="47" t="e">
        <f t="shared" si="58"/>
        <v>#REF!</v>
      </c>
      <c r="AK113" s="47" t="e">
        <f t="shared" si="58"/>
        <v>#REF!</v>
      </c>
    </row>
    <row r="114" spans="1:37" ht="12.75" customHeight="1" x14ac:dyDescent="0.25">
      <c r="A114" s="33"/>
      <c r="C114" s="50"/>
      <c r="E114" s="47" t="e">
        <f>MAX(E109:E113)</f>
        <v>#REF!</v>
      </c>
      <c r="F114" s="47" t="e">
        <f t="shared" ref="F114:AK114" si="59">MAX(F109:F113)</f>
        <v>#REF!</v>
      </c>
      <c r="G114" s="47" t="e">
        <f t="shared" si="59"/>
        <v>#REF!</v>
      </c>
      <c r="H114" s="47" t="e">
        <f t="shared" si="59"/>
        <v>#REF!</v>
      </c>
      <c r="I114" s="47" t="e">
        <f t="shared" si="59"/>
        <v>#REF!</v>
      </c>
      <c r="J114" s="47" t="e">
        <f t="shared" si="59"/>
        <v>#REF!</v>
      </c>
      <c r="K114" s="47" t="e">
        <f t="shared" si="59"/>
        <v>#REF!</v>
      </c>
      <c r="L114" s="47" t="e">
        <f t="shared" si="59"/>
        <v>#REF!</v>
      </c>
      <c r="M114" s="47" t="e">
        <f t="shared" si="59"/>
        <v>#REF!</v>
      </c>
      <c r="N114" s="47" t="e">
        <f t="shared" si="59"/>
        <v>#REF!</v>
      </c>
      <c r="O114" s="47" t="e">
        <f t="shared" si="59"/>
        <v>#REF!</v>
      </c>
      <c r="P114" s="47" t="e">
        <f t="shared" si="59"/>
        <v>#REF!</v>
      </c>
      <c r="Q114" s="47" t="e">
        <f t="shared" si="59"/>
        <v>#REF!</v>
      </c>
      <c r="R114" s="47" t="e">
        <f t="shared" si="59"/>
        <v>#REF!</v>
      </c>
      <c r="S114" s="47" t="e">
        <f t="shared" si="59"/>
        <v>#REF!</v>
      </c>
      <c r="T114" s="47" t="e">
        <f t="shared" si="59"/>
        <v>#REF!</v>
      </c>
      <c r="U114" s="47" t="e">
        <f t="shared" si="59"/>
        <v>#REF!</v>
      </c>
      <c r="V114" s="47" t="e">
        <f t="shared" si="59"/>
        <v>#REF!</v>
      </c>
      <c r="W114" s="47" t="e">
        <f t="shared" si="59"/>
        <v>#REF!</v>
      </c>
      <c r="X114" s="47" t="e">
        <f t="shared" si="59"/>
        <v>#REF!</v>
      </c>
      <c r="Y114" s="47" t="e">
        <f t="shared" si="59"/>
        <v>#REF!</v>
      </c>
      <c r="Z114" s="47" t="e">
        <f t="shared" si="59"/>
        <v>#REF!</v>
      </c>
      <c r="AA114" s="47" t="e">
        <f t="shared" si="59"/>
        <v>#REF!</v>
      </c>
      <c r="AB114" s="47" t="e">
        <f t="shared" si="59"/>
        <v>#REF!</v>
      </c>
      <c r="AC114" s="47" t="e">
        <f t="shared" si="59"/>
        <v>#REF!</v>
      </c>
      <c r="AD114" s="47" t="e">
        <f t="shared" si="59"/>
        <v>#REF!</v>
      </c>
      <c r="AE114" s="47" t="e">
        <f t="shared" si="59"/>
        <v>#REF!</v>
      </c>
      <c r="AF114" s="47" t="e">
        <f t="shared" si="59"/>
        <v>#REF!</v>
      </c>
      <c r="AG114" s="47" t="e">
        <f t="shared" si="59"/>
        <v>#REF!</v>
      </c>
      <c r="AH114" s="47" t="e">
        <f t="shared" si="59"/>
        <v>#REF!</v>
      </c>
      <c r="AI114" s="47" t="e">
        <f t="shared" si="59"/>
        <v>#REF!</v>
      </c>
      <c r="AJ114" s="47" t="e">
        <f t="shared" si="59"/>
        <v>#REF!</v>
      </c>
      <c r="AK114" s="47" t="e">
        <f t="shared" si="59"/>
        <v>#REF!</v>
      </c>
    </row>
    <row r="115" spans="1:37" ht="12.75" customHeight="1" x14ac:dyDescent="0.25">
      <c r="A115" s="5"/>
      <c r="C115" s="4"/>
      <c r="D115" s="42"/>
      <c r="E115" s="48" t="e">
        <f>IF(E114&lt;=1,"voldoet","voldoet niet")</f>
        <v>#REF!</v>
      </c>
      <c r="F115" s="48" t="e">
        <f t="shared" ref="F115:AK115" si="60">IF(F114&lt;=1,"voldoet","voldoet niet")</f>
        <v>#REF!</v>
      </c>
      <c r="G115" s="48" t="e">
        <f t="shared" si="60"/>
        <v>#REF!</v>
      </c>
      <c r="H115" s="48" t="e">
        <f t="shared" si="60"/>
        <v>#REF!</v>
      </c>
      <c r="I115" s="48" t="e">
        <f t="shared" si="60"/>
        <v>#REF!</v>
      </c>
      <c r="J115" s="48" t="e">
        <f t="shared" si="60"/>
        <v>#REF!</v>
      </c>
      <c r="K115" s="48" t="e">
        <f t="shared" si="60"/>
        <v>#REF!</v>
      </c>
      <c r="L115" s="48" t="e">
        <f t="shared" si="60"/>
        <v>#REF!</v>
      </c>
      <c r="M115" s="48" t="e">
        <f t="shared" si="60"/>
        <v>#REF!</v>
      </c>
      <c r="N115" s="48" t="e">
        <f t="shared" si="60"/>
        <v>#REF!</v>
      </c>
      <c r="O115" s="48" t="e">
        <f t="shared" si="60"/>
        <v>#REF!</v>
      </c>
      <c r="P115" s="48" t="e">
        <f t="shared" si="60"/>
        <v>#REF!</v>
      </c>
      <c r="Q115" s="48" t="e">
        <f t="shared" si="60"/>
        <v>#REF!</v>
      </c>
      <c r="R115" s="48" t="e">
        <f t="shared" si="60"/>
        <v>#REF!</v>
      </c>
      <c r="S115" s="48" t="e">
        <f t="shared" si="60"/>
        <v>#REF!</v>
      </c>
      <c r="T115" s="48" t="e">
        <f t="shared" si="60"/>
        <v>#REF!</v>
      </c>
      <c r="U115" s="48" t="e">
        <f t="shared" si="60"/>
        <v>#REF!</v>
      </c>
      <c r="V115" s="48" t="e">
        <f t="shared" si="60"/>
        <v>#REF!</v>
      </c>
      <c r="W115" s="48" t="e">
        <f t="shared" si="60"/>
        <v>#REF!</v>
      </c>
      <c r="X115" s="48" t="e">
        <f t="shared" si="60"/>
        <v>#REF!</v>
      </c>
      <c r="Y115" s="48" t="e">
        <f t="shared" si="60"/>
        <v>#REF!</v>
      </c>
      <c r="Z115" s="48" t="e">
        <f t="shared" si="60"/>
        <v>#REF!</v>
      </c>
      <c r="AA115" s="48" t="e">
        <f t="shared" si="60"/>
        <v>#REF!</v>
      </c>
      <c r="AB115" s="48" t="e">
        <f t="shared" si="60"/>
        <v>#REF!</v>
      </c>
      <c r="AC115" s="48" t="e">
        <f t="shared" si="60"/>
        <v>#REF!</v>
      </c>
      <c r="AD115" s="48" t="e">
        <f t="shared" si="60"/>
        <v>#REF!</v>
      </c>
      <c r="AE115" s="48" t="e">
        <f t="shared" si="60"/>
        <v>#REF!</v>
      </c>
      <c r="AF115" s="48" t="e">
        <f t="shared" si="60"/>
        <v>#REF!</v>
      </c>
      <c r="AG115" s="48" t="e">
        <f t="shared" si="60"/>
        <v>#REF!</v>
      </c>
      <c r="AH115" s="48" t="e">
        <f t="shared" si="60"/>
        <v>#REF!</v>
      </c>
      <c r="AI115" s="48" t="e">
        <f t="shared" si="60"/>
        <v>#REF!</v>
      </c>
      <c r="AJ115" s="48" t="e">
        <f t="shared" si="60"/>
        <v>#REF!</v>
      </c>
      <c r="AK115" s="48" t="e">
        <f t="shared" si="60"/>
        <v>#REF!</v>
      </c>
    </row>
    <row r="116" spans="1:37" ht="12.75" customHeight="1" x14ac:dyDescent="0.25">
      <c r="A116" s="5"/>
      <c r="C116" s="6"/>
      <c r="D116" s="42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76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 spans="1:37" ht="12.75" customHeight="1" x14ac:dyDescent="0.25">
      <c r="A117" s="5"/>
      <c r="C117" s="4"/>
      <c r="D117" s="42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80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12.75" customHeight="1" x14ac:dyDescent="0.25">
      <c r="A118" s="5"/>
      <c r="C118" s="51"/>
    </row>
    <row r="119" spans="1:37" ht="12.75" customHeight="1" x14ac:dyDescent="0.25">
      <c r="A119" s="5"/>
      <c r="C119" s="4"/>
      <c r="D119" s="44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72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ht="12.75" customHeight="1" x14ac:dyDescent="0.25">
      <c r="A120" s="5"/>
      <c r="C120" s="4"/>
      <c r="D120" s="44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76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</row>
    <row r="121" spans="1:37" ht="12.75" customHeight="1" x14ac:dyDescent="0.25">
      <c r="A121" s="5"/>
      <c r="C121" s="6"/>
      <c r="D121" s="44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76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</row>
    <row r="122" spans="1:37" ht="12.75" customHeight="1" x14ac:dyDescent="0.25">
      <c r="A122" s="33"/>
      <c r="C122" s="6"/>
      <c r="D122" s="44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76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 spans="1:37" ht="12.75" customHeight="1" x14ac:dyDescent="0.25">
      <c r="A123" s="33"/>
      <c r="C123" s="4"/>
      <c r="D123" s="44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74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7" ht="12.75" customHeight="1" x14ac:dyDescent="0.25">
      <c r="A124" s="5"/>
      <c r="C124" s="4"/>
      <c r="D124" s="44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80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12.75" customHeight="1" x14ac:dyDescent="0.25">
      <c r="A125" s="33"/>
      <c r="C125" s="51"/>
    </row>
    <row r="126" spans="1:37" ht="12.75" customHeight="1" x14ac:dyDescent="0.25">
      <c r="A126" s="33"/>
      <c r="C126" s="50"/>
    </row>
    <row r="127" spans="1:37" ht="12.75" customHeight="1" x14ac:dyDescent="0.25">
      <c r="A127" s="33"/>
      <c r="C127" s="6"/>
      <c r="D127" s="44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76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 spans="1:37" ht="12.75" customHeight="1" x14ac:dyDescent="0.25">
      <c r="A128" s="33"/>
      <c r="C128" s="6"/>
      <c r="D128" s="44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76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 spans="1:37" ht="12.75" customHeight="1" x14ac:dyDescent="0.25">
      <c r="A129" s="33"/>
      <c r="C129" s="4"/>
      <c r="D129" s="44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74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 ht="12.75" customHeight="1" x14ac:dyDescent="0.25">
      <c r="A130" s="33"/>
      <c r="C130" s="4"/>
      <c r="D130" s="44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74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ht="12.75" customHeight="1" x14ac:dyDescent="0.25">
      <c r="A131" s="33"/>
    </row>
    <row r="132" spans="1:37" ht="12.75" customHeight="1" x14ac:dyDescent="0.25">
      <c r="A132" s="5"/>
      <c r="C132" s="4"/>
      <c r="D132" s="4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72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ht="12.75" customHeight="1" x14ac:dyDescent="0.25">
      <c r="A133" s="33"/>
      <c r="C133" s="4"/>
      <c r="D133" s="44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74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ht="12.75" customHeight="1" x14ac:dyDescent="0.25">
      <c r="A134" s="33"/>
      <c r="C134" s="6"/>
      <c r="D134" s="44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78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12.75" customHeight="1" x14ac:dyDescent="0.25">
      <c r="A135" s="33"/>
      <c r="C135" s="6"/>
      <c r="D135" s="44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72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ht="12.75" customHeight="1" x14ac:dyDescent="0.25">
      <c r="A136" s="33"/>
      <c r="C136" s="4"/>
      <c r="D136" s="44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72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ht="12.75" hidden="1" customHeight="1" x14ac:dyDescent="0.25">
      <c r="A137" s="5"/>
      <c r="C137" s="4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76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</row>
    <row r="138" spans="1:37" ht="12.75" hidden="1" customHeight="1" x14ac:dyDescent="0.25">
      <c r="A138" s="5"/>
      <c r="C138" s="4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76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</row>
    <row r="139" spans="1:37" ht="12.75" hidden="1" customHeight="1" x14ac:dyDescent="0.25">
      <c r="A139" s="5"/>
      <c r="C139" s="4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76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</row>
    <row r="140" spans="1:37" ht="12.75" hidden="1" customHeight="1" x14ac:dyDescent="0.25">
      <c r="A140" s="5"/>
      <c r="C140" s="4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76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</row>
    <row r="141" spans="1:37" ht="12.75" hidden="1" customHeight="1" x14ac:dyDescent="0.25">
      <c r="A141" s="5"/>
      <c r="C141" s="4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76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</row>
    <row r="142" spans="1:37" ht="12.75" hidden="1" customHeight="1" x14ac:dyDescent="0.25">
      <c r="A142" s="5"/>
      <c r="C142" s="4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76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</row>
    <row r="143" spans="1:37" ht="12.75" hidden="1" customHeight="1" x14ac:dyDescent="0.25">
      <c r="A143" s="5"/>
      <c r="C143" s="4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76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</row>
    <row r="144" spans="1:37" ht="12.75" hidden="1" customHeight="1" x14ac:dyDescent="0.25">
      <c r="A144" s="5"/>
      <c r="C144" s="4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76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</row>
    <row r="145" spans="1:37" ht="12.75" customHeight="1" x14ac:dyDescent="0.25">
      <c r="A145" s="33"/>
      <c r="C145" s="4"/>
      <c r="D145" s="44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72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ht="12.75" customHeight="1" x14ac:dyDescent="0.25">
      <c r="A146" s="33"/>
      <c r="C146" s="3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76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1:37" ht="12.75" customHeight="1" x14ac:dyDescent="0.25">
      <c r="A147" s="33"/>
      <c r="C147" s="3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76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</row>
    <row r="148" spans="1:37" ht="12.75" customHeight="1" x14ac:dyDescent="0.25">
      <c r="A148" s="5"/>
      <c r="C148" s="4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76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</row>
    <row r="149" spans="1:37" ht="12.75" customHeight="1" x14ac:dyDescent="0.25">
      <c r="A149" s="5"/>
      <c r="C149" s="4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76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</row>
    <row r="150" spans="1:37" ht="12.75" customHeight="1" x14ac:dyDescent="0.25">
      <c r="A150" s="33"/>
      <c r="E150" s="8"/>
      <c r="G150" s="8"/>
      <c r="I150" s="8"/>
      <c r="K150" s="8"/>
      <c r="M150" s="8"/>
      <c r="O150" s="8"/>
      <c r="Q150" s="8"/>
      <c r="S150" s="8"/>
      <c r="U150" s="8"/>
      <c r="W150" s="8"/>
      <c r="Y150" s="8"/>
      <c r="Z150" s="72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ht="12.75" customHeight="1" x14ac:dyDescent="0.25">
      <c r="A151" s="34"/>
      <c r="E151" s="8"/>
      <c r="G151" s="8"/>
      <c r="I151" s="8"/>
      <c r="K151" s="8"/>
      <c r="M151" s="8"/>
      <c r="O151" s="8"/>
      <c r="Q151" s="8"/>
      <c r="S151" s="8"/>
      <c r="U151" s="8"/>
      <c r="W151" s="8"/>
      <c r="Y151" s="8"/>
      <c r="Z151" s="72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ht="12.75" customHeight="1" x14ac:dyDescent="0.25">
      <c r="A152" s="28"/>
      <c r="C152" s="60"/>
      <c r="D152" s="2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76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</row>
    <row r="153" spans="1:37" ht="12.75" customHeight="1" x14ac:dyDescent="0.25">
      <c r="C153" s="60"/>
      <c r="D153" s="2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76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</row>
    <row r="154" spans="1:37" ht="12.75" customHeight="1" x14ac:dyDescent="0.25">
      <c r="C154" s="60"/>
      <c r="D154" s="2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76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</row>
    <row r="155" spans="1:37" ht="12.75" customHeight="1" x14ac:dyDescent="0.25">
      <c r="C155" s="60"/>
      <c r="D155" s="2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76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</row>
    <row r="156" spans="1:37" ht="12.75" customHeight="1" x14ac:dyDescent="0.25">
      <c r="C156" s="60"/>
      <c r="D156" s="2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76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</row>
    <row r="157" spans="1:37" ht="12.75" customHeight="1" x14ac:dyDescent="0.25">
      <c r="C157" s="60"/>
      <c r="D157" s="2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76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</row>
    <row r="158" spans="1:37" ht="12.75" customHeight="1" x14ac:dyDescent="0.25">
      <c r="A158" s="5"/>
      <c r="C158" s="4"/>
      <c r="D158" s="2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76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</row>
    <row r="160" spans="1:37" x14ac:dyDescent="0.25">
      <c r="D160" s="15"/>
    </row>
    <row r="161" spans="1:4" x14ac:dyDescent="0.25">
      <c r="D161" s="15"/>
    </row>
    <row r="162" spans="1:4" x14ac:dyDescent="0.25">
      <c r="D162" s="15"/>
    </row>
    <row r="163" spans="1:4" x14ac:dyDescent="0.25">
      <c r="D163" s="15"/>
    </row>
    <row r="164" spans="1:4" x14ac:dyDescent="0.25">
      <c r="D164" s="15"/>
    </row>
    <row r="165" spans="1:4" x14ac:dyDescent="0.25">
      <c r="A165" s="27"/>
    </row>
    <row r="166" spans="1:4" x14ac:dyDescent="0.25">
      <c r="A166" s="27"/>
    </row>
    <row r="168" spans="1:4" x14ac:dyDescent="0.25">
      <c r="A168" s="25"/>
    </row>
  </sheetData>
  <conditionalFormatting sqref="E114:AK114">
    <cfRule type="cellIs" dxfId="1" priority="2" operator="lessThan">
      <formula>1</formula>
    </cfRule>
  </conditionalFormatting>
  <conditionalFormatting sqref="E114:AK114">
    <cfRule type="cellIs" dxfId="0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B655-7A89-480A-A7EB-B42F21CDC8BF}">
  <dimension ref="A1:AF248"/>
  <sheetViews>
    <sheetView topLeftCell="A103" workbookViewId="0">
      <selection activeCell="N127" sqref="N127"/>
    </sheetView>
  </sheetViews>
  <sheetFormatPr defaultRowHeight="12.5" x14ac:dyDescent="0.25"/>
  <cols>
    <col min="16" max="16" width="44.453125" bestFit="1" customWidth="1"/>
  </cols>
  <sheetData>
    <row r="1" spans="1:32" x14ac:dyDescent="0.25">
      <c r="A1">
        <v>1</v>
      </c>
      <c r="B1" t="s">
        <v>102</v>
      </c>
      <c r="C1">
        <v>235</v>
      </c>
      <c r="E1">
        <v>360</v>
      </c>
    </row>
    <row r="2" spans="1:32" ht="13" x14ac:dyDescent="0.3">
      <c r="A2">
        <v>2</v>
      </c>
      <c r="B2" t="s">
        <v>102</v>
      </c>
      <c r="C2">
        <v>275</v>
      </c>
      <c r="E2">
        <v>430</v>
      </c>
      <c r="O2" s="3"/>
      <c r="P2" s="11" t="s">
        <v>184</v>
      </c>
      <c r="Q2" s="20" t="s">
        <v>185</v>
      </c>
      <c r="R2" s="20"/>
      <c r="S2" s="20"/>
      <c r="T2" s="20"/>
      <c r="U2" s="20"/>
      <c r="V2" s="20"/>
      <c r="W2" s="20"/>
      <c r="X2" s="20"/>
      <c r="Y2" s="20"/>
      <c r="Z2" s="20"/>
      <c r="AB2" s="20"/>
      <c r="AC2" s="20"/>
      <c r="AD2" s="20"/>
      <c r="AE2" s="3"/>
      <c r="AF2" s="3"/>
    </row>
    <row r="3" spans="1:32" x14ac:dyDescent="0.25">
      <c r="A3">
        <v>3</v>
      </c>
      <c r="B3" t="s">
        <v>102</v>
      </c>
      <c r="C3">
        <v>355</v>
      </c>
      <c r="E3">
        <v>510</v>
      </c>
      <c r="O3" s="3"/>
      <c r="P3" s="3" t="s">
        <v>186</v>
      </c>
      <c r="Q3" s="20"/>
      <c r="R3" s="20"/>
      <c r="S3" s="20"/>
      <c r="T3" s="20"/>
      <c r="U3" s="20"/>
      <c r="V3" s="20"/>
      <c r="W3" s="20"/>
      <c r="X3" s="20"/>
      <c r="Y3" s="20"/>
      <c r="Z3" s="20"/>
      <c r="AB3" s="20"/>
      <c r="AC3" s="20"/>
      <c r="AD3" s="20"/>
      <c r="AE3" s="3"/>
      <c r="AF3" s="3"/>
    </row>
    <row r="4" spans="1:32" ht="15" x14ac:dyDescent="0.4">
      <c r="A4">
        <v>4</v>
      </c>
      <c r="B4" t="s">
        <v>102</v>
      </c>
      <c r="C4">
        <v>440</v>
      </c>
      <c r="E4">
        <v>550</v>
      </c>
      <c r="O4" s="11" t="s">
        <v>187</v>
      </c>
      <c r="P4" s="11" t="s">
        <v>188</v>
      </c>
      <c r="Q4" s="61" t="s">
        <v>189</v>
      </c>
      <c r="R4" s="61" t="s">
        <v>27</v>
      </c>
      <c r="S4" s="61" t="s">
        <v>190</v>
      </c>
      <c r="T4" s="61" t="s">
        <v>191</v>
      </c>
      <c r="U4" s="61" t="s">
        <v>24</v>
      </c>
      <c r="V4" s="61" t="s">
        <v>13</v>
      </c>
      <c r="W4" s="61" t="s">
        <v>192</v>
      </c>
      <c r="X4" s="61" t="s">
        <v>193</v>
      </c>
      <c r="Y4" s="61" t="s">
        <v>7</v>
      </c>
      <c r="Z4" s="61" t="s">
        <v>194</v>
      </c>
      <c r="AA4" s="61" t="s">
        <v>195</v>
      </c>
      <c r="AB4" s="61" t="s">
        <v>196</v>
      </c>
      <c r="AC4" s="61" t="s">
        <v>197</v>
      </c>
      <c r="AD4" s="20"/>
      <c r="AE4" s="3"/>
      <c r="AF4" s="3"/>
    </row>
    <row r="5" spans="1:32" x14ac:dyDescent="0.25">
      <c r="O5" s="3">
        <v>1</v>
      </c>
      <c r="P5" s="3" t="s">
        <v>198</v>
      </c>
      <c r="Q5" s="20">
        <v>96</v>
      </c>
      <c r="R5" s="20">
        <v>100</v>
      </c>
      <c r="S5" s="20">
        <v>5</v>
      </c>
      <c r="T5" s="20">
        <v>8</v>
      </c>
      <c r="U5" s="62">
        <v>72800</v>
      </c>
      <c r="V5" s="62">
        <v>83000</v>
      </c>
      <c r="W5" s="62">
        <v>26760</v>
      </c>
      <c r="X5" s="62">
        <v>41140</v>
      </c>
      <c r="Y5" s="20">
        <v>2124</v>
      </c>
      <c r="Z5" s="20">
        <v>12</v>
      </c>
      <c r="AA5" s="62">
        <v>3490000</v>
      </c>
      <c r="AB5" s="62">
        <v>1338000</v>
      </c>
      <c r="AC5" s="63">
        <v>0.16669999999999999</v>
      </c>
      <c r="AD5" s="20">
        <v>1</v>
      </c>
      <c r="AE5" s="3" t="e">
        <f>IF(#REF!=hulpblad!AD5,hulpblad!P5,"")</f>
        <v>#REF!</v>
      </c>
      <c r="AF5" s="3"/>
    </row>
    <row r="6" spans="1:32" x14ac:dyDescent="0.25">
      <c r="O6" s="3">
        <v>2</v>
      </c>
      <c r="P6" s="3" t="s">
        <v>199</v>
      </c>
      <c r="Q6" s="20">
        <f>Q5-(2*0.6)</f>
        <v>94.8</v>
      </c>
      <c r="R6" s="20">
        <f>R5-(2*0.6)</f>
        <v>98.8</v>
      </c>
      <c r="S6" s="20">
        <f>S5-(2*0.6)</f>
        <v>3.8</v>
      </c>
      <c r="T6" s="20">
        <f>T5-(2*0.6)</f>
        <v>6.8</v>
      </c>
      <c r="U6" s="62">
        <v>62436</v>
      </c>
      <c r="V6" s="62">
        <v>70210.100000000006</v>
      </c>
      <c r="W6" s="62">
        <v>22202.7</v>
      </c>
      <c r="X6" s="62">
        <v>34072</v>
      </c>
      <c r="Y6" s="20">
        <v>1780</v>
      </c>
      <c r="Z6" s="20">
        <v>12</v>
      </c>
      <c r="AA6" s="62">
        <v>2959468</v>
      </c>
      <c r="AB6" s="62">
        <v>1096810</v>
      </c>
      <c r="AC6" s="63">
        <v>0.13969999999999999</v>
      </c>
      <c r="AD6" s="20">
        <v>2</v>
      </c>
      <c r="AE6" s="3" t="e">
        <f>IF(#REF!=hulpblad!AD6,hulpblad!P6,"")</f>
        <v>#REF!</v>
      </c>
      <c r="AF6" s="3"/>
    </row>
    <row r="7" spans="1:32" x14ac:dyDescent="0.25">
      <c r="A7" s="3">
        <v>1</v>
      </c>
      <c r="B7" s="3" t="s">
        <v>21</v>
      </c>
      <c r="C7" s="3">
        <v>1.25</v>
      </c>
      <c r="D7" s="3">
        <v>1.2</v>
      </c>
      <c r="E7" s="3">
        <v>1.5</v>
      </c>
      <c r="F7" s="3">
        <v>1.25</v>
      </c>
      <c r="O7" s="3">
        <v>3</v>
      </c>
      <c r="P7" s="3" t="s">
        <v>200</v>
      </c>
      <c r="Q7" s="20">
        <f>Q5-(2*1.2)</f>
        <v>93.6</v>
      </c>
      <c r="R7" s="20">
        <f>R5-(2*1.2)</f>
        <v>97.6</v>
      </c>
      <c r="S7" s="20">
        <f>S5-(2*1.2)</f>
        <v>2.6</v>
      </c>
      <c r="T7" s="20">
        <f>T5-(2*1.2)</f>
        <v>5.6</v>
      </c>
      <c r="U7" s="62">
        <v>51914</v>
      </c>
      <c r="V7" s="62">
        <v>57411</v>
      </c>
      <c r="W7" s="62">
        <v>17840</v>
      </c>
      <c r="X7" s="62">
        <v>27324</v>
      </c>
      <c r="Y7" s="20">
        <v>1435</v>
      </c>
      <c r="Z7" s="20">
        <v>12</v>
      </c>
      <c r="AA7" s="62">
        <v>2429578</v>
      </c>
      <c r="AB7" s="62">
        <v>870611</v>
      </c>
      <c r="AC7" s="63">
        <v>0.11260000000000001</v>
      </c>
      <c r="AD7" s="20">
        <v>3</v>
      </c>
      <c r="AE7" s="3" t="e">
        <f>IF(#REF!=hulpblad!AD7,hulpblad!P7,"")</f>
        <v>#REF!</v>
      </c>
      <c r="AF7" s="3"/>
    </row>
    <row r="8" spans="1:32" x14ac:dyDescent="0.25">
      <c r="A8" s="3">
        <v>2</v>
      </c>
      <c r="B8" s="3" t="s">
        <v>22</v>
      </c>
      <c r="C8" s="3">
        <v>1</v>
      </c>
      <c r="D8" s="3">
        <v>1</v>
      </c>
      <c r="E8" s="3">
        <v>1</v>
      </c>
      <c r="F8" s="3">
        <v>1</v>
      </c>
      <c r="O8" s="3">
        <v>4</v>
      </c>
      <c r="P8" s="3" t="s">
        <v>201</v>
      </c>
      <c r="Q8" s="20">
        <v>114</v>
      </c>
      <c r="R8" s="20">
        <v>120</v>
      </c>
      <c r="S8" s="20">
        <v>5</v>
      </c>
      <c r="T8" s="20">
        <v>8</v>
      </c>
      <c r="U8" s="62">
        <v>106300</v>
      </c>
      <c r="V8" s="62">
        <v>119400</v>
      </c>
      <c r="W8" s="62">
        <v>38500</v>
      </c>
      <c r="X8" s="62">
        <v>58860</v>
      </c>
      <c r="Y8" s="20">
        <v>2534</v>
      </c>
      <c r="Z8" s="20">
        <v>12</v>
      </c>
      <c r="AA8" s="62">
        <v>6060000</v>
      </c>
      <c r="AB8" s="62">
        <v>2309000</v>
      </c>
      <c r="AC8" s="63">
        <v>0.19889999999999999</v>
      </c>
      <c r="AD8" s="20">
        <v>1</v>
      </c>
      <c r="AE8" s="3" t="e">
        <f>IF(#REF!=hulpblad!AD8,hulpblad!P8,"")</f>
        <v>#REF!</v>
      </c>
      <c r="AF8" s="3"/>
    </row>
    <row r="9" spans="1:32" x14ac:dyDescent="0.25">
      <c r="O9" s="3">
        <v>5</v>
      </c>
      <c r="P9" s="3" t="s">
        <v>202</v>
      </c>
      <c r="Q9" s="20">
        <f>Q8-(2*0.6)</f>
        <v>112.8</v>
      </c>
      <c r="R9" s="20">
        <f>R8-(2*0.6)</f>
        <v>118.8</v>
      </c>
      <c r="S9" s="20">
        <f>S8-(2*0.6)</f>
        <v>3.8</v>
      </c>
      <c r="T9" s="20">
        <f>T8-(2*0.6)</f>
        <v>6.8</v>
      </c>
      <c r="U9" s="62">
        <v>91034</v>
      </c>
      <c r="V9" s="62">
        <v>100951</v>
      </c>
      <c r="W9" s="62">
        <v>32055</v>
      </c>
      <c r="X9" s="62">
        <v>48933</v>
      </c>
      <c r="Y9" s="20">
        <v>2120</v>
      </c>
      <c r="Z9" s="20">
        <v>12</v>
      </c>
      <c r="AA9" s="62">
        <v>5134344</v>
      </c>
      <c r="AB9" s="62">
        <v>190411</v>
      </c>
      <c r="AC9" s="63">
        <v>0.16639999999999999</v>
      </c>
      <c r="AD9" s="20">
        <v>2</v>
      </c>
      <c r="AE9" s="3" t="e">
        <f>IF(#REF!=hulpblad!AD9,hulpblad!P9,"")</f>
        <v>#REF!</v>
      </c>
      <c r="AF9" s="3"/>
    </row>
    <row r="10" spans="1:32" x14ac:dyDescent="0.25">
      <c r="B10" t="s">
        <v>21</v>
      </c>
      <c r="C10" t="s">
        <v>22</v>
      </c>
      <c r="O10" s="3">
        <v>6</v>
      </c>
      <c r="P10" s="3" t="s">
        <v>203</v>
      </c>
      <c r="Q10" s="20">
        <f>Q8-(2*1.2)</f>
        <v>111.6</v>
      </c>
      <c r="R10" s="20">
        <f>R8-(2*1.2)</f>
        <v>117.6</v>
      </c>
      <c r="S10" s="20">
        <f>S8-(2*1.2)</f>
        <v>2.6</v>
      </c>
      <c r="T10" s="20">
        <f>T8-(2*1.2)</f>
        <v>5.6</v>
      </c>
      <c r="U10" s="62">
        <v>75452</v>
      </c>
      <c r="V10" s="62">
        <v>82406</v>
      </c>
      <c r="W10" s="62">
        <v>25864</v>
      </c>
      <c r="X10" s="62">
        <v>39406</v>
      </c>
      <c r="Y10" s="20">
        <v>1706</v>
      </c>
      <c r="Z10" s="20">
        <v>12</v>
      </c>
      <c r="AA10" s="62">
        <v>4210265</v>
      </c>
      <c r="AB10" s="62">
        <v>152086</v>
      </c>
      <c r="AC10" s="63">
        <v>0.13389999999999999</v>
      </c>
      <c r="AD10" s="20">
        <v>3</v>
      </c>
      <c r="AE10" s="3" t="e">
        <f>IF(#REF!=hulpblad!AD10,hulpblad!P10,"")</f>
        <v>#REF!</v>
      </c>
      <c r="AF10" s="3"/>
    </row>
    <row r="11" spans="1:32" x14ac:dyDescent="0.25">
      <c r="B11">
        <v>1.25</v>
      </c>
      <c r="C11">
        <v>1</v>
      </c>
      <c r="O11" s="3">
        <v>7</v>
      </c>
      <c r="P11" s="3" t="s">
        <v>204</v>
      </c>
      <c r="Q11" s="20">
        <v>133</v>
      </c>
      <c r="R11" s="20">
        <v>140</v>
      </c>
      <c r="S11" s="20">
        <v>5.5</v>
      </c>
      <c r="T11" s="20">
        <v>8.5</v>
      </c>
      <c r="U11" s="62">
        <v>155400</v>
      </c>
      <c r="V11" s="62">
        <v>173400</v>
      </c>
      <c r="W11" s="62">
        <v>55600</v>
      </c>
      <c r="X11" s="62">
        <v>84800</v>
      </c>
      <c r="Y11" s="20">
        <v>3142</v>
      </c>
      <c r="Z11" s="20">
        <v>12</v>
      </c>
      <c r="AA11" s="62">
        <v>10330000</v>
      </c>
      <c r="AB11" s="62">
        <v>3890000</v>
      </c>
      <c r="AC11" s="63">
        <v>0.24660000000000001</v>
      </c>
      <c r="AD11" s="20">
        <v>1</v>
      </c>
      <c r="AE11" s="3" t="e">
        <f>IF(#REF!=hulpblad!AD11,hulpblad!P11,"")</f>
        <v>#REF!</v>
      </c>
      <c r="AF11" s="3"/>
    </row>
    <row r="12" spans="1:32" x14ac:dyDescent="0.25">
      <c r="B12">
        <v>1.2</v>
      </c>
      <c r="C12">
        <v>1</v>
      </c>
      <c r="O12" s="3">
        <v>8</v>
      </c>
      <c r="P12" s="3" t="s">
        <v>205</v>
      </c>
      <c r="Q12" s="20">
        <f>Q11-(2*0.6)</f>
        <v>131.80000000000001</v>
      </c>
      <c r="R12" s="20">
        <f>R11-(2*0.6)</f>
        <v>138.80000000000001</v>
      </c>
      <c r="S12" s="20">
        <f>S11-(2*0.6)</f>
        <v>4.3</v>
      </c>
      <c r="T12" s="20">
        <f>T11-(2*0.6)</f>
        <v>7.3</v>
      </c>
      <c r="U12" s="62">
        <v>134096</v>
      </c>
      <c r="V12" s="62">
        <v>148032</v>
      </c>
      <c r="W12" s="62">
        <v>46944</v>
      </c>
      <c r="X12" s="62">
        <v>71482</v>
      </c>
      <c r="Y12" s="20">
        <v>2658</v>
      </c>
      <c r="Z12" s="20">
        <v>12</v>
      </c>
      <c r="AA12" s="62">
        <v>8836939</v>
      </c>
      <c r="AB12" s="62">
        <v>325792</v>
      </c>
      <c r="AC12" s="63">
        <v>0.20860000000000001</v>
      </c>
      <c r="AD12" s="20">
        <v>2</v>
      </c>
      <c r="AE12" s="3" t="e">
        <f>IF(#REF!=hulpblad!AD12,hulpblad!P12,"")</f>
        <v>#REF!</v>
      </c>
      <c r="AF12" s="3"/>
    </row>
    <row r="13" spans="1:32" x14ac:dyDescent="0.25">
      <c r="B13">
        <v>1.5</v>
      </c>
      <c r="C13">
        <v>1</v>
      </c>
      <c r="O13" s="3">
        <v>9</v>
      </c>
      <c r="P13" s="3" t="s">
        <v>206</v>
      </c>
      <c r="Q13" s="20">
        <f>Q11-(2*1.2)</f>
        <v>130.6</v>
      </c>
      <c r="R13" s="20">
        <f>R11-(2*1.2)</f>
        <v>137.6</v>
      </c>
      <c r="S13" s="20">
        <f>S11-(2*1.2)</f>
        <v>3.1</v>
      </c>
      <c r="T13" s="20">
        <f>T11-(2*1.2)</f>
        <v>6.1</v>
      </c>
      <c r="U13" s="62">
        <v>112497</v>
      </c>
      <c r="V13" s="62">
        <v>122559</v>
      </c>
      <c r="W13" s="62">
        <v>38546</v>
      </c>
      <c r="X13" s="62">
        <v>58577</v>
      </c>
      <c r="Y13" s="20">
        <v>2173</v>
      </c>
      <c r="Z13" s="20">
        <v>12</v>
      </c>
      <c r="AA13" s="62">
        <v>7346062</v>
      </c>
      <c r="AB13" s="62">
        <v>265202</v>
      </c>
      <c r="AC13" s="63">
        <v>0.1706</v>
      </c>
      <c r="AD13" s="20">
        <v>3</v>
      </c>
      <c r="AE13" s="3" t="e">
        <f>IF(#REF!=hulpblad!AD13,hulpblad!P13,"")</f>
        <v>#REF!</v>
      </c>
      <c r="AF13" s="3"/>
    </row>
    <row r="14" spans="1:32" x14ac:dyDescent="0.25">
      <c r="B14">
        <v>1.25</v>
      </c>
      <c r="C14">
        <v>1</v>
      </c>
      <c r="O14" s="3">
        <v>10</v>
      </c>
      <c r="P14" s="3" t="s">
        <v>207</v>
      </c>
      <c r="Q14" s="20">
        <v>152</v>
      </c>
      <c r="R14" s="20">
        <v>160</v>
      </c>
      <c r="S14" s="20">
        <v>6</v>
      </c>
      <c r="T14" s="20">
        <v>9</v>
      </c>
      <c r="U14" s="62">
        <v>220100</v>
      </c>
      <c r="V14" s="62">
        <v>245200</v>
      </c>
      <c r="W14" s="62">
        <v>76900</v>
      </c>
      <c r="X14" s="62">
        <v>117600</v>
      </c>
      <c r="Y14" s="20">
        <v>3880</v>
      </c>
      <c r="Z14" s="20">
        <v>15</v>
      </c>
      <c r="AA14" s="62">
        <v>16730000</v>
      </c>
      <c r="AB14" s="62">
        <v>6160000</v>
      </c>
      <c r="AC14" s="63">
        <v>0.3044</v>
      </c>
      <c r="AD14" s="20">
        <v>1</v>
      </c>
      <c r="AE14" s="3" t="e">
        <f>IF(#REF!=hulpblad!AD14,hulpblad!P14,"")</f>
        <v>#REF!</v>
      </c>
      <c r="AF14" s="3"/>
    </row>
    <row r="15" spans="1:32" x14ac:dyDescent="0.25">
      <c r="O15" s="3">
        <v>11</v>
      </c>
      <c r="P15" s="3" t="s">
        <v>208</v>
      </c>
      <c r="Q15" s="20">
        <f>Q14-(2*0.6)</f>
        <v>150.80000000000001</v>
      </c>
      <c r="R15" s="20">
        <f>R14-(2*0.6)</f>
        <v>158.80000000000001</v>
      </c>
      <c r="S15" s="20">
        <f>S14-(2*0.6)</f>
        <v>4.8</v>
      </c>
      <c r="T15" s="20">
        <f>T14-(2*0.6)</f>
        <v>7.8</v>
      </c>
      <c r="U15" s="62">
        <v>192140</v>
      </c>
      <c r="V15" s="62">
        <v>211837</v>
      </c>
      <c r="W15" s="62">
        <v>65686</v>
      </c>
      <c r="X15" s="62">
        <v>100284</v>
      </c>
      <c r="Y15" s="20">
        <v>3325</v>
      </c>
      <c r="Z15" s="20">
        <v>15</v>
      </c>
      <c r="AA15" s="62">
        <v>14487355</v>
      </c>
      <c r="AB15" s="62">
        <v>521554</v>
      </c>
      <c r="AC15" s="63">
        <v>0.26100000000000001</v>
      </c>
      <c r="AD15" s="20">
        <v>2</v>
      </c>
      <c r="AE15" s="3" t="e">
        <f>IF(#REF!=hulpblad!AD15,hulpblad!P15,"")</f>
        <v>#REF!</v>
      </c>
      <c r="AF15" s="3"/>
    </row>
    <row r="16" spans="1:32" x14ac:dyDescent="0.25">
      <c r="O16" s="3">
        <v>12</v>
      </c>
      <c r="P16" s="3" t="s">
        <v>209</v>
      </c>
      <c r="Q16" s="20">
        <f>Q14-(2*1.2)</f>
        <v>149.6</v>
      </c>
      <c r="R16" s="20">
        <f>R14-(2*1.2)</f>
        <v>157.6</v>
      </c>
      <c r="S16" s="20">
        <f>S14-(2*1.2)</f>
        <v>3.6</v>
      </c>
      <c r="T16" s="20">
        <f>T14-(2*1.2)</f>
        <v>6.6</v>
      </c>
      <c r="U16" s="62">
        <v>163652</v>
      </c>
      <c r="V16" s="62">
        <v>178384</v>
      </c>
      <c r="W16" s="62">
        <v>54739</v>
      </c>
      <c r="X16" s="62">
        <v>83444</v>
      </c>
      <c r="Y16" s="20">
        <v>2770</v>
      </c>
      <c r="Z16" s="20">
        <v>15</v>
      </c>
      <c r="AA16" s="62">
        <v>12241170</v>
      </c>
      <c r="AB16" s="62">
        <v>431349</v>
      </c>
      <c r="AC16" s="63">
        <v>0.2175</v>
      </c>
      <c r="AD16" s="20">
        <v>3</v>
      </c>
      <c r="AE16" s="3" t="e">
        <f>IF(#REF!=hulpblad!AD16,hulpblad!P16,"")</f>
        <v>#REF!</v>
      </c>
      <c r="AF16" s="3"/>
    </row>
    <row r="17" spans="1:32" x14ac:dyDescent="0.25">
      <c r="O17" s="3">
        <v>13</v>
      </c>
      <c r="P17" s="3" t="s">
        <v>210</v>
      </c>
      <c r="Q17" s="20">
        <v>171</v>
      </c>
      <c r="R17" s="20">
        <v>180</v>
      </c>
      <c r="S17" s="20">
        <v>6</v>
      </c>
      <c r="T17" s="20">
        <v>9.5</v>
      </c>
      <c r="U17" s="62">
        <v>293600</v>
      </c>
      <c r="V17" s="62">
        <v>324800</v>
      </c>
      <c r="W17" s="62">
        <v>102700</v>
      </c>
      <c r="X17" s="62">
        <v>156400</v>
      </c>
      <c r="Y17" s="20">
        <v>4530</v>
      </c>
      <c r="Z17" s="20">
        <v>15</v>
      </c>
      <c r="AA17" s="62">
        <v>25100000</v>
      </c>
      <c r="AB17" s="62">
        <v>9250000</v>
      </c>
      <c r="AC17" s="63">
        <v>0.35499999999999998</v>
      </c>
      <c r="AD17" s="20">
        <v>1</v>
      </c>
      <c r="AE17" s="3" t="e">
        <f>IF(#REF!=hulpblad!AD17,hulpblad!P17,"")</f>
        <v>#REF!</v>
      </c>
      <c r="AF17" s="3"/>
    </row>
    <row r="18" spans="1:32" x14ac:dyDescent="0.25">
      <c r="O18" s="3">
        <v>14</v>
      </c>
      <c r="P18" s="3" t="s">
        <v>211</v>
      </c>
      <c r="Q18" s="20">
        <f>Q17-(2*0.6)</f>
        <v>169.8</v>
      </c>
      <c r="R18" s="20">
        <f>R17-(2*0.6)</f>
        <v>178.8</v>
      </c>
      <c r="S18" s="20">
        <f>S17-(2*0.6)</f>
        <v>4.8</v>
      </c>
      <c r="T18" s="20">
        <f>T17-(2*0.6)</f>
        <v>8.3000000000000007</v>
      </c>
      <c r="U18" s="62">
        <v>257677</v>
      </c>
      <c r="V18" s="62">
        <v>282405</v>
      </c>
      <c r="W18" s="62">
        <v>88558</v>
      </c>
      <c r="X18" s="62">
        <v>134713</v>
      </c>
      <c r="Y18" s="20">
        <v>3903</v>
      </c>
      <c r="Z18" s="20">
        <v>15</v>
      </c>
      <c r="AA18" s="62">
        <v>21876747</v>
      </c>
      <c r="AB18" s="62">
        <v>7917142</v>
      </c>
      <c r="AC18" s="63">
        <v>0.30630000000000002</v>
      </c>
      <c r="AD18" s="20">
        <v>2</v>
      </c>
      <c r="AE18" s="3" t="e">
        <f>IF(#REF!=hulpblad!AD18,hulpblad!P18,"")</f>
        <v>#REF!</v>
      </c>
      <c r="AF18" s="3"/>
    </row>
    <row r="19" spans="1:32" x14ac:dyDescent="0.25">
      <c r="O19" s="3">
        <v>15</v>
      </c>
      <c r="P19" s="3" t="s">
        <v>212</v>
      </c>
      <c r="Q19" s="20">
        <f>Q17-(2*1.2)</f>
        <v>168.6</v>
      </c>
      <c r="R19" s="20">
        <f>R17-(2*1.2)</f>
        <v>177.6</v>
      </c>
      <c r="S19" s="20">
        <f>S17-(2*1.2)</f>
        <v>3.6</v>
      </c>
      <c r="T19" s="20">
        <f>T17-(2*1.2)</f>
        <v>7.1</v>
      </c>
      <c r="U19" s="62">
        <v>221170</v>
      </c>
      <c r="V19" s="62">
        <v>239788</v>
      </c>
      <c r="W19" s="62">
        <v>74735</v>
      </c>
      <c r="X19" s="62">
        <v>113511</v>
      </c>
      <c r="Y19" s="20">
        <v>3277</v>
      </c>
      <c r="Z19" s="20">
        <v>15</v>
      </c>
      <c r="AA19" s="62">
        <v>18644616</v>
      </c>
      <c r="AB19" s="62">
        <v>6636504</v>
      </c>
      <c r="AC19" s="63">
        <v>0.25719999999999998</v>
      </c>
      <c r="AD19" s="20">
        <v>3</v>
      </c>
      <c r="AE19" s="3" t="e">
        <f>IF(#REF!=hulpblad!AD19,hulpblad!P19,"")</f>
        <v>#REF!</v>
      </c>
      <c r="AF19" s="3"/>
    </row>
    <row r="20" spans="1:32" ht="13" x14ac:dyDescent="0.3">
      <c r="A20" s="10" t="s">
        <v>122</v>
      </c>
      <c r="J20" s="1" t="s">
        <v>122</v>
      </c>
      <c r="O20" s="3">
        <v>16</v>
      </c>
      <c r="P20" s="3" t="s">
        <v>213</v>
      </c>
      <c r="Q20" s="20">
        <v>190</v>
      </c>
      <c r="R20" s="20">
        <v>200</v>
      </c>
      <c r="S20" s="20">
        <v>6.5</v>
      </c>
      <c r="T20" s="20">
        <v>10</v>
      </c>
      <c r="U20" s="62">
        <v>389000</v>
      </c>
      <c r="V20" s="62">
        <v>429400</v>
      </c>
      <c r="W20" s="62">
        <v>133600</v>
      </c>
      <c r="X20" s="62">
        <v>203800</v>
      </c>
      <c r="Y20" s="20">
        <v>5380</v>
      </c>
      <c r="Z20" s="20">
        <v>18</v>
      </c>
      <c r="AA20" s="62">
        <v>36920000</v>
      </c>
      <c r="AB20" s="62">
        <v>13360000</v>
      </c>
      <c r="AC20" s="63">
        <v>0.42299999999999999</v>
      </c>
      <c r="AD20" s="20">
        <v>1</v>
      </c>
      <c r="AE20" s="3" t="e">
        <f>IF(#REF!=hulpblad!AD20,hulpblad!P20,"")</f>
        <v>#REF!</v>
      </c>
      <c r="AF20" s="3"/>
    </row>
    <row r="21" spans="1:32" x14ac:dyDescent="0.25">
      <c r="C21" t="s">
        <v>123</v>
      </c>
      <c r="D21" t="s">
        <v>26</v>
      </c>
      <c r="E21" t="s">
        <v>27</v>
      </c>
      <c r="F21" t="s">
        <v>18</v>
      </c>
      <c r="G21" t="s">
        <v>124</v>
      </c>
      <c r="J21" s="1" t="s">
        <v>123</v>
      </c>
      <c r="K21">
        <v>0.13</v>
      </c>
      <c r="O21" s="3">
        <v>17</v>
      </c>
      <c r="P21" s="3" t="s">
        <v>214</v>
      </c>
      <c r="Q21" s="20">
        <f>Q20-(2*0.6)</f>
        <v>188.8</v>
      </c>
      <c r="R21" s="20">
        <f>R20-(2*0.6)</f>
        <v>198.8</v>
      </c>
      <c r="S21" s="20">
        <f>S20-(2*0.6)</f>
        <v>5.3</v>
      </c>
      <c r="T21" s="20">
        <f>T20-(2*0.6)</f>
        <v>8.8000000000000007</v>
      </c>
      <c r="U21" s="62">
        <v>344145</v>
      </c>
      <c r="V21" s="62">
        <v>377097</v>
      </c>
      <c r="W21" s="62">
        <v>116117</v>
      </c>
      <c r="X21" s="62">
        <v>177030</v>
      </c>
      <c r="Y21" s="20">
        <v>4693</v>
      </c>
      <c r="Z21" s="20">
        <v>18</v>
      </c>
      <c r="AA21" s="62">
        <v>32487331</v>
      </c>
      <c r="AB21" s="62">
        <v>11542052</v>
      </c>
      <c r="AC21" s="63">
        <v>0.36840000000000001</v>
      </c>
      <c r="AD21" s="20">
        <v>2</v>
      </c>
      <c r="AE21" s="3" t="e">
        <f>IF(#REF!=hulpblad!AD21,hulpblad!P21,"")</f>
        <v>#REF!</v>
      </c>
      <c r="AF21" s="3"/>
    </row>
    <row r="22" spans="1:32" x14ac:dyDescent="0.25">
      <c r="A22" t="s">
        <v>125</v>
      </c>
      <c r="C22">
        <v>0.13</v>
      </c>
      <c r="D22">
        <v>0.21</v>
      </c>
      <c r="E22">
        <v>0.34</v>
      </c>
      <c r="F22">
        <v>0.49</v>
      </c>
      <c r="G22">
        <v>0.76</v>
      </c>
      <c r="J22" s="1" t="s">
        <v>123</v>
      </c>
      <c r="K22">
        <v>0.21</v>
      </c>
      <c r="O22" s="3">
        <v>18</v>
      </c>
      <c r="P22" s="3" t="s">
        <v>215</v>
      </c>
      <c r="Q22" s="20">
        <f>Q20-(2*1.2)</f>
        <v>187.6</v>
      </c>
      <c r="R22" s="20">
        <f>R20-(2*1.2)</f>
        <v>197.6</v>
      </c>
      <c r="S22" s="20">
        <f>S20-(2*1.2)</f>
        <v>4.0999999999999996</v>
      </c>
      <c r="T22" s="20">
        <f>T20-(2*1.2)</f>
        <v>7.6</v>
      </c>
      <c r="U22" s="62">
        <v>298821</v>
      </c>
      <c r="V22" s="62">
        <v>324316</v>
      </c>
      <c r="W22" s="62">
        <v>99070</v>
      </c>
      <c r="X22" s="62">
        <v>150860</v>
      </c>
      <c r="Y22" s="20">
        <v>3997</v>
      </c>
      <c r="Z22" s="20">
        <v>18</v>
      </c>
      <c r="AA22" s="62">
        <v>28029445</v>
      </c>
      <c r="AB22" s="62">
        <v>9788190</v>
      </c>
      <c r="AC22" s="63">
        <v>0.31380000000000002</v>
      </c>
      <c r="AD22" s="20">
        <v>3</v>
      </c>
      <c r="AE22" s="3" t="e">
        <f>IF(#REF!=hulpblad!AD22,hulpblad!P22,"")</f>
        <v>#REF!</v>
      </c>
      <c r="AF22" s="3"/>
    </row>
    <row r="23" spans="1:32" x14ac:dyDescent="0.25">
      <c r="J23" s="1" t="s">
        <v>27</v>
      </c>
      <c r="K23">
        <v>0.34</v>
      </c>
      <c r="O23" s="3">
        <v>19</v>
      </c>
      <c r="P23" s="3" t="s">
        <v>216</v>
      </c>
      <c r="Q23" s="20">
        <v>210</v>
      </c>
      <c r="R23" s="20">
        <v>220</v>
      </c>
      <c r="S23" s="20">
        <v>7</v>
      </c>
      <c r="T23" s="20">
        <v>11</v>
      </c>
      <c r="U23" s="62">
        <v>515000</v>
      </c>
      <c r="V23" s="62">
        <v>568400</v>
      </c>
      <c r="W23" s="62">
        <v>177700</v>
      </c>
      <c r="X23" s="62">
        <v>270600</v>
      </c>
      <c r="Y23" s="20">
        <v>6430</v>
      </c>
      <c r="Z23" s="20">
        <v>18</v>
      </c>
      <c r="AA23" s="62">
        <v>54100000</v>
      </c>
      <c r="AB23" s="62">
        <v>19550000</v>
      </c>
      <c r="AC23" s="63">
        <v>0.505</v>
      </c>
      <c r="AD23" s="20">
        <v>1</v>
      </c>
      <c r="AE23" s="3" t="e">
        <f>IF(#REF!=hulpblad!AD23,hulpblad!P23,"")</f>
        <v>#REF!</v>
      </c>
      <c r="AF23" s="3"/>
    </row>
    <row r="24" spans="1:32" x14ac:dyDescent="0.25">
      <c r="J24" s="1" t="s">
        <v>18</v>
      </c>
      <c r="K24">
        <v>0.49</v>
      </c>
      <c r="O24" s="3">
        <v>20</v>
      </c>
      <c r="P24" s="3" t="s">
        <v>217</v>
      </c>
      <c r="Q24" s="20">
        <f>Q23-(2*0.6)</f>
        <v>208.8</v>
      </c>
      <c r="R24" s="20">
        <f>R23-(2*0.6)</f>
        <v>218.8</v>
      </c>
      <c r="S24" s="20">
        <f>S23-(2*0.6)</f>
        <v>5.8</v>
      </c>
      <c r="T24" s="20">
        <f>T23-(2*0.6)</f>
        <v>9.8000000000000007</v>
      </c>
      <c r="U24" s="62">
        <v>460883</v>
      </c>
      <c r="V24" s="62">
        <v>504552</v>
      </c>
      <c r="W24" s="62">
        <v>156575</v>
      </c>
      <c r="X24" s="62">
        <v>238177</v>
      </c>
      <c r="Y24" s="20">
        <v>5672</v>
      </c>
      <c r="Z24" s="20">
        <v>18</v>
      </c>
      <c r="AA24" s="62">
        <v>48116219</v>
      </c>
      <c r="AB24" s="62">
        <v>17129300</v>
      </c>
      <c r="AC24" s="63">
        <v>0.44529999999999997</v>
      </c>
      <c r="AD24" s="20">
        <v>2</v>
      </c>
      <c r="AE24" s="3" t="e">
        <f>IF(#REF!=hulpblad!AD24,hulpblad!P24,"")</f>
        <v>#REF!</v>
      </c>
      <c r="AF24" s="3"/>
    </row>
    <row r="25" spans="1:32" x14ac:dyDescent="0.25">
      <c r="J25" s="1" t="s">
        <v>124</v>
      </c>
      <c r="K25">
        <v>0.76</v>
      </c>
      <c r="O25" s="3">
        <v>21</v>
      </c>
      <c r="P25" s="3" t="s">
        <v>218</v>
      </c>
      <c r="Q25" s="20">
        <f>Q23-(2*1.2)</f>
        <v>207.6</v>
      </c>
      <c r="R25" s="20">
        <f>R23-(2*1.2)</f>
        <v>217.6</v>
      </c>
      <c r="S25" s="20">
        <f>S23-(2*1.2)</f>
        <v>4.5999999999999996</v>
      </c>
      <c r="T25" s="20">
        <f>T23-(2*1.2)</f>
        <v>8.6</v>
      </c>
      <c r="U25" s="62">
        <v>405640</v>
      </c>
      <c r="V25" s="62">
        <v>440205</v>
      </c>
      <c r="W25" s="62">
        <v>135890</v>
      </c>
      <c r="X25" s="62">
        <v>206445</v>
      </c>
      <c r="Y25" s="20">
        <v>4905</v>
      </c>
      <c r="Z25" s="20">
        <v>18</v>
      </c>
      <c r="AA25" s="62">
        <v>42105463</v>
      </c>
      <c r="AB25" s="62">
        <v>14784800</v>
      </c>
      <c r="AC25" s="63">
        <v>0.3851</v>
      </c>
      <c r="AD25" s="20">
        <v>3</v>
      </c>
      <c r="AE25" s="3" t="e">
        <f>IF(#REF!=hulpblad!AD25,hulpblad!P25,"")</f>
        <v>#REF!</v>
      </c>
      <c r="AF25" s="3"/>
    </row>
    <row r="26" spans="1:32" x14ac:dyDescent="0.25">
      <c r="O26" s="3">
        <v>22</v>
      </c>
      <c r="P26" s="3" t="s">
        <v>219</v>
      </c>
      <c r="Q26" s="20">
        <v>230</v>
      </c>
      <c r="R26" s="20">
        <v>240</v>
      </c>
      <c r="S26" s="20">
        <v>7.5</v>
      </c>
      <c r="T26" s="20">
        <v>12</v>
      </c>
      <c r="U26" s="62">
        <v>675000</v>
      </c>
      <c r="V26" s="62">
        <v>744000</v>
      </c>
      <c r="W26" s="62">
        <v>230700</v>
      </c>
      <c r="X26" s="62">
        <v>351600</v>
      </c>
      <c r="Y26" s="20">
        <v>7680</v>
      </c>
      <c r="Z26" s="20">
        <v>21</v>
      </c>
      <c r="AA26" s="62">
        <v>77630000</v>
      </c>
      <c r="AB26" s="62">
        <v>27690000</v>
      </c>
      <c r="AC26" s="63">
        <v>0.60299999999999998</v>
      </c>
      <c r="AD26" s="20">
        <v>1</v>
      </c>
      <c r="AE26" s="3" t="e">
        <f>IF(#REF!=hulpblad!AD26,hulpblad!P26,"")</f>
        <v>#REF!</v>
      </c>
      <c r="AF26" s="3"/>
    </row>
    <row r="27" spans="1:32" x14ac:dyDescent="0.25">
      <c r="J27" s="1" t="s">
        <v>126</v>
      </c>
      <c r="O27" s="3">
        <v>23</v>
      </c>
      <c r="P27" s="3" t="s">
        <v>220</v>
      </c>
      <c r="Q27" s="20">
        <f>Q26-(2*0.6)</f>
        <v>228.8</v>
      </c>
      <c r="R27" s="20">
        <f>R26-(2*0.6)</f>
        <v>238.8</v>
      </c>
      <c r="S27" s="20">
        <f>S26-(2*0.6)</f>
        <v>6.3</v>
      </c>
      <c r="T27" s="20">
        <f>T26-(2*0.6)</f>
        <v>10.8</v>
      </c>
      <c r="U27" s="62">
        <v>610315</v>
      </c>
      <c r="V27" s="62">
        <v>668404</v>
      </c>
      <c r="W27" s="62">
        <v>205587</v>
      </c>
      <c r="X27" s="62">
        <v>313087</v>
      </c>
      <c r="Y27" s="20">
        <v>6854</v>
      </c>
      <c r="Z27" s="20">
        <v>21</v>
      </c>
      <c r="AA27" s="62">
        <v>69819991</v>
      </c>
      <c r="AB27" s="62">
        <v>24547100</v>
      </c>
      <c r="AC27" s="63">
        <v>0.53800000000000003</v>
      </c>
      <c r="AD27" s="20">
        <v>2</v>
      </c>
      <c r="AE27" s="3" t="e">
        <f>IF(#REF!=hulpblad!AD27,hulpblad!P27,"")</f>
        <v>#REF!</v>
      </c>
      <c r="AF27" s="3"/>
    </row>
    <row r="28" spans="1:32" x14ac:dyDescent="0.25">
      <c r="J28" s="1" t="s">
        <v>127</v>
      </c>
      <c r="O28" s="3">
        <v>24</v>
      </c>
      <c r="P28" s="3" t="s">
        <v>221</v>
      </c>
      <c r="Q28" s="20">
        <f>Q26-(2*1.2)</f>
        <v>227.6</v>
      </c>
      <c r="R28" s="20">
        <f>R26-(2*1.2)</f>
        <v>237.6</v>
      </c>
      <c r="S28" s="20">
        <f>S26-(2*1.2)</f>
        <v>5.0999999999999996</v>
      </c>
      <c r="T28" s="20">
        <f>T26-(2*1.2)</f>
        <v>9.6</v>
      </c>
      <c r="U28" s="62">
        <v>544331</v>
      </c>
      <c r="V28" s="62">
        <v>591413</v>
      </c>
      <c r="W28" s="62">
        <v>180902</v>
      </c>
      <c r="X28" s="62">
        <v>275193</v>
      </c>
      <c r="Y28" s="20">
        <v>6015</v>
      </c>
      <c r="Z28" s="20">
        <v>21</v>
      </c>
      <c r="AA28" s="62">
        <v>61944819</v>
      </c>
      <c r="AB28" s="62">
        <v>21491200</v>
      </c>
      <c r="AC28" s="63">
        <v>0.47220000000000001</v>
      </c>
      <c r="AD28" s="20">
        <v>3</v>
      </c>
      <c r="AE28" s="3" t="e">
        <f>IF(#REF!=hulpblad!AD28,hulpblad!P28,"")</f>
        <v>#REF!</v>
      </c>
      <c r="AF28" s="3"/>
    </row>
    <row r="29" spans="1:32" x14ac:dyDescent="0.25">
      <c r="J29" s="1" t="s">
        <v>128</v>
      </c>
      <c r="O29" s="3">
        <v>25</v>
      </c>
      <c r="P29" s="3" t="s">
        <v>222</v>
      </c>
      <c r="Q29" s="20">
        <f>Q30+1.2</f>
        <v>250</v>
      </c>
      <c r="R29" s="20">
        <f>R30+1.2</f>
        <v>260</v>
      </c>
      <c r="S29" s="20">
        <f>S30+1.2</f>
        <v>7.5</v>
      </c>
      <c r="T29" s="20">
        <f>T30+1.2</f>
        <v>12.5</v>
      </c>
      <c r="U29" s="62">
        <v>836000</v>
      </c>
      <c r="V29" s="62">
        <v>920000</v>
      </c>
      <c r="W29" s="62">
        <v>282100</v>
      </c>
      <c r="X29" s="62">
        <v>430200</v>
      </c>
      <c r="Y29" s="20">
        <v>8680</v>
      </c>
      <c r="Z29" s="20">
        <v>24</v>
      </c>
      <c r="AA29" s="62">
        <v>104600000</v>
      </c>
      <c r="AB29" s="62">
        <v>36680000</v>
      </c>
      <c r="AC29" s="63">
        <v>0.68200000000000005</v>
      </c>
      <c r="AD29" s="20">
        <v>1</v>
      </c>
      <c r="AE29" s="3" t="e">
        <f>IF(#REF!=hulpblad!AD29,hulpblad!P29,"")</f>
        <v>#REF!</v>
      </c>
      <c r="AF29" s="3"/>
    </row>
    <row r="30" spans="1:32" ht="13" x14ac:dyDescent="0.3">
      <c r="A30" s="10"/>
      <c r="O30" s="3">
        <v>26</v>
      </c>
      <c r="P30" s="3" t="s">
        <v>223</v>
      </c>
      <c r="Q30" s="20">
        <v>248.8</v>
      </c>
      <c r="R30" s="20">
        <v>258.8</v>
      </c>
      <c r="S30" s="20">
        <v>6.3</v>
      </c>
      <c r="T30" s="20">
        <v>11.3</v>
      </c>
      <c r="U30" s="62">
        <v>759904</v>
      </c>
      <c r="V30" s="62">
        <v>829993</v>
      </c>
      <c r="W30" s="62">
        <v>252695</v>
      </c>
      <c r="X30" s="62">
        <v>385055</v>
      </c>
      <c r="Y30" s="20">
        <v>7784</v>
      </c>
      <c r="Z30" s="20">
        <v>24</v>
      </c>
      <c r="AA30" s="64">
        <v>94532019</v>
      </c>
      <c r="AB30" s="62">
        <v>32698800</v>
      </c>
      <c r="AC30" s="63">
        <v>0.61099999999999999</v>
      </c>
      <c r="AD30" s="20">
        <v>2</v>
      </c>
      <c r="AE30" s="3" t="e">
        <f>IF(#REF!=hulpblad!AD30,hulpblad!P30,"")</f>
        <v>#REF!</v>
      </c>
      <c r="AF30" s="3"/>
    </row>
    <row r="31" spans="1:32" ht="13" x14ac:dyDescent="0.3">
      <c r="A31" s="10"/>
      <c r="J31">
        <v>1</v>
      </c>
      <c r="O31" s="3">
        <v>27</v>
      </c>
      <c r="P31" s="3" t="s">
        <v>224</v>
      </c>
      <c r="Q31" s="20">
        <f>Q29-(2*1.2)</f>
        <v>247.6</v>
      </c>
      <c r="R31" s="20">
        <f>R29-(2*1.2)</f>
        <v>257.60000000000002</v>
      </c>
      <c r="S31" s="20">
        <f>S29-(2*1.2)</f>
        <v>5.0999999999999996</v>
      </c>
      <c r="T31" s="20">
        <f>T29-(2*1.2)</f>
        <v>10.1</v>
      </c>
      <c r="U31" s="62">
        <v>681751</v>
      </c>
      <c r="V31" s="62">
        <v>739007</v>
      </c>
      <c r="W31" s="62">
        <v>223763</v>
      </c>
      <c r="X31" s="62">
        <v>340668</v>
      </c>
      <c r="Y31" s="20">
        <v>6873</v>
      </c>
      <c r="Z31" s="20">
        <v>24</v>
      </c>
      <c r="AA31" s="64">
        <v>84400731</v>
      </c>
      <c r="AB31" s="62">
        <v>28820700</v>
      </c>
      <c r="AC31" s="63">
        <v>0.53949999999999998</v>
      </c>
      <c r="AD31" s="20">
        <v>3</v>
      </c>
      <c r="AE31" s="3" t="e">
        <f>IF(#REF!=hulpblad!AD31,hulpblad!P31,"")</f>
        <v>#REF!</v>
      </c>
      <c r="AF31" s="3"/>
    </row>
    <row r="32" spans="1:32" x14ac:dyDescent="0.25">
      <c r="A32" s="1"/>
      <c r="J32">
        <v>2</v>
      </c>
      <c r="O32" s="3">
        <v>28</v>
      </c>
      <c r="P32" s="3" t="s">
        <v>225</v>
      </c>
      <c r="Q32" s="20">
        <f>Q33+1.2</f>
        <v>270</v>
      </c>
      <c r="R32" s="20">
        <f>R33+1.2</f>
        <v>280</v>
      </c>
      <c r="S32" s="20">
        <f>S33+1.2</f>
        <v>8</v>
      </c>
      <c r="T32" s="20">
        <f>T33+1.2</f>
        <v>13</v>
      </c>
      <c r="U32" s="62">
        <v>1013000</v>
      </c>
      <c r="V32" s="62">
        <v>1112000</v>
      </c>
      <c r="W32" s="62">
        <v>340000</v>
      </c>
      <c r="X32" s="62">
        <v>518200</v>
      </c>
      <c r="Y32" s="20">
        <v>9730</v>
      </c>
      <c r="Z32" s="20">
        <v>24</v>
      </c>
      <c r="AA32" s="62">
        <v>136700000</v>
      </c>
      <c r="AB32" s="62">
        <v>47630000</v>
      </c>
      <c r="AC32" s="63">
        <v>0.76400000000000001</v>
      </c>
      <c r="AD32" s="20">
        <v>1</v>
      </c>
      <c r="AE32" s="3" t="e">
        <f>IF(#REF!=hulpblad!AD32,hulpblad!P32,"")</f>
        <v>#REF!</v>
      </c>
      <c r="AF32" s="3"/>
    </row>
    <row r="33" spans="1:32" x14ac:dyDescent="0.25">
      <c r="B33" s="18"/>
      <c r="C33" s="18"/>
      <c r="D33" s="18"/>
      <c r="J33">
        <v>3</v>
      </c>
      <c r="O33" s="3">
        <v>29</v>
      </c>
      <c r="P33" s="3" t="s">
        <v>226</v>
      </c>
      <c r="Q33" s="20">
        <v>268.8</v>
      </c>
      <c r="R33" s="20">
        <v>278.8</v>
      </c>
      <c r="S33" s="20">
        <v>6.8</v>
      </c>
      <c r="T33" s="20">
        <v>11.8</v>
      </c>
      <c r="U33" s="62">
        <v>932347</v>
      </c>
      <c r="V33" s="62">
        <v>1022420</v>
      </c>
      <c r="W33" s="62">
        <v>306205</v>
      </c>
      <c r="X33" s="62">
        <v>467104</v>
      </c>
      <c r="Y33" s="20">
        <v>8757</v>
      </c>
      <c r="Z33" s="20">
        <v>24</v>
      </c>
      <c r="AA33" s="64">
        <v>125307403</v>
      </c>
      <c r="AB33" s="62">
        <v>42684900</v>
      </c>
      <c r="AC33" s="63">
        <v>0.70660000000000001</v>
      </c>
      <c r="AD33" s="20">
        <v>2</v>
      </c>
      <c r="AE33" s="3" t="e">
        <f>IF(#REF!=hulpblad!AD33,hulpblad!P33,"")</f>
        <v>#REF!</v>
      </c>
      <c r="AF33" s="3"/>
    </row>
    <row r="34" spans="1:32" x14ac:dyDescent="0.25">
      <c r="E34" s="38"/>
      <c r="F34" s="38"/>
      <c r="O34" s="3">
        <v>30</v>
      </c>
      <c r="P34" s="3" t="s">
        <v>227</v>
      </c>
      <c r="Q34" s="20">
        <f>Q32-(2*1.2)</f>
        <v>267.60000000000002</v>
      </c>
      <c r="R34" s="20">
        <f>R32-(2*1.2)</f>
        <v>277.60000000000002</v>
      </c>
      <c r="S34" s="20">
        <f>S32-(2*1.2)</f>
        <v>5.6</v>
      </c>
      <c r="T34" s="20">
        <f>T32-(2*1.2)</f>
        <v>10.6</v>
      </c>
      <c r="U34" s="62">
        <v>831749</v>
      </c>
      <c r="V34" s="62">
        <v>901234</v>
      </c>
      <c r="W34" s="62">
        <v>272641</v>
      </c>
      <c r="X34" s="62">
        <v>414569</v>
      </c>
      <c r="Y34" s="20">
        <v>7775</v>
      </c>
      <c r="Z34" s="20">
        <v>24</v>
      </c>
      <c r="AA34" s="64">
        <v>111287985</v>
      </c>
      <c r="AB34" s="62">
        <v>37842500</v>
      </c>
      <c r="AC34" s="63">
        <v>0.61029999999999995</v>
      </c>
      <c r="AD34" s="20">
        <v>3</v>
      </c>
      <c r="AE34" s="3" t="e">
        <f>IF(#REF!=hulpblad!AD34,hulpblad!P34,"")</f>
        <v>#REF!</v>
      </c>
      <c r="AF34" s="3"/>
    </row>
    <row r="35" spans="1:32" x14ac:dyDescent="0.25">
      <c r="E35" s="38"/>
      <c r="F35" s="38"/>
      <c r="O35" s="3">
        <v>31</v>
      </c>
      <c r="P35" s="3" t="s">
        <v>228</v>
      </c>
      <c r="Q35" s="20">
        <f>Q36+1.2</f>
        <v>290</v>
      </c>
      <c r="R35" s="20">
        <f>R36+1.2</f>
        <v>300</v>
      </c>
      <c r="S35" s="20">
        <f>S36+1.2</f>
        <v>8.5</v>
      </c>
      <c r="T35" s="20">
        <f>T36+1.2</f>
        <v>14</v>
      </c>
      <c r="U35" s="62">
        <v>1260000</v>
      </c>
      <c r="V35" s="62">
        <v>1384000</v>
      </c>
      <c r="W35" s="62">
        <v>421000</v>
      </c>
      <c r="X35" s="62">
        <v>642000</v>
      </c>
      <c r="Y35" s="20">
        <v>11250</v>
      </c>
      <c r="Z35" s="20">
        <v>27</v>
      </c>
      <c r="AA35" s="62">
        <v>182600000</v>
      </c>
      <c r="AB35" s="62">
        <v>63100000</v>
      </c>
      <c r="AC35" s="63">
        <v>0.88300000000000001</v>
      </c>
      <c r="AD35" s="20">
        <v>1</v>
      </c>
      <c r="AE35" s="3" t="e">
        <f>IF(#REF!=hulpblad!AD35,hulpblad!P35,"")</f>
        <v>#REF!</v>
      </c>
      <c r="AF35" s="3"/>
    </row>
    <row r="36" spans="1:32" x14ac:dyDescent="0.25">
      <c r="O36" s="3">
        <v>32</v>
      </c>
      <c r="P36" s="3" t="s">
        <v>229</v>
      </c>
      <c r="Q36" s="20">
        <v>288.8</v>
      </c>
      <c r="R36" s="20">
        <v>298.8</v>
      </c>
      <c r="S36" s="20">
        <v>7.3</v>
      </c>
      <c r="T36" s="20">
        <v>12.8</v>
      </c>
      <c r="U36" s="62">
        <v>1153817</v>
      </c>
      <c r="V36" s="62">
        <v>1262940</v>
      </c>
      <c r="W36" s="62">
        <v>356473</v>
      </c>
      <c r="X36" s="62">
        <v>543618</v>
      </c>
      <c r="Y36" s="20">
        <v>10187</v>
      </c>
      <c r="Z36" s="20">
        <v>27</v>
      </c>
      <c r="AA36" s="62">
        <v>162158917</v>
      </c>
      <c r="AB36" s="62">
        <v>56999584</v>
      </c>
      <c r="AC36" s="63">
        <v>0.78180000000000005</v>
      </c>
      <c r="AD36" s="20">
        <v>2</v>
      </c>
      <c r="AE36" s="3" t="e">
        <f>IF(#REF!=hulpblad!AD36,hulpblad!P36,"")</f>
        <v>#REF!</v>
      </c>
      <c r="AF36" s="3"/>
    </row>
    <row r="37" spans="1:32" x14ac:dyDescent="0.25">
      <c r="B37" s="19"/>
      <c r="C37" s="19"/>
      <c r="D37" s="19"/>
      <c r="O37" s="3">
        <v>33</v>
      </c>
      <c r="P37" s="3" t="s">
        <v>230</v>
      </c>
      <c r="Q37" s="20">
        <f>Q35-(2*1.2)</f>
        <v>287.60000000000002</v>
      </c>
      <c r="R37" s="20">
        <f>R35-(2*1.2)</f>
        <v>297.60000000000002</v>
      </c>
      <c r="S37" s="20">
        <f>S35-(2*1.2)</f>
        <v>6.1</v>
      </c>
      <c r="T37" s="20">
        <f>T35-(2*1.2)</f>
        <v>11.6</v>
      </c>
      <c r="U37" s="62">
        <v>1051630</v>
      </c>
      <c r="V37" s="62">
        <v>1140710</v>
      </c>
      <c r="W37" s="62">
        <v>342973</v>
      </c>
      <c r="X37" s="62">
        <v>522071</v>
      </c>
      <c r="Y37" s="20">
        <v>9162</v>
      </c>
      <c r="Z37" s="20">
        <v>27</v>
      </c>
      <c r="AA37" s="62">
        <v>151225082</v>
      </c>
      <c r="AB37" s="62">
        <v>51034400</v>
      </c>
      <c r="AC37" s="63">
        <v>0.71919999999999995</v>
      </c>
      <c r="AD37" s="20">
        <v>3</v>
      </c>
      <c r="AE37" s="3" t="e">
        <f>IF(#REF!=hulpblad!AD37,hulpblad!P37,"")</f>
        <v>#REF!</v>
      </c>
      <c r="AF37" s="3"/>
    </row>
    <row r="38" spans="1:32" x14ac:dyDescent="0.25">
      <c r="O38" s="3">
        <v>34</v>
      </c>
      <c r="P38" s="3" t="s">
        <v>231</v>
      </c>
      <c r="Q38" s="20">
        <f>Q39+1.2</f>
        <v>310</v>
      </c>
      <c r="R38" s="20">
        <f>R39+1.2</f>
        <v>300</v>
      </c>
      <c r="S38" s="20">
        <f>S39+1.2</f>
        <v>9</v>
      </c>
      <c r="T38" s="20">
        <f>T39+1.2</f>
        <v>15.5</v>
      </c>
      <c r="U38" s="62">
        <v>1479000</v>
      </c>
      <c r="V38" s="62">
        <v>1628000</v>
      </c>
      <c r="W38" s="62">
        <v>466000</v>
      </c>
      <c r="X38" s="62">
        <v>710000</v>
      </c>
      <c r="Y38" s="20">
        <v>12440</v>
      </c>
      <c r="Z38" s="20">
        <v>27</v>
      </c>
      <c r="AA38" s="62">
        <v>229300000</v>
      </c>
      <c r="AB38" s="62">
        <v>69850000</v>
      </c>
      <c r="AC38" s="63">
        <v>0.97599999999999998</v>
      </c>
      <c r="AD38" s="20">
        <v>1</v>
      </c>
      <c r="AE38" s="3" t="e">
        <f>IF(#REF!=hulpblad!AD38,hulpblad!P38,"")</f>
        <v>#REF!</v>
      </c>
      <c r="AF38" s="3"/>
    </row>
    <row r="39" spans="1:32" x14ac:dyDescent="0.25">
      <c r="O39" s="3">
        <v>35</v>
      </c>
      <c r="P39" s="3" t="s">
        <v>232</v>
      </c>
      <c r="Q39" s="20">
        <v>308.8</v>
      </c>
      <c r="R39" s="20">
        <v>298.8</v>
      </c>
      <c r="S39" s="20">
        <v>7.8</v>
      </c>
      <c r="T39" s="20">
        <v>14.3</v>
      </c>
      <c r="U39" s="62">
        <v>1368700</v>
      </c>
      <c r="V39" s="62">
        <v>1497840</v>
      </c>
      <c r="W39" s="62">
        <v>426203</v>
      </c>
      <c r="X39" s="62">
        <v>649102</v>
      </c>
      <c r="Y39" s="20">
        <v>11376</v>
      </c>
      <c r="Z39" s="20">
        <v>27</v>
      </c>
      <c r="AA39" s="64">
        <v>211328001</v>
      </c>
      <c r="AB39" s="62">
        <v>63674700</v>
      </c>
      <c r="AC39" s="63">
        <v>0.89300000000000002</v>
      </c>
      <c r="AD39" s="20">
        <v>2</v>
      </c>
      <c r="AE39" s="3" t="e">
        <f>IF(#REF!=hulpblad!AD39,hulpblad!P39,"")</f>
        <v>#REF!</v>
      </c>
      <c r="AF39" s="3"/>
    </row>
    <row r="40" spans="1:32" ht="13" x14ac:dyDescent="0.3">
      <c r="A40" s="10"/>
      <c r="O40" s="3">
        <v>36</v>
      </c>
      <c r="P40" s="3" t="s">
        <v>233</v>
      </c>
      <c r="Q40" s="20">
        <f>Q38-(2*1.2)</f>
        <v>307.60000000000002</v>
      </c>
      <c r="R40" s="20">
        <f>R38-(2*1.2)</f>
        <v>297.60000000000002</v>
      </c>
      <c r="S40" s="20">
        <f>S38-(2*1.2)</f>
        <v>6.6</v>
      </c>
      <c r="T40" s="20">
        <f>T38-(2*1.2)</f>
        <v>13.1</v>
      </c>
      <c r="U40" s="62">
        <v>1255680</v>
      </c>
      <c r="V40" s="62">
        <v>1365570</v>
      </c>
      <c r="W40" s="62">
        <v>387288</v>
      </c>
      <c r="X40" s="62">
        <v>589261</v>
      </c>
      <c r="Y40" s="20">
        <v>10299</v>
      </c>
      <c r="Z40" s="20">
        <v>27</v>
      </c>
      <c r="AA40" s="64">
        <v>193123372</v>
      </c>
      <c r="AB40" s="62">
        <v>57628400</v>
      </c>
      <c r="AC40" s="63">
        <v>0.8085</v>
      </c>
      <c r="AD40" s="20">
        <v>3</v>
      </c>
      <c r="AE40" s="3" t="e">
        <f>IF(#REF!=hulpblad!AD40,hulpblad!P40,"")</f>
        <v>#REF!</v>
      </c>
      <c r="AF40" s="3"/>
    </row>
    <row r="41" spans="1:32" ht="13" x14ac:dyDescent="0.3">
      <c r="A41" s="10"/>
      <c r="O41" s="3">
        <v>37</v>
      </c>
      <c r="P41" s="3" t="s">
        <v>234</v>
      </c>
      <c r="Q41" s="20">
        <f>Q42+1.2</f>
        <v>330</v>
      </c>
      <c r="R41" s="20">
        <f>R42+1.2</f>
        <v>300</v>
      </c>
      <c r="S41" s="20">
        <f>S42+1.2</f>
        <v>9.5</v>
      </c>
      <c r="T41" s="20">
        <f>T42+1.2</f>
        <v>16.5</v>
      </c>
      <c r="U41" s="62">
        <v>1678000</v>
      </c>
      <c r="V41" s="62">
        <v>1850000</v>
      </c>
      <c r="W41" s="62">
        <v>496000</v>
      </c>
      <c r="X41" s="62">
        <v>756000</v>
      </c>
      <c r="Y41" s="20">
        <v>13350</v>
      </c>
      <c r="Z41" s="20">
        <v>27</v>
      </c>
      <c r="AA41" s="62">
        <v>276900000</v>
      </c>
      <c r="AB41" s="62">
        <v>74360000</v>
      </c>
      <c r="AC41" s="63">
        <v>1.048</v>
      </c>
      <c r="AD41" s="20">
        <v>1</v>
      </c>
      <c r="AE41" s="3" t="e">
        <f>IF(#REF!=hulpblad!AD41,hulpblad!P41,"")</f>
        <v>#REF!</v>
      </c>
      <c r="AF41" s="3"/>
    </row>
    <row r="42" spans="1:32" ht="13" x14ac:dyDescent="0.3">
      <c r="A42" s="10"/>
      <c r="O42" s="3">
        <v>38</v>
      </c>
      <c r="P42" s="3" t="s">
        <v>235</v>
      </c>
      <c r="Q42" s="20">
        <v>328.8</v>
      </c>
      <c r="R42" s="20">
        <v>298.8</v>
      </c>
      <c r="S42" s="20">
        <v>8.3000000000000007</v>
      </c>
      <c r="T42" s="20">
        <v>15.3</v>
      </c>
      <c r="U42" s="62">
        <v>1559450</v>
      </c>
      <c r="V42" s="62">
        <v>1709920</v>
      </c>
      <c r="W42" s="62">
        <v>456006</v>
      </c>
      <c r="X42" s="62">
        <v>694778</v>
      </c>
      <c r="Y42" s="20">
        <v>12263</v>
      </c>
      <c r="Z42" s="20">
        <v>27</v>
      </c>
      <c r="AA42" s="64">
        <v>256372847</v>
      </c>
      <c r="AB42" s="62">
        <v>68127300</v>
      </c>
      <c r="AC42" s="63">
        <v>0.9627</v>
      </c>
      <c r="AD42" s="20">
        <v>2</v>
      </c>
      <c r="AE42" s="3" t="e">
        <f>IF(#REF!=hulpblad!AD42,hulpblad!P42,"")</f>
        <v>#REF!</v>
      </c>
      <c r="AF42" s="3"/>
    </row>
    <row r="43" spans="1:32" ht="13" x14ac:dyDescent="0.3">
      <c r="A43" s="10"/>
      <c r="C43" s="16"/>
      <c r="D43" s="37"/>
      <c r="G43" s="16"/>
      <c r="H43" s="37"/>
      <c r="O43" s="3">
        <v>39</v>
      </c>
      <c r="P43" s="3" t="s">
        <v>236</v>
      </c>
      <c r="Q43" s="20">
        <f>Q41-(2*1.2)</f>
        <v>327.60000000000002</v>
      </c>
      <c r="R43" s="20">
        <f>R41-(2*1.2)</f>
        <v>297.60000000000002</v>
      </c>
      <c r="S43" s="20">
        <f>S41-(2*1.2)</f>
        <v>7.1</v>
      </c>
      <c r="T43" s="20">
        <f>T41-(2*1.2)</f>
        <v>14.1</v>
      </c>
      <c r="U43" s="62">
        <v>1437920</v>
      </c>
      <c r="V43" s="62">
        <v>1567190</v>
      </c>
      <c r="W43" s="62">
        <v>416845</v>
      </c>
      <c r="X43" s="62">
        <v>634414</v>
      </c>
      <c r="Y43" s="20">
        <v>11163</v>
      </c>
      <c r="Z43" s="20">
        <v>27</v>
      </c>
      <c r="AA43" s="64">
        <v>235531446</v>
      </c>
      <c r="AB43" s="62">
        <v>62026500</v>
      </c>
      <c r="AC43" s="63">
        <v>0.87629999999999997</v>
      </c>
      <c r="AD43" s="20">
        <v>3</v>
      </c>
      <c r="AE43" s="3" t="e">
        <f>IF(#REF!=hulpblad!AD43,hulpblad!P43,"")</f>
        <v>#REF!</v>
      </c>
      <c r="AF43" s="3"/>
    </row>
    <row r="44" spans="1:32" x14ac:dyDescent="0.25">
      <c r="C44" s="7"/>
      <c r="D44" s="7"/>
      <c r="G44" s="7"/>
      <c r="H44" s="7"/>
      <c r="O44" s="3">
        <v>40</v>
      </c>
      <c r="P44" s="3" t="s">
        <v>237</v>
      </c>
      <c r="Q44" s="20">
        <f>Q45+1.2</f>
        <v>350</v>
      </c>
      <c r="R44" s="20">
        <f>R45+1.2</f>
        <v>300</v>
      </c>
      <c r="S44" s="20">
        <f>S45+1.2</f>
        <v>10</v>
      </c>
      <c r="T44" s="20">
        <f>T45+1.2</f>
        <v>17.5</v>
      </c>
      <c r="U44" s="62">
        <v>1891000</v>
      </c>
      <c r="V44" s="62">
        <v>2088000</v>
      </c>
      <c r="W44" s="62">
        <v>526000</v>
      </c>
      <c r="X44" s="62">
        <v>802000</v>
      </c>
      <c r="Y44" s="20">
        <v>14280</v>
      </c>
      <c r="Z44" s="20">
        <v>27</v>
      </c>
      <c r="AA44" s="62">
        <v>330900000</v>
      </c>
      <c r="AB44" s="62">
        <v>78870000</v>
      </c>
      <c r="AC44" s="63">
        <v>1.121</v>
      </c>
      <c r="AD44" s="20">
        <v>1</v>
      </c>
      <c r="AE44" s="3" t="e">
        <f>IF(#REF!=hulpblad!AD44,hulpblad!P44,"")</f>
        <v>#REF!</v>
      </c>
      <c r="AF44" s="3"/>
    </row>
    <row r="45" spans="1:32" x14ac:dyDescent="0.25">
      <c r="C45" s="7"/>
      <c r="D45" s="7"/>
      <c r="G45" s="7"/>
      <c r="H45" s="7"/>
      <c r="O45" s="3">
        <v>41</v>
      </c>
      <c r="P45" s="3" t="s">
        <v>238</v>
      </c>
      <c r="Q45" s="20">
        <v>348.8</v>
      </c>
      <c r="R45" s="20">
        <v>298.8</v>
      </c>
      <c r="S45" s="20">
        <v>8.8000000000000007</v>
      </c>
      <c r="T45" s="20">
        <v>16.3</v>
      </c>
      <c r="U45" s="62">
        <v>1763410</v>
      </c>
      <c r="V45" s="62">
        <v>1937390</v>
      </c>
      <c r="W45" s="62">
        <v>485814</v>
      </c>
      <c r="X45" s="62">
        <v>740566</v>
      </c>
      <c r="Y45" s="20">
        <v>13168</v>
      </c>
      <c r="Z45" s="20">
        <v>27</v>
      </c>
      <c r="AA45" s="64">
        <v>307538312</v>
      </c>
      <c r="AB45" s="62">
        <v>72580600</v>
      </c>
      <c r="AC45" s="63">
        <v>1.0337000000000001</v>
      </c>
      <c r="AD45" s="20">
        <v>2</v>
      </c>
      <c r="AE45" s="3" t="e">
        <f>IF(#REF!=hulpblad!AD45,hulpblad!P45,"")</f>
        <v>#REF!</v>
      </c>
      <c r="AF45" s="3"/>
    </row>
    <row r="46" spans="1:32" x14ac:dyDescent="0.25">
      <c r="O46" s="3">
        <v>42</v>
      </c>
      <c r="P46" s="3" t="s">
        <v>239</v>
      </c>
      <c r="Q46" s="20">
        <f>Q44-(2*1.2)</f>
        <v>347.6</v>
      </c>
      <c r="R46" s="20">
        <f>R44-(2*1.2)</f>
        <v>297.60000000000002</v>
      </c>
      <c r="S46" s="20">
        <f>S44-(2*1.2)</f>
        <v>7.6</v>
      </c>
      <c r="T46" s="20">
        <f>T44-(2*1.2)</f>
        <v>15.1</v>
      </c>
      <c r="U46" s="62">
        <v>1633240</v>
      </c>
      <c r="V46" s="62">
        <v>1783980</v>
      </c>
      <c r="W46" s="62">
        <v>446406</v>
      </c>
      <c r="X46" s="62">
        <v>679669</v>
      </c>
      <c r="Y46" s="20">
        <v>12045</v>
      </c>
      <c r="Z46" s="20">
        <v>27</v>
      </c>
      <c r="AA46" s="64">
        <v>283856559</v>
      </c>
      <c r="AB46" s="62">
        <v>66425200</v>
      </c>
      <c r="AC46" s="63">
        <v>0.94550000000000001</v>
      </c>
      <c r="AD46" s="20">
        <v>3</v>
      </c>
      <c r="AE46" s="3" t="e">
        <f>IF(#REF!=hulpblad!AD46,hulpblad!P46,"")</f>
        <v>#REF!</v>
      </c>
      <c r="AF46" s="3"/>
    </row>
    <row r="47" spans="1:32" x14ac:dyDescent="0.25">
      <c r="O47" s="3">
        <v>43</v>
      </c>
      <c r="P47" s="3" t="s">
        <v>240</v>
      </c>
      <c r="Q47" s="20">
        <f>Q48+1.2</f>
        <v>390</v>
      </c>
      <c r="R47" s="20">
        <f>R48+1.2</f>
        <v>300</v>
      </c>
      <c r="S47" s="20">
        <f>S48+1.2</f>
        <v>11</v>
      </c>
      <c r="T47" s="20">
        <f>T48+1.2</f>
        <v>19</v>
      </c>
      <c r="U47" s="62">
        <v>2311000</v>
      </c>
      <c r="V47" s="62">
        <v>2562000</v>
      </c>
      <c r="W47" s="62">
        <v>571000</v>
      </c>
      <c r="X47" s="62">
        <v>872000</v>
      </c>
      <c r="Y47" s="20">
        <v>15900</v>
      </c>
      <c r="Z47" s="20">
        <v>27</v>
      </c>
      <c r="AA47" s="62">
        <v>450700000</v>
      </c>
      <c r="AB47" s="62">
        <v>85640000</v>
      </c>
      <c r="AC47" s="63">
        <v>1.248</v>
      </c>
      <c r="AD47" s="20">
        <v>1</v>
      </c>
      <c r="AE47" s="3" t="e">
        <f>IF(#REF!=hulpblad!AD47,hulpblad!P47,"")</f>
        <v>#REF!</v>
      </c>
      <c r="AF47" s="3"/>
    </row>
    <row r="48" spans="1:32" x14ac:dyDescent="0.25">
      <c r="O48" s="3">
        <v>44</v>
      </c>
      <c r="P48" s="3" t="s">
        <v>241</v>
      </c>
      <c r="Q48" s="20">
        <v>388.8</v>
      </c>
      <c r="R48" s="20">
        <v>298.8</v>
      </c>
      <c r="S48" s="20">
        <v>9.8000000000000007</v>
      </c>
      <c r="T48" s="20">
        <v>17.8</v>
      </c>
      <c r="U48" s="62">
        <v>2166000</v>
      </c>
      <c r="V48" s="62">
        <v>2388790</v>
      </c>
      <c r="W48" s="62">
        <v>530566</v>
      </c>
      <c r="X48" s="62">
        <v>810208</v>
      </c>
      <c r="Y48" s="20">
        <v>14715</v>
      </c>
      <c r="Z48" s="20">
        <v>27</v>
      </c>
      <c r="AA48" s="62">
        <v>421052924</v>
      </c>
      <c r="AB48" s="62">
        <v>79266630</v>
      </c>
      <c r="AC48" s="63">
        <v>1.1574</v>
      </c>
      <c r="AD48" s="20">
        <v>2</v>
      </c>
      <c r="AE48" s="3" t="e">
        <f>IF(#REF!=hulpblad!AD48,hulpblad!P48,"")</f>
        <v>#REF!</v>
      </c>
      <c r="AF48" s="3"/>
    </row>
    <row r="49" spans="15:32" x14ac:dyDescent="0.25">
      <c r="O49" s="3">
        <v>45</v>
      </c>
      <c r="P49" s="3" t="s">
        <v>242</v>
      </c>
      <c r="Q49" s="20">
        <f>Q47-(2*1.2)</f>
        <v>387.6</v>
      </c>
      <c r="R49" s="20">
        <f>R47-(2*1.2)</f>
        <v>297.60000000000002</v>
      </c>
      <c r="S49" s="20">
        <f>S47-(2*1.2)</f>
        <v>8.6</v>
      </c>
      <c r="T49" s="20">
        <f>T47-(2*1.2)</f>
        <v>16.600000000000001</v>
      </c>
      <c r="U49" s="62">
        <v>2017550</v>
      </c>
      <c r="V49" s="62">
        <v>2213160</v>
      </c>
      <c r="W49" s="62">
        <v>490782</v>
      </c>
      <c r="X49" s="62">
        <v>748385</v>
      </c>
      <c r="Y49" s="20">
        <v>13573</v>
      </c>
      <c r="Z49" s="20">
        <v>27</v>
      </c>
      <c r="AA49" s="62">
        <v>391000811</v>
      </c>
      <c r="AB49" s="62">
        <v>73028300</v>
      </c>
      <c r="AC49" s="63">
        <v>1.0654999999999999</v>
      </c>
      <c r="AD49" s="20">
        <v>3</v>
      </c>
      <c r="AE49" s="3" t="e">
        <f>IF(#REF!=hulpblad!AD49,hulpblad!P49,"")</f>
        <v>#REF!</v>
      </c>
      <c r="AF49" s="3"/>
    </row>
    <row r="50" spans="15:32" x14ac:dyDescent="0.25">
      <c r="O50" s="3">
        <v>46</v>
      </c>
      <c r="P50" s="3" t="s">
        <v>243</v>
      </c>
      <c r="Q50" s="20">
        <f>Q51+1.2</f>
        <v>440</v>
      </c>
      <c r="R50" s="20">
        <f>R51+1.2</f>
        <v>300</v>
      </c>
      <c r="S50" s="20">
        <f>S51+1.2</f>
        <v>11.5</v>
      </c>
      <c r="T50" s="20">
        <f>T51+1.2</f>
        <v>21</v>
      </c>
      <c r="U50" s="62">
        <v>2896000</v>
      </c>
      <c r="V50" s="62">
        <v>3216000</v>
      </c>
      <c r="W50" s="62">
        <v>631000</v>
      </c>
      <c r="X50" s="62">
        <v>966000</v>
      </c>
      <c r="Y50" s="20">
        <v>17800</v>
      </c>
      <c r="Z50" s="20">
        <v>27</v>
      </c>
      <c r="AA50" s="62">
        <v>637200000</v>
      </c>
      <c r="AB50" s="62">
        <v>94650000</v>
      </c>
      <c r="AC50" s="63">
        <v>1.3979999999999999</v>
      </c>
      <c r="AD50" s="20">
        <v>1</v>
      </c>
      <c r="AE50" s="3" t="e">
        <f>IF(#REF!=hulpblad!AD50,hulpblad!P50,"")</f>
        <v>#REF!</v>
      </c>
      <c r="AF50" s="3"/>
    </row>
    <row r="51" spans="15:32" x14ac:dyDescent="0.25">
      <c r="O51" s="3">
        <v>47</v>
      </c>
      <c r="P51" s="3" t="s">
        <v>244</v>
      </c>
      <c r="Q51" s="20">
        <v>438.8</v>
      </c>
      <c r="R51" s="20">
        <v>298.8</v>
      </c>
      <c r="S51" s="20">
        <v>10.3</v>
      </c>
      <c r="T51" s="20">
        <v>19.8</v>
      </c>
      <c r="U51" s="62">
        <v>2727787</v>
      </c>
      <c r="V51" s="62">
        <v>3014030</v>
      </c>
      <c r="W51" s="62">
        <v>590169</v>
      </c>
      <c r="X51" s="62">
        <v>901758</v>
      </c>
      <c r="Y51" s="20">
        <v>16589</v>
      </c>
      <c r="Z51" s="20">
        <v>27</v>
      </c>
      <c r="AA51" s="64">
        <v>598476517</v>
      </c>
      <c r="AB51" s="62">
        <v>88171300</v>
      </c>
      <c r="AC51" s="63">
        <v>1.3023</v>
      </c>
      <c r="AD51" s="20">
        <v>2</v>
      </c>
      <c r="AE51" s="3" t="e">
        <f>IF(#REF!=hulpblad!AD51,hulpblad!P51,"")</f>
        <v>#REF!</v>
      </c>
      <c r="AF51" s="3"/>
    </row>
    <row r="52" spans="15:32" x14ac:dyDescent="0.25">
      <c r="O52" s="3">
        <v>48</v>
      </c>
      <c r="P52" s="3" t="s">
        <v>245</v>
      </c>
      <c r="Q52" s="20">
        <f>Q50-(2*1.2)</f>
        <v>437.6</v>
      </c>
      <c r="R52" s="20">
        <f>R50-(2*1.2)</f>
        <v>297.60000000000002</v>
      </c>
      <c r="S52" s="20">
        <f>S50-(2*1.2)</f>
        <v>9.1</v>
      </c>
      <c r="T52" s="20">
        <f>T50-(2*1.2)</f>
        <v>18.600000000000001</v>
      </c>
      <c r="U52" s="62">
        <v>2555760</v>
      </c>
      <c r="V52" s="62">
        <v>2809200</v>
      </c>
      <c r="W52" s="62">
        <v>549891</v>
      </c>
      <c r="X52" s="62">
        <v>838848</v>
      </c>
      <c r="Y52" s="20">
        <v>15359</v>
      </c>
      <c r="Z52" s="20">
        <v>27</v>
      </c>
      <c r="AA52" s="64">
        <v>559200055</v>
      </c>
      <c r="AB52" s="62">
        <v>81823800</v>
      </c>
      <c r="AC52" s="63">
        <v>1.2057</v>
      </c>
      <c r="AD52" s="20">
        <v>3</v>
      </c>
      <c r="AE52" s="3" t="e">
        <f>IF(#REF!=hulpblad!AD52,hulpblad!P52,"")</f>
        <v>#REF!</v>
      </c>
      <c r="AF52" s="3"/>
    </row>
    <row r="53" spans="15:32" x14ac:dyDescent="0.25">
      <c r="O53" s="3">
        <v>49</v>
      </c>
      <c r="P53" s="3" t="s">
        <v>246</v>
      </c>
      <c r="Q53" s="20">
        <f>Q54+1.2</f>
        <v>490</v>
      </c>
      <c r="R53" s="20">
        <f>R54+1.2</f>
        <v>300</v>
      </c>
      <c r="S53" s="20">
        <f>S54+1.2</f>
        <v>12</v>
      </c>
      <c r="T53" s="20">
        <f>T54+1.2</f>
        <v>23</v>
      </c>
      <c r="U53" s="62">
        <v>3550000</v>
      </c>
      <c r="V53" s="62">
        <v>3948000</v>
      </c>
      <c r="W53" s="62">
        <v>691000</v>
      </c>
      <c r="X53" s="62">
        <v>1058000</v>
      </c>
      <c r="Y53" s="20">
        <v>19750</v>
      </c>
      <c r="Z53" s="20">
        <v>27</v>
      </c>
      <c r="AA53" s="62">
        <v>869800000</v>
      </c>
      <c r="AB53" s="62">
        <v>103700000</v>
      </c>
      <c r="AC53" s="63">
        <v>1.5509999999999999</v>
      </c>
      <c r="AD53" s="20">
        <v>1</v>
      </c>
      <c r="AE53" s="3" t="e">
        <f>IF(#REF!=hulpblad!AD53,hulpblad!P53,"")</f>
        <v>#REF!</v>
      </c>
      <c r="AF53" s="3"/>
    </row>
    <row r="54" spans="15:32" x14ac:dyDescent="0.25">
      <c r="O54" s="3">
        <v>50</v>
      </c>
      <c r="P54" s="3" t="s">
        <v>247</v>
      </c>
      <c r="Q54" s="20">
        <v>488.8</v>
      </c>
      <c r="R54" s="20">
        <v>298.8</v>
      </c>
      <c r="S54" s="20">
        <v>10.8</v>
      </c>
      <c r="T54" s="20">
        <v>21.8</v>
      </c>
      <c r="U54" s="62">
        <v>3357062</v>
      </c>
      <c r="V54" s="62">
        <v>3716715</v>
      </c>
      <c r="W54" s="62">
        <v>649785</v>
      </c>
      <c r="X54" s="62">
        <v>993595</v>
      </c>
      <c r="Y54" s="20">
        <v>18481</v>
      </c>
      <c r="Z54" s="20">
        <v>27</v>
      </c>
      <c r="AA54" s="64">
        <v>820466000</v>
      </c>
      <c r="AB54" s="62">
        <v>97077808</v>
      </c>
      <c r="AC54" s="63">
        <v>1.4507000000000001</v>
      </c>
      <c r="AD54" s="20">
        <v>2</v>
      </c>
      <c r="AE54" s="3" t="e">
        <f>IF(#REF!=hulpblad!AD54,hulpblad!P54,"")</f>
        <v>#REF!</v>
      </c>
      <c r="AF54" s="3"/>
    </row>
    <row r="55" spans="15:32" x14ac:dyDescent="0.25">
      <c r="O55" s="3">
        <v>51</v>
      </c>
      <c r="P55" s="3" t="s">
        <v>248</v>
      </c>
      <c r="Q55" s="20">
        <f>Q53-(2*1.2)</f>
        <v>487.6</v>
      </c>
      <c r="R55" s="20">
        <f>R53-(2*1.2)</f>
        <v>297.60000000000002</v>
      </c>
      <c r="S55" s="20">
        <f>S53-(2*1.2)</f>
        <v>9.6</v>
      </c>
      <c r="T55" s="20">
        <f>T53-(2*1.2)</f>
        <v>20.6</v>
      </c>
      <c r="U55" s="62">
        <v>3160400</v>
      </c>
      <c r="V55" s="62">
        <v>3481220</v>
      </c>
      <c r="W55" s="62">
        <v>609010</v>
      </c>
      <c r="X55" s="62">
        <v>929571</v>
      </c>
      <c r="Y55" s="20">
        <v>17192</v>
      </c>
      <c r="Z55" s="20">
        <v>27</v>
      </c>
      <c r="AA55" s="64">
        <v>770505363</v>
      </c>
      <c r="AB55" s="62">
        <v>90620800</v>
      </c>
      <c r="AC55" s="63">
        <v>1.3494999999999999</v>
      </c>
      <c r="AD55" s="20">
        <v>3</v>
      </c>
      <c r="AE55" s="3" t="e">
        <f>IF(#REF!=hulpblad!AD55,hulpblad!P55,"")</f>
        <v>#REF!</v>
      </c>
      <c r="AF55" s="3"/>
    </row>
    <row r="56" spans="15:32" x14ac:dyDescent="0.25">
      <c r="O56" s="3">
        <v>52</v>
      </c>
      <c r="P56" s="3" t="s">
        <v>249</v>
      </c>
      <c r="Q56" s="20">
        <f>Q57+1.2</f>
        <v>540</v>
      </c>
      <c r="R56" s="20">
        <f>R57+1.2</f>
        <v>300</v>
      </c>
      <c r="S56" s="20">
        <f>S57+1.2</f>
        <v>12.5</v>
      </c>
      <c r="T56" s="20">
        <f>T57+1.2</f>
        <v>24</v>
      </c>
      <c r="U56" s="62">
        <v>4146000</v>
      </c>
      <c r="V56" s="62">
        <v>4622000</v>
      </c>
      <c r="W56" s="62">
        <v>721000</v>
      </c>
      <c r="X56" s="62">
        <v>1106000</v>
      </c>
      <c r="Y56" s="20">
        <v>21180</v>
      </c>
      <c r="Z56" s="20">
        <v>27</v>
      </c>
      <c r="AA56" s="62">
        <v>1118999900</v>
      </c>
      <c r="AB56" s="62">
        <v>108200000</v>
      </c>
      <c r="AC56" s="63">
        <v>1.6619999999999999</v>
      </c>
      <c r="AD56" s="20">
        <v>1</v>
      </c>
      <c r="AE56" s="3" t="e">
        <f>IF(#REF!=hulpblad!AD56,hulpblad!P56,"")</f>
        <v>#REF!</v>
      </c>
      <c r="AF56" s="3"/>
    </row>
    <row r="57" spans="15:32" x14ac:dyDescent="0.25">
      <c r="O57" s="3">
        <v>53</v>
      </c>
      <c r="P57" s="3" t="s">
        <v>250</v>
      </c>
      <c r="Q57" s="20">
        <v>538.79999999999995</v>
      </c>
      <c r="R57" s="20">
        <v>298.8</v>
      </c>
      <c r="S57" s="20">
        <v>11.3</v>
      </c>
      <c r="T57" s="20">
        <v>22.8</v>
      </c>
      <c r="U57" s="62">
        <v>3926586</v>
      </c>
      <c r="V57" s="62">
        <v>4357576</v>
      </c>
      <c r="W57" s="62">
        <v>679654</v>
      </c>
      <c r="X57" s="62">
        <v>1041160</v>
      </c>
      <c r="Y57" s="20">
        <v>19843</v>
      </c>
      <c r="Z57" s="20">
        <v>27</v>
      </c>
      <c r="AA57" s="64">
        <v>1057822348</v>
      </c>
      <c r="AB57" s="62">
        <v>101540354</v>
      </c>
      <c r="AC57" s="63">
        <v>1.5577000000000001</v>
      </c>
      <c r="AD57" s="20">
        <v>2</v>
      </c>
      <c r="AE57" s="3" t="e">
        <f>IF(#REF!=hulpblad!AD57,hulpblad!P57,"")</f>
        <v>#REF!</v>
      </c>
      <c r="AF57" s="3"/>
    </row>
    <row r="58" spans="15:32" x14ac:dyDescent="0.25">
      <c r="O58" s="3">
        <v>54</v>
      </c>
      <c r="P58" s="3" t="s">
        <v>251</v>
      </c>
      <c r="Q58" s="20">
        <f>Q56-(2*1.2)</f>
        <v>537.6</v>
      </c>
      <c r="R58" s="20">
        <f>R56-(2*1.2)</f>
        <v>297.60000000000002</v>
      </c>
      <c r="S58" s="20">
        <f>S56-(2*1.2)</f>
        <v>10.1</v>
      </c>
      <c r="T58" s="20">
        <f>T56-(2*1.2)</f>
        <v>21.6</v>
      </c>
      <c r="U58" s="62">
        <v>3703410</v>
      </c>
      <c r="V58" s="62">
        <v>4089590</v>
      </c>
      <c r="W58" s="62">
        <v>638620</v>
      </c>
      <c r="X58" s="62">
        <v>976339</v>
      </c>
      <c r="Y58" s="20">
        <v>18495</v>
      </c>
      <c r="Z58" s="20">
        <v>27</v>
      </c>
      <c r="AA58" s="64">
        <v>995475227</v>
      </c>
      <c r="AB58" s="62">
        <v>95026700</v>
      </c>
      <c r="AC58" s="63">
        <v>1.4518</v>
      </c>
      <c r="AD58" s="20">
        <v>3</v>
      </c>
      <c r="AE58" s="3" t="e">
        <f>IF(#REF!=hulpblad!AD58,hulpblad!P58,"")</f>
        <v>#REF!</v>
      </c>
      <c r="AF58" s="3"/>
    </row>
    <row r="59" spans="15:32" x14ac:dyDescent="0.25">
      <c r="O59" s="3">
        <v>55</v>
      </c>
      <c r="P59" s="3" t="s">
        <v>252</v>
      </c>
      <c r="Q59" s="20">
        <f>Q60+1.2</f>
        <v>590</v>
      </c>
      <c r="R59" s="20">
        <f>R60+1.2</f>
        <v>300</v>
      </c>
      <c r="S59" s="20">
        <f>S60+1.2</f>
        <v>13</v>
      </c>
      <c r="T59" s="20">
        <f>T60+1.2</f>
        <v>25</v>
      </c>
      <c r="U59" s="62">
        <v>4787000</v>
      </c>
      <c r="V59" s="62">
        <v>5350000</v>
      </c>
      <c r="W59" s="62">
        <v>751000</v>
      </c>
      <c r="X59" s="62">
        <v>1156000</v>
      </c>
      <c r="Y59" s="20">
        <v>22650</v>
      </c>
      <c r="Z59" s="20">
        <v>27</v>
      </c>
      <c r="AA59" s="62">
        <v>1412000000</v>
      </c>
      <c r="AB59" s="62">
        <v>112700000</v>
      </c>
      <c r="AC59" s="63">
        <v>1.778</v>
      </c>
      <c r="AD59" s="20">
        <v>1</v>
      </c>
      <c r="AE59" s="3" t="e">
        <f>IF(#REF!=hulpblad!AD59,hulpblad!P59,"")</f>
        <v>#REF!</v>
      </c>
      <c r="AF59" s="3"/>
    </row>
    <row r="60" spans="15:32" x14ac:dyDescent="0.25">
      <c r="O60" s="3">
        <v>56</v>
      </c>
      <c r="P60" s="3" t="s">
        <v>253</v>
      </c>
      <c r="Q60" s="20">
        <v>588.79999999999995</v>
      </c>
      <c r="R60" s="20">
        <v>298.8</v>
      </c>
      <c r="S60" s="20">
        <v>11.8</v>
      </c>
      <c r="T60" s="20">
        <v>23.8</v>
      </c>
      <c r="U60" s="62">
        <v>4540568</v>
      </c>
      <c r="V60" s="62">
        <v>5052570</v>
      </c>
      <c r="W60" s="62">
        <v>709539</v>
      </c>
      <c r="X60" s="62">
        <v>1089060</v>
      </c>
      <c r="Y60" s="20">
        <v>21254</v>
      </c>
      <c r="Z60" s="20">
        <v>27</v>
      </c>
      <c r="AA60" s="64">
        <v>1336743139</v>
      </c>
      <c r="AB60" s="62">
        <v>106005142</v>
      </c>
      <c r="AC60" s="63">
        <v>1.6684000000000001</v>
      </c>
      <c r="AD60" s="20">
        <v>2</v>
      </c>
      <c r="AE60" s="3" t="e">
        <f>IF(#REF!=hulpblad!AD60,hulpblad!P60,"")</f>
        <v>#REF!</v>
      </c>
      <c r="AF60" s="3"/>
    </row>
    <row r="61" spans="15:32" x14ac:dyDescent="0.25">
      <c r="O61" s="3">
        <v>57</v>
      </c>
      <c r="P61" s="3" t="s">
        <v>254</v>
      </c>
      <c r="Q61" s="20">
        <f>Q59-(2*1.2)</f>
        <v>587.6</v>
      </c>
      <c r="R61" s="20">
        <f>R59-(2*1.2)</f>
        <v>297.60000000000002</v>
      </c>
      <c r="S61" s="20">
        <f>S59-(2*1.2)</f>
        <v>10.6</v>
      </c>
      <c r="T61" s="20">
        <f>T59-(2*1.2)</f>
        <v>22.6</v>
      </c>
      <c r="U61" s="62">
        <v>4335160</v>
      </c>
      <c r="V61" s="62">
        <v>4824180</v>
      </c>
      <c r="W61" s="62">
        <v>668406</v>
      </c>
      <c r="X61" s="62">
        <v>1026740</v>
      </c>
      <c r="Y61" s="20">
        <v>20388</v>
      </c>
      <c r="Z61" s="20">
        <v>27</v>
      </c>
      <c r="AA61" s="64">
        <v>1273670195</v>
      </c>
      <c r="AB61" s="62">
        <v>99458900</v>
      </c>
      <c r="AC61" s="63">
        <v>1.6005</v>
      </c>
      <c r="AD61" s="20">
        <v>3</v>
      </c>
      <c r="AE61" s="3" t="e">
        <f>IF(#REF!=hulpblad!AD61,hulpblad!P61,"")</f>
        <v>#REF!</v>
      </c>
      <c r="AF61" s="3"/>
    </row>
    <row r="62" spans="15:32" x14ac:dyDescent="0.25">
      <c r="O62" s="3">
        <v>58</v>
      </c>
      <c r="P62" s="3" t="s">
        <v>255</v>
      </c>
      <c r="Q62" s="20">
        <f>Q63+1.2</f>
        <v>640</v>
      </c>
      <c r="R62" s="20">
        <f>R63+1.2</f>
        <v>300</v>
      </c>
      <c r="S62" s="20">
        <f>S63+1.2</f>
        <v>13.5</v>
      </c>
      <c r="T62" s="20">
        <f>T63+1.2</f>
        <v>26</v>
      </c>
      <c r="U62" s="62">
        <v>5474000</v>
      </c>
      <c r="V62" s="62">
        <v>6136000</v>
      </c>
      <c r="W62" s="62">
        <v>782000</v>
      </c>
      <c r="X62" s="62">
        <v>1204000</v>
      </c>
      <c r="Y62" s="20">
        <v>24160</v>
      </c>
      <c r="Z62" s="20">
        <v>27</v>
      </c>
      <c r="AA62" s="62">
        <v>1752000000</v>
      </c>
      <c r="AB62" s="62">
        <v>117200000</v>
      </c>
      <c r="AC62" s="63">
        <v>1.897</v>
      </c>
      <c r="AD62" s="20">
        <v>1</v>
      </c>
      <c r="AE62" s="3" t="e">
        <f>IF(#REF!=hulpblad!AD62,hulpblad!P62,"")</f>
        <v>#REF!</v>
      </c>
      <c r="AF62" s="3"/>
    </row>
    <row r="63" spans="15:32" x14ac:dyDescent="0.25">
      <c r="O63" s="3">
        <v>59</v>
      </c>
      <c r="P63" s="3" t="s">
        <v>256</v>
      </c>
      <c r="Q63" s="20">
        <v>638.79999999999995</v>
      </c>
      <c r="R63" s="20">
        <v>298.8</v>
      </c>
      <c r="S63" s="20">
        <v>12.3</v>
      </c>
      <c r="T63" s="20">
        <v>24.8</v>
      </c>
      <c r="U63" s="62">
        <v>5200108</v>
      </c>
      <c r="V63" s="62">
        <v>5803432</v>
      </c>
      <c r="W63" s="62">
        <v>739441</v>
      </c>
      <c r="X63" s="62">
        <v>1137300</v>
      </c>
      <c r="Y63" s="20">
        <v>22713</v>
      </c>
      <c r="Z63" s="20">
        <v>27</v>
      </c>
      <c r="AA63" s="64">
        <v>1660914535</v>
      </c>
      <c r="AB63" s="62">
        <v>110472549</v>
      </c>
      <c r="AC63" s="63">
        <v>1.7828999999999999</v>
      </c>
      <c r="AD63" s="20">
        <v>2</v>
      </c>
      <c r="AE63" s="3" t="e">
        <f>IF(#REF!=hulpblad!AD63,hulpblad!P63,"")</f>
        <v>#REF!</v>
      </c>
      <c r="AF63" s="3"/>
    </row>
    <row r="64" spans="15:32" x14ac:dyDescent="0.25">
      <c r="O64" s="3">
        <v>60</v>
      </c>
      <c r="P64" s="3" t="s">
        <v>257</v>
      </c>
      <c r="Q64" s="20">
        <f>Q62-(2*1.2)</f>
        <v>637.6</v>
      </c>
      <c r="R64" s="20">
        <f>R62-(2*1.2)</f>
        <v>297.60000000000002</v>
      </c>
      <c r="S64" s="20">
        <f>S62-(2*1.2)</f>
        <v>11.1</v>
      </c>
      <c r="T64" s="20">
        <f>T62-(2*1.2)</f>
        <v>23.6</v>
      </c>
      <c r="U64" s="62">
        <v>4920980</v>
      </c>
      <c r="V64" s="62">
        <v>5466060</v>
      </c>
      <c r="W64" s="62">
        <v>697881</v>
      </c>
      <c r="X64" s="62">
        <v>1070800</v>
      </c>
      <c r="Y64" s="20">
        <v>21245</v>
      </c>
      <c r="Z64" s="20">
        <v>27</v>
      </c>
      <c r="AA64" s="64">
        <v>1568809032</v>
      </c>
      <c r="AB64" s="62">
        <v>103845000</v>
      </c>
      <c r="AC64" s="63">
        <v>1.6677</v>
      </c>
      <c r="AD64" s="20">
        <v>3</v>
      </c>
      <c r="AE64" s="3" t="e">
        <f>IF(#REF!=hulpblad!AD64,hulpblad!P64,"")</f>
        <v>#REF!</v>
      </c>
      <c r="AF64" s="3"/>
    </row>
    <row r="65" spans="15:32" x14ac:dyDescent="0.25">
      <c r="O65" s="3">
        <v>61</v>
      </c>
      <c r="P65" s="3" t="s">
        <v>258</v>
      </c>
      <c r="Q65" s="20">
        <f>Q66+1.2</f>
        <v>690</v>
      </c>
      <c r="R65" s="20">
        <f>R66+1.2</f>
        <v>300</v>
      </c>
      <c r="S65" s="20">
        <f>S66+1.2</f>
        <v>14.5</v>
      </c>
      <c r="T65" s="20">
        <f>T66+1.2</f>
        <v>27</v>
      </c>
      <c r="U65" s="62">
        <v>6241000</v>
      </c>
      <c r="V65" s="62">
        <v>7032000</v>
      </c>
      <c r="W65" s="62">
        <v>812000</v>
      </c>
      <c r="X65" s="62">
        <v>1256000</v>
      </c>
      <c r="Y65" s="20">
        <v>26050</v>
      </c>
      <c r="Z65" s="20">
        <v>27</v>
      </c>
      <c r="AA65" s="62">
        <v>2152999900</v>
      </c>
      <c r="AB65" s="62">
        <v>121800000</v>
      </c>
      <c r="AC65" s="63">
        <v>2.0449999999999999</v>
      </c>
      <c r="AD65" s="20">
        <v>1</v>
      </c>
      <c r="AE65" s="3" t="e">
        <f>IF(#REF!=hulpblad!AD65,hulpblad!P65,"")</f>
        <v>#REF!</v>
      </c>
      <c r="AF65" s="3"/>
    </row>
    <row r="66" spans="15:32" x14ac:dyDescent="0.25">
      <c r="O66" s="3">
        <v>62</v>
      </c>
      <c r="P66" s="3" t="s">
        <v>259</v>
      </c>
      <c r="Q66" s="20">
        <v>688.8</v>
      </c>
      <c r="R66" s="20">
        <v>298.8</v>
      </c>
      <c r="S66" s="20">
        <v>13.3</v>
      </c>
      <c r="T66" s="20">
        <v>25.8</v>
      </c>
      <c r="U66" s="62">
        <v>5937606</v>
      </c>
      <c r="V66" s="62">
        <v>6662640</v>
      </c>
      <c r="W66" s="62">
        <v>769481</v>
      </c>
      <c r="X66" s="62">
        <v>1188160</v>
      </c>
      <c r="Y66" s="20">
        <v>24538</v>
      </c>
      <c r="Z66" s="20">
        <v>27</v>
      </c>
      <c r="AA66" s="64">
        <v>2044911460</v>
      </c>
      <c r="AB66" s="62">
        <v>114960411</v>
      </c>
      <c r="AC66" s="63">
        <v>1.9261999999999999</v>
      </c>
      <c r="AD66" s="20">
        <v>2</v>
      </c>
      <c r="AE66" s="3" t="e">
        <f>IF(#REF!=hulpblad!AD66,hulpblad!P66,"")</f>
        <v>#REF!</v>
      </c>
      <c r="AF66" s="3"/>
    </row>
    <row r="67" spans="15:32" x14ac:dyDescent="0.25">
      <c r="O67" s="3">
        <v>63</v>
      </c>
      <c r="P67" s="3" t="s">
        <v>260</v>
      </c>
      <c r="Q67" s="20">
        <f>Q65-(2*1.2)</f>
        <v>687.6</v>
      </c>
      <c r="R67" s="20">
        <f>R65-(2*1.2)</f>
        <v>297.60000000000002</v>
      </c>
      <c r="S67" s="20">
        <f>S65-(2*1.2)</f>
        <v>12.1</v>
      </c>
      <c r="T67" s="20">
        <f>T65-(2*1.2)</f>
        <v>24.6</v>
      </c>
      <c r="U67" s="62">
        <v>5629290</v>
      </c>
      <c r="V67" s="62">
        <v>6288560</v>
      </c>
      <c r="W67" s="62">
        <v>727636</v>
      </c>
      <c r="X67" s="62">
        <v>1120590</v>
      </c>
      <c r="Y67" s="20">
        <v>23012</v>
      </c>
      <c r="Z67" s="20">
        <v>27</v>
      </c>
      <c r="AA67" s="64">
        <v>1935348489</v>
      </c>
      <c r="AB67" s="62">
        <v>108272000</v>
      </c>
      <c r="AC67" s="63">
        <v>1.8064</v>
      </c>
      <c r="AD67" s="20">
        <v>3</v>
      </c>
      <c r="AE67" s="3" t="e">
        <f>IF(#REF!=hulpblad!AD67,hulpblad!P67,"")</f>
        <v>#REF!</v>
      </c>
      <c r="AF67" s="3"/>
    </row>
    <row r="68" spans="15:32" x14ac:dyDescent="0.25">
      <c r="O68" s="3">
        <v>64</v>
      </c>
      <c r="P68" s="3" t="s">
        <v>261</v>
      </c>
      <c r="Q68" s="20">
        <f>Q69+1.2</f>
        <v>790</v>
      </c>
      <c r="R68" s="20">
        <f>R69+1.2</f>
        <v>300</v>
      </c>
      <c r="S68" s="20">
        <f>S69+1.2</f>
        <v>15</v>
      </c>
      <c r="T68" s="20">
        <f>T69+1.2</f>
        <v>28</v>
      </c>
      <c r="U68" s="62">
        <v>7682000</v>
      </c>
      <c r="V68" s="62">
        <v>8700000</v>
      </c>
      <c r="W68" s="62">
        <v>843000</v>
      </c>
      <c r="X68" s="62">
        <v>1312000</v>
      </c>
      <c r="Y68" s="20">
        <v>28580</v>
      </c>
      <c r="Z68" s="20">
        <v>30</v>
      </c>
      <c r="AA68" s="62">
        <v>3033999900</v>
      </c>
      <c r="AB68" s="62">
        <v>126400000</v>
      </c>
      <c r="AC68" s="63">
        <v>2.2440000000000002</v>
      </c>
      <c r="AD68" s="20">
        <v>1</v>
      </c>
      <c r="AE68" s="3" t="e">
        <f>IF(#REF!=hulpblad!AD68,hulpblad!P68,"")</f>
        <v>#REF!</v>
      </c>
      <c r="AF68" s="3"/>
    </row>
    <row r="69" spans="15:32" x14ac:dyDescent="0.25">
      <c r="O69" s="3">
        <v>65</v>
      </c>
      <c r="P69" s="3" t="s">
        <v>262</v>
      </c>
      <c r="Q69" s="20">
        <v>788.8</v>
      </c>
      <c r="R69" s="20">
        <v>298.8</v>
      </c>
      <c r="S69" s="20">
        <v>13.8</v>
      </c>
      <c r="T69" s="20">
        <v>26.8</v>
      </c>
      <c r="U69" s="62">
        <v>7318637</v>
      </c>
      <c r="V69" s="62">
        <v>8254020</v>
      </c>
      <c r="W69" s="62">
        <v>799842</v>
      </c>
      <c r="X69" s="62">
        <v>1242300</v>
      </c>
      <c r="Y69" s="20">
        <v>26958</v>
      </c>
      <c r="Z69" s="20">
        <v>30</v>
      </c>
      <c r="AA69" s="64">
        <v>2886470518</v>
      </c>
      <c r="AB69" s="62">
        <v>119496408</v>
      </c>
      <c r="AC69" s="63">
        <v>2.1162000000000001</v>
      </c>
      <c r="AD69" s="20">
        <v>2</v>
      </c>
      <c r="AE69" s="3" t="e">
        <f>IF(#REF!=hulpblad!AD69,hulpblad!P69,"")</f>
        <v>#REF!</v>
      </c>
      <c r="AF69" s="3"/>
    </row>
    <row r="70" spans="15:32" x14ac:dyDescent="0.25">
      <c r="O70" s="3">
        <v>66</v>
      </c>
      <c r="P70" s="3" t="s">
        <v>263</v>
      </c>
      <c r="Q70" s="20">
        <f>Q68-(2*1.2)</f>
        <v>787.6</v>
      </c>
      <c r="R70" s="20">
        <f>R68-(2*1.2)</f>
        <v>297.60000000000002</v>
      </c>
      <c r="S70" s="20">
        <f>S68-(2*1.2)</f>
        <v>12.6</v>
      </c>
      <c r="T70" s="20">
        <f>T68-(2*1.2)</f>
        <v>25.6</v>
      </c>
      <c r="U70" s="62">
        <v>6947640</v>
      </c>
      <c r="V70" s="62">
        <v>7801280</v>
      </c>
      <c r="W70" s="62">
        <v>757689</v>
      </c>
      <c r="X70" s="62">
        <v>1173320</v>
      </c>
      <c r="Y70" s="20">
        <v>25312</v>
      </c>
      <c r="Z70" s="20">
        <v>30</v>
      </c>
      <c r="AA70" s="64">
        <v>2735981366</v>
      </c>
      <c r="AB70" s="62">
        <v>112744000</v>
      </c>
      <c r="AC70" s="63">
        <v>1.9870000000000001</v>
      </c>
      <c r="AD70" s="20">
        <v>3</v>
      </c>
      <c r="AE70" s="3" t="e">
        <f>IF(#REF!=hulpblad!AD70,hulpblad!P70,"")</f>
        <v>#REF!</v>
      </c>
      <c r="AF70" s="3"/>
    </row>
    <row r="71" spans="15:32" x14ac:dyDescent="0.25">
      <c r="O71" s="3">
        <v>67</v>
      </c>
      <c r="P71" s="3" t="s">
        <v>264</v>
      </c>
      <c r="Q71" s="20">
        <f>Q72+1.2</f>
        <v>890</v>
      </c>
      <c r="R71" s="20">
        <f>R72+1.2</f>
        <v>300</v>
      </c>
      <c r="S71" s="20">
        <f>S72+1.2</f>
        <v>16</v>
      </c>
      <c r="T71" s="20">
        <f>T72+1.2</f>
        <v>30</v>
      </c>
      <c r="U71" s="62">
        <v>9485000</v>
      </c>
      <c r="V71" s="62">
        <v>10812000</v>
      </c>
      <c r="W71" s="62">
        <v>903000</v>
      </c>
      <c r="X71" s="62">
        <v>1414000</v>
      </c>
      <c r="Y71" s="20">
        <v>32100</v>
      </c>
      <c r="Z71" s="20">
        <v>30</v>
      </c>
      <c r="AA71" s="62">
        <v>4221000000</v>
      </c>
      <c r="AB71" s="62">
        <v>135500000</v>
      </c>
      <c r="AC71" s="63">
        <v>2.516</v>
      </c>
      <c r="AD71" s="20">
        <v>1</v>
      </c>
      <c r="AE71" s="3" t="e">
        <f>IF(#REF!=hulpblad!AD71,hulpblad!P71,"")</f>
        <v>#REF!</v>
      </c>
      <c r="AF71" s="3"/>
    </row>
    <row r="72" spans="15:32" x14ac:dyDescent="0.25">
      <c r="O72" s="3">
        <v>68</v>
      </c>
      <c r="P72" s="3" t="s">
        <v>265</v>
      </c>
      <c r="Q72" s="20">
        <v>888.8</v>
      </c>
      <c r="R72" s="20">
        <v>298.8</v>
      </c>
      <c r="S72" s="20">
        <v>14.8</v>
      </c>
      <c r="T72" s="20">
        <v>28.8</v>
      </c>
      <c r="U72" s="62">
        <v>9056754</v>
      </c>
      <c r="V72" s="62">
        <v>10282461</v>
      </c>
      <c r="W72" s="62">
        <v>859863</v>
      </c>
      <c r="X72" s="62">
        <v>1342500</v>
      </c>
      <c r="Y72" s="20">
        <v>30309</v>
      </c>
      <c r="Z72" s="20">
        <v>30</v>
      </c>
      <c r="AA72" s="64">
        <v>4024821482</v>
      </c>
      <c r="AB72" s="62">
        <v>128463503</v>
      </c>
      <c r="AC72" s="63">
        <v>2.3792</v>
      </c>
      <c r="AD72" s="20">
        <v>2</v>
      </c>
      <c r="AE72" s="3" t="e">
        <f>IF(#REF!=hulpblad!AD72,hulpblad!P72,"")</f>
        <v>#REF!</v>
      </c>
      <c r="AF72" s="3"/>
    </row>
    <row r="73" spans="15:32" x14ac:dyDescent="0.25">
      <c r="O73" s="3">
        <v>69</v>
      </c>
      <c r="P73" s="3" t="s">
        <v>266</v>
      </c>
      <c r="Q73" s="20">
        <f>Q71-(2*1.2)</f>
        <v>887.6</v>
      </c>
      <c r="R73" s="20">
        <f>R71-(2*1.2)</f>
        <v>297.60000000000002</v>
      </c>
      <c r="S73" s="20">
        <f>S71-(2*1.2)</f>
        <v>13.6</v>
      </c>
      <c r="T73" s="20">
        <f>T71-(2*1.2)</f>
        <v>27.6</v>
      </c>
      <c r="U73" s="62">
        <v>8620140</v>
      </c>
      <c r="V73" s="62">
        <v>9745620</v>
      </c>
      <c r="W73" s="62">
        <v>817152</v>
      </c>
      <c r="X73" s="62">
        <v>1271550</v>
      </c>
      <c r="Y73" s="20">
        <v>28544</v>
      </c>
      <c r="Z73" s="20">
        <v>30</v>
      </c>
      <c r="AA73" s="64">
        <v>3825619784</v>
      </c>
      <c r="AB73" s="62">
        <v>121592000</v>
      </c>
      <c r="AC73" s="63">
        <v>2.2406999999999999</v>
      </c>
      <c r="AD73" s="20">
        <v>3</v>
      </c>
      <c r="AE73" s="3" t="e">
        <f>IF(#REF!=hulpblad!AD73,hulpblad!P73,"")</f>
        <v>#REF!</v>
      </c>
      <c r="AF73" s="3"/>
    </row>
    <row r="74" spans="15:32" x14ac:dyDescent="0.25">
      <c r="O74" s="3">
        <v>70</v>
      </c>
      <c r="P74" s="3" t="s">
        <v>267</v>
      </c>
      <c r="Q74" s="20">
        <f>Q75+1.2</f>
        <v>990</v>
      </c>
      <c r="R74" s="20">
        <f>R75+1.2</f>
        <v>300</v>
      </c>
      <c r="S74" s="20">
        <f>S75+1.2</f>
        <v>16.5</v>
      </c>
      <c r="T74" s="20">
        <f>T75+1.2</f>
        <v>31</v>
      </c>
      <c r="U74" s="62">
        <v>11190000</v>
      </c>
      <c r="V74" s="62">
        <v>12824000</v>
      </c>
      <c r="W74" s="62">
        <v>934000</v>
      </c>
      <c r="X74" s="62">
        <v>1470000</v>
      </c>
      <c r="Y74" s="20">
        <v>34700</v>
      </c>
      <c r="Z74" s="20">
        <v>30</v>
      </c>
      <c r="AA74" s="62">
        <v>5538000000</v>
      </c>
      <c r="AB74" s="62">
        <v>140000000</v>
      </c>
      <c r="AC74" s="63">
        <v>2.7229999999999999</v>
      </c>
      <c r="AD74" s="20">
        <v>1</v>
      </c>
      <c r="AE74" s="3" t="e">
        <f>IF(#REF!=hulpblad!AD74,hulpblad!P74,"")</f>
        <v>#REF!</v>
      </c>
      <c r="AF74" s="3"/>
    </row>
    <row r="75" spans="15:32" x14ac:dyDescent="0.25">
      <c r="O75" s="3">
        <v>71</v>
      </c>
      <c r="P75" s="3" t="s">
        <v>268</v>
      </c>
      <c r="Q75" s="20">
        <v>988.8</v>
      </c>
      <c r="R75" s="20">
        <v>298.8</v>
      </c>
      <c r="S75" s="20">
        <v>15.3</v>
      </c>
      <c r="T75" s="20">
        <v>29.8</v>
      </c>
      <c r="U75" s="62">
        <v>10691020</v>
      </c>
      <c r="V75" s="62">
        <v>12206200</v>
      </c>
      <c r="W75" s="62">
        <v>890015</v>
      </c>
      <c r="X75" s="62">
        <v>1396200</v>
      </c>
      <c r="Y75" s="20">
        <v>32821</v>
      </c>
      <c r="Z75" s="20">
        <v>30</v>
      </c>
      <c r="AA75" s="64">
        <v>5285640473</v>
      </c>
      <c r="AB75" s="62">
        <v>132968217</v>
      </c>
      <c r="AC75" s="63">
        <v>2.5764999999999998</v>
      </c>
      <c r="AD75" s="20">
        <v>2</v>
      </c>
      <c r="AE75" s="3" t="e">
        <f>IF(#REF!=hulpblad!AD75,hulpblad!P75,"")</f>
        <v>#REF!</v>
      </c>
      <c r="AF75" s="3"/>
    </row>
    <row r="76" spans="15:32" x14ac:dyDescent="0.25">
      <c r="O76" s="3">
        <v>72</v>
      </c>
      <c r="P76" s="3" t="s">
        <v>269</v>
      </c>
      <c r="Q76" s="20">
        <f>Q74-(2*1.2)</f>
        <v>987.6</v>
      </c>
      <c r="R76" s="20">
        <f>R74-(2*1.2)</f>
        <v>297.60000000000002</v>
      </c>
      <c r="S76" s="20">
        <f>S74-(2*1.2)</f>
        <v>14.1</v>
      </c>
      <c r="T76" s="20">
        <f>T74-(2*1.2)</f>
        <v>28.6</v>
      </c>
      <c r="U76" s="62">
        <v>10183700</v>
      </c>
      <c r="V76" s="62">
        <v>11578800</v>
      </c>
      <c r="W76" s="62">
        <v>846999</v>
      </c>
      <c r="X76" s="62">
        <v>1323780</v>
      </c>
      <c r="Y76" s="20">
        <v>30938</v>
      </c>
      <c r="Z76" s="20">
        <v>30</v>
      </c>
      <c r="AA76" s="64">
        <v>5028689145</v>
      </c>
      <c r="AB76" s="62">
        <v>126033000</v>
      </c>
      <c r="AC76" s="63">
        <v>2.4285999999999999</v>
      </c>
      <c r="AD76" s="20">
        <v>3</v>
      </c>
      <c r="AE76" s="3" t="e">
        <f>IF(#REF!=hulpblad!AD76,hulpblad!P76,"")</f>
        <v>#REF!</v>
      </c>
      <c r="AF76" s="3"/>
    </row>
    <row r="77" spans="15:32" x14ac:dyDescent="0.25">
      <c r="O77" s="3">
        <v>73</v>
      </c>
      <c r="P77" s="3" t="s">
        <v>270</v>
      </c>
      <c r="Q77" s="20">
        <v>100</v>
      </c>
      <c r="R77" s="20">
        <v>100</v>
      </c>
      <c r="S77" s="20">
        <v>6</v>
      </c>
      <c r="T77" s="20">
        <v>10</v>
      </c>
      <c r="U77" s="62">
        <v>89900</v>
      </c>
      <c r="V77" s="62">
        <v>104200</v>
      </c>
      <c r="W77" s="62">
        <v>33500</v>
      </c>
      <c r="X77" s="62">
        <v>51420</v>
      </c>
      <c r="Y77" s="20">
        <v>2604</v>
      </c>
      <c r="Z77" s="20">
        <v>12</v>
      </c>
      <c r="AA77" s="62">
        <v>4500000</v>
      </c>
      <c r="AB77" s="62">
        <v>1673000</v>
      </c>
      <c r="AC77" s="63">
        <v>0.2044</v>
      </c>
      <c r="AD77" s="20">
        <v>1</v>
      </c>
      <c r="AE77" s="3" t="e">
        <f>IF(#REF!=hulpblad!AD77,hulpblad!P77,"")</f>
        <v>#REF!</v>
      </c>
      <c r="AF77" s="3"/>
    </row>
    <row r="78" spans="15:32" x14ac:dyDescent="0.25">
      <c r="O78" s="3">
        <v>74</v>
      </c>
      <c r="P78" s="3" t="s">
        <v>271</v>
      </c>
      <c r="Q78" s="20">
        <f>Q77-(2*0.6)</f>
        <v>98.8</v>
      </c>
      <c r="R78" s="20">
        <f>R77-(2*0.6)</f>
        <v>98.8</v>
      </c>
      <c r="S78" s="20">
        <f>S77-(2*0.6)</f>
        <v>4.8</v>
      </c>
      <c r="T78" s="20">
        <f>T77-(2*0.6)</f>
        <v>8.8000000000000007</v>
      </c>
      <c r="U78" s="62">
        <v>79554</v>
      </c>
      <c r="V78" s="62">
        <v>90986</v>
      </c>
      <c r="W78" s="62">
        <v>28730</v>
      </c>
      <c r="X78" s="62">
        <v>44071</v>
      </c>
      <c r="Y78" s="20">
        <v>2256</v>
      </c>
      <c r="Z78" s="20">
        <v>12</v>
      </c>
      <c r="AA78" s="64">
        <v>3929995</v>
      </c>
      <c r="AB78" s="62">
        <v>1419290</v>
      </c>
      <c r="AC78" s="63">
        <v>0.17710000000000001</v>
      </c>
      <c r="AD78" s="20">
        <v>2</v>
      </c>
      <c r="AE78" s="3" t="e">
        <f>IF(#REF!=hulpblad!AD78,hulpblad!P78,"")</f>
        <v>#REF!</v>
      </c>
      <c r="AF78" s="3"/>
    </row>
    <row r="79" spans="15:32" x14ac:dyDescent="0.25">
      <c r="O79" s="3">
        <v>75</v>
      </c>
      <c r="P79" s="3" t="s">
        <v>272</v>
      </c>
      <c r="Q79" s="20">
        <f>Q77-(2*1.2)</f>
        <v>97.6</v>
      </c>
      <c r="R79" s="20">
        <f>R77-(2*1.2)</f>
        <v>97.6</v>
      </c>
      <c r="S79" s="20">
        <f>S77-(2*1.2)</f>
        <v>3.6</v>
      </c>
      <c r="T79" s="20">
        <f>T77-(2*1.2)</f>
        <v>7.6</v>
      </c>
      <c r="U79" s="62">
        <v>69023</v>
      </c>
      <c r="V79" s="62">
        <v>77770</v>
      </c>
      <c r="W79" s="62">
        <v>24206</v>
      </c>
      <c r="X79" s="62">
        <v>37042</v>
      </c>
      <c r="Y79" s="20">
        <v>1908</v>
      </c>
      <c r="Z79" s="20">
        <v>12</v>
      </c>
      <c r="AA79" s="64">
        <v>3368332</v>
      </c>
      <c r="AB79" s="62">
        <v>1181260</v>
      </c>
      <c r="AC79" s="63">
        <v>0.1497</v>
      </c>
      <c r="AD79" s="20">
        <v>3</v>
      </c>
      <c r="AE79" s="3" t="e">
        <f>IF(#REF!=hulpblad!AD79,hulpblad!P79,"")</f>
        <v>#REF!</v>
      </c>
      <c r="AF79" s="3"/>
    </row>
    <row r="80" spans="15:32" x14ac:dyDescent="0.25">
      <c r="O80" s="3">
        <v>76</v>
      </c>
      <c r="P80" s="3" t="s">
        <v>273</v>
      </c>
      <c r="Q80" s="20">
        <v>120</v>
      </c>
      <c r="R80" s="20">
        <v>120</v>
      </c>
      <c r="S80" s="20">
        <v>6.5</v>
      </c>
      <c r="T80" s="20">
        <v>11</v>
      </c>
      <c r="U80" s="62">
        <v>144100</v>
      </c>
      <c r="V80" s="62">
        <v>165200</v>
      </c>
      <c r="W80" s="62">
        <v>52900</v>
      </c>
      <c r="X80" s="62">
        <v>81000</v>
      </c>
      <c r="Y80" s="20">
        <v>3400</v>
      </c>
      <c r="Z80" s="20">
        <v>12</v>
      </c>
      <c r="AA80" s="62">
        <v>8640000</v>
      </c>
      <c r="AB80" s="62">
        <v>3180000</v>
      </c>
      <c r="AC80" s="63">
        <v>0.26690000000000003</v>
      </c>
      <c r="AD80" s="20">
        <v>1</v>
      </c>
      <c r="AE80" s="3" t="e">
        <f>IF(#REF!=hulpblad!AD80,hulpblad!P80,"")</f>
        <v>#REF!</v>
      </c>
      <c r="AF80" s="3"/>
    </row>
    <row r="81" spans="15:32" x14ac:dyDescent="0.25">
      <c r="O81" s="3">
        <v>77</v>
      </c>
      <c r="P81" s="3" t="s">
        <v>274</v>
      </c>
      <c r="Q81" s="20">
        <f>Q80-(2*0.6)</f>
        <v>118.8</v>
      </c>
      <c r="R81" s="20">
        <f>R80-(2*0.6)</f>
        <v>118.8</v>
      </c>
      <c r="S81" s="20">
        <f>S80-(2*0.6)</f>
        <v>5.3</v>
      </c>
      <c r="T81" s="20">
        <f>T80-(2*0.6)</f>
        <v>9.8000000000000007</v>
      </c>
      <c r="U81" s="62">
        <v>128729</v>
      </c>
      <c r="V81" s="62">
        <v>148912</v>
      </c>
      <c r="W81" s="62">
        <v>46198</v>
      </c>
      <c r="X81" s="62">
        <v>70538</v>
      </c>
      <c r="Y81" s="20">
        <v>2982</v>
      </c>
      <c r="Z81" s="20">
        <v>12</v>
      </c>
      <c r="AA81" s="62">
        <v>7646500</v>
      </c>
      <c r="AB81" s="62">
        <v>2744178</v>
      </c>
      <c r="AC81" s="63">
        <v>0.2341</v>
      </c>
      <c r="AD81" s="20">
        <v>2</v>
      </c>
      <c r="AE81" s="3" t="e">
        <f>IF(#REF!=hulpblad!AD81,hulpblad!P81,"")</f>
        <v>#REF!</v>
      </c>
      <c r="AF81" s="3"/>
    </row>
    <row r="82" spans="15:32" x14ac:dyDescent="0.25">
      <c r="O82" s="3">
        <v>78</v>
      </c>
      <c r="P82" s="3" t="s">
        <v>275</v>
      </c>
      <c r="Q82" s="20">
        <f>Q80-(2*1.2)</f>
        <v>117.6</v>
      </c>
      <c r="R82" s="20">
        <f>R80-(2*1.2)</f>
        <v>117.6</v>
      </c>
      <c r="S82" s="20">
        <f>S80-(2*1.2)</f>
        <v>4.0999999999999996</v>
      </c>
      <c r="T82" s="20">
        <f>T80-(2*1.2)</f>
        <v>8.6</v>
      </c>
      <c r="U82" s="62">
        <v>113163</v>
      </c>
      <c r="V82" s="62">
        <v>126618</v>
      </c>
      <c r="W82" s="62">
        <v>39716</v>
      </c>
      <c r="X82" s="62">
        <v>60499</v>
      </c>
      <c r="Y82" s="20">
        <v>2562</v>
      </c>
      <c r="Z82" s="20">
        <v>12</v>
      </c>
      <c r="AA82" s="62">
        <v>6653992</v>
      </c>
      <c r="AB82" s="62">
        <v>2335320</v>
      </c>
      <c r="AC82" s="63">
        <v>0.2011</v>
      </c>
      <c r="AD82" s="20">
        <v>3</v>
      </c>
      <c r="AE82" s="3" t="e">
        <f>IF(#REF!=hulpblad!AD82,hulpblad!P82,"")</f>
        <v>#REF!</v>
      </c>
      <c r="AF82" s="3"/>
    </row>
    <row r="83" spans="15:32" x14ac:dyDescent="0.25">
      <c r="O83" s="3">
        <v>79</v>
      </c>
      <c r="P83" s="3" t="s">
        <v>276</v>
      </c>
      <c r="Q83" s="20">
        <v>140</v>
      </c>
      <c r="R83" s="20">
        <v>140</v>
      </c>
      <c r="S83" s="20">
        <v>7</v>
      </c>
      <c r="T83" s="20">
        <v>12</v>
      </c>
      <c r="U83" s="62">
        <v>215600</v>
      </c>
      <c r="V83" s="62">
        <v>245400</v>
      </c>
      <c r="W83" s="62">
        <v>78500</v>
      </c>
      <c r="X83" s="62">
        <v>119800</v>
      </c>
      <c r="Y83" s="20">
        <v>4300</v>
      </c>
      <c r="Z83" s="20">
        <v>12</v>
      </c>
      <c r="AA83" s="62">
        <v>15090000</v>
      </c>
      <c r="AB83" s="62">
        <v>5500000</v>
      </c>
      <c r="AC83" s="63">
        <v>0.33700000000000002</v>
      </c>
      <c r="AD83" s="20">
        <v>1</v>
      </c>
      <c r="AE83" s="3" t="e">
        <f>IF(#REF!=hulpblad!AD83,hulpblad!P83,"")</f>
        <v>#REF!</v>
      </c>
      <c r="AF83" s="3"/>
    </row>
    <row r="84" spans="15:32" x14ac:dyDescent="0.25">
      <c r="O84" s="3">
        <v>80</v>
      </c>
      <c r="P84" s="3" t="s">
        <v>277</v>
      </c>
      <c r="Q84" s="20">
        <f>Q83-(2*0.6)</f>
        <v>138.80000000000001</v>
      </c>
      <c r="R84" s="20">
        <f>R83-(2*0.6)</f>
        <v>138.80000000000001</v>
      </c>
      <c r="S84" s="20">
        <f>S83-(2*0.6)</f>
        <v>5.8</v>
      </c>
      <c r="T84" s="20">
        <f>T83-(2*0.6)</f>
        <v>10.8</v>
      </c>
      <c r="U84" s="62">
        <v>194319</v>
      </c>
      <c r="V84" s="62">
        <v>218912</v>
      </c>
      <c r="W84" s="62">
        <v>69451</v>
      </c>
      <c r="X84" s="62">
        <v>105736</v>
      </c>
      <c r="Y84" s="20">
        <v>3805</v>
      </c>
      <c r="Z84" s="20">
        <v>12</v>
      </c>
      <c r="AA84" s="64">
        <v>13485710</v>
      </c>
      <c r="AB84" s="62">
        <v>4819910</v>
      </c>
      <c r="AC84" s="63">
        <v>0.29870000000000002</v>
      </c>
      <c r="AD84" s="20">
        <v>2</v>
      </c>
      <c r="AE84" s="3" t="e">
        <f>IF(#REF!=hulpblad!AD84,hulpblad!P84,"")</f>
        <v>#REF!</v>
      </c>
      <c r="AF84" s="3"/>
    </row>
    <row r="85" spans="15:32" x14ac:dyDescent="0.25">
      <c r="O85" s="3">
        <v>81</v>
      </c>
      <c r="P85" s="3" t="s">
        <v>278</v>
      </c>
      <c r="Q85" s="20">
        <f>Q83-(2*1.2)</f>
        <v>137.6</v>
      </c>
      <c r="R85" s="20">
        <f>R83-(2*1.2)</f>
        <v>137.6</v>
      </c>
      <c r="S85" s="20">
        <f>S83-(2*1.2)</f>
        <v>4.5999999999999996</v>
      </c>
      <c r="T85" s="20">
        <f>T83-(2*1.2)</f>
        <v>9.6</v>
      </c>
      <c r="U85" s="62">
        <v>172744</v>
      </c>
      <c r="V85" s="62">
        <v>192398</v>
      </c>
      <c r="W85" s="62">
        <v>60659</v>
      </c>
      <c r="X85" s="62">
        <v>92149</v>
      </c>
      <c r="Y85" s="20">
        <v>3315</v>
      </c>
      <c r="Z85" s="20">
        <v>12</v>
      </c>
      <c r="AA85" s="64">
        <v>11884781</v>
      </c>
      <c r="AB85" s="62">
        <v>4173328</v>
      </c>
      <c r="AC85" s="63">
        <v>0.2601</v>
      </c>
      <c r="AD85" s="20">
        <v>3</v>
      </c>
      <c r="AE85" s="3" t="e">
        <f>IF(#REF!=hulpblad!AD85,hulpblad!P85,"")</f>
        <v>#REF!</v>
      </c>
      <c r="AF85" s="3"/>
    </row>
    <row r="86" spans="15:32" x14ac:dyDescent="0.25">
      <c r="O86" s="3">
        <v>82</v>
      </c>
      <c r="P86" s="3" t="s">
        <v>279</v>
      </c>
      <c r="Q86" s="20">
        <v>160</v>
      </c>
      <c r="R86" s="20">
        <v>160</v>
      </c>
      <c r="S86" s="20">
        <v>8</v>
      </c>
      <c r="T86" s="20">
        <v>13</v>
      </c>
      <c r="U86" s="62">
        <v>311500</v>
      </c>
      <c r="V86" s="62">
        <v>354000</v>
      </c>
      <c r="W86" s="62">
        <v>111200</v>
      </c>
      <c r="X86" s="62">
        <v>170000</v>
      </c>
      <c r="Y86" s="20">
        <v>5430</v>
      </c>
      <c r="Z86" s="20">
        <v>15</v>
      </c>
      <c r="AA86" s="62">
        <v>24920000</v>
      </c>
      <c r="AB86" s="62">
        <v>8890000</v>
      </c>
      <c r="AC86" s="63">
        <v>0.42599999999999999</v>
      </c>
      <c r="AD86" s="20">
        <v>1</v>
      </c>
      <c r="AE86" s="3" t="e">
        <f>IF(#REF!=hulpblad!AD86,hulpblad!P86,"")</f>
        <v>#REF!</v>
      </c>
      <c r="AF86" s="3"/>
    </row>
    <row r="87" spans="15:32" x14ac:dyDescent="0.25">
      <c r="O87" s="3">
        <v>83</v>
      </c>
      <c r="P87" s="3" t="s">
        <v>280</v>
      </c>
      <c r="Q87" s="20">
        <f>Q86-(2*0.6)</f>
        <v>158.80000000000001</v>
      </c>
      <c r="R87" s="20">
        <f>R86-(2*0.6)</f>
        <v>158.80000000000001</v>
      </c>
      <c r="S87" s="20">
        <f>S86-(2*0.6)</f>
        <v>6.8</v>
      </c>
      <c r="T87" s="20">
        <f>T86-(2*0.6)</f>
        <v>11.8</v>
      </c>
      <c r="U87" s="62">
        <v>283521</v>
      </c>
      <c r="V87" s="62">
        <v>319306</v>
      </c>
      <c r="W87" s="62">
        <v>99371</v>
      </c>
      <c r="X87" s="62">
        <v>151702</v>
      </c>
      <c r="Y87" s="20">
        <v>4866</v>
      </c>
      <c r="Z87" s="20">
        <v>15</v>
      </c>
      <c r="AA87" s="62">
        <v>22511598</v>
      </c>
      <c r="AB87" s="62">
        <v>7890039</v>
      </c>
      <c r="AC87" s="63">
        <v>0.38200000000000001</v>
      </c>
      <c r="AD87" s="20">
        <v>2</v>
      </c>
      <c r="AE87" s="3" t="e">
        <f>IF(#REF!=hulpblad!AD87,hulpblad!P87,"")</f>
        <v>#REF!</v>
      </c>
      <c r="AF87" s="3"/>
    </row>
    <row r="88" spans="15:32" x14ac:dyDescent="0.25">
      <c r="O88" s="3">
        <v>84</v>
      </c>
      <c r="P88" s="3" t="s">
        <v>281</v>
      </c>
      <c r="Q88" s="20">
        <f>Q86-(2*1.2)</f>
        <v>157.6</v>
      </c>
      <c r="R88" s="20">
        <f>R86-(2*1.2)</f>
        <v>157.6</v>
      </c>
      <c r="S88" s="20">
        <f>S86-(2*1.2)</f>
        <v>5.6</v>
      </c>
      <c r="T88" s="20">
        <f>T86-(2*1.2)</f>
        <v>10.6</v>
      </c>
      <c r="U88" s="62">
        <v>255105</v>
      </c>
      <c r="V88" s="62">
        <v>284516</v>
      </c>
      <c r="W88" s="62">
        <v>87904</v>
      </c>
      <c r="X88" s="62">
        <v>133946</v>
      </c>
      <c r="Y88" s="20">
        <v>4304</v>
      </c>
      <c r="Z88" s="20">
        <v>15</v>
      </c>
      <c r="AA88" s="62">
        <v>20102306</v>
      </c>
      <c r="AB88" s="62">
        <v>6926854</v>
      </c>
      <c r="AC88" s="63">
        <v>0.33789999999999998</v>
      </c>
      <c r="AD88" s="20">
        <v>3</v>
      </c>
      <c r="AE88" s="3" t="e">
        <f>IF(#REF!=hulpblad!AD88,hulpblad!P88,"")</f>
        <v>#REF!</v>
      </c>
      <c r="AF88" s="3"/>
    </row>
    <row r="89" spans="15:32" x14ac:dyDescent="0.25">
      <c r="O89" s="3">
        <v>85</v>
      </c>
      <c r="P89" s="3" t="s">
        <v>282</v>
      </c>
      <c r="Q89" s="20">
        <v>180</v>
      </c>
      <c r="R89" s="20">
        <v>180</v>
      </c>
      <c r="S89" s="20">
        <v>8.5</v>
      </c>
      <c r="T89" s="20">
        <v>14</v>
      </c>
      <c r="U89" s="62">
        <v>426000</v>
      </c>
      <c r="V89" s="62">
        <v>481400</v>
      </c>
      <c r="W89" s="62">
        <v>151400</v>
      </c>
      <c r="X89" s="62">
        <v>231000</v>
      </c>
      <c r="Y89" s="20">
        <v>6530</v>
      </c>
      <c r="Z89" s="20">
        <v>15</v>
      </c>
      <c r="AA89" s="62">
        <v>38310000</v>
      </c>
      <c r="AB89" s="62">
        <v>13630000</v>
      </c>
      <c r="AC89" s="63">
        <v>0.51200000000000001</v>
      </c>
      <c r="AD89" s="20">
        <v>1</v>
      </c>
      <c r="AE89" s="3" t="e">
        <f>IF(#REF!=hulpblad!AD89,hulpblad!P89,"")</f>
        <v>#REF!</v>
      </c>
      <c r="AF89" s="3"/>
    </row>
    <row r="90" spans="15:32" x14ac:dyDescent="0.25">
      <c r="O90" s="3">
        <v>86</v>
      </c>
      <c r="P90" s="3" t="str">
        <f>CONCATENATE(P89," corrosie 50 jr.")</f>
        <v>HEB 180 corrosie 50 jr.</v>
      </c>
      <c r="Q90" s="20">
        <f>Q89-(2*0.6)</f>
        <v>178.8</v>
      </c>
      <c r="R90" s="20">
        <f>R89-(2*0.6)</f>
        <v>178.8</v>
      </c>
      <c r="S90" s="20">
        <f>S89-(2*0.6)</f>
        <v>7.3</v>
      </c>
      <c r="T90" s="20">
        <f>T89-(2*0.6)</f>
        <v>12.8</v>
      </c>
      <c r="U90" s="62">
        <v>389828</v>
      </c>
      <c r="V90" s="62">
        <v>437316</v>
      </c>
      <c r="W90" s="62">
        <v>136588</v>
      </c>
      <c r="X90" s="62">
        <v>208052</v>
      </c>
      <c r="Y90" s="20">
        <v>5895</v>
      </c>
      <c r="Z90" s="20">
        <v>15</v>
      </c>
      <c r="AA90" s="64">
        <v>34850626</v>
      </c>
      <c r="AB90" s="62">
        <v>12211003</v>
      </c>
      <c r="AC90" s="63">
        <v>0.4627</v>
      </c>
      <c r="AD90" s="20">
        <v>2</v>
      </c>
      <c r="AE90" s="3" t="e">
        <f>IF(#REF!=hulpblad!AD90,hulpblad!P90,"")</f>
        <v>#REF!</v>
      </c>
      <c r="AF90" s="3"/>
    </row>
    <row r="91" spans="15:32" x14ac:dyDescent="0.25">
      <c r="O91" s="3">
        <v>87</v>
      </c>
      <c r="P91" s="3" t="s">
        <v>283</v>
      </c>
      <c r="Q91" s="20">
        <f>Q89-(2*1.2)</f>
        <v>177.6</v>
      </c>
      <c r="R91" s="20">
        <f>R89-(2*1.2)</f>
        <v>177.6</v>
      </c>
      <c r="S91" s="20">
        <f>S89-(2*1.2)</f>
        <v>6.1</v>
      </c>
      <c r="T91" s="20">
        <f>T89-(2*1.2)</f>
        <v>11.6</v>
      </c>
      <c r="U91" s="62">
        <v>353464</v>
      </c>
      <c r="V91" s="62">
        <v>393029</v>
      </c>
      <c r="W91" s="62">
        <v>122107</v>
      </c>
      <c r="X91" s="62">
        <v>185665</v>
      </c>
      <c r="Y91" s="20">
        <v>5261</v>
      </c>
      <c r="Z91" s="20">
        <v>15</v>
      </c>
      <c r="AA91" s="64">
        <v>31387606</v>
      </c>
      <c r="AB91" s="62">
        <v>10843093</v>
      </c>
      <c r="AC91" s="63">
        <v>0.41299999999999998</v>
      </c>
      <c r="AD91" s="20">
        <v>3</v>
      </c>
      <c r="AE91" s="3" t="e">
        <f>IF(#REF!=hulpblad!AD91,hulpblad!P91,"")</f>
        <v>#REF!</v>
      </c>
      <c r="AF91" s="3"/>
    </row>
    <row r="92" spans="15:32" x14ac:dyDescent="0.25">
      <c r="O92" s="3">
        <v>88</v>
      </c>
      <c r="P92" s="3" t="s">
        <v>284</v>
      </c>
      <c r="Q92" s="20">
        <v>200</v>
      </c>
      <c r="R92" s="20">
        <v>200</v>
      </c>
      <c r="S92" s="20">
        <v>9</v>
      </c>
      <c r="T92" s="20">
        <v>15</v>
      </c>
      <c r="U92" s="62">
        <v>570000</v>
      </c>
      <c r="V92" s="62">
        <v>642000</v>
      </c>
      <c r="W92" s="62">
        <v>200300</v>
      </c>
      <c r="X92" s="62">
        <v>305800</v>
      </c>
      <c r="Y92" s="20">
        <v>7810</v>
      </c>
      <c r="Z92" s="20">
        <v>18</v>
      </c>
      <c r="AA92" s="62">
        <v>20030000</v>
      </c>
      <c r="AB92" s="62">
        <v>20030000</v>
      </c>
      <c r="AC92" s="63">
        <v>0.61299999999999999</v>
      </c>
      <c r="AD92" s="20">
        <v>1</v>
      </c>
      <c r="AE92" s="3" t="e">
        <f>IF(#REF!=hulpblad!AD92,hulpblad!P92,"")</f>
        <v>#REF!</v>
      </c>
      <c r="AF92" s="3"/>
    </row>
    <row r="93" spans="15:32" x14ac:dyDescent="0.25">
      <c r="O93" s="3">
        <v>89</v>
      </c>
      <c r="P93" s="3" t="str">
        <f>CONCATENATE(P92," corrosie 50 jr.")</f>
        <v>HEB 200 corrosie 50 jr.</v>
      </c>
      <c r="Q93" s="20">
        <f>Q92-(2*0.6)</f>
        <v>198.8</v>
      </c>
      <c r="R93" s="20">
        <f>R92-(2*0.6)</f>
        <v>198.8</v>
      </c>
      <c r="S93" s="20">
        <f>S92-(2*0.6)</f>
        <v>7.8</v>
      </c>
      <c r="T93" s="20">
        <f>T92-(2*0.6)</f>
        <v>13.8</v>
      </c>
      <c r="U93" s="62">
        <v>525185</v>
      </c>
      <c r="V93" s="62">
        <v>588053</v>
      </c>
      <c r="W93" s="62">
        <v>182086</v>
      </c>
      <c r="X93" s="62">
        <v>277594</v>
      </c>
      <c r="Y93" s="20">
        <v>7109</v>
      </c>
      <c r="Z93" s="20">
        <v>18</v>
      </c>
      <c r="AA93" s="64">
        <v>52203388</v>
      </c>
      <c r="AB93" s="62">
        <v>18099366</v>
      </c>
      <c r="AC93" s="63">
        <v>0.55800000000000005</v>
      </c>
      <c r="AD93" s="20">
        <v>2</v>
      </c>
      <c r="AE93" s="3" t="e">
        <f>IF(#REF!=hulpblad!AD93,hulpblad!P93,"")</f>
        <v>#REF!</v>
      </c>
      <c r="AF93" s="3"/>
    </row>
    <row r="94" spans="15:32" x14ac:dyDescent="0.25">
      <c r="O94" s="3">
        <v>90</v>
      </c>
      <c r="P94" s="3" t="s">
        <v>285</v>
      </c>
      <c r="Q94" s="20">
        <f>Q92-(2*1.2)</f>
        <v>197.6</v>
      </c>
      <c r="R94" s="20">
        <f>R92-(2*1.2)</f>
        <v>197.6</v>
      </c>
      <c r="S94" s="20">
        <f>S92-(2*1.2)</f>
        <v>6.6</v>
      </c>
      <c r="T94" s="20">
        <f>T92-(2*1.2)</f>
        <v>12.6</v>
      </c>
      <c r="U94" s="62">
        <v>480019</v>
      </c>
      <c r="V94" s="62">
        <v>533181</v>
      </c>
      <c r="W94" s="62">
        <v>164228</v>
      </c>
      <c r="X94" s="62">
        <v>249986</v>
      </c>
      <c r="Y94" s="20">
        <v>6404</v>
      </c>
      <c r="Z94" s="20">
        <v>18</v>
      </c>
      <c r="AA94" s="64">
        <v>47425882</v>
      </c>
      <c r="AB94" s="62">
        <v>16225719</v>
      </c>
      <c r="AC94" s="63">
        <v>0.50270000000000004</v>
      </c>
      <c r="AD94" s="20">
        <v>3</v>
      </c>
      <c r="AE94" s="3" t="e">
        <f>IF(#REF!=hulpblad!AD94,hulpblad!P94,"")</f>
        <v>#REF!</v>
      </c>
      <c r="AF94" s="3"/>
    </row>
    <row r="95" spans="15:32" x14ac:dyDescent="0.25">
      <c r="O95" s="3">
        <v>91</v>
      </c>
      <c r="P95" s="3" t="s">
        <v>286</v>
      </c>
      <c r="Q95" s="20">
        <v>220</v>
      </c>
      <c r="R95" s="20">
        <v>220</v>
      </c>
      <c r="S95" s="20">
        <v>9.5</v>
      </c>
      <c r="T95" s="20">
        <v>16</v>
      </c>
      <c r="U95" s="62">
        <v>736000</v>
      </c>
      <c r="V95" s="62">
        <v>828000</v>
      </c>
      <c r="W95" s="62">
        <v>258500</v>
      </c>
      <c r="X95" s="62">
        <v>393800</v>
      </c>
      <c r="Y95" s="20">
        <v>9100</v>
      </c>
      <c r="Z95" s="20">
        <v>18</v>
      </c>
      <c r="AA95" s="62">
        <v>80910000</v>
      </c>
      <c r="AB95" s="62">
        <v>28430000</v>
      </c>
      <c r="AC95" s="63">
        <v>0.71499999999999997</v>
      </c>
      <c r="AD95" s="20">
        <v>1</v>
      </c>
      <c r="AE95" s="3" t="e">
        <f>IF(#REF!=hulpblad!AD95,hulpblad!P95,"")</f>
        <v>#REF!</v>
      </c>
      <c r="AF95" s="3"/>
    </row>
    <row r="96" spans="15:32" x14ac:dyDescent="0.25">
      <c r="O96" s="3">
        <v>92</v>
      </c>
      <c r="P96" s="3" t="str">
        <f>CONCATENATE(P95," corrosie 50 jr.")</f>
        <v>HEB 220 corrosie 50 jr.</v>
      </c>
      <c r="Q96" s="20">
        <f>Q95-(2*0.6)</f>
        <v>218.8</v>
      </c>
      <c r="R96" s="20">
        <f>R95-(2*0.6)</f>
        <v>218.8</v>
      </c>
      <c r="S96" s="20">
        <f>S95-(2*0.6)</f>
        <v>8.3000000000000007</v>
      </c>
      <c r="T96" s="20">
        <f>T95-(2*0.6)</f>
        <v>14.8</v>
      </c>
      <c r="U96" s="62">
        <v>681311</v>
      </c>
      <c r="V96" s="62">
        <v>760822</v>
      </c>
      <c r="W96" s="62">
        <v>236468</v>
      </c>
      <c r="X96" s="62">
        <v>359886</v>
      </c>
      <c r="Y96" s="20">
        <v>8333</v>
      </c>
      <c r="Z96" s="20">
        <v>18</v>
      </c>
      <c r="AA96" s="64">
        <v>74535373</v>
      </c>
      <c r="AB96" s="62">
        <v>25869608</v>
      </c>
      <c r="AC96" s="63">
        <v>0.6542</v>
      </c>
      <c r="AD96" s="20">
        <v>2</v>
      </c>
      <c r="AE96" s="3" t="e">
        <f>IF(#REF!=hulpblad!AD96,hulpblad!P96,"")</f>
        <v>#REF!</v>
      </c>
      <c r="AF96" s="3"/>
    </row>
    <row r="97" spans="15:32" x14ac:dyDescent="0.25">
      <c r="O97" s="3">
        <v>93</v>
      </c>
      <c r="P97" s="3" t="s">
        <v>287</v>
      </c>
      <c r="Q97" s="20">
        <f>Q95-(2*1.2)</f>
        <v>217.6</v>
      </c>
      <c r="R97" s="20">
        <f>R95-(2*1.2)</f>
        <v>217.6</v>
      </c>
      <c r="S97" s="20">
        <f>S95-(2*1.2)</f>
        <v>7.1</v>
      </c>
      <c r="T97" s="20">
        <f>T95-(2*1.2)</f>
        <v>13.6</v>
      </c>
      <c r="U97" s="62">
        <v>626251</v>
      </c>
      <c r="V97" s="62">
        <v>694171</v>
      </c>
      <c r="W97" s="62">
        <v>214890</v>
      </c>
      <c r="X97" s="62">
        <v>326570</v>
      </c>
      <c r="Y97" s="20">
        <v>7557</v>
      </c>
      <c r="Z97" s="20">
        <v>18</v>
      </c>
      <c r="AA97" s="64">
        <v>68136126</v>
      </c>
      <c r="AB97" s="62">
        <v>23380080</v>
      </c>
      <c r="AC97" s="63">
        <v>0.59319999999999995</v>
      </c>
      <c r="AD97" s="20">
        <v>3</v>
      </c>
      <c r="AE97" s="3" t="e">
        <f>IF(#REF!=hulpblad!AD97,hulpblad!P97,"")</f>
        <v>#REF!</v>
      </c>
      <c r="AF97" s="3"/>
    </row>
    <row r="98" spans="15:32" x14ac:dyDescent="0.25">
      <c r="O98" s="3">
        <v>94</v>
      </c>
      <c r="P98" s="3" t="s">
        <v>288</v>
      </c>
      <c r="Q98" s="20">
        <v>240</v>
      </c>
      <c r="R98" s="20">
        <v>240</v>
      </c>
      <c r="S98" s="20">
        <v>10</v>
      </c>
      <c r="T98" s="20">
        <v>17</v>
      </c>
      <c r="U98" s="62">
        <v>938000</v>
      </c>
      <c r="V98" s="62">
        <v>1054000</v>
      </c>
      <c r="W98" s="62">
        <v>327000</v>
      </c>
      <c r="X98" s="62">
        <v>498400</v>
      </c>
      <c r="Y98" s="20">
        <v>10600</v>
      </c>
      <c r="Z98" s="20">
        <v>21</v>
      </c>
      <c r="AA98" s="62">
        <v>112600000</v>
      </c>
      <c r="AB98" s="62">
        <v>39230000</v>
      </c>
      <c r="AC98" s="63">
        <v>0.83199999999999996</v>
      </c>
      <c r="AD98" s="20">
        <v>1</v>
      </c>
      <c r="AE98" s="3" t="e">
        <f>IF(#REF!=hulpblad!AD98,hulpblad!P98,"")</f>
        <v>#REF!</v>
      </c>
      <c r="AF98" s="3"/>
    </row>
    <row r="99" spans="15:32" x14ac:dyDescent="0.25">
      <c r="O99" s="3">
        <v>95</v>
      </c>
      <c r="P99" s="3" t="str">
        <f>CONCATENATE(P98," corrosie 50 jr.")</f>
        <v>HEB 240 corrosie 50 jr.</v>
      </c>
      <c r="Q99" s="20">
        <f>Q98-(2*0.6)</f>
        <v>238.8</v>
      </c>
      <c r="R99" s="20">
        <f>R98-(2*0.6)</f>
        <v>238.8</v>
      </c>
      <c r="S99" s="20">
        <f>S98-(2*0.6)</f>
        <v>8.8000000000000007</v>
      </c>
      <c r="T99" s="20">
        <f>T98-(2*0.6)</f>
        <v>15.8</v>
      </c>
      <c r="U99" s="62">
        <v>873632</v>
      </c>
      <c r="V99" s="62">
        <v>974394</v>
      </c>
      <c r="W99" s="62">
        <v>300762</v>
      </c>
      <c r="X99" s="62">
        <v>458094</v>
      </c>
      <c r="Y99" s="20">
        <v>9760</v>
      </c>
      <c r="Z99" s="20">
        <v>21</v>
      </c>
      <c r="AA99" s="62">
        <v>104311669</v>
      </c>
      <c r="AB99" s="62">
        <v>35910970</v>
      </c>
      <c r="AC99" s="63">
        <v>0.7661</v>
      </c>
      <c r="AD99" s="20">
        <v>2</v>
      </c>
      <c r="AE99" s="3" t="e">
        <f>IF(#REF!=hulpblad!AD99,hulpblad!P99,"")</f>
        <v>#REF!</v>
      </c>
      <c r="AF99" s="3"/>
    </row>
    <row r="100" spans="15:32" x14ac:dyDescent="0.25">
      <c r="O100" s="3">
        <v>96</v>
      </c>
      <c r="P100" s="3" t="s">
        <v>289</v>
      </c>
      <c r="Q100" s="20">
        <f>Q98-(2*1.2)</f>
        <v>237.6</v>
      </c>
      <c r="R100" s="20">
        <f>R98-(2*1.2)</f>
        <v>237.6</v>
      </c>
      <c r="S100" s="20">
        <f>S98-(2*1.2)</f>
        <v>7.6</v>
      </c>
      <c r="T100" s="20">
        <f>T98-(2*1.2)</f>
        <v>14.6</v>
      </c>
      <c r="U100" s="62">
        <v>807849</v>
      </c>
      <c r="V100" s="62">
        <v>894886</v>
      </c>
      <c r="W100" s="62">
        <v>275102</v>
      </c>
      <c r="X100" s="62">
        <v>418469</v>
      </c>
      <c r="Y100" s="20">
        <v>8912</v>
      </c>
      <c r="Z100" s="20">
        <v>21</v>
      </c>
      <c r="AA100" s="62">
        <v>95972421</v>
      </c>
      <c r="AB100" s="62">
        <v>32682089</v>
      </c>
      <c r="AC100" s="63">
        <v>0.6996</v>
      </c>
      <c r="AD100" s="20">
        <v>3</v>
      </c>
      <c r="AE100" s="3" t="e">
        <f>IF(#REF!=hulpblad!AD100,hulpblad!P100,"")</f>
        <v>#REF!</v>
      </c>
      <c r="AF100" s="3"/>
    </row>
    <row r="101" spans="15:32" x14ac:dyDescent="0.25">
      <c r="O101" s="3">
        <v>97</v>
      </c>
      <c r="P101" s="3" t="s">
        <v>290</v>
      </c>
      <c r="Q101" s="20">
        <v>260</v>
      </c>
      <c r="R101" s="20">
        <v>260</v>
      </c>
      <c r="S101" s="20">
        <v>10</v>
      </c>
      <c r="T101" s="20">
        <v>17.5</v>
      </c>
      <c r="U101" s="62">
        <v>1150000</v>
      </c>
      <c r="V101" s="62">
        <v>1282000</v>
      </c>
      <c r="W101" s="62">
        <v>395000</v>
      </c>
      <c r="X101" s="62">
        <v>602200</v>
      </c>
      <c r="Y101" s="20">
        <v>11840</v>
      </c>
      <c r="Z101" s="20">
        <v>24</v>
      </c>
      <c r="AA101" s="62">
        <v>149200000</v>
      </c>
      <c r="AB101" s="62">
        <v>51350000</v>
      </c>
      <c r="AC101" s="63">
        <v>0.93</v>
      </c>
      <c r="AD101" s="20">
        <v>1</v>
      </c>
      <c r="AE101" s="3" t="e">
        <f>IF(#REF!=hulpblad!AD101,hulpblad!P101,"")</f>
        <v>#REF!</v>
      </c>
      <c r="AF101" s="3"/>
    </row>
    <row r="102" spans="15:32" x14ac:dyDescent="0.25">
      <c r="O102" s="3">
        <v>98</v>
      </c>
      <c r="P102" s="3" t="str">
        <f>CONCATENATE(P101," corrosie 50 jr.")</f>
        <v>HEB 260 corrosie 50 jr.</v>
      </c>
      <c r="Q102" s="20">
        <f>Q101-(2*0.6)</f>
        <v>258.8</v>
      </c>
      <c r="R102" s="20">
        <f>R101-(2*0.6)</f>
        <v>258.8</v>
      </c>
      <c r="S102" s="20">
        <f>S101-(2*0.6)</f>
        <v>8.8000000000000007</v>
      </c>
      <c r="T102" s="20">
        <f>T101-(2*0.6)</f>
        <v>16.3</v>
      </c>
      <c r="U102" s="62">
        <v>1071290</v>
      </c>
      <c r="V102" s="62">
        <v>1190390</v>
      </c>
      <c r="W102" s="62">
        <v>364441</v>
      </c>
      <c r="X102" s="62">
        <v>554956</v>
      </c>
      <c r="Y102" s="20">
        <v>10912</v>
      </c>
      <c r="Z102" s="20">
        <v>24</v>
      </c>
      <c r="AA102" s="62">
        <v>138346425</v>
      </c>
      <c r="AB102" s="62">
        <v>47163455</v>
      </c>
      <c r="AC102" s="63">
        <v>0.85660000000000003</v>
      </c>
      <c r="AD102" s="20">
        <v>2</v>
      </c>
      <c r="AE102" s="3" t="e">
        <f>IF(#REF!=hulpblad!AD102,hulpblad!P102,"")</f>
        <v>#REF!</v>
      </c>
      <c r="AF102" s="3"/>
    </row>
    <row r="103" spans="15:32" x14ac:dyDescent="0.25">
      <c r="O103" s="3">
        <v>99</v>
      </c>
      <c r="P103" s="3" t="s">
        <v>291</v>
      </c>
      <c r="Q103" s="20">
        <f>Q101-(2*1.2)</f>
        <v>257.60000000000002</v>
      </c>
      <c r="R103" s="20">
        <f>R101-(2*1.2)</f>
        <v>257.60000000000002</v>
      </c>
      <c r="S103" s="20">
        <f>S101-(2*1.2)</f>
        <v>7.6</v>
      </c>
      <c r="T103" s="20">
        <f>T101-(2*1.2)</f>
        <v>15.1</v>
      </c>
      <c r="U103" s="62">
        <v>993381</v>
      </c>
      <c r="V103" s="62">
        <v>1096675</v>
      </c>
      <c r="W103" s="62">
        <v>334490</v>
      </c>
      <c r="X103" s="62">
        <v>509004</v>
      </c>
      <c r="Y103" s="20">
        <v>10017</v>
      </c>
      <c r="Z103" s="20">
        <v>24</v>
      </c>
      <c r="AA103" s="62">
        <v>127947452</v>
      </c>
      <c r="AB103" s="62">
        <v>43082319</v>
      </c>
      <c r="AC103" s="63">
        <v>0.78639999999999999</v>
      </c>
      <c r="AD103" s="20">
        <v>3</v>
      </c>
      <c r="AE103" s="3" t="e">
        <f>IF(#REF!=hulpblad!AD103,hulpblad!P103,"")</f>
        <v>#REF!</v>
      </c>
      <c r="AF103" s="3"/>
    </row>
    <row r="104" spans="15:32" x14ac:dyDescent="0.25">
      <c r="O104" s="3">
        <v>100</v>
      </c>
      <c r="P104" s="3" t="s">
        <v>292</v>
      </c>
      <c r="Q104" s="20">
        <v>280</v>
      </c>
      <c r="R104" s="20">
        <v>280</v>
      </c>
      <c r="S104" s="20">
        <v>10.5</v>
      </c>
      <c r="T104" s="20">
        <v>18</v>
      </c>
      <c r="U104" s="62">
        <v>1380000</v>
      </c>
      <c r="V104" s="62">
        <v>1534000</v>
      </c>
      <c r="W104" s="62">
        <v>471000</v>
      </c>
      <c r="X104" s="62">
        <v>718000</v>
      </c>
      <c r="Y104" s="20">
        <v>13140</v>
      </c>
      <c r="Z104" s="20">
        <v>24</v>
      </c>
      <c r="AA104" s="62">
        <v>192700000</v>
      </c>
      <c r="AB104" s="62">
        <v>65950000</v>
      </c>
      <c r="AC104" s="63">
        <v>1.0309999999999999</v>
      </c>
      <c r="AD104" s="20">
        <v>1</v>
      </c>
      <c r="AE104" s="3" t="e">
        <f>IF(#REF!=hulpblad!AD104,hulpblad!P104,"")</f>
        <v>#REF!</v>
      </c>
      <c r="AF104" s="3"/>
    </row>
    <row r="105" spans="15:32" x14ac:dyDescent="0.25">
      <c r="O105" s="3">
        <v>101</v>
      </c>
      <c r="P105" s="3" t="str">
        <f>CONCATENATE(P104," corrosie 50 jr.")</f>
        <v>HEB 280 corrosie 50 jr.</v>
      </c>
      <c r="Q105" s="20">
        <f>Q104-(2*0.6)</f>
        <v>278.8</v>
      </c>
      <c r="R105" s="20">
        <f>R104-(2*0.6)</f>
        <v>278.8</v>
      </c>
      <c r="S105" s="20">
        <f>S104-(2*0.6)</f>
        <v>9.3000000000000007</v>
      </c>
      <c r="T105" s="20">
        <f>T104-(2*0.6)</f>
        <v>16.8</v>
      </c>
      <c r="U105" s="62">
        <v>1286999</v>
      </c>
      <c r="V105" s="62">
        <v>1426645</v>
      </c>
      <c r="W105" s="62">
        <v>435855</v>
      </c>
      <c r="X105" s="62">
        <v>663382</v>
      </c>
      <c r="Y105" s="20">
        <v>12158</v>
      </c>
      <c r="Z105" s="20">
        <v>24</v>
      </c>
      <c r="AA105" s="64">
        <v>179407584</v>
      </c>
      <c r="AB105" s="62">
        <v>60758249</v>
      </c>
      <c r="AC105" s="63">
        <v>0.95440000000000003</v>
      </c>
      <c r="AD105" s="20">
        <v>2</v>
      </c>
      <c r="AE105" s="3" t="e">
        <f>IF(#REF!=hulpblad!AD105,hulpblad!P105,"")</f>
        <v>#REF!</v>
      </c>
      <c r="AF105" s="3"/>
    </row>
    <row r="106" spans="15:32" x14ac:dyDescent="0.25">
      <c r="O106" s="3">
        <v>102</v>
      </c>
      <c r="P106" s="3" t="s">
        <v>293</v>
      </c>
      <c r="Q106" s="20">
        <f>Q104-(2*1.2)</f>
        <v>277.60000000000002</v>
      </c>
      <c r="R106" s="20">
        <f>R104-(2*1.2)</f>
        <v>277.60000000000002</v>
      </c>
      <c r="S106" s="20">
        <f>S104-(2*1.2)</f>
        <v>8.1</v>
      </c>
      <c r="T106" s="20">
        <f>T104-(2*1.2)</f>
        <v>15.6</v>
      </c>
      <c r="U106" s="62">
        <v>1195836</v>
      </c>
      <c r="V106" s="62">
        <v>1317549</v>
      </c>
      <c r="W106" s="62">
        <v>401211</v>
      </c>
      <c r="X106" s="62">
        <v>609970</v>
      </c>
      <c r="Y106" s="20">
        <v>11167</v>
      </c>
      <c r="Z106" s="20">
        <v>24</v>
      </c>
      <c r="AA106" s="64">
        <v>165982039</v>
      </c>
      <c r="AB106" s="62">
        <v>55688106</v>
      </c>
      <c r="AC106" s="63">
        <v>0.87660000000000005</v>
      </c>
      <c r="AD106" s="20">
        <v>3</v>
      </c>
      <c r="AE106" s="3" t="e">
        <f>IF(#REF!=hulpblad!AD106,hulpblad!P106,"")</f>
        <v>#REF!</v>
      </c>
      <c r="AF106" s="3"/>
    </row>
    <row r="107" spans="15:32" x14ac:dyDescent="0.25">
      <c r="O107" s="3">
        <v>103</v>
      </c>
      <c r="P107" s="3" t="s">
        <v>294</v>
      </c>
      <c r="Q107" s="20">
        <v>300</v>
      </c>
      <c r="R107" s="20">
        <v>300</v>
      </c>
      <c r="S107" s="20">
        <v>11</v>
      </c>
      <c r="T107" s="20">
        <v>19</v>
      </c>
      <c r="U107" s="62">
        <v>1680000</v>
      </c>
      <c r="V107" s="62">
        <v>1868000</v>
      </c>
      <c r="W107" s="62">
        <v>571000</v>
      </c>
      <c r="X107" s="62">
        <v>870000</v>
      </c>
      <c r="Y107" s="20">
        <v>14910</v>
      </c>
      <c r="Z107" s="20">
        <v>27</v>
      </c>
      <c r="AA107" s="62">
        <v>251700000</v>
      </c>
      <c r="AB107" s="62">
        <v>85630000</v>
      </c>
      <c r="AC107" s="63">
        <v>1.17</v>
      </c>
      <c r="AD107" s="20">
        <v>1</v>
      </c>
      <c r="AE107" s="3" t="e">
        <f>IF(#REF!=hulpblad!AD107,hulpblad!P107,"")</f>
        <v>#REF!</v>
      </c>
      <c r="AF107" s="3"/>
    </row>
    <row r="108" spans="15:32" x14ac:dyDescent="0.25">
      <c r="O108" s="3">
        <v>104</v>
      </c>
      <c r="P108" s="3" t="str">
        <f>CONCATENATE(P107," corrosie 50 jr.")</f>
        <v>HEB 300 corrosie 50 jr.</v>
      </c>
      <c r="Q108" s="20">
        <f>Q107-(2*0.6)</f>
        <v>298.8</v>
      </c>
      <c r="R108" s="20">
        <f>R107-(2*0.6)</f>
        <v>298.8</v>
      </c>
      <c r="S108" s="20">
        <f>S107-(2*0.6)</f>
        <v>9.8000000000000007</v>
      </c>
      <c r="T108" s="20">
        <f>T107-(2*0.6)</f>
        <v>17.8</v>
      </c>
      <c r="U108" s="62">
        <v>1575116</v>
      </c>
      <c r="V108" s="62">
        <v>1745173</v>
      </c>
      <c r="W108" s="62">
        <v>530519</v>
      </c>
      <c r="X108" s="62">
        <v>808047</v>
      </c>
      <c r="Y108" s="20">
        <v>13862</v>
      </c>
      <c r="Z108" s="20">
        <v>27</v>
      </c>
      <c r="AA108" s="62">
        <v>235322305</v>
      </c>
      <c r="AB108" s="62">
        <v>79259571</v>
      </c>
      <c r="AC108" s="63">
        <v>1.0881000000000001</v>
      </c>
      <c r="AD108" s="20">
        <v>2</v>
      </c>
      <c r="AE108" s="3" t="e">
        <f>IF(#REF!=hulpblad!AD108,hulpblad!P108,"")</f>
        <v>#REF!</v>
      </c>
      <c r="AF108" s="3"/>
    </row>
    <row r="109" spans="15:32" x14ac:dyDescent="0.25">
      <c r="O109" s="3">
        <v>105</v>
      </c>
      <c r="P109" s="3" t="s">
        <v>295</v>
      </c>
      <c r="Q109" s="20">
        <f>Q107-(2*1.2)</f>
        <v>297.60000000000002</v>
      </c>
      <c r="R109" s="20">
        <f>R107-(2*1.2)</f>
        <v>297.60000000000002</v>
      </c>
      <c r="S109" s="20">
        <f>S107-(2*1.2)</f>
        <v>8.6</v>
      </c>
      <c r="T109" s="20">
        <f>T107-(2*1.2)</f>
        <v>16.600000000000001</v>
      </c>
      <c r="U109" s="62">
        <v>1470292</v>
      </c>
      <c r="V109" s="62">
        <v>1619786</v>
      </c>
      <c r="W109" s="62">
        <v>490749</v>
      </c>
      <c r="X109" s="62">
        <v>746721</v>
      </c>
      <c r="Y109" s="20">
        <v>12799</v>
      </c>
      <c r="Z109" s="20">
        <v>27</v>
      </c>
      <c r="AA109" s="62">
        <v>218779397</v>
      </c>
      <c r="AB109" s="62">
        <v>73023518</v>
      </c>
      <c r="AC109" s="63">
        <v>1.0046999999999999</v>
      </c>
      <c r="AD109" s="20">
        <v>3</v>
      </c>
      <c r="AE109" s="3" t="e">
        <f>IF(#REF!=hulpblad!AD109,hulpblad!P109,"")</f>
        <v>#REF!</v>
      </c>
      <c r="AF109" s="3"/>
    </row>
    <row r="110" spans="15:32" x14ac:dyDescent="0.25">
      <c r="O110" s="3">
        <v>106</v>
      </c>
      <c r="P110" s="3" t="s">
        <v>296</v>
      </c>
      <c r="Q110" s="20">
        <v>320</v>
      </c>
      <c r="R110" s="20">
        <v>300</v>
      </c>
      <c r="S110" s="20">
        <v>11.5</v>
      </c>
      <c r="T110" s="20">
        <v>20.5</v>
      </c>
      <c r="U110" s="62">
        <v>1930000</v>
      </c>
      <c r="V110" s="62">
        <v>2150000</v>
      </c>
      <c r="W110" s="62">
        <v>616000</v>
      </c>
      <c r="X110" s="62">
        <v>940000</v>
      </c>
      <c r="Y110" s="20">
        <v>16130</v>
      </c>
      <c r="Z110" s="20">
        <v>27</v>
      </c>
      <c r="AA110" s="62">
        <v>308200000</v>
      </c>
      <c r="AB110" s="62">
        <v>92390000</v>
      </c>
      <c r="AC110" s="63">
        <v>1.2669999999999999</v>
      </c>
      <c r="AD110" s="20">
        <v>1</v>
      </c>
      <c r="AE110" s="3" t="e">
        <f>IF(#REF!=hulpblad!AD110,hulpblad!P110,"")</f>
        <v>#REF!</v>
      </c>
      <c r="AF110" s="3"/>
    </row>
    <row r="111" spans="15:32" x14ac:dyDescent="0.25">
      <c r="O111" s="3">
        <v>107</v>
      </c>
      <c r="P111" s="3" t="str">
        <f>CONCATENATE(P110," corrosie 50 jr.")</f>
        <v>HEB 320 corrosie 50 jr.</v>
      </c>
      <c r="Q111" s="20">
        <f>Q110-(2*0.6)</f>
        <v>318.8</v>
      </c>
      <c r="R111" s="20">
        <f>R110-(2*0.6)</f>
        <v>298.8</v>
      </c>
      <c r="S111" s="20">
        <f>S110-(2*0.6)</f>
        <v>10.3</v>
      </c>
      <c r="T111" s="20">
        <f>T110-(2*0.6)</f>
        <v>19.3</v>
      </c>
      <c r="U111" s="62">
        <v>1816030</v>
      </c>
      <c r="V111" s="62">
        <v>2015732</v>
      </c>
      <c r="W111" s="62">
        <v>575217</v>
      </c>
      <c r="X111" s="62">
        <v>876282</v>
      </c>
      <c r="Y111" s="20">
        <v>15065</v>
      </c>
      <c r="Z111" s="20">
        <v>27</v>
      </c>
      <c r="AA111" s="64">
        <v>289474782</v>
      </c>
      <c r="AB111" s="62">
        <v>85937367</v>
      </c>
      <c r="AC111" s="63">
        <v>1.1826000000000001</v>
      </c>
      <c r="AD111" s="20">
        <v>2</v>
      </c>
      <c r="AE111" s="3" t="e">
        <f>IF(#REF!=hulpblad!AD111,hulpblad!P111,"")</f>
        <v>#REF!</v>
      </c>
      <c r="AF111" s="3"/>
    </row>
    <row r="112" spans="15:32" x14ac:dyDescent="0.25">
      <c r="O112" s="3">
        <v>108</v>
      </c>
      <c r="P112" s="3" t="s">
        <v>297</v>
      </c>
      <c r="Q112" s="20">
        <f>Q110-(2*1.2)</f>
        <v>317.60000000000002</v>
      </c>
      <c r="R112" s="20">
        <f>R110-(2*1.2)</f>
        <v>297.60000000000002</v>
      </c>
      <c r="S112" s="20">
        <f>S110-(2*1.2)</f>
        <v>9.1</v>
      </c>
      <c r="T112" s="20">
        <f>T110-(2*1.2)</f>
        <v>18.100000000000001</v>
      </c>
      <c r="U112" s="62">
        <v>1703241</v>
      </c>
      <c r="V112" s="62">
        <v>1880205</v>
      </c>
      <c r="W112" s="62">
        <v>535080</v>
      </c>
      <c r="X112" s="62">
        <v>814243</v>
      </c>
      <c r="Y112" s="20">
        <v>13979</v>
      </c>
      <c r="Z112" s="20">
        <v>27</v>
      </c>
      <c r="AA112" s="64">
        <v>270474611</v>
      </c>
      <c r="AB112" s="62">
        <v>79619876</v>
      </c>
      <c r="AC112" s="63">
        <v>1.0972999999999999</v>
      </c>
      <c r="AD112" s="20">
        <v>3</v>
      </c>
      <c r="AE112" s="3" t="e">
        <f>IF(#REF!=hulpblad!AD112,hulpblad!P112,"")</f>
        <v>#REF!</v>
      </c>
      <c r="AF112" s="3"/>
    </row>
    <row r="113" spans="15:32" x14ac:dyDescent="0.25">
      <c r="O113" s="3">
        <v>109</v>
      </c>
      <c r="P113" s="3" t="s">
        <v>298</v>
      </c>
      <c r="Q113" s="20">
        <v>340</v>
      </c>
      <c r="R113" s="20">
        <v>300</v>
      </c>
      <c r="S113" s="20">
        <v>12</v>
      </c>
      <c r="T113" s="20">
        <v>21.5</v>
      </c>
      <c r="U113" s="62">
        <v>2160000</v>
      </c>
      <c r="V113" s="62">
        <v>2408000</v>
      </c>
      <c r="W113" s="62">
        <v>646000</v>
      </c>
      <c r="X113" s="62">
        <v>986000</v>
      </c>
      <c r="Y113" s="20">
        <v>17090</v>
      </c>
      <c r="Z113" s="20">
        <v>27</v>
      </c>
      <c r="AA113" s="62">
        <v>366600000</v>
      </c>
      <c r="AB113" s="62">
        <v>96900000</v>
      </c>
      <c r="AC113" s="63">
        <v>1.3420000000000001</v>
      </c>
      <c r="AD113" s="20">
        <v>1</v>
      </c>
      <c r="AE113" s="3" t="e">
        <f>IF(#REF!=hulpblad!AD113,hulpblad!P113,"")</f>
        <v>#REF!</v>
      </c>
      <c r="AF113" s="3"/>
    </row>
    <row r="114" spans="15:32" x14ac:dyDescent="0.25">
      <c r="O114" s="3">
        <v>110</v>
      </c>
      <c r="P114" s="3" t="str">
        <f>CONCATENATE(P113," corrosie 50 jr.")</f>
        <v>HEB 340 corrosie 50 jr.</v>
      </c>
      <c r="Q114" s="20">
        <f>Q113-(2*0.6)</f>
        <v>338.8</v>
      </c>
      <c r="R114" s="20">
        <f>R113-(2*0.6)</f>
        <v>298.8</v>
      </c>
      <c r="S114" s="20">
        <f>S113-(2*0.6)</f>
        <v>10.8</v>
      </c>
      <c r="T114" s="20">
        <f>T113-(2*0.6)</f>
        <v>20.3</v>
      </c>
      <c r="U114" s="62">
        <v>2037403</v>
      </c>
      <c r="V114" s="62">
        <v>2264199</v>
      </c>
      <c r="W114" s="62">
        <v>605041</v>
      </c>
      <c r="X114" s="62">
        <v>922348</v>
      </c>
      <c r="Y114" s="20">
        <v>15997</v>
      </c>
      <c r="Z114" s="20">
        <v>27</v>
      </c>
      <c r="AA114" s="64">
        <v>345135989</v>
      </c>
      <c r="AB114" s="62">
        <v>90393053</v>
      </c>
      <c r="AC114" s="63">
        <v>1.2557</v>
      </c>
      <c r="AD114" s="20">
        <v>2</v>
      </c>
      <c r="AE114" s="3" t="e">
        <f>IF(#REF!=hulpblad!AD114,hulpblad!P114,"")</f>
        <v>#REF!</v>
      </c>
      <c r="AF114" s="3"/>
    </row>
    <row r="115" spans="15:32" x14ac:dyDescent="0.25">
      <c r="O115" s="3">
        <v>111</v>
      </c>
      <c r="P115" s="3" t="s">
        <v>299</v>
      </c>
      <c r="Q115" s="20">
        <f>Q113-(2*1.2)</f>
        <v>337.6</v>
      </c>
      <c r="R115" s="20">
        <f>R113-(2*1.2)</f>
        <v>297.60000000000002</v>
      </c>
      <c r="S115" s="20">
        <f>S113-(2*1.2)</f>
        <v>9.6</v>
      </c>
      <c r="T115" s="20">
        <f>T113-(2*1.2)</f>
        <v>19.100000000000001</v>
      </c>
      <c r="U115" s="62">
        <v>1916068</v>
      </c>
      <c r="V115" s="62">
        <v>2118130</v>
      </c>
      <c r="W115" s="62">
        <v>564655</v>
      </c>
      <c r="X115" s="62">
        <v>859760</v>
      </c>
      <c r="Y115" s="20">
        <v>14888</v>
      </c>
      <c r="Z115" s="20">
        <v>27</v>
      </c>
      <c r="AA115" s="64">
        <v>323432302</v>
      </c>
      <c r="AB115" s="62">
        <v>84020630</v>
      </c>
      <c r="AC115" s="63">
        <v>1.1687000000000001</v>
      </c>
      <c r="AD115" s="20">
        <v>3</v>
      </c>
      <c r="AE115" s="3" t="e">
        <f>IF(#REF!=hulpblad!AD115,hulpblad!P115,"")</f>
        <v>#REF!</v>
      </c>
      <c r="AF115" s="3"/>
    </row>
    <row r="116" spans="15:32" x14ac:dyDescent="0.25">
      <c r="O116" s="3">
        <v>112</v>
      </c>
      <c r="P116" s="3" t="s">
        <v>300</v>
      </c>
      <c r="Q116" s="20">
        <v>360</v>
      </c>
      <c r="R116" s="20">
        <v>300</v>
      </c>
      <c r="S116" s="20">
        <v>12.5</v>
      </c>
      <c r="T116" s="20">
        <v>22.5</v>
      </c>
      <c r="U116" s="62">
        <v>2400000</v>
      </c>
      <c r="V116" s="62">
        <v>2682000</v>
      </c>
      <c r="W116" s="62">
        <v>676000</v>
      </c>
      <c r="X116" s="62">
        <v>1032000</v>
      </c>
      <c r="Y116" s="20">
        <v>18060</v>
      </c>
      <c r="Z116" s="20">
        <v>27</v>
      </c>
      <c r="AA116" s="62">
        <v>431900000</v>
      </c>
      <c r="AB116" s="62">
        <v>101400000</v>
      </c>
      <c r="AC116" s="63">
        <v>1.4179999999999999</v>
      </c>
      <c r="AD116" s="20">
        <v>1</v>
      </c>
      <c r="AE116" s="3" t="e">
        <f>IF(#REF!=hulpblad!AD116,hulpblad!P116,"")</f>
        <v>#REF!</v>
      </c>
      <c r="AF116" s="3"/>
    </row>
    <row r="117" spans="15:32" x14ac:dyDescent="0.25">
      <c r="O117" s="3">
        <v>113</v>
      </c>
      <c r="P117" s="3" t="str">
        <f>CONCATENATE(P116," corrosie 50 jr.")</f>
        <v>HEB 360 corrosie 50 jr.</v>
      </c>
      <c r="Q117" s="20">
        <f>Q116-(2*0.6)</f>
        <v>358.8</v>
      </c>
      <c r="R117" s="20">
        <f>R116-(2*0.6)</f>
        <v>298.8</v>
      </c>
      <c r="S117" s="20">
        <f>S116-(2*0.6)</f>
        <v>11.3</v>
      </c>
      <c r="T117" s="20">
        <f>T116-(2*0.6)</f>
        <v>21.3</v>
      </c>
      <c r="U117" s="62">
        <v>2272220</v>
      </c>
      <c r="V117" s="62">
        <v>2528453</v>
      </c>
      <c r="W117" s="62">
        <v>634871</v>
      </c>
      <c r="X117" s="62">
        <v>968548</v>
      </c>
      <c r="Y117" s="20">
        <v>16947</v>
      </c>
      <c r="Z117" s="20">
        <v>27</v>
      </c>
      <c r="AA117" s="64">
        <v>407636186</v>
      </c>
      <c r="AB117" s="62">
        <v>94849748</v>
      </c>
      <c r="AC117" s="63">
        <v>1.6947000000000001</v>
      </c>
      <c r="AD117" s="20">
        <v>2</v>
      </c>
      <c r="AE117" s="3" t="e">
        <f>IF(#REF!=hulpblad!AD117,hulpblad!P117,"")</f>
        <v>#REF!</v>
      </c>
      <c r="AF117" s="3"/>
    </row>
    <row r="118" spans="15:32" x14ac:dyDescent="0.25">
      <c r="O118" s="3">
        <v>114</v>
      </c>
      <c r="P118" s="3" t="s">
        <v>301</v>
      </c>
      <c r="Q118" s="20">
        <f>Q116-(2*1.2)</f>
        <v>357.6</v>
      </c>
      <c r="R118" s="20">
        <f>R116-(2*1.2)</f>
        <v>297.60000000000002</v>
      </c>
      <c r="S118" s="20">
        <f>S116-(2*1.2)</f>
        <v>10.1</v>
      </c>
      <c r="T118" s="20">
        <f>T116-(2*1.2)</f>
        <v>20.100000000000001</v>
      </c>
      <c r="U118" s="62">
        <v>2142189</v>
      </c>
      <c r="V118" s="62">
        <v>2371611</v>
      </c>
      <c r="W118" s="62">
        <v>594235</v>
      </c>
      <c r="X118" s="62">
        <v>905400</v>
      </c>
      <c r="Y118" s="20">
        <v>15814</v>
      </c>
      <c r="Z118" s="20">
        <v>27</v>
      </c>
      <c r="AA118" s="64">
        <v>383023488</v>
      </c>
      <c r="AB118" s="62">
        <v>88422239</v>
      </c>
      <c r="AC118" s="63">
        <v>1.5841000000000001</v>
      </c>
      <c r="AD118" s="20">
        <v>3</v>
      </c>
      <c r="AE118" s="3" t="e">
        <f>IF(#REF!=hulpblad!AD118,hulpblad!P118,"")</f>
        <v>#REF!</v>
      </c>
      <c r="AF118" s="3"/>
    </row>
    <row r="119" spans="15:32" x14ac:dyDescent="0.25">
      <c r="O119" s="3">
        <v>115</v>
      </c>
      <c r="P119" s="3" t="s">
        <v>302</v>
      </c>
      <c r="Q119" s="20">
        <v>400</v>
      </c>
      <c r="R119" s="20">
        <v>300</v>
      </c>
      <c r="S119" s="20">
        <v>13.5</v>
      </c>
      <c r="T119" s="20">
        <v>24</v>
      </c>
      <c r="U119" s="62">
        <v>2880000</v>
      </c>
      <c r="V119" s="62">
        <v>3232000</v>
      </c>
      <c r="W119" s="62">
        <v>721000</v>
      </c>
      <c r="X119" s="62">
        <v>1104000</v>
      </c>
      <c r="Y119" s="20">
        <v>19780</v>
      </c>
      <c r="Z119" s="20">
        <v>27</v>
      </c>
      <c r="AA119" s="62">
        <v>576800000</v>
      </c>
      <c r="AB119" s="62">
        <v>108200000</v>
      </c>
      <c r="AC119" s="63">
        <v>1.5529999999999999</v>
      </c>
      <c r="AD119" s="20">
        <v>1</v>
      </c>
      <c r="AE119" s="3" t="e">
        <f>IF(#REF!=hulpblad!AD119,hulpblad!P119,"")</f>
        <v>#REF!</v>
      </c>
      <c r="AF119" s="3"/>
    </row>
    <row r="120" spans="15:32" x14ac:dyDescent="0.25">
      <c r="O120" s="3">
        <v>116</v>
      </c>
      <c r="P120" s="3" t="str">
        <f>CONCATENATE(P119," corrosie 50 jr.")</f>
        <v>HEB 400 corrosie 50 jr.</v>
      </c>
      <c r="Q120" s="20">
        <f>Q119-(2*0.6)</f>
        <v>398.8</v>
      </c>
      <c r="R120" s="20">
        <f>R119-(2*0.6)</f>
        <v>298.8</v>
      </c>
      <c r="S120" s="20">
        <f>S119-(2*0.6)</f>
        <v>12.3</v>
      </c>
      <c r="T120" s="20">
        <f>T119-(2*0.6)</f>
        <v>22.8</v>
      </c>
      <c r="U120" s="62">
        <v>2738627</v>
      </c>
      <c r="V120" s="62">
        <v>3055096</v>
      </c>
      <c r="W120" s="62">
        <v>679676</v>
      </c>
      <c r="X120" s="62">
        <v>1039097</v>
      </c>
      <c r="Y120" s="20">
        <v>18615</v>
      </c>
      <c r="Z120" s="20">
        <v>27</v>
      </c>
      <c r="AA120" s="64">
        <v>546082283</v>
      </c>
      <c r="AB120" s="62">
        <v>101543590</v>
      </c>
      <c r="AC120" s="63">
        <v>1.8614999999999999</v>
      </c>
      <c r="AD120" s="20">
        <v>2</v>
      </c>
      <c r="AE120" s="3" t="e">
        <f>IF(#REF!=hulpblad!AD120,hulpblad!P120,"")</f>
        <v>#REF!</v>
      </c>
      <c r="AF120" s="3"/>
    </row>
    <row r="121" spans="15:32" x14ac:dyDescent="0.25">
      <c r="O121" s="3">
        <v>117</v>
      </c>
      <c r="P121" s="3" t="s">
        <v>303</v>
      </c>
      <c r="Q121" s="20">
        <f>Q119-(2*1.2)</f>
        <v>397.6</v>
      </c>
      <c r="R121" s="20">
        <f>R119-(2*1.2)</f>
        <v>297.60000000000002</v>
      </c>
      <c r="S121" s="20">
        <f>S119-(2*1.2)</f>
        <v>11.1</v>
      </c>
      <c r="T121" s="20">
        <f>T119-(2*1.2)</f>
        <v>21.6</v>
      </c>
      <c r="U121" s="62">
        <v>2590325</v>
      </c>
      <c r="V121" s="62">
        <v>2875850</v>
      </c>
      <c r="W121" s="62">
        <v>638656</v>
      </c>
      <c r="X121" s="62">
        <v>974969</v>
      </c>
      <c r="Y121" s="20">
        <v>17435</v>
      </c>
      <c r="Z121" s="20">
        <v>27</v>
      </c>
      <c r="AA121" s="64">
        <v>514956697</v>
      </c>
      <c r="AB121" s="62">
        <v>95032052</v>
      </c>
      <c r="AC121" s="63">
        <v>1.3687</v>
      </c>
      <c r="AD121" s="20">
        <v>3</v>
      </c>
      <c r="AE121" s="3" t="e">
        <f>IF(#REF!=hulpblad!AD121,hulpblad!P121,"")</f>
        <v>#REF!</v>
      </c>
      <c r="AF121" s="3"/>
    </row>
    <row r="122" spans="15:32" x14ac:dyDescent="0.25">
      <c r="O122" s="3">
        <v>118</v>
      </c>
      <c r="P122" s="3" t="s">
        <v>304</v>
      </c>
      <c r="Q122" s="20">
        <v>450</v>
      </c>
      <c r="R122" s="20">
        <v>300</v>
      </c>
      <c r="S122" s="20">
        <v>14</v>
      </c>
      <c r="T122" s="20">
        <v>26</v>
      </c>
      <c r="U122" s="62">
        <v>3550000</v>
      </c>
      <c r="V122" s="62">
        <v>3982000</v>
      </c>
      <c r="W122" s="62">
        <v>781000</v>
      </c>
      <c r="X122" s="62">
        <v>1198000</v>
      </c>
      <c r="Y122" s="20">
        <v>21800</v>
      </c>
      <c r="Z122" s="20">
        <v>27</v>
      </c>
      <c r="AA122" s="62">
        <v>798900000</v>
      </c>
      <c r="AB122" s="62">
        <v>117200000</v>
      </c>
      <c r="AC122" s="63">
        <v>1.7110000000000001</v>
      </c>
      <c r="AD122" s="20">
        <v>1</v>
      </c>
      <c r="AE122" s="3" t="e">
        <f>IF(#REF!=hulpblad!AD122,hulpblad!P122,"")</f>
        <v>#REF!</v>
      </c>
      <c r="AF122" s="3"/>
    </row>
    <row r="123" spans="15:32" x14ac:dyDescent="0.25">
      <c r="O123" s="3">
        <v>119</v>
      </c>
      <c r="P123" s="3" t="str">
        <f>CONCATENATE(P122," corrosie 50 jr.")</f>
        <v>HEB 450 corrosie 50 jr.</v>
      </c>
      <c r="Q123" s="20">
        <f>Q122-(2*0.6)</f>
        <v>448.8</v>
      </c>
      <c r="R123" s="20">
        <f>R122-(2*0.6)</f>
        <v>298.8</v>
      </c>
      <c r="S123" s="20">
        <f>S122-(2*0.6)</f>
        <v>12.8</v>
      </c>
      <c r="T123" s="20">
        <f>T122-(2*0.6)</f>
        <v>24.8</v>
      </c>
      <c r="U123" s="62">
        <v>3381748</v>
      </c>
      <c r="V123" s="62">
        <v>3776666</v>
      </c>
      <c r="W123" s="62">
        <v>739324</v>
      </c>
      <c r="X123" s="62">
        <v>1131532</v>
      </c>
      <c r="Y123" s="20">
        <v>20575</v>
      </c>
      <c r="Z123" s="20">
        <v>27</v>
      </c>
      <c r="AA123" s="64">
        <v>758864174</v>
      </c>
      <c r="AB123" s="62">
        <v>110455019</v>
      </c>
      <c r="AC123" s="63">
        <v>1.6151</v>
      </c>
      <c r="AD123" s="20">
        <v>2</v>
      </c>
      <c r="AE123" s="3" t="e">
        <f>IF(#REF!=hulpblad!AD123,hulpblad!P123,"")</f>
        <v>#REF!</v>
      </c>
      <c r="AF123" s="3"/>
    </row>
    <row r="124" spans="15:32" x14ac:dyDescent="0.25">
      <c r="O124" s="3">
        <v>120</v>
      </c>
      <c r="P124" s="3" t="s">
        <v>305</v>
      </c>
      <c r="Q124" s="20">
        <f>Q122-(2*1.2)</f>
        <v>447.6</v>
      </c>
      <c r="R124" s="20">
        <f>R122-(2*1.2)</f>
        <v>297.60000000000002</v>
      </c>
      <c r="S124" s="20">
        <f>S122-(2*1.2)</f>
        <v>11.6</v>
      </c>
      <c r="T124" s="20">
        <f>T122-(2*1.2)</f>
        <v>23.6</v>
      </c>
      <c r="U124" s="62">
        <v>2925017</v>
      </c>
      <c r="V124" s="62">
        <v>3267798</v>
      </c>
      <c r="W124" s="62">
        <v>564539</v>
      </c>
      <c r="X124" s="62">
        <v>866168</v>
      </c>
      <c r="Y124" s="20">
        <v>17920</v>
      </c>
      <c r="Z124" s="20">
        <v>27</v>
      </c>
      <c r="AA124" s="64">
        <v>654618895</v>
      </c>
      <c r="AB124" s="62">
        <v>75535303</v>
      </c>
      <c r="AC124" s="63">
        <v>1.4067000000000001</v>
      </c>
      <c r="AD124" s="20">
        <v>3</v>
      </c>
      <c r="AE124" s="3" t="e">
        <f>IF(#REF!=hulpblad!AD124,hulpblad!P124,"")</f>
        <v>#REF!</v>
      </c>
      <c r="AF124" s="3"/>
    </row>
    <row r="125" spans="15:32" x14ac:dyDescent="0.25">
      <c r="O125" s="3">
        <v>121</v>
      </c>
      <c r="P125" s="3" t="s">
        <v>306</v>
      </c>
      <c r="Q125" s="20">
        <v>500</v>
      </c>
      <c r="R125" s="20">
        <v>300</v>
      </c>
      <c r="S125" s="20">
        <v>14.5</v>
      </c>
      <c r="T125" s="20">
        <v>28</v>
      </c>
      <c r="U125" s="62">
        <v>4290000</v>
      </c>
      <c r="V125" s="62">
        <v>4814000</v>
      </c>
      <c r="W125" s="62">
        <v>842000</v>
      </c>
      <c r="X125" s="62">
        <v>1292000</v>
      </c>
      <c r="Y125" s="20">
        <v>23860</v>
      </c>
      <c r="Z125" s="20">
        <v>27</v>
      </c>
      <c r="AA125" s="62">
        <v>1072000000</v>
      </c>
      <c r="AB125" s="62">
        <v>126200000</v>
      </c>
      <c r="AC125" s="63">
        <v>1.873</v>
      </c>
      <c r="AD125" s="20">
        <v>1</v>
      </c>
      <c r="AE125" s="3" t="e">
        <f>IF(#REF!=hulpblad!AD125,hulpblad!P125,"")</f>
        <v>#REF!</v>
      </c>
      <c r="AF125" s="3"/>
    </row>
    <row r="126" spans="15:32" x14ac:dyDescent="0.25">
      <c r="O126" s="3">
        <v>122</v>
      </c>
      <c r="P126" s="3" t="str">
        <f>CONCATENATE(P125," corrosie 50 jr.")</f>
        <v>HEB 500 corrosie 50 jr.</v>
      </c>
      <c r="Q126" s="20">
        <f>Q125-(2*0.6)</f>
        <v>498.8</v>
      </c>
      <c r="R126" s="20">
        <f>R125-(2*0.6)</f>
        <v>298.8</v>
      </c>
      <c r="S126" s="20">
        <f>S125-(2*0.6)</f>
        <v>13.3</v>
      </c>
      <c r="T126" s="20">
        <f>T125-(2*0.6)</f>
        <v>26.8</v>
      </c>
      <c r="U126" s="62">
        <v>4093837</v>
      </c>
      <c r="V126" s="62">
        <v>4578329</v>
      </c>
      <c r="W126" s="62">
        <v>798934</v>
      </c>
      <c r="X126" s="62">
        <v>1223864</v>
      </c>
      <c r="Y126" s="20">
        <v>22582</v>
      </c>
      <c r="Z126" s="20">
        <v>27</v>
      </c>
      <c r="AA126" s="62">
        <v>1019709645</v>
      </c>
      <c r="AB126" s="62">
        <v>119369052</v>
      </c>
      <c r="AC126" s="63">
        <v>1.7704</v>
      </c>
      <c r="AD126" s="20">
        <v>2</v>
      </c>
      <c r="AE126" s="3" t="e">
        <f>IF(#REF!=hulpblad!AD126,hulpblad!P126,"")</f>
        <v>#REF!</v>
      </c>
      <c r="AF126" s="3"/>
    </row>
    <row r="127" spans="15:32" x14ac:dyDescent="0.25">
      <c r="O127" s="3">
        <v>123</v>
      </c>
      <c r="P127" s="3" t="s">
        <v>307</v>
      </c>
      <c r="Q127" s="20">
        <f>Q125-(2*1.2)</f>
        <v>497.6</v>
      </c>
      <c r="R127" s="20">
        <f>R125-(2*1.2)</f>
        <v>297.60000000000002</v>
      </c>
      <c r="S127" s="20">
        <f>S125-(2*1.2)</f>
        <v>12.1</v>
      </c>
      <c r="T127" s="20">
        <f>T125-(2*1.2)</f>
        <v>25.6</v>
      </c>
      <c r="U127" s="62">
        <v>3897022</v>
      </c>
      <c r="V127" s="62">
        <v>4338752</v>
      </c>
      <c r="W127" s="62">
        <v>756967</v>
      </c>
      <c r="X127" s="62">
        <v>1157846</v>
      </c>
      <c r="Y127" s="20">
        <v>21284</v>
      </c>
      <c r="Z127" s="20">
        <v>27</v>
      </c>
      <c r="AA127" s="62">
        <v>969579097</v>
      </c>
      <c r="AB127" s="62">
        <v>112636715</v>
      </c>
      <c r="AC127" s="63">
        <v>1.6708000000000001</v>
      </c>
      <c r="AD127" s="20">
        <v>3</v>
      </c>
      <c r="AE127" s="3" t="e">
        <f>IF(#REF!=hulpblad!AD127,hulpblad!P127,"")</f>
        <v>#REF!</v>
      </c>
      <c r="AF127" s="3"/>
    </row>
    <row r="128" spans="15:32" x14ac:dyDescent="0.25">
      <c r="O128" s="3">
        <v>124</v>
      </c>
      <c r="P128" s="3" t="s">
        <v>308</v>
      </c>
      <c r="Q128" s="20">
        <v>550</v>
      </c>
      <c r="R128" s="20">
        <v>300</v>
      </c>
      <c r="S128" s="20">
        <v>15</v>
      </c>
      <c r="T128" s="20">
        <v>29</v>
      </c>
      <c r="U128" s="62">
        <v>4970000</v>
      </c>
      <c r="V128" s="62">
        <v>5590000</v>
      </c>
      <c r="W128" s="62">
        <v>872000</v>
      </c>
      <c r="X128" s="62">
        <v>1342000</v>
      </c>
      <c r="Y128" s="20">
        <v>25410</v>
      </c>
      <c r="Z128" s="20">
        <v>27</v>
      </c>
      <c r="AA128" s="62">
        <v>1366999900</v>
      </c>
      <c r="AB128" s="62">
        <v>130800000</v>
      </c>
      <c r="AC128" s="63">
        <v>1.994</v>
      </c>
      <c r="AD128" s="20">
        <v>1</v>
      </c>
      <c r="AE128" s="3" t="e">
        <f>IF(#REF!=hulpblad!AD128,hulpblad!P128,"")</f>
        <v>#REF!</v>
      </c>
      <c r="AF128" s="3"/>
    </row>
    <row r="129" spans="15:32" x14ac:dyDescent="0.25">
      <c r="O129" s="3">
        <v>125</v>
      </c>
      <c r="P129" s="3" t="str">
        <f>CONCATENATE(P128," corrosie 50 jr.")</f>
        <v>HEB 550 corrosie 50 jr.</v>
      </c>
      <c r="Q129" s="20">
        <f>Q128-(2*0.6)</f>
        <v>548.79999999999995</v>
      </c>
      <c r="R129" s="20">
        <f>R128-(2*0.6)</f>
        <v>298.8</v>
      </c>
      <c r="S129" s="20">
        <f>S128-(2*0.6)</f>
        <v>13.8</v>
      </c>
      <c r="T129" s="20">
        <f>T128-(2*0.6)</f>
        <v>27.8</v>
      </c>
      <c r="U129" s="62">
        <v>4751180</v>
      </c>
      <c r="V129" s="62">
        <v>5322042</v>
      </c>
      <c r="W129" s="62">
        <v>828917</v>
      </c>
      <c r="X129" s="62">
        <v>1272906</v>
      </c>
      <c r="Y129" s="20">
        <v>24064</v>
      </c>
      <c r="Z129" s="20">
        <v>27</v>
      </c>
      <c r="AA129" s="64">
        <v>1303723777</v>
      </c>
      <c r="AB129" s="62">
        <v>123840165</v>
      </c>
      <c r="AC129" s="63">
        <v>1.8891</v>
      </c>
      <c r="AD129" s="20">
        <v>2</v>
      </c>
      <c r="AE129" s="3" t="e">
        <f>IF(#REF!=hulpblad!AD129,hulpblad!P129,"")</f>
        <v>#REF!</v>
      </c>
      <c r="AF129" s="3"/>
    </row>
    <row r="130" spans="15:32" x14ac:dyDescent="0.25">
      <c r="O130" s="3">
        <v>126</v>
      </c>
      <c r="P130" s="3" t="s">
        <v>309</v>
      </c>
      <c r="Q130" s="20">
        <f>Q128-(2*1.2)</f>
        <v>547.6</v>
      </c>
      <c r="R130" s="20">
        <f>R128-(2*1.2)</f>
        <v>297.60000000000002</v>
      </c>
      <c r="S130" s="20">
        <f>S128-(2*1.2)</f>
        <v>12.6</v>
      </c>
      <c r="T130" s="20">
        <f>T128-(2*1.2)</f>
        <v>26.6</v>
      </c>
      <c r="U130" s="62">
        <v>4527767</v>
      </c>
      <c r="V130" s="62">
        <v>5049748</v>
      </c>
      <c r="W130" s="62">
        <v>786627</v>
      </c>
      <c r="X130" s="62">
        <v>1205574</v>
      </c>
      <c r="Y130" s="20">
        <v>22707</v>
      </c>
      <c r="Z130" s="20">
        <v>27</v>
      </c>
      <c r="AA130" s="64">
        <v>1239702418</v>
      </c>
      <c r="AB130" s="62">
        <v>117050063</v>
      </c>
      <c r="AC130" s="63">
        <v>1.7825</v>
      </c>
      <c r="AD130" s="20">
        <v>3</v>
      </c>
      <c r="AE130" s="3" t="e">
        <f>IF(#REF!=hulpblad!AD130,hulpblad!P130,"")</f>
        <v>#REF!</v>
      </c>
      <c r="AF130" s="3"/>
    </row>
    <row r="131" spans="15:32" x14ac:dyDescent="0.25">
      <c r="O131" s="3">
        <v>127</v>
      </c>
      <c r="P131" s="3" t="s">
        <v>310</v>
      </c>
      <c r="Q131" s="20">
        <v>600</v>
      </c>
      <c r="R131" s="20">
        <v>300</v>
      </c>
      <c r="S131" s="20">
        <v>15.5</v>
      </c>
      <c r="T131" s="20">
        <v>30</v>
      </c>
      <c r="U131" s="62">
        <v>5700000</v>
      </c>
      <c r="V131" s="62">
        <v>6426000</v>
      </c>
      <c r="W131" s="62">
        <v>902000</v>
      </c>
      <c r="X131" s="62">
        <v>1392000</v>
      </c>
      <c r="Y131" s="20">
        <v>27000</v>
      </c>
      <c r="Z131" s="20">
        <v>27</v>
      </c>
      <c r="AA131" s="62">
        <v>1710000000</v>
      </c>
      <c r="AB131" s="62">
        <v>135300000</v>
      </c>
      <c r="AC131" s="63">
        <v>2.1190000000000002</v>
      </c>
      <c r="AD131" s="20">
        <v>1</v>
      </c>
      <c r="AE131" s="3" t="e">
        <f>IF(#REF!=hulpblad!AD131,hulpblad!P131,"")</f>
        <v>#REF!</v>
      </c>
      <c r="AF131" s="3"/>
    </row>
    <row r="132" spans="15:32" x14ac:dyDescent="0.25">
      <c r="O132" s="3">
        <v>128</v>
      </c>
      <c r="P132" s="3" t="str">
        <f>CONCATENATE(P131," corrosie 50 jr.")</f>
        <v>HEB 600 corrosie 50 jr.</v>
      </c>
      <c r="Q132" s="20">
        <f>Q131-(2*0.6)</f>
        <v>598.79999999999995</v>
      </c>
      <c r="R132" s="20">
        <f>R131-(2*0.6)</f>
        <v>298.8</v>
      </c>
      <c r="S132" s="20">
        <f>S131-(2*0.6)</f>
        <v>14.3</v>
      </c>
      <c r="T132" s="20">
        <f>T131-(2*0.6)</f>
        <v>28.8</v>
      </c>
      <c r="U132" s="62">
        <v>5454792</v>
      </c>
      <c r="V132" s="62">
        <v>6122768</v>
      </c>
      <c r="W132" s="62">
        <v>858865</v>
      </c>
      <c r="X132" s="62">
        <v>1321890</v>
      </c>
      <c r="Y132" s="20">
        <v>25595</v>
      </c>
      <c r="Z132" s="20">
        <v>27</v>
      </c>
      <c r="AA132" s="64">
        <v>1633164565</v>
      </c>
      <c r="AB132" s="62">
        <v>128314426</v>
      </c>
      <c r="AC132" s="63">
        <v>2.0091999999999999</v>
      </c>
      <c r="AD132" s="20">
        <v>2</v>
      </c>
      <c r="AE132" s="3" t="e">
        <f>IF(#REF!=hulpblad!AD132,hulpblad!P132,"")</f>
        <v>#REF!</v>
      </c>
      <c r="AF132" s="3"/>
    </row>
    <row r="133" spans="15:32" x14ac:dyDescent="0.25">
      <c r="O133" s="3">
        <v>129</v>
      </c>
      <c r="P133" s="3" t="s">
        <v>311</v>
      </c>
      <c r="Q133" s="20">
        <f>Q131-(2*1.2)</f>
        <v>597.6</v>
      </c>
      <c r="R133" s="20">
        <f>R131-(2*1.2)</f>
        <v>297.60000000000002</v>
      </c>
      <c r="S133" s="20">
        <f>S131-(2*1.2)</f>
        <v>13.1</v>
      </c>
      <c r="T133" s="20">
        <f>T131-(2*1.2)</f>
        <v>27.6</v>
      </c>
      <c r="U133" s="62">
        <v>5203805</v>
      </c>
      <c r="V133" s="62">
        <v>5816289</v>
      </c>
      <c r="W133" s="62">
        <v>816305</v>
      </c>
      <c r="X133" s="62">
        <v>1253665</v>
      </c>
      <c r="Y133" s="20">
        <v>24178</v>
      </c>
      <c r="Z133" s="20">
        <v>27</v>
      </c>
      <c r="AA133" s="64">
        <v>1554897004</v>
      </c>
      <c r="AB133" s="62">
        <v>121466176</v>
      </c>
      <c r="AC133" s="63">
        <v>1.8979999999999999</v>
      </c>
      <c r="AD133" s="20">
        <v>3</v>
      </c>
      <c r="AE133" s="3" t="e">
        <f>IF(#REF!=hulpblad!AD133,hulpblad!P133,"")</f>
        <v>#REF!</v>
      </c>
      <c r="AF133" s="3"/>
    </row>
    <row r="134" spans="15:32" x14ac:dyDescent="0.25">
      <c r="O134" s="3">
        <v>130</v>
      </c>
      <c r="P134" s="3" t="s">
        <v>312</v>
      </c>
      <c r="Q134" s="20">
        <v>650</v>
      </c>
      <c r="R134" s="20">
        <v>300</v>
      </c>
      <c r="S134" s="20">
        <v>16</v>
      </c>
      <c r="T134" s="20">
        <v>31</v>
      </c>
      <c r="U134" s="62">
        <v>6480000</v>
      </c>
      <c r="V134" s="62">
        <v>7320000</v>
      </c>
      <c r="W134" s="62">
        <v>932000</v>
      </c>
      <c r="X134" s="62">
        <v>1442000</v>
      </c>
      <c r="Y134" s="20">
        <v>28630</v>
      </c>
      <c r="Z134" s="20">
        <v>27</v>
      </c>
      <c r="AA134" s="62">
        <v>2106000000</v>
      </c>
      <c r="AB134" s="62">
        <v>139800000</v>
      </c>
      <c r="AC134" s="63">
        <v>2.2480000000000002</v>
      </c>
      <c r="AD134" s="20">
        <v>1</v>
      </c>
      <c r="AE134" s="3" t="e">
        <f>IF(#REF!=hulpblad!AD134,hulpblad!P134,"")</f>
        <v>#REF!</v>
      </c>
      <c r="AF134" s="3"/>
    </row>
    <row r="135" spans="15:32" x14ac:dyDescent="0.25">
      <c r="O135" s="3">
        <v>131</v>
      </c>
      <c r="P135" s="3" t="str">
        <f>CONCATENATE(P134," corrosie 50 jr.")</f>
        <v>HEB 650 corrosie 50 jr.</v>
      </c>
      <c r="Q135" s="20">
        <f>Q134-(2*0.6)</f>
        <v>648.79999999999995</v>
      </c>
      <c r="R135" s="20">
        <f>R134-(2*0.6)</f>
        <v>298.8</v>
      </c>
      <c r="S135" s="20">
        <f>S134-(2*0.6)</f>
        <v>14.8</v>
      </c>
      <c r="T135" s="20">
        <f>T134-(2*0.6)</f>
        <v>29.8</v>
      </c>
      <c r="U135" s="62">
        <v>6205763</v>
      </c>
      <c r="V135" s="62">
        <v>6982242</v>
      </c>
      <c r="W135" s="62">
        <v>888837</v>
      </c>
      <c r="X135" s="62">
        <v>1371290</v>
      </c>
      <c r="Y135" s="20">
        <v>27174</v>
      </c>
      <c r="Z135" s="20">
        <v>27</v>
      </c>
      <c r="AA135" s="64">
        <v>2013149611</v>
      </c>
      <c r="AB135" s="62">
        <v>132792259</v>
      </c>
      <c r="AC135" s="63">
        <v>2.1331000000000002</v>
      </c>
      <c r="AD135" s="20">
        <v>2</v>
      </c>
      <c r="AE135" s="3" t="e">
        <f>IF(#REF!=hulpblad!AD135,hulpblad!P135,"")</f>
        <v>#REF!</v>
      </c>
      <c r="AF135" s="3"/>
    </row>
    <row r="136" spans="15:32" x14ac:dyDescent="0.25">
      <c r="O136" s="3">
        <v>132</v>
      </c>
      <c r="P136" s="3" t="s">
        <v>313</v>
      </c>
      <c r="Q136" s="20">
        <f>Q134-(2*1.2)</f>
        <v>647.6</v>
      </c>
      <c r="R136" s="20">
        <f>R134-(2*1.2)</f>
        <v>297.60000000000002</v>
      </c>
      <c r="S136" s="20">
        <f>S134-(2*1.2)</f>
        <v>13.6</v>
      </c>
      <c r="T136" s="20">
        <f>T134-(2*1.2)</f>
        <v>28.6</v>
      </c>
      <c r="U136" s="62">
        <v>5926230</v>
      </c>
      <c r="V136" s="62">
        <v>6640105</v>
      </c>
      <c r="W136" s="62">
        <v>846003</v>
      </c>
      <c r="X136" s="62">
        <v>1302139</v>
      </c>
      <c r="Y136" s="20">
        <v>25697</v>
      </c>
      <c r="Z136" s="20">
        <v>27</v>
      </c>
      <c r="AA136" s="64">
        <v>1918913044</v>
      </c>
      <c r="AB136" s="62">
        <v>125885319</v>
      </c>
      <c r="AC136" s="63">
        <v>2.0171999999999999</v>
      </c>
      <c r="AD136" s="20">
        <v>3</v>
      </c>
      <c r="AE136" s="3" t="e">
        <f>IF(#REF!=hulpblad!AD136,hulpblad!P136,"")</f>
        <v>#REF!</v>
      </c>
      <c r="AF136" s="3"/>
    </row>
    <row r="137" spans="15:32" x14ac:dyDescent="0.25">
      <c r="O137" s="3">
        <v>133</v>
      </c>
      <c r="P137" s="3" t="s">
        <v>314</v>
      </c>
      <c r="Q137" s="20">
        <v>700</v>
      </c>
      <c r="R137" s="20">
        <v>300</v>
      </c>
      <c r="S137" s="20">
        <v>17</v>
      </c>
      <c r="T137" s="20">
        <v>32</v>
      </c>
      <c r="U137" s="62">
        <v>7340000</v>
      </c>
      <c r="V137" s="62">
        <v>8328000</v>
      </c>
      <c r="W137" s="62">
        <v>963000</v>
      </c>
      <c r="X137" s="62">
        <v>1496000</v>
      </c>
      <c r="Y137" s="20">
        <v>30640</v>
      </c>
      <c r="Z137" s="20">
        <v>27</v>
      </c>
      <c r="AA137" s="62">
        <v>2568999900</v>
      </c>
      <c r="AB137" s="62">
        <v>144400000</v>
      </c>
      <c r="AC137" s="63">
        <v>2.4049999999999998</v>
      </c>
      <c r="AD137" s="20">
        <v>1</v>
      </c>
      <c r="AE137" s="3" t="e">
        <f>IF(#REF!=hulpblad!AD137,hulpblad!P137,"")</f>
        <v>#REF!</v>
      </c>
      <c r="AF137" s="3"/>
    </row>
    <row r="138" spans="15:32" x14ac:dyDescent="0.25">
      <c r="O138" s="3">
        <v>134</v>
      </c>
      <c r="P138" s="3" t="str">
        <f>CONCATENATE(P137," corrosie 50 jr.")</f>
        <v>HEB 700 corrosie 50 jr.</v>
      </c>
      <c r="Q138" s="20">
        <f>Q137-(2*0.6)</f>
        <v>698.8</v>
      </c>
      <c r="R138" s="20">
        <f>R137-(2*0.6)</f>
        <v>298.8</v>
      </c>
      <c r="S138" s="20">
        <f>S137-(2*0.6)</f>
        <v>15.8</v>
      </c>
      <c r="T138" s="20">
        <f>T137-(2*0.6)</f>
        <v>30.8</v>
      </c>
      <c r="U138" s="62">
        <v>7036039</v>
      </c>
      <c r="V138" s="62">
        <v>7952941</v>
      </c>
      <c r="W138" s="62">
        <v>918994</v>
      </c>
      <c r="X138" s="62">
        <v>1423759</v>
      </c>
      <c r="Y138" s="20">
        <v>29119</v>
      </c>
      <c r="Z138" s="20">
        <v>27</v>
      </c>
      <c r="AA138" s="64">
        <v>2458392081</v>
      </c>
      <c r="AB138" s="62">
        <v>137297642</v>
      </c>
      <c r="AC138" s="63">
        <v>2.2858000000000001</v>
      </c>
      <c r="AD138" s="20">
        <v>2</v>
      </c>
      <c r="AE138" s="3" t="e">
        <f>IF(#REF!=hulpblad!AD138,hulpblad!P138,"")</f>
        <v>#REF!</v>
      </c>
      <c r="AF138" s="3"/>
    </row>
    <row r="139" spans="15:32" x14ac:dyDescent="0.25">
      <c r="O139" s="3">
        <v>135</v>
      </c>
      <c r="P139" s="3" t="s">
        <v>315</v>
      </c>
      <c r="Q139" s="20">
        <f>Q137-(2*1.2)</f>
        <v>697.6</v>
      </c>
      <c r="R139" s="20">
        <f>R137-(2*1.2)</f>
        <v>297.60000000000002</v>
      </c>
      <c r="S139" s="20">
        <f>S137-(2*1.2)</f>
        <v>14.6</v>
      </c>
      <c r="T139" s="20">
        <f>T137-(2*1.2)</f>
        <v>29.6</v>
      </c>
      <c r="U139" s="62">
        <v>6727214</v>
      </c>
      <c r="V139" s="62">
        <v>7573866</v>
      </c>
      <c r="W139" s="62">
        <v>875864</v>
      </c>
      <c r="X139" s="62">
        <v>1353465</v>
      </c>
      <c r="Y139" s="20">
        <v>27584</v>
      </c>
      <c r="Z139" s="20">
        <v>27</v>
      </c>
      <c r="AA139" s="64">
        <v>2346452319</v>
      </c>
      <c r="AB139" s="62">
        <v>130328495</v>
      </c>
      <c r="AC139" s="63">
        <v>2.1652999999999998</v>
      </c>
      <c r="AD139" s="20">
        <v>3</v>
      </c>
      <c r="AE139" s="3" t="e">
        <f>IF(#REF!=hulpblad!AD139,hulpblad!P139,"")</f>
        <v>#REF!</v>
      </c>
      <c r="AF139" s="3"/>
    </row>
    <row r="140" spans="15:32" x14ac:dyDescent="0.25">
      <c r="O140" s="3">
        <v>136</v>
      </c>
      <c r="P140" s="3" t="s">
        <v>316</v>
      </c>
      <c r="Q140" s="20">
        <v>800</v>
      </c>
      <c r="R140" s="20">
        <v>300</v>
      </c>
      <c r="S140" s="20">
        <v>17.5</v>
      </c>
      <c r="T140" s="20">
        <v>33</v>
      </c>
      <c r="U140" s="62">
        <v>8980000</v>
      </c>
      <c r="V140" s="62">
        <v>10228000</v>
      </c>
      <c r="W140" s="62">
        <v>994000</v>
      </c>
      <c r="X140" s="62">
        <v>1554000</v>
      </c>
      <c r="Y140" s="20">
        <v>33400</v>
      </c>
      <c r="Z140" s="20">
        <v>30</v>
      </c>
      <c r="AA140" s="62">
        <v>3591000000</v>
      </c>
      <c r="AB140" s="62">
        <v>149000000</v>
      </c>
      <c r="AC140" s="63">
        <v>2.6230000000000002</v>
      </c>
      <c r="AD140" s="20">
        <v>1</v>
      </c>
      <c r="AE140" s="3" t="e">
        <f>IF(#REF!=hulpblad!AD140,hulpblad!P140,"")</f>
        <v>#REF!</v>
      </c>
      <c r="AF140" s="3"/>
    </row>
    <row r="141" spans="15:32" x14ac:dyDescent="0.25">
      <c r="O141" s="3">
        <v>137</v>
      </c>
      <c r="P141" s="3" t="str">
        <f>CONCATENATE(P140," corrosie 50 jr.")</f>
        <v>HEB 800 corrosie 50 jr.</v>
      </c>
      <c r="Q141" s="20">
        <f>Q140-(2*0.6)</f>
        <v>798.8</v>
      </c>
      <c r="R141" s="20">
        <f>R140-(2*0.6)</f>
        <v>298.8</v>
      </c>
      <c r="S141" s="20">
        <f>S140-(2*0.6)</f>
        <v>16.3</v>
      </c>
      <c r="T141" s="20">
        <f>T140-(2*0.6)</f>
        <v>31.8</v>
      </c>
      <c r="U141" s="62">
        <v>8612831</v>
      </c>
      <c r="V141" s="62">
        <v>9777784</v>
      </c>
      <c r="W141" s="62">
        <v>949534</v>
      </c>
      <c r="X141" s="62">
        <v>1480333</v>
      </c>
      <c r="Y141" s="20">
        <v>31784</v>
      </c>
      <c r="Z141" s="20">
        <v>30</v>
      </c>
      <c r="AA141" s="64">
        <v>3439964688</v>
      </c>
      <c r="AB141" s="62">
        <v>141860370</v>
      </c>
      <c r="AC141" s="63">
        <v>2.4950000000000001</v>
      </c>
      <c r="AD141" s="20">
        <v>2</v>
      </c>
      <c r="AE141" s="3" t="e">
        <f>IF(#REF!=hulpblad!AD141,hulpblad!P141,"")</f>
        <v>#REF!</v>
      </c>
      <c r="AF141" s="3"/>
    </row>
    <row r="142" spans="15:32" x14ac:dyDescent="0.25">
      <c r="O142" s="3">
        <v>138</v>
      </c>
      <c r="P142" s="3" t="s">
        <v>317</v>
      </c>
      <c r="Q142" s="20">
        <f>Q140-(2*1.2)</f>
        <v>797.6</v>
      </c>
      <c r="R142" s="20">
        <f>R140-(2*1.2)</f>
        <v>297.60000000000002</v>
      </c>
      <c r="S142" s="20">
        <f>S140-(2*1.2)</f>
        <v>15.1</v>
      </c>
      <c r="T142" s="20">
        <f>T140-(2*1.2)</f>
        <v>30.6</v>
      </c>
      <c r="U142" s="62">
        <v>8241161</v>
      </c>
      <c r="V142" s="62">
        <v>9319597</v>
      </c>
      <c r="W142" s="62">
        <v>906077</v>
      </c>
      <c r="X142" s="62">
        <v>1408480</v>
      </c>
      <c r="Y142" s="20">
        <v>30129</v>
      </c>
      <c r="Z142" s="20">
        <v>30</v>
      </c>
      <c r="AA142" s="64">
        <v>3286574868</v>
      </c>
      <c r="AB142" s="62">
        <v>134824313</v>
      </c>
      <c r="AC142" s="63">
        <v>2.3651</v>
      </c>
      <c r="AD142" s="20">
        <v>3</v>
      </c>
      <c r="AE142" s="3" t="e">
        <f>IF(#REF!=hulpblad!AD142,hulpblad!P142,"")</f>
        <v>#REF!</v>
      </c>
      <c r="AF142" s="3"/>
    </row>
    <row r="143" spans="15:32" x14ac:dyDescent="0.25">
      <c r="O143" s="3">
        <v>139</v>
      </c>
      <c r="P143" s="3" t="s">
        <v>318</v>
      </c>
      <c r="Q143" s="20">
        <v>900</v>
      </c>
      <c r="R143" s="20">
        <v>300</v>
      </c>
      <c r="S143" s="20">
        <v>18.5</v>
      </c>
      <c r="T143" s="20">
        <v>35</v>
      </c>
      <c r="U143" s="62">
        <v>10980000</v>
      </c>
      <c r="V143" s="62">
        <v>12584000</v>
      </c>
      <c r="W143" s="62">
        <v>1054000</v>
      </c>
      <c r="X143" s="62">
        <v>1658000</v>
      </c>
      <c r="Y143" s="20">
        <v>37100</v>
      </c>
      <c r="Z143" s="20">
        <v>30</v>
      </c>
      <c r="AA143" s="62">
        <v>4941000000</v>
      </c>
      <c r="AB143" s="62">
        <v>158200000</v>
      </c>
      <c r="AC143" s="63">
        <v>2.915</v>
      </c>
      <c r="AD143" s="20">
        <v>1</v>
      </c>
      <c r="AE143" s="3" t="e">
        <f>IF(#REF!=hulpblad!AD143,hulpblad!P143,"")</f>
        <v>#REF!</v>
      </c>
      <c r="AF143" s="3"/>
    </row>
    <row r="144" spans="15:32" x14ac:dyDescent="0.25">
      <c r="O144" s="3">
        <v>140</v>
      </c>
      <c r="P144" s="3" t="str">
        <f>CONCATENATE(P143," corrosie 50 jr.")</f>
        <v>HEB 900 corrosie 50 jr.</v>
      </c>
      <c r="Q144" s="20">
        <f>Q143-(2*0.6)</f>
        <v>898.8</v>
      </c>
      <c r="R144" s="20">
        <f>R143-(2*0.6)</f>
        <v>298.8</v>
      </c>
      <c r="S144" s="20">
        <f>S143-(2*0.6)</f>
        <v>17.3</v>
      </c>
      <c r="T144" s="20">
        <f>T143-(2*0.6)</f>
        <v>33.799999999999997</v>
      </c>
      <c r="U144" s="62">
        <v>10550133</v>
      </c>
      <c r="V144" s="62">
        <v>12049607</v>
      </c>
      <c r="W144" s="62">
        <v>1009761</v>
      </c>
      <c r="X144" s="62">
        <v>1583371</v>
      </c>
      <c r="Y144" s="20">
        <v>35375</v>
      </c>
      <c r="Z144" s="20">
        <v>30</v>
      </c>
      <c r="AA144" s="64">
        <v>4741229581</v>
      </c>
      <c r="AB144" s="62">
        <v>150858238</v>
      </c>
      <c r="AC144" s="63">
        <v>2.7768999999999999</v>
      </c>
      <c r="AD144" s="20">
        <v>2</v>
      </c>
      <c r="AE144" s="3" t="e">
        <f>IF(#REF!=hulpblad!AD144,hulpblad!P144,"")</f>
        <v>#REF!</v>
      </c>
      <c r="AF144" s="3"/>
    </row>
    <row r="145" spans="15:32" x14ac:dyDescent="0.25">
      <c r="O145" s="3">
        <v>141</v>
      </c>
      <c r="P145" s="3" t="s">
        <v>319</v>
      </c>
      <c r="Q145" s="20">
        <f>Q143-(2*1.2)</f>
        <v>897.6</v>
      </c>
      <c r="R145" s="20">
        <f>R143-(2*1.2)</f>
        <v>297.60000000000002</v>
      </c>
      <c r="S145" s="20">
        <f>S143-(2*1.2)</f>
        <v>16.100000000000001</v>
      </c>
      <c r="T145" s="20">
        <f>T143-(2*1.2)</f>
        <v>32.6</v>
      </c>
      <c r="U145" s="62">
        <v>10112646</v>
      </c>
      <c r="V145" s="62">
        <v>11506862</v>
      </c>
      <c r="W145" s="62">
        <v>965725</v>
      </c>
      <c r="X145" s="62">
        <v>1509409</v>
      </c>
      <c r="Y145" s="20">
        <v>33601</v>
      </c>
      <c r="Z145" s="20">
        <v>30</v>
      </c>
      <c r="AA145" s="64">
        <v>4538555243</v>
      </c>
      <c r="AB145" s="62">
        <v>143699888</v>
      </c>
      <c r="AC145" s="63">
        <v>2.6377000000000002</v>
      </c>
      <c r="AD145" s="20">
        <v>3</v>
      </c>
      <c r="AE145" s="3" t="e">
        <f>IF(#REF!=hulpblad!AD145,hulpblad!P145,"")</f>
        <v>#REF!</v>
      </c>
      <c r="AF145" s="3"/>
    </row>
    <row r="146" spans="15:32" x14ac:dyDescent="0.25">
      <c r="O146" s="3">
        <v>142</v>
      </c>
      <c r="P146" s="3" t="s">
        <v>320</v>
      </c>
      <c r="Q146" s="20">
        <v>1000</v>
      </c>
      <c r="R146" s="20">
        <v>300</v>
      </c>
      <c r="S146" s="20">
        <v>19</v>
      </c>
      <c r="T146" s="20">
        <v>36</v>
      </c>
      <c r="U146" s="62">
        <v>12890000</v>
      </c>
      <c r="V146" s="62">
        <v>14856000</v>
      </c>
      <c r="W146" s="62">
        <v>1085000</v>
      </c>
      <c r="X146" s="62">
        <v>1716000</v>
      </c>
      <c r="Y146" s="20">
        <v>40000</v>
      </c>
      <c r="Z146" s="20">
        <v>30</v>
      </c>
      <c r="AA146" s="62">
        <v>6447000000</v>
      </c>
      <c r="AB146" s="62">
        <v>162800000</v>
      </c>
      <c r="AC146" s="63">
        <v>3.14</v>
      </c>
      <c r="AD146" s="20">
        <v>1</v>
      </c>
      <c r="AE146" s="3" t="e">
        <f>IF(#REF!=hulpblad!AD146,hulpblad!P146,"")</f>
        <v>#REF!</v>
      </c>
      <c r="AF146" s="3"/>
    </row>
    <row r="147" spans="15:32" x14ac:dyDescent="0.25">
      <c r="O147" s="3">
        <v>143</v>
      </c>
      <c r="P147" s="3" t="str">
        <f>CONCATENATE(P146," corrosie 50 jr.")</f>
        <v>HEB 1000 corrosie 50 jr.</v>
      </c>
      <c r="Q147" s="20">
        <f>Q146-(2*0.6)</f>
        <v>998.8</v>
      </c>
      <c r="R147" s="20">
        <f>R146-(2*0.6)</f>
        <v>298.8</v>
      </c>
      <c r="S147" s="20">
        <f>S146-(2*0.6)</f>
        <v>17.8</v>
      </c>
      <c r="T147" s="20">
        <f>T146-(2*0.6)</f>
        <v>34.799999999999997</v>
      </c>
      <c r="U147" s="62">
        <v>12395985</v>
      </c>
      <c r="V147" s="62">
        <v>14230582</v>
      </c>
      <c r="W147" s="62">
        <v>1040085</v>
      </c>
      <c r="X147" s="62">
        <v>1639621</v>
      </c>
      <c r="Y147" s="20">
        <v>38132</v>
      </c>
      <c r="Z147" s="20">
        <v>30</v>
      </c>
      <c r="AA147" s="64">
        <v>6190554869</v>
      </c>
      <c r="AB147" s="62">
        <v>155388726</v>
      </c>
      <c r="AC147" s="63">
        <v>2.9933999999999998</v>
      </c>
      <c r="AD147" s="20">
        <v>2</v>
      </c>
      <c r="AE147" s="3" t="e">
        <f>IF(#REF!=hulpblad!AD147,hulpblad!P147,"")</f>
        <v>#REF!</v>
      </c>
      <c r="AF147" s="3"/>
    </row>
    <row r="148" spans="15:32" x14ac:dyDescent="0.25">
      <c r="O148" s="3">
        <v>144</v>
      </c>
      <c r="P148" s="3" t="s">
        <v>321</v>
      </c>
      <c r="Q148" s="20">
        <f>Q146-(2*1.2)</f>
        <v>997.6</v>
      </c>
      <c r="R148" s="20">
        <f>R146-(2*1.2)</f>
        <v>297.60000000000002</v>
      </c>
      <c r="S148" s="20">
        <f>S146-(2*1.2)</f>
        <v>16.600000000000001</v>
      </c>
      <c r="T148" s="20">
        <f>T146-(2*1.2)</f>
        <v>33.6</v>
      </c>
      <c r="U148" s="62">
        <v>11887561</v>
      </c>
      <c r="V148" s="62">
        <v>13596781</v>
      </c>
      <c r="W148" s="62">
        <v>995725</v>
      </c>
      <c r="X148" s="62">
        <v>1564045</v>
      </c>
      <c r="Y148" s="20">
        <v>36240</v>
      </c>
      <c r="Z148" s="20">
        <v>30</v>
      </c>
      <c r="AA148" s="64">
        <v>5929515539</v>
      </c>
      <c r="AB148" s="62">
        <v>148163896</v>
      </c>
      <c r="AC148" s="63">
        <v>2.8448000000000002</v>
      </c>
      <c r="AD148" s="20">
        <v>3</v>
      </c>
      <c r="AE148" s="3" t="e">
        <f>IF(#REF!=hulpblad!AD148,hulpblad!P148,"")</f>
        <v>#REF!</v>
      </c>
      <c r="AF148" s="3"/>
    </row>
    <row r="149" spans="15:32" x14ac:dyDescent="0.25">
      <c r="O149" s="3">
        <v>145</v>
      </c>
      <c r="P149" s="3" t="s">
        <v>322</v>
      </c>
      <c r="Q149" s="20">
        <v>100</v>
      </c>
      <c r="R149" s="20">
        <v>50</v>
      </c>
      <c r="S149" s="20">
        <v>6</v>
      </c>
      <c r="T149" s="20">
        <v>8.5</v>
      </c>
      <c r="U149" s="62">
        <v>41100</v>
      </c>
      <c r="V149" s="62">
        <v>48960</v>
      </c>
      <c r="W149" s="62"/>
      <c r="X149" s="62"/>
      <c r="Y149" s="20">
        <v>1345</v>
      </c>
      <c r="Z149" s="20"/>
      <c r="AA149" s="64">
        <v>2053000</v>
      </c>
      <c r="AB149" s="62"/>
      <c r="AC149" s="63">
        <v>0.1056</v>
      </c>
      <c r="AD149" s="20"/>
      <c r="AE149" s="3" t="e">
        <f>IF(#REF!=hulpblad!AD149,hulpblad!P149,"")</f>
        <v>#REF!</v>
      </c>
      <c r="AF149" s="3"/>
    </row>
    <row r="150" spans="15:32" x14ac:dyDescent="0.25">
      <c r="O150" s="3">
        <v>146</v>
      </c>
      <c r="P150" s="3" t="s">
        <v>323</v>
      </c>
      <c r="Q150" s="20">
        <f>Q149-(2*0.6)</f>
        <v>98.8</v>
      </c>
      <c r="R150" s="20">
        <f>R149-(2*0.6)</f>
        <v>48.8</v>
      </c>
      <c r="S150" s="20">
        <f>S149-(2*0.6)</f>
        <v>4.8</v>
      </c>
      <c r="T150" s="20">
        <f>T149-(2*0.6)</f>
        <v>7.3</v>
      </c>
      <c r="U150" s="62">
        <v>35048</v>
      </c>
      <c r="V150" s="62">
        <v>41190</v>
      </c>
      <c r="W150" s="62"/>
      <c r="X150" s="62"/>
      <c r="Y150" s="20">
        <v>1122</v>
      </c>
      <c r="Z150" s="20"/>
      <c r="AA150" s="64">
        <v>1731384</v>
      </c>
      <c r="AB150" s="62"/>
      <c r="AC150" s="63">
        <v>8.8099999999999998E-2</v>
      </c>
      <c r="AD150" s="20"/>
      <c r="AE150" s="3" t="e">
        <f>IF(#REF!=hulpblad!AD150,hulpblad!P150,"")</f>
        <v>#REF!</v>
      </c>
      <c r="AF150" s="3"/>
    </row>
    <row r="151" spans="15:32" x14ac:dyDescent="0.25">
      <c r="O151" s="3">
        <v>147</v>
      </c>
      <c r="P151" s="3" t="s">
        <v>324</v>
      </c>
      <c r="Q151" s="20">
        <f>Q149-(2*1.2)</f>
        <v>97.6</v>
      </c>
      <c r="R151" s="20">
        <f>R149-(2*1.2)</f>
        <v>47.6</v>
      </c>
      <c r="S151" s="20">
        <f>S149-(2*1.2)</f>
        <v>3.6</v>
      </c>
      <c r="T151" s="20">
        <f>T149-(2*1.2)</f>
        <v>6.1</v>
      </c>
      <c r="U151" s="62">
        <v>28991</v>
      </c>
      <c r="V151" s="62">
        <v>33495</v>
      </c>
      <c r="W151" s="62"/>
      <c r="X151" s="62"/>
      <c r="Y151" s="20">
        <v>899</v>
      </c>
      <c r="Z151" s="20"/>
      <c r="AA151" s="64">
        <v>1414750</v>
      </c>
      <c r="AB151" s="62"/>
      <c r="AC151" s="63">
        <v>7.0599999999999996E-2</v>
      </c>
      <c r="AD151" s="20"/>
      <c r="AE151" s="3" t="e">
        <f>IF(#REF!=hulpblad!AD151,hulpblad!P151,"")</f>
        <v>#REF!</v>
      </c>
      <c r="AF151" s="3"/>
    </row>
    <row r="152" spans="15:32" x14ac:dyDescent="0.25">
      <c r="O152" s="3">
        <v>148</v>
      </c>
      <c r="P152" s="3" t="s">
        <v>325</v>
      </c>
      <c r="Q152" s="20">
        <v>100</v>
      </c>
      <c r="R152" s="20">
        <v>50</v>
      </c>
      <c r="S152" s="20">
        <v>6</v>
      </c>
      <c r="T152" s="20">
        <v>8.5</v>
      </c>
      <c r="U152" s="62">
        <f t="shared" ref="U152:V154" si="0">U149*2</f>
        <v>82200</v>
      </c>
      <c r="V152" s="62">
        <f t="shared" si="0"/>
        <v>97920</v>
      </c>
      <c r="W152" s="62"/>
      <c r="X152" s="62"/>
      <c r="Y152" s="20">
        <f>Y149*2</f>
        <v>2690</v>
      </c>
      <c r="Z152" s="20"/>
      <c r="AA152" s="64">
        <f>AA149*2</f>
        <v>4106000</v>
      </c>
      <c r="AB152" s="62"/>
      <c r="AC152" s="63">
        <f>AC149*2</f>
        <v>0.2112</v>
      </c>
      <c r="AD152" s="20">
        <v>1</v>
      </c>
      <c r="AE152" s="3" t="e">
        <f>IF(#REF!=hulpblad!AD152,hulpblad!P152,"")</f>
        <v>#REF!</v>
      </c>
      <c r="AF152" s="3"/>
    </row>
    <row r="153" spans="15:32" x14ac:dyDescent="0.25">
      <c r="O153" s="3">
        <v>149</v>
      </c>
      <c r="P153" s="3" t="str">
        <f>CONCATENATE(P152," corrosie 50 jr.")</f>
        <v>Dubbel UNP 100 corrosie 50 jr.</v>
      </c>
      <c r="Q153" s="20">
        <f>Q152-(2*0.6)</f>
        <v>98.8</v>
      </c>
      <c r="R153" s="20">
        <f>R152-(2*0.6)</f>
        <v>48.8</v>
      </c>
      <c r="S153" s="20">
        <f>S152-(2*0.6)</f>
        <v>4.8</v>
      </c>
      <c r="T153" s="20">
        <f>T152-(2*0.6)</f>
        <v>7.3</v>
      </c>
      <c r="U153" s="62">
        <f t="shared" si="0"/>
        <v>70096</v>
      </c>
      <c r="V153" s="62">
        <f t="shared" si="0"/>
        <v>82380</v>
      </c>
      <c r="W153" s="62"/>
      <c r="X153" s="62"/>
      <c r="Y153" s="20">
        <f>Y150*2</f>
        <v>2244</v>
      </c>
      <c r="Z153" s="20"/>
      <c r="AA153" s="64">
        <f>AA150*2</f>
        <v>3462768</v>
      </c>
      <c r="AB153" s="62"/>
      <c r="AC153" s="63">
        <f>AC150*2</f>
        <v>0.1762</v>
      </c>
      <c r="AD153" s="20">
        <v>2</v>
      </c>
      <c r="AE153" s="3" t="e">
        <f>IF(#REF!=hulpblad!AD153,hulpblad!P153,"")</f>
        <v>#REF!</v>
      </c>
      <c r="AF153" s="3"/>
    </row>
    <row r="154" spans="15:32" x14ac:dyDescent="0.25">
      <c r="O154" s="3">
        <v>150</v>
      </c>
      <c r="P154" s="3" t="s">
        <v>326</v>
      </c>
      <c r="Q154" s="20">
        <f>Q152-(2*1.2)</f>
        <v>97.6</v>
      </c>
      <c r="R154" s="20">
        <f>R152-(2*1.2)</f>
        <v>47.6</v>
      </c>
      <c r="S154" s="20">
        <f>S152-(2*1.2)</f>
        <v>3.6</v>
      </c>
      <c r="T154" s="20">
        <f>T152-(2*1.2)</f>
        <v>6.1</v>
      </c>
      <c r="U154" s="62">
        <f t="shared" si="0"/>
        <v>57982</v>
      </c>
      <c r="V154" s="62">
        <f t="shared" si="0"/>
        <v>66990</v>
      </c>
      <c r="W154" s="62"/>
      <c r="X154" s="62"/>
      <c r="Y154" s="20">
        <f>Y151*2</f>
        <v>1798</v>
      </c>
      <c r="Z154" s="20"/>
      <c r="AA154" s="64">
        <f>AA151*2</f>
        <v>2829500</v>
      </c>
      <c r="AB154" s="62"/>
      <c r="AC154" s="63">
        <f>AC151*2</f>
        <v>0.14119999999999999</v>
      </c>
      <c r="AD154" s="20">
        <v>3</v>
      </c>
      <c r="AE154" s="3" t="e">
        <f>IF(#REF!=hulpblad!AD154,hulpblad!P154,"")</f>
        <v>#REF!</v>
      </c>
      <c r="AF154" s="3"/>
    </row>
    <row r="155" spans="15:32" x14ac:dyDescent="0.25">
      <c r="O155" s="3">
        <v>151</v>
      </c>
      <c r="P155" s="3" t="s">
        <v>327</v>
      </c>
      <c r="Q155" s="20">
        <v>120</v>
      </c>
      <c r="R155" s="20">
        <v>55</v>
      </c>
      <c r="S155" s="20">
        <v>7</v>
      </c>
      <c r="T155" s="20">
        <v>9</v>
      </c>
      <c r="U155" s="62">
        <v>60700</v>
      </c>
      <c r="V155" s="62">
        <v>72600</v>
      </c>
      <c r="W155" s="62"/>
      <c r="X155" s="62"/>
      <c r="Y155" s="20">
        <v>1698</v>
      </c>
      <c r="Z155" s="20"/>
      <c r="AA155" s="64">
        <v>3640000</v>
      </c>
      <c r="AB155" s="62"/>
      <c r="AC155" s="63">
        <v>0.1333</v>
      </c>
      <c r="AD155" s="20"/>
      <c r="AE155" s="3" t="e">
        <f>IF(#REF!=hulpblad!AD155,hulpblad!P155,"")</f>
        <v>#REF!</v>
      </c>
      <c r="AF155" s="3"/>
    </row>
    <row r="156" spans="15:32" x14ac:dyDescent="0.25">
      <c r="O156" s="3">
        <v>152</v>
      </c>
      <c r="P156" s="3" t="s">
        <v>328</v>
      </c>
      <c r="Q156" s="20">
        <f>Q155-(2*0.6)</f>
        <v>118.8</v>
      </c>
      <c r="R156" s="20">
        <f>R155-(2*0.6)</f>
        <v>53.8</v>
      </c>
      <c r="S156" s="20">
        <f>S155-(2*0.6)</f>
        <v>5.8</v>
      </c>
      <c r="T156" s="20">
        <f>T155-(2*0.6)</f>
        <v>7.8</v>
      </c>
      <c r="U156" s="62">
        <v>52221</v>
      </c>
      <c r="V156" s="62">
        <v>61838</v>
      </c>
      <c r="W156" s="62"/>
      <c r="X156" s="62"/>
      <c r="Y156" s="20">
        <v>1438</v>
      </c>
      <c r="Z156" s="20"/>
      <c r="AA156" s="64">
        <v>3101907</v>
      </c>
      <c r="AB156" s="62"/>
      <c r="AC156" s="63">
        <v>0.1129</v>
      </c>
      <c r="AD156" s="20"/>
      <c r="AE156" s="3" t="e">
        <f>IF(#REF!=hulpblad!AD156,hulpblad!P156,"")</f>
        <v>#REF!</v>
      </c>
      <c r="AF156" s="3"/>
    </row>
    <row r="157" spans="15:32" x14ac:dyDescent="0.25">
      <c r="O157" s="3">
        <v>153</v>
      </c>
      <c r="P157" s="3" t="s">
        <v>329</v>
      </c>
      <c r="Q157" s="20">
        <f>Q155-(2*1.2)</f>
        <v>117.6</v>
      </c>
      <c r="R157" s="20">
        <f>R155-(2*1.2)</f>
        <v>52.6</v>
      </c>
      <c r="S157" s="20">
        <f>S155-(2*1.2)</f>
        <v>4.5999999999999996</v>
      </c>
      <c r="T157" s="20">
        <f>T155-(2*1.2)</f>
        <v>6.6</v>
      </c>
      <c r="U157" s="62">
        <v>43724</v>
      </c>
      <c r="V157" s="62">
        <v>51124</v>
      </c>
      <c r="W157" s="62"/>
      <c r="X157" s="62"/>
      <c r="Y157" s="20">
        <v>1179</v>
      </c>
      <c r="Z157" s="20"/>
      <c r="AA157" s="64">
        <v>2570957</v>
      </c>
      <c r="AB157" s="62"/>
      <c r="AC157" s="63">
        <v>9.2600000000000002E-2</v>
      </c>
      <c r="AD157" s="20"/>
      <c r="AE157" s="3" t="e">
        <f>IF(#REF!=hulpblad!AD157,hulpblad!P157,"")</f>
        <v>#REF!</v>
      </c>
      <c r="AF157" s="3"/>
    </row>
    <row r="158" spans="15:32" x14ac:dyDescent="0.25">
      <c r="O158" s="3">
        <v>154</v>
      </c>
      <c r="P158" s="3" t="s">
        <v>330</v>
      </c>
      <c r="Q158" s="20">
        <f>Q155</f>
        <v>120</v>
      </c>
      <c r="R158" s="20">
        <f>R155</f>
        <v>55</v>
      </c>
      <c r="S158" s="20">
        <f>S155</f>
        <v>7</v>
      </c>
      <c r="T158" s="20">
        <f>T155</f>
        <v>9</v>
      </c>
      <c r="U158" s="62">
        <f t="shared" ref="U158:V160" si="1">U155*2</f>
        <v>121400</v>
      </c>
      <c r="V158" s="62">
        <f t="shared" si="1"/>
        <v>145200</v>
      </c>
      <c r="W158" s="62"/>
      <c r="X158" s="62"/>
      <c r="Y158" s="20">
        <f>Y155*2</f>
        <v>3396</v>
      </c>
      <c r="Z158" s="20"/>
      <c r="AA158" s="64">
        <f>AA155*2</f>
        <v>7280000</v>
      </c>
      <c r="AB158" s="62"/>
      <c r="AC158" s="63">
        <f>AC155*2</f>
        <v>0.2666</v>
      </c>
      <c r="AD158" s="20">
        <v>1</v>
      </c>
      <c r="AE158" s="3" t="e">
        <f>IF(#REF!=hulpblad!AD158,hulpblad!P158,"")</f>
        <v>#REF!</v>
      </c>
      <c r="AF158" s="3"/>
    </row>
    <row r="159" spans="15:32" x14ac:dyDescent="0.25">
      <c r="O159" s="3">
        <v>155</v>
      </c>
      <c r="P159" s="3" t="str">
        <f>CONCATENATE(P158," corrosie 50 jr.")</f>
        <v>Dubbel UNP 120 corrosie 50 jr.</v>
      </c>
      <c r="Q159" s="20">
        <f>Q158-(2*0.6)</f>
        <v>118.8</v>
      </c>
      <c r="R159" s="20">
        <f>R158-(2*0.6)</f>
        <v>53.8</v>
      </c>
      <c r="S159" s="20">
        <f>S158-(2*0.6)</f>
        <v>5.8</v>
      </c>
      <c r="T159" s="20">
        <f>T158-(2*0.6)</f>
        <v>7.8</v>
      </c>
      <c r="U159" s="62">
        <f t="shared" si="1"/>
        <v>104442</v>
      </c>
      <c r="V159" s="62">
        <f t="shared" si="1"/>
        <v>123676</v>
      </c>
      <c r="W159" s="62"/>
      <c r="X159" s="62"/>
      <c r="Y159" s="20">
        <f>Y156*2</f>
        <v>2876</v>
      </c>
      <c r="Z159" s="20"/>
      <c r="AA159" s="64">
        <f>AA156*2</f>
        <v>6203814</v>
      </c>
      <c r="AB159" s="62"/>
      <c r="AC159" s="63">
        <f>AC156*2</f>
        <v>0.2258</v>
      </c>
      <c r="AD159" s="20">
        <v>2</v>
      </c>
      <c r="AE159" s="3" t="e">
        <f>IF(#REF!=hulpblad!AD159,hulpblad!P159,"")</f>
        <v>#REF!</v>
      </c>
      <c r="AF159" s="3"/>
    </row>
    <row r="160" spans="15:32" x14ac:dyDescent="0.25">
      <c r="O160" s="3">
        <v>156</v>
      </c>
      <c r="P160" s="3" t="s">
        <v>331</v>
      </c>
      <c r="Q160" s="20">
        <f>Q158-(2*1.2)</f>
        <v>117.6</v>
      </c>
      <c r="R160" s="20">
        <f>R158-(2*1.2)</f>
        <v>52.6</v>
      </c>
      <c r="S160" s="20">
        <f>S158-(2*1.2)</f>
        <v>4.5999999999999996</v>
      </c>
      <c r="T160" s="20">
        <f>T158-(2*1.2)</f>
        <v>6.6</v>
      </c>
      <c r="U160" s="62">
        <f t="shared" si="1"/>
        <v>87448</v>
      </c>
      <c r="V160" s="62">
        <f t="shared" si="1"/>
        <v>102248</v>
      </c>
      <c r="W160" s="62"/>
      <c r="X160" s="62"/>
      <c r="Y160" s="20">
        <f>Y157*2</f>
        <v>2358</v>
      </c>
      <c r="Z160" s="20"/>
      <c r="AA160" s="64">
        <f>AA157*2</f>
        <v>5141914</v>
      </c>
      <c r="AB160" s="62"/>
      <c r="AC160" s="63">
        <f>AC157*2</f>
        <v>0.1852</v>
      </c>
      <c r="AD160" s="20">
        <v>3</v>
      </c>
      <c r="AE160" s="3" t="e">
        <f>IF(#REF!=hulpblad!AD160,hulpblad!P160,"")</f>
        <v>#REF!</v>
      </c>
      <c r="AF160" s="3"/>
    </row>
    <row r="161" spans="15:32" x14ac:dyDescent="0.25">
      <c r="O161" s="3">
        <v>157</v>
      </c>
      <c r="P161" s="3" t="s">
        <v>332</v>
      </c>
      <c r="Q161" s="20">
        <v>140</v>
      </c>
      <c r="R161" s="20">
        <v>60</v>
      </c>
      <c r="S161" s="20">
        <v>7</v>
      </c>
      <c r="T161" s="20">
        <v>10</v>
      </c>
      <c r="U161" s="62">
        <v>86400</v>
      </c>
      <c r="V161" s="62">
        <v>102800</v>
      </c>
      <c r="W161" s="62"/>
      <c r="X161" s="62"/>
      <c r="Y161" s="20">
        <v>2037</v>
      </c>
      <c r="Z161" s="20"/>
      <c r="AA161" s="64">
        <v>6050000</v>
      </c>
      <c r="AB161" s="62"/>
      <c r="AC161" s="63">
        <v>0.15989999999999999</v>
      </c>
      <c r="AD161" s="20"/>
      <c r="AE161" s="3" t="e">
        <f>IF(#REF!=hulpblad!AD161,hulpblad!P161,"")</f>
        <v>#REF!</v>
      </c>
      <c r="AF161" s="3"/>
    </row>
    <row r="162" spans="15:32" x14ac:dyDescent="0.25">
      <c r="O162" s="3">
        <v>158</v>
      </c>
      <c r="P162" s="3" t="s">
        <v>333</v>
      </c>
      <c r="Q162" s="20">
        <f>Q161-(2*0.6)</f>
        <v>138.80000000000001</v>
      </c>
      <c r="R162" s="20">
        <f>R161-(2*0.6)</f>
        <v>58.8</v>
      </c>
      <c r="S162" s="20">
        <f>S161-(2*0.6)</f>
        <v>5.8</v>
      </c>
      <c r="T162" s="20">
        <f>T161-(2*0.6)</f>
        <v>8.8000000000000007</v>
      </c>
      <c r="U162" s="62">
        <v>75219</v>
      </c>
      <c r="V162" s="62">
        <v>88491</v>
      </c>
      <c r="W162" s="62"/>
      <c r="X162" s="62"/>
      <c r="Y162" s="20">
        <v>1741</v>
      </c>
      <c r="Z162" s="20"/>
      <c r="AA162" s="64">
        <v>5220211</v>
      </c>
      <c r="AB162" s="62"/>
      <c r="AC162" s="63">
        <v>0.1366</v>
      </c>
      <c r="AD162" s="20"/>
      <c r="AE162" s="3" t="e">
        <f>IF(#REF!=hulpblad!AD162,hulpblad!P162,"")</f>
        <v>#REF!</v>
      </c>
      <c r="AF162" s="3"/>
    </row>
    <row r="163" spans="15:32" x14ac:dyDescent="0.25">
      <c r="O163" s="3">
        <v>159</v>
      </c>
      <c r="P163" s="3" t="s">
        <v>334</v>
      </c>
      <c r="Q163" s="20">
        <f>Q161-(2*1.2)</f>
        <v>137.6</v>
      </c>
      <c r="R163" s="20">
        <f>R161-(2*1.2)</f>
        <v>57.6</v>
      </c>
      <c r="S163" s="20">
        <f>S161-(2*1.2)</f>
        <v>4.5999999999999996</v>
      </c>
      <c r="T163" s="20">
        <f>T161-(2*1.2)</f>
        <v>7.6</v>
      </c>
      <c r="U163" s="62">
        <v>64038</v>
      </c>
      <c r="V163" s="62">
        <v>74375</v>
      </c>
      <c r="W163" s="62"/>
      <c r="X163" s="62"/>
      <c r="Y163" s="20">
        <v>1447</v>
      </c>
      <c r="Z163" s="20"/>
      <c r="AA163" s="64">
        <v>4405846</v>
      </c>
      <c r="AB163" s="62"/>
      <c r="AC163" s="63">
        <v>0.11360000000000001</v>
      </c>
      <c r="AD163" s="20"/>
      <c r="AE163" s="3" t="e">
        <f>IF(#REF!=hulpblad!AD163,hulpblad!P163,"")</f>
        <v>#REF!</v>
      </c>
      <c r="AF163" s="3"/>
    </row>
    <row r="164" spans="15:32" x14ac:dyDescent="0.25">
      <c r="O164" s="3">
        <v>160</v>
      </c>
      <c r="P164" s="3" t="s">
        <v>335</v>
      </c>
      <c r="Q164" s="20">
        <f>Q161</f>
        <v>140</v>
      </c>
      <c r="R164" s="20">
        <f>R161</f>
        <v>60</v>
      </c>
      <c r="S164" s="20">
        <f>S161</f>
        <v>7</v>
      </c>
      <c r="T164" s="20">
        <f>T161</f>
        <v>10</v>
      </c>
      <c r="U164" s="62">
        <f t="shared" ref="U164:V166" si="2">U161*2</f>
        <v>172800</v>
      </c>
      <c r="V164" s="62">
        <f t="shared" si="2"/>
        <v>205600</v>
      </c>
      <c r="W164" s="62"/>
      <c r="X164" s="62"/>
      <c r="Y164" s="20">
        <f>Y161*2</f>
        <v>4074</v>
      </c>
      <c r="Z164" s="20"/>
      <c r="AA164" s="64">
        <f>AA161*2</f>
        <v>12100000</v>
      </c>
      <c r="AB164" s="62"/>
      <c r="AC164" s="63">
        <f>AC161*2</f>
        <v>0.31979999999999997</v>
      </c>
      <c r="AD164" s="20">
        <v>1</v>
      </c>
      <c r="AE164" s="3" t="e">
        <f>IF(#REF!=hulpblad!AD164,hulpblad!P164,"")</f>
        <v>#REF!</v>
      </c>
      <c r="AF164" s="3"/>
    </row>
    <row r="165" spans="15:32" x14ac:dyDescent="0.25">
      <c r="O165" s="3">
        <v>161</v>
      </c>
      <c r="P165" s="3" t="str">
        <f>CONCATENATE(P164," corrosie 50 jr.")</f>
        <v>Dubbel UNP 140 corrosie 50 jr.</v>
      </c>
      <c r="Q165" s="20">
        <f>Q164-(2*0.6)</f>
        <v>138.80000000000001</v>
      </c>
      <c r="R165" s="20">
        <f>R164-(2*0.6)</f>
        <v>58.8</v>
      </c>
      <c r="S165" s="20">
        <f>S164-(2*0.6)</f>
        <v>5.8</v>
      </c>
      <c r="T165" s="20">
        <f>T164-(2*0.6)</f>
        <v>8.8000000000000007</v>
      </c>
      <c r="U165" s="62">
        <f t="shared" si="2"/>
        <v>150438</v>
      </c>
      <c r="V165" s="62">
        <f t="shared" si="2"/>
        <v>176982</v>
      </c>
      <c r="W165" s="62"/>
      <c r="X165" s="62"/>
      <c r="Y165" s="20">
        <f>Y162*2</f>
        <v>3482</v>
      </c>
      <c r="Z165" s="20"/>
      <c r="AA165" s="64">
        <f>AA162*2</f>
        <v>10440422</v>
      </c>
      <c r="AB165" s="62"/>
      <c r="AC165" s="63">
        <f>AC162*2</f>
        <v>0.2732</v>
      </c>
      <c r="AD165" s="20">
        <v>2</v>
      </c>
      <c r="AE165" s="3" t="e">
        <f>IF(#REF!=hulpblad!AD165,hulpblad!P165,"")</f>
        <v>#REF!</v>
      </c>
      <c r="AF165" s="3"/>
    </row>
    <row r="166" spans="15:32" x14ac:dyDescent="0.25">
      <c r="O166" s="3">
        <v>162</v>
      </c>
      <c r="P166" s="3" t="s">
        <v>336</v>
      </c>
      <c r="Q166" s="20">
        <f>Q164-(2*1.2)</f>
        <v>137.6</v>
      </c>
      <c r="R166" s="20">
        <f>R164-(2*1.2)</f>
        <v>57.6</v>
      </c>
      <c r="S166" s="20">
        <f>S164-(2*1.2)</f>
        <v>4.5999999999999996</v>
      </c>
      <c r="T166" s="20">
        <f>T164-(2*1.2)</f>
        <v>7.6</v>
      </c>
      <c r="U166" s="62">
        <f t="shared" si="2"/>
        <v>128076</v>
      </c>
      <c r="V166" s="62">
        <f t="shared" si="2"/>
        <v>148750</v>
      </c>
      <c r="W166" s="62"/>
      <c r="X166" s="62"/>
      <c r="Y166" s="20">
        <f>Y163*2</f>
        <v>2894</v>
      </c>
      <c r="Z166" s="20"/>
      <c r="AA166" s="64">
        <f>AA163*2</f>
        <v>8811692</v>
      </c>
      <c r="AB166" s="62"/>
      <c r="AC166" s="63">
        <f>AC163*2</f>
        <v>0.22720000000000001</v>
      </c>
      <c r="AD166" s="20">
        <v>3</v>
      </c>
      <c r="AE166" s="3" t="e">
        <f>IF(#REF!=hulpblad!AD166,hulpblad!P166,"")</f>
        <v>#REF!</v>
      </c>
      <c r="AF166" s="3"/>
    </row>
    <row r="167" spans="15:32" x14ac:dyDescent="0.25">
      <c r="O167" s="3">
        <v>163</v>
      </c>
      <c r="P167" s="3" t="s">
        <v>337</v>
      </c>
      <c r="Q167" s="20">
        <v>160</v>
      </c>
      <c r="R167" s="20">
        <v>65</v>
      </c>
      <c r="S167" s="20">
        <v>7.5</v>
      </c>
      <c r="T167" s="20">
        <v>10.5</v>
      </c>
      <c r="U167" s="62">
        <v>115600</v>
      </c>
      <c r="V167" s="62">
        <v>137600</v>
      </c>
      <c r="W167" s="62"/>
      <c r="X167" s="62"/>
      <c r="Y167" s="20">
        <v>2401</v>
      </c>
      <c r="Z167" s="20"/>
      <c r="AA167" s="64">
        <v>9250000</v>
      </c>
      <c r="AB167" s="62"/>
      <c r="AC167" s="63">
        <v>0.1885</v>
      </c>
      <c r="AD167" s="20"/>
      <c r="AE167" s="3" t="e">
        <f>IF(#REF!=hulpblad!AD167,hulpblad!P167,"")</f>
        <v>#REF!</v>
      </c>
      <c r="AF167" s="3"/>
    </row>
    <row r="168" spans="15:32" x14ac:dyDescent="0.25">
      <c r="O168" s="3">
        <v>164</v>
      </c>
      <c r="P168" s="3" t="s">
        <v>338</v>
      </c>
      <c r="Q168" s="20">
        <f>Q167-(2*0.6)</f>
        <v>158.80000000000001</v>
      </c>
      <c r="R168" s="20">
        <f>R167-(2*0.6)</f>
        <v>63.8</v>
      </c>
      <c r="S168" s="20">
        <f>S167-(2*0.6)</f>
        <v>6.3</v>
      </c>
      <c r="T168" s="20">
        <f>T167-(2*0.6)</f>
        <v>9.3000000000000007</v>
      </c>
      <c r="U168" s="62">
        <v>101323</v>
      </c>
      <c r="V168" s="62">
        <v>119378</v>
      </c>
      <c r="W168" s="62"/>
      <c r="X168" s="62"/>
      <c r="Y168" s="20">
        <v>2070</v>
      </c>
      <c r="Z168" s="20"/>
      <c r="AA168" s="64">
        <v>8045014</v>
      </c>
      <c r="AB168" s="62"/>
      <c r="AC168" s="63">
        <v>0.16250000000000001</v>
      </c>
      <c r="AD168" s="20"/>
      <c r="AE168" s="3" t="e">
        <f>IF(#REF!=hulpblad!AD168,hulpblad!P168,"")</f>
        <v>#REF!</v>
      </c>
      <c r="AF168" s="3"/>
    </row>
    <row r="169" spans="15:32" x14ac:dyDescent="0.25">
      <c r="O169" s="3">
        <v>165</v>
      </c>
      <c r="P169" s="3" t="s">
        <v>339</v>
      </c>
      <c r="Q169" s="20">
        <f>Q167-(2*1.2)</f>
        <v>157.6</v>
      </c>
      <c r="R169" s="20">
        <f>R167-(2*1.2)</f>
        <v>62.6</v>
      </c>
      <c r="S169" s="20">
        <f>S167-(2*1.2)</f>
        <v>5.0999999999999996</v>
      </c>
      <c r="T169" s="20">
        <f>T167-(2*1.2)</f>
        <v>8.1</v>
      </c>
      <c r="U169" s="62">
        <v>87054</v>
      </c>
      <c r="V169" s="62">
        <v>101404</v>
      </c>
      <c r="W169" s="62"/>
      <c r="X169" s="62"/>
      <c r="Y169" s="20">
        <v>1741</v>
      </c>
      <c r="Z169" s="20"/>
      <c r="AA169" s="64">
        <v>6859829</v>
      </c>
      <c r="AB169" s="62"/>
      <c r="AC169" s="63">
        <v>0.13669999999999999</v>
      </c>
      <c r="AD169" s="20"/>
      <c r="AE169" s="3" t="e">
        <f>IF(#REF!=hulpblad!AD169,hulpblad!P169,"")</f>
        <v>#REF!</v>
      </c>
      <c r="AF169" s="3"/>
    </row>
    <row r="170" spans="15:32" x14ac:dyDescent="0.25">
      <c r="O170" s="3">
        <v>166</v>
      </c>
      <c r="P170" s="3" t="s">
        <v>340</v>
      </c>
      <c r="Q170" s="20">
        <f>Q167</f>
        <v>160</v>
      </c>
      <c r="R170" s="20">
        <f>R167</f>
        <v>65</v>
      </c>
      <c r="S170" s="20">
        <f>S167</f>
        <v>7.5</v>
      </c>
      <c r="T170" s="20">
        <f>T167</f>
        <v>10.5</v>
      </c>
      <c r="U170" s="62">
        <f t="shared" ref="U170:V172" si="3">U167*2</f>
        <v>231200</v>
      </c>
      <c r="V170" s="62">
        <f t="shared" si="3"/>
        <v>275200</v>
      </c>
      <c r="W170" s="62"/>
      <c r="X170" s="62"/>
      <c r="Y170" s="20">
        <f>Y167*2</f>
        <v>4802</v>
      </c>
      <c r="Z170" s="20"/>
      <c r="AA170" s="64">
        <f>AA167*2</f>
        <v>18500000</v>
      </c>
      <c r="AB170" s="62"/>
      <c r="AC170" s="63">
        <f>AC167*2</f>
        <v>0.377</v>
      </c>
      <c r="AD170" s="20">
        <v>1</v>
      </c>
      <c r="AE170" s="3" t="e">
        <f>IF(#REF!=hulpblad!AD170,hulpblad!P170,"")</f>
        <v>#REF!</v>
      </c>
      <c r="AF170" s="3"/>
    </row>
    <row r="171" spans="15:32" x14ac:dyDescent="0.25">
      <c r="O171" s="3">
        <v>167</v>
      </c>
      <c r="P171" s="3" t="str">
        <f>CONCATENATE(P170," corrosie 50 jr.")</f>
        <v>Dubbel UNP 160 corrosie 50 jr.</v>
      </c>
      <c r="Q171" s="20">
        <f>Q170-(2*0.6)</f>
        <v>158.80000000000001</v>
      </c>
      <c r="R171" s="20">
        <f>R170-(2*0.6)</f>
        <v>63.8</v>
      </c>
      <c r="S171" s="20">
        <f>S170-(2*0.6)</f>
        <v>6.3</v>
      </c>
      <c r="T171" s="20">
        <f>T170-(2*0.6)</f>
        <v>9.3000000000000007</v>
      </c>
      <c r="U171" s="62">
        <f t="shared" si="3"/>
        <v>202646</v>
      </c>
      <c r="V171" s="62">
        <f t="shared" si="3"/>
        <v>238756</v>
      </c>
      <c r="W171" s="62"/>
      <c r="X171" s="62"/>
      <c r="Y171" s="20">
        <f>Y168*2</f>
        <v>4140</v>
      </c>
      <c r="Z171" s="20"/>
      <c r="AA171" s="64">
        <f>AA168*2</f>
        <v>16090028</v>
      </c>
      <c r="AB171" s="62"/>
      <c r="AC171" s="63">
        <f>AC168*2</f>
        <v>0.32500000000000001</v>
      </c>
      <c r="AD171" s="20">
        <v>2</v>
      </c>
      <c r="AE171" s="3" t="e">
        <f>IF(#REF!=hulpblad!AD171,hulpblad!P171,"")</f>
        <v>#REF!</v>
      </c>
      <c r="AF171" s="3"/>
    </row>
    <row r="172" spans="15:32" x14ac:dyDescent="0.25">
      <c r="O172" s="3">
        <v>168</v>
      </c>
      <c r="P172" s="3" t="s">
        <v>341</v>
      </c>
      <c r="Q172" s="20">
        <f>Q170-(2*1.2)</f>
        <v>157.6</v>
      </c>
      <c r="R172" s="20">
        <f>R170-(2*1.2)</f>
        <v>62.6</v>
      </c>
      <c r="S172" s="20">
        <f>S170-(2*1.2)</f>
        <v>5.0999999999999996</v>
      </c>
      <c r="T172" s="20">
        <f>T170-(2*1.2)</f>
        <v>8.1</v>
      </c>
      <c r="U172" s="62">
        <f t="shared" si="3"/>
        <v>174108</v>
      </c>
      <c r="V172" s="62">
        <f t="shared" si="3"/>
        <v>202808</v>
      </c>
      <c r="W172" s="62"/>
      <c r="X172" s="62"/>
      <c r="Y172" s="20">
        <f>Y169*2</f>
        <v>3482</v>
      </c>
      <c r="Z172" s="20"/>
      <c r="AA172" s="64">
        <f>AA169*2</f>
        <v>13719658</v>
      </c>
      <c r="AB172" s="62"/>
      <c r="AC172" s="63">
        <f>AC169*2</f>
        <v>0.27339999999999998</v>
      </c>
      <c r="AD172" s="20">
        <v>3</v>
      </c>
      <c r="AE172" s="3" t="e">
        <f>IF(#REF!=hulpblad!AD172,hulpblad!P172,"")</f>
        <v>#REF!</v>
      </c>
      <c r="AF172" s="3"/>
    </row>
    <row r="173" spans="15:32" x14ac:dyDescent="0.25">
      <c r="O173" s="3">
        <v>169</v>
      </c>
      <c r="P173" s="3" t="s">
        <v>342</v>
      </c>
      <c r="Q173" s="20">
        <v>180</v>
      </c>
      <c r="R173" s="20">
        <v>70</v>
      </c>
      <c r="S173" s="20">
        <v>8</v>
      </c>
      <c r="T173" s="20">
        <v>11</v>
      </c>
      <c r="U173" s="62">
        <v>150400</v>
      </c>
      <c r="V173" s="62">
        <v>179000</v>
      </c>
      <c r="W173" s="62"/>
      <c r="X173" s="62"/>
      <c r="Y173" s="20">
        <v>2796</v>
      </c>
      <c r="Z173" s="20"/>
      <c r="AA173" s="64">
        <v>13540000</v>
      </c>
      <c r="AB173" s="62"/>
      <c r="AC173" s="63">
        <v>0.2195</v>
      </c>
      <c r="AD173" s="20"/>
      <c r="AE173" s="3" t="e">
        <f>IF(#REF!=hulpblad!AD173,hulpblad!P173,"")</f>
        <v>#REF!</v>
      </c>
      <c r="AF173" s="3"/>
    </row>
    <row r="174" spans="15:32" x14ac:dyDescent="0.25">
      <c r="O174" s="3">
        <v>170</v>
      </c>
      <c r="P174" s="3" t="s">
        <v>343</v>
      </c>
      <c r="Q174" s="20">
        <f>Q173-(2*0.6)</f>
        <v>178.8</v>
      </c>
      <c r="R174" s="20">
        <f>R173-(2*0.6)</f>
        <v>68.8</v>
      </c>
      <c r="S174" s="20">
        <f>S173-(2*0.6)</f>
        <v>6.8</v>
      </c>
      <c r="T174" s="20">
        <f>T173-(2*0.6)</f>
        <v>9.8000000000000007</v>
      </c>
      <c r="U174" s="62">
        <v>132723</v>
      </c>
      <c r="V174" s="62">
        <v>156631</v>
      </c>
      <c r="W174" s="62"/>
      <c r="X174" s="62"/>
      <c r="Y174" s="20">
        <v>2431</v>
      </c>
      <c r="Z174" s="20"/>
      <c r="AA174" s="64">
        <v>11865465</v>
      </c>
      <c r="AB174" s="62"/>
      <c r="AC174" s="63">
        <v>0.1908</v>
      </c>
      <c r="AD174" s="20"/>
      <c r="AE174" s="3" t="e">
        <f>IF(#REF!=hulpblad!AD174,hulpblad!P174,"")</f>
        <v>#REF!</v>
      </c>
      <c r="AF174" s="3"/>
    </row>
    <row r="175" spans="15:32" x14ac:dyDescent="0.25">
      <c r="O175" s="3">
        <v>171</v>
      </c>
      <c r="P175" s="3" t="s">
        <v>344</v>
      </c>
      <c r="Q175" s="20">
        <f>Q173-(2*1.2)</f>
        <v>177.6</v>
      </c>
      <c r="R175" s="20">
        <f>R173-(2*1.2)</f>
        <v>67.599999999999994</v>
      </c>
      <c r="S175" s="20">
        <f>S173-(2*1.2)</f>
        <v>5.6</v>
      </c>
      <c r="T175" s="20">
        <f>T173-(2*1.2)</f>
        <v>8.6</v>
      </c>
      <c r="U175" s="62">
        <v>115008</v>
      </c>
      <c r="V175" s="62">
        <v>134345</v>
      </c>
      <c r="W175" s="62"/>
      <c r="X175" s="62"/>
      <c r="Y175" s="20">
        <v>2066</v>
      </c>
      <c r="Z175" s="20"/>
      <c r="AA175" s="64">
        <v>10212698</v>
      </c>
      <c r="AB175" s="62"/>
      <c r="AC175" s="63">
        <v>0.16220000000000001</v>
      </c>
      <c r="AD175" s="20"/>
      <c r="AE175" s="3" t="e">
        <f>IF(#REF!=hulpblad!AD175,hulpblad!P175,"")</f>
        <v>#REF!</v>
      </c>
      <c r="AF175" s="3"/>
    </row>
    <row r="176" spans="15:32" x14ac:dyDescent="0.25">
      <c r="O176" s="3">
        <v>172</v>
      </c>
      <c r="P176" s="3" t="s">
        <v>345</v>
      </c>
      <c r="Q176" s="20">
        <f>Q173</f>
        <v>180</v>
      </c>
      <c r="R176" s="20">
        <f>R173</f>
        <v>70</v>
      </c>
      <c r="S176" s="20">
        <f>S173</f>
        <v>8</v>
      </c>
      <c r="T176" s="20">
        <f>T173</f>
        <v>11</v>
      </c>
      <c r="U176" s="62">
        <f t="shared" ref="U176:V178" si="4">U173*2</f>
        <v>300800</v>
      </c>
      <c r="V176" s="62">
        <f t="shared" si="4"/>
        <v>358000</v>
      </c>
      <c r="W176" s="62"/>
      <c r="X176" s="62"/>
      <c r="Y176" s="20">
        <f>Y173*2</f>
        <v>5592</v>
      </c>
      <c r="Z176" s="20"/>
      <c r="AA176" s="64">
        <f>AA173*2</f>
        <v>27080000</v>
      </c>
      <c r="AB176" s="62"/>
      <c r="AC176" s="63">
        <f>AC173*2</f>
        <v>0.439</v>
      </c>
      <c r="AD176" s="20">
        <v>1</v>
      </c>
      <c r="AE176" s="3" t="e">
        <f>IF(#REF!=hulpblad!AD176,hulpblad!P176,"")</f>
        <v>#REF!</v>
      </c>
      <c r="AF176" s="3"/>
    </row>
    <row r="177" spans="15:32" x14ac:dyDescent="0.25">
      <c r="O177" s="3">
        <v>173</v>
      </c>
      <c r="P177" s="3" t="str">
        <f>CONCATENATE(P176," corrosie 50 jr.")</f>
        <v>Dubbel UNP 180 corrosie 50 jr.</v>
      </c>
      <c r="Q177" s="20">
        <f>Q176-(2*0.6)</f>
        <v>178.8</v>
      </c>
      <c r="R177" s="20">
        <f>R176-(2*0.6)</f>
        <v>68.8</v>
      </c>
      <c r="S177" s="20">
        <f>S176-(2*0.6)</f>
        <v>6.8</v>
      </c>
      <c r="T177" s="20">
        <f>T176-(2*0.6)</f>
        <v>9.8000000000000007</v>
      </c>
      <c r="U177" s="62">
        <f t="shared" si="4"/>
        <v>265446</v>
      </c>
      <c r="V177" s="62">
        <f t="shared" si="4"/>
        <v>313262</v>
      </c>
      <c r="W177" s="62"/>
      <c r="X177" s="62"/>
      <c r="Y177" s="20">
        <f>Y174*2</f>
        <v>4862</v>
      </c>
      <c r="Z177" s="20"/>
      <c r="AA177" s="64">
        <f>AA174*2</f>
        <v>23730930</v>
      </c>
      <c r="AB177" s="62"/>
      <c r="AC177" s="63">
        <f>AC174*2</f>
        <v>0.38159999999999999</v>
      </c>
      <c r="AD177" s="20">
        <v>2</v>
      </c>
      <c r="AE177" s="3" t="e">
        <f>IF(#REF!=hulpblad!AD177,hulpblad!P177,"")</f>
        <v>#REF!</v>
      </c>
      <c r="AF177" s="3"/>
    </row>
    <row r="178" spans="15:32" x14ac:dyDescent="0.25">
      <c r="O178" s="3">
        <v>174</v>
      </c>
      <c r="P178" s="3" t="s">
        <v>346</v>
      </c>
      <c r="Q178" s="20">
        <f>Q176-(2*1.2)</f>
        <v>177.6</v>
      </c>
      <c r="R178" s="20">
        <f>R176-(2*1.2)</f>
        <v>67.599999999999994</v>
      </c>
      <c r="S178" s="20">
        <f>S176-(2*1.2)</f>
        <v>5.6</v>
      </c>
      <c r="T178" s="20">
        <f>T176-(2*1.2)</f>
        <v>8.6</v>
      </c>
      <c r="U178" s="62">
        <f t="shared" si="4"/>
        <v>230016</v>
      </c>
      <c r="V178" s="62">
        <f t="shared" si="4"/>
        <v>268690</v>
      </c>
      <c r="W178" s="62"/>
      <c r="X178" s="62"/>
      <c r="Y178" s="20">
        <f>Y175*2</f>
        <v>4132</v>
      </c>
      <c r="Z178" s="20"/>
      <c r="AA178" s="64">
        <f>AA175*2</f>
        <v>20425396</v>
      </c>
      <c r="AB178" s="62"/>
      <c r="AC178" s="63">
        <f>AC175*2</f>
        <v>0.32440000000000002</v>
      </c>
      <c r="AD178" s="20">
        <v>3</v>
      </c>
      <c r="AE178" s="3" t="e">
        <f>IF(#REF!=hulpblad!AD178,hulpblad!P178,"")</f>
        <v>#REF!</v>
      </c>
      <c r="AF178" s="3"/>
    </row>
    <row r="179" spans="15:32" x14ac:dyDescent="0.25">
      <c r="O179" s="3">
        <v>175</v>
      </c>
      <c r="P179" s="3" t="s">
        <v>347</v>
      </c>
      <c r="Q179" s="20">
        <v>200</v>
      </c>
      <c r="R179" s="20">
        <v>75</v>
      </c>
      <c r="S179" s="20">
        <v>8.5</v>
      </c>
      <c r="T179" s="20">
        <v>11.5</v>
      </c>
      <c r="U179" s="62">
        <v>191100</v>
      </c>
      <c r="V179" s="62">
        <v>227800</v>
      </c>
      <c r="W179" s="62"/>
      <c r="X179" s="62"/>
      <c r="Y179" s="20">
        <v>3220</v>
      </c>
      <c r="Z179" s="20"/>
      <c r="AA179" s="64">
        <v>19110000</v>
      </c>
      <c r="AB179" s="62"/>
      <c r="AC179" s="63">
        <v>0.25259999999999999</v>
      </c>
      <c r="AD179" s="20"/>
      <c r="AE179" s="3" t="e">
        <f>IF(#REF!=hulpblad!AD179,hulpblad!P179,"")</f>
        <v>#REF!</v>
      </c>
      <c r="AF179" s="3"/>
    </row>
    <row r="180" spans="15:32" x14ac:dyDescent="0.25">
      <c r="O180" s="3">
        <v>176</v>
      </c>
      <c r="P180" s="3" t="s">
        <v>348</v>
      </c>
      <c r="Q180" s="20">
        <f>Q179-(2*0.6)</f>
        <v>198.8</v>
      </c>
      <c r="R180" s="20">
        <f>R179-(2*0.6)</f>
        <v>73.8</v>
      </c>
      <c r="S180" s="20">
        <f>S179-(2*0.6)</f>
        <v>7.3</v>
      </c>
      <c r="T180" s="20">
        <f>T179-(2*0.6)</f>
        <v>10.3</v>
      </c>
      <c r="U180" s="62">
        <v>169570</v>
      </c>
      <c r="V180" s="62">
        <v>200486</v>
      </c>
      <c r="W180" s="62"/>
      <c r="X180" s="62"/>
      <c r="Y180" s="20">
        <v>2818</v>
      </c>
      <c r="Z180" s="20"/>
      <c r="AA180" s="64">
        <v>16855306</v>
      </c>
      <c r="AB180" s="62"/>
      <c r="AC180" s="63">
        <v>0.22120000000000001</v>
      </c>
      <c r="AD180" s="20"/>
      <c r="AE180" s="3" t="e">
        <f>IF(#REF!=hulpblad!AD180,hulpblad!P180,"")</f>
        <v>#REF!</v>
      </c>
      <c r="AF180" s="3"/>
    </row>
    <row r="181" spans="15:32" x14ac:dyDescent="0.25">
      <c r="O181" s="3">
        <v>177</v>
      </c>
      <c r="P181" s="3" t="s">
        <v>349</v>
      </c>
      <c r="Q181" s="20">
        <f>Q179-(2*1.2)</f>
        <v>197.6</v>
      </c>
      <c r="R181" s="20">
        <f>R179-(2*1.2)</f>
        <v>72.599999999999994</v>
      </c>
      <c r="S181" s="20">
        <f>S179-(2*1.2)</f>
        <v>6.1</v>
      </c>
      <c r="T181" s="20">
        <f>T179-(2*1.2)</f>
        <v>9.1</v>
      </c>
      <c r="U181" s="62">
        <v>148044</v>
      </c>
      <c r="V181" s="62">
        <v>173432</v>
      </c>
      <c r="W181" s="62"/>
      <c r="X181" s="62"/>
      <c r="Y181" s="20">
        <v>2419</v>
      </c>
      <c r="Z181" s="20"/>
      <c r="AA181" s="64">
        <v>14626740</v>
      </c>
      <c r="AB181" s="62"/>
      <c r="AC181" s="63">
        <v>0.18990000000000001</v>
      </c>
      <c r="AD181" s="20"/>
      <c r="AE181" s="3" t="e">
        <f>IF(#REF!=hulpblad!AD181,hulpblad!P181,"")</f>
        <v>#REF!</v>
      </c>
      <c r="AF181" s="3"/>
    </row>
    <row r="182" spans="15:32" x14ac:dyDescent="0.25">
      <c r="O182" s="3">
        <v>178</v>
      </c>
      <c r="P182" s="3" t="s">
        <v>350</v>
      </c>
      <c r="Q182" s="20">
        <v>200</v>
      </c>
      <c r="R182" s="20">
        <v>150</v>
      </c>
      <c r="S182" s="20">
        <v>17</v>
      </c>
      <c r="T182" s="20">
        <v>11.5</v>
      </c>
      <c r="U182" s="62">
        <f t="shared" ref="U182:V184" si="5">U179*2</f>
        <v>382200</v>
      </c>
      <c r="V182" s="62">
        <f t="shared" si="5"/>
        <v>455600</v>
      </c>
      <c r="W182" s="62"/>
      <c r="X182" s="62"/>
      <c r="Y182" s="20">
        <f>Y179*2</f>
        <v>6440</v>
      </c>
      <c r="Z182" s="20"/>
      <c r="AA182" s="64">
        <f>AA179*2</f>
        <v>38220000</v>
      </c>
      <c r="AB182" s="62"/>
      <c r="AC182" s="63">
        <f>AC179*2</f>
        <v>0.50519999999999998</v>
      </c>
      <c r="AD182" s="20">
        <v>1</v>
      </c>
      <c r="AE182" s="3" t="e">
        <f>IF(#REF!=hulpblad!AD182,hulpblad!P182,"")</f>
        <v>#REF!</v>
      </c>
      <c r="AF182" s="3"/>
    </row>
    <row r="183" spans="15:32" x14ac:dyDescent="0.25">
      <c r="O183" s="3">
        <v>179</v>
      </c>
      <c r="P183" s="3" t="str">
        <f>CONCATENATE(P182," corrosie 50 jr.")</f>
        <v>Dubbel UNP 200 corrosie 50 jr.</v>
      </c>
      <c r="Q183" s="20">
        <f>Q182-(2*0.6)</f>
        <v>198.8</v>
      </c>
      <c r="R183" s="20">
        <f>R182-(2*0.6)</f>
        <v>148.80000000000001</v>
      </c>
      <c r="S183" s="20">
        <f>S182-(2*0.6)</f>
        <v>15.8</v>
      </c>
      <c r="T183" s="20">
        <f>T182-(2*0.6)</f>
        <v>10.3</v>
      </c>
      <c r="U183" s="62">
        <f t="shared" si="5"/>
        <v>339140</v>
      </c>
      <c r="V183" s="62">
        <f t="shared" si="5"/>
        <v>400972</v>
      </c>
      <c r="W183" s="62"/>
      <c r="X183" s="62"/>
      <c r="Y183" s="20">
        <f>Y180*2</f>
        <v>5636</v>
      </c>
      <c r="Z183" s="20"/>
      <c r="AA183" s="64">
        <f>AA180*2</f>
        <v>33710612</v>
      </c>
      <c r="AB183" s="62"/>
      <c r="AC183" s="63">
        <f>AC180*2</f>
        <v>0.44240000000000002</v>
      </c>
      <c r="AD183" s="20">
        <v>2</v>
      </c>
      <c r="AE183" s="3" t="e">
        <f>IF(#REF!=hulpblad!AD183,hulpblad!P183,"")</f>
        <v>#REF!</v>
      </c>
      <c r="AF183" s="3"/>
    </row>
    <row r="184" spans="15:32" x14ac:dyDescent="0.25">
      <c r="O184" s="3">
        <v>180</v>
      </c>
      <c r="P184" s="3" t="s">
        <v>351</v>
      </c>
      <c r="Q184" s="20">
        <f>Q182-(2*1.2)</f>
        <v>197.6</v>
      </c>
      <c r="R184" s="20">
        <f>R182-(2*1.2)</f>
        <v>147.6</v>
      </c>
      <c r="S184" s="20">
        <f>S182-(2*1.2)</f>
        <v>14.6</v>
      </c>
      <c r="T184" s="20">
        <f>T182-(2*1.2)</f>
        <v>9.1</v>
      </c>
      <c r="U184" s="62">
        <f t="shared" si="5"/>
        <v>296088</v>
      </c>
      <c r="V184" s="62">
        <f t="shared" si="5"/>
        <v>346864</v>
      </c>
      <c r="W184" s="62"/>
      <c r="X184" s="62"/>
      <c r="Y184" s="20">
        <f>Y181*2</f>
        <v>4838</v>
      </c>
      <c r="Z184" s="20"/>
      <c r="AA184" s="64">
        <f>AA181*2</f>
        <v>29253480</v>
      </c>
      <c r="AB184" s="62"/>
      <c r="AC184" s="63">
        <f>AC181*2</f>
        <v>0.37980000000000003</v>
      </c>
      <c r="AD184" s="20">
        <v>3</v>
      </c>
      <c r="AE184" s="3" t="e">
        <f>IF(#REF!=hulpblad!AD184,hulpblad!P184,"")</f>
        <v>#REF!</v>
      </c>
      <c r="AF184" s="3"/>
    </row>
    <row r="185" spans="15:32" x14ac:dyDescent="0.25">
      <c r="O185" s="3">
        <v>181</v>
      </c>
      <c r="P185" s="3" t="s">
        <v>352</v>
      </c>
      <c r="Q185" s="20">
        <v>220</v>
      </c>
      <c r="R185" s="20">
        <v>80</v>
      </c>
      <c r="S185" s="20">
        <v>9</v>
      </c>
      <c r="T185" s="20">
        <v>12.5</v>
      </c>
      <c r="U185" s="62">
        <v>244600</v>
      </c>
      <c r="V185" s="62">
        <v>291400</v>
      </c>
      <c r="W185" s="62"/>
      <c r="X185" s="62"/>
      <c r="Y185" s="20">
        <v>3740</v>
      </c>
      <c r="Z185" s="20"/>
      <c r="AA185" s="64">
        <v>26910000</v>
      </c>
      <c r="AB185" s="62"/>
      <c r="AC185" s="63">
        <v>0.29389999999999999</v>
      </c>
      <c r="AD185" s="20"/>
      <c r="AE185" s="3" t="e">
        <f>IF(#REF!=hulpblad!AD185,hulpblad!P185,"")</f>
        <v>#REF!</v>
      </c>
      <c r="AF185" s="3"/>
    </row>
    <row r="186" spans="15:32" x14ac:dyDescent="0.25">
      <c r="O186" s="3">
        <v>182</v>
      </c>
      <c r="P186" s="3" t="s">
        <v>353</v>
      </c>
      <c r="Q186" s="20">
        <f>Q185-(2*0.6)</f>
        <v>218.8</v>
      </c>
      <c r="R186" s="20">
        <f>R185-(2*0.6)</f>
        <v>78.8</v>
      </c>
      <c r="S186" s="20">
        <f>S185-(2*0.6)</f>
        <v>7.8</v>
      </c>
      <c r="T186" s="20">
        <f>T185-(2*0.6)</f>
        <v>11.3</v>
      </c>
      <c r="U186" s="62">
        <v>219080</v>
      </c>
      <c r="V186" s="62">
        <v>259037</v>
      </c>
      <c r="W186" s="62"/>
      <c r="X186" s="62"/>
      <c r="Y186" s="20">
        <v>3309</v>
      </c>
      <c r="Z186" s="20"/>
      <c r="AA186" s="64">
        <v>23967353</v>
      </c>
      <c r="AB186" s="62"/>
      <c r="AC186" s="63">
        <v>0.25969999999999999</v>
      </c>
      <c r="AD186" s="20"/>
      <c r="AE186" s="3" t="e">
        <f>IF(#REF!=hulpblad!AD186,hulpblad!P186,"")</f>
        <v>#REF!</v>
      </c>
      <c r="AF186" s="3"/>
    </row>
    <row r="187" spans="15:32" x14ac:dyDescent="0.25">
      <c r="O187" s="3">
        <v>183</v>
      </c>
      <c r="P187" s="3" t="s">
        <v>354</v>
      </c>
      <c r="Q187" s="20">
        <f>Q185-(2*1.2)</f>
        <v>217.6</v>
      </c>
      <c r="R187" s="20">
        <f>R185-(2*1.2)</f>
        <v>77.599999999999994</v>
      </c>
      <c r="S187" s="20">
        <f>S185-(2*1.2)</f>
        <v>6.6</v>
      </c>
      <c r="T187" s="20">
        <f>T185-(2*1.2)</f>
        <v>10.1</v>
      </c>
      <c r="U187" s="62">
        <v>193493</v>
      </c>
      <c r="V187" s="62">
        <v>226803</v>
      </c>
      <c r="W187" s="62"/>
      <c r="X187" s="62"/>
      <c r="Y187" s="20">
        <v>2875</v>
      </c>
      <c r="Z187" s="20"/>
      <c r="AA187" s="64">
        <v>21052024</v>
      </c>
      <c r="AB187" s="62"/>
      <c r="AC187" s="63">
        <v>0.22570000000000001</v>
      </c>
      <c r="AD187" s="20"/>
      <c r="AE187" s="3" t="e">
        <f>IF(#REF!=hulpblad!AD187,hulpblad!P187,"")</f>
        <v>#REF!</v>
      </c>
      <c r="AF187" s="3"/>
    </row>
    <row r="188" spans="15:32" x14ac:dyDescent="0.25">
      <c r="O188" s="3">
        <v>184</v>
      </c>
      <c r="P188" s="3" t="s">
        <v>355</v>
      </c>
      <c r="Q188" s="20">
        <v>220</v>
      </c>
      <c r="R188" s="20">
        <v>160</v>
      </c>
      <c r="S188" s="20">
        <v>18</v>
      </c>
      <c r="T188" s="20">
        <v>12.5</v>
      </c>
      <c r="U188" s="62">
        <f t="shared" ref="U188:V190" si="6">U185*2</f>
        <v>489200</v>
      </c>
      <c r="V188" s="62">
        <f t="shared" si="6"/>
        <v>582800</v>
      </c>
      <c r="W188" s="62"/>
      <c r="X188" s="62"/>
      <c r="Y188" s="20">
        <f>Y185*2</f>
        <v>7480</v>
      </c>
      <c r="Z188" s="20"/>
      <c r="AA188" s="64">
        <f>AA185*2</f>
        <v>53820000</v>
      </c>
      <c r="AB188" s="62"/>
      <c r="AC188" s="63">
        <f>AC185*2</f>
        <v>0.58779999999999999</v>
      </c>
      <c r="AD188" s="20">
        <v>1</v>
      </c>
      <c r="AE188" s="3" t="e">
        <f>IF(#REF!=hulpblad!AD188,hulpblad!P188,"")</f>
        <v>#REF!</v>
      </c>
      <c r="AF188" s="3"/>
    </row>
    <row r="189" spans="15:32" x14ac:dyDescent="0.25">
      <c r="O189" s="3">
        <v>185</v>
      </c>
      <c r="P189" s="3" t="str">
        <f>CONCATENATE(P188," corrosie 50 jr.")</f>
        <v>Dubbel UNP 220 corrosie 50 jr.</v>
      </c>
      <c r="Q189" s="20">
        <f>Q188-(2*0.6)</f>
        <v>218.8</v>
      </c>
      <c r="R189" s="20">
        <f>R188-(2*0.6)</f>
        <v>158.80000000000001</v>
      </c>
      <c r="S189" s="20">
        <f>S188-(2*0.6)</f>
        <v>16.8</v>
      </c>
      <c r="T189" s="20">
        <f>T188-(2*0.6)</f>
        <v>11.3</v>
      </c>
      <c r="U189" s="62">
        <f t="shared" si="6"/>
        <v>438160</v>
      </c>
      <c r="V189" s="62">
        <f t="shared" si="6"/>
        <v>518074</v>
      </c>
      <c r="W189" s="62"/>
      <c r="X189" s="62"/>
      <c r="Y189" s="20">
        <f>Y186*2</f>
        <v>6618</v>
      </c>
      <c r="Z189" s="20"/>
      <c r="AA189" s="64">
        <f>AA186*2</f>
        <v>47934706</v>
      </c>
      <c r="AB189" s="62"/>
      <c r="AC189" s="63">
        <f>AC186*2</f>
        <v>0.51939999999999997</v>
      </c>
      <c r="AD189" s="20">
        <v>2</v>
      </c>
      <c r="AE189" s="3" t="e">
        <f>IF(#REF!=hulpblad!AD189,hulpblad!P189,"")</f>
        <v>#REF!</v>
      </c>
      <c r="AF189" s="3"/>
    </row>
    <row r="190" spans="15:32" x14ac:dyDescent="0.25">
      <c r="O190" s="3">
        <v>186</v>
      </c>
      <c r="P190" s="3" t="s">
        <v>356</v>
      </c>
      <c r="Q190" s="20">
        <f>Q188-(2*1.2)</f>
        <v>217.6</v>
      </c>
      <c r="R190" s="20">
        <f>R188-(2*1.2)</f>
        <v>157.6</v>
      </c>
      <c r="S190" s="20">
        <f>S188-(2*1.2)</f>
        <v>15.6</v>
      </c>
      <c r="T190" s="20">
        <f>T188-(2*1.2)</f>
        <v>10.1</v>
      </c>
      <c r="U190" s="62">
        <f t="shared" si="6"/>
        <v>386986</v>
      </c>
      <c r="V190" s="62">
        <f t="shared" si="6"/>
        <v>453606</v>
      </c>
      <c r="W190" s="62"/>
      <c r="X190" s="62"/>
      <c r="Y190" s="20">
        <f>Y187*2</f>
        <v>5750</v>
      </c>
      <c r="Z190" s="20"/>
      <c r="AA190" s="64">
        <f>AA187*2</f>
        <v>42104048</v>
      </c>
      <c r="AB190" s="62"/>
      <c r="AC190" s="63">
        <f>AC187*2</f>
        <v>0.45140000000000002</v>
      </c>
      <c r="AD190" s="20">
        <v>3</v>
      </c>
      <c r="AE190" s="3" t="e">
        <f>IF(#REF!=hulpblad!AD190,hulpblad!P190,"")</f>
        <v>#REF!</v>
      </c>
      <c r="AF190" s="3"/>
    </row>
    <row r="191" spans="15:32" x14ac:dyDescent="0.25">
      <c r="O191" s="3">
        <v>187</v>
      </c>
      <c r="P191" s="3" t="s">
        <v>357</v>
      </c>
      <c r="Q191" s="20">
        <v>240</v>
      </c>
      <c r="R191" s="20">
        <v>85</v>
      </c>
      <c r="S191" s="20">
        <v>9.5</v>
      </c>
      <c r="T191" s="20">
        <v>13</v>
      </c>
      <c r="U191" s="62">
        <v>299800</v>
      </c>
      <c r="V191" s="62">
        <v>357600</v>
      </c>
      <c r="W191" s="62"/>
      <c r="X191" s="62"/>
      <c r="Y191" s="20">
        <v>4230</v>
      </c>
      <c r="Z191" s="20"/>
      <c r="AA191" s="64">
        <v>35980000</v>
      </c>
      <c r="AB191" s="62"/>
      <c r="AC191" s="63">
        <v>0.33200000000000002</v>
      </c>
      <c r="AD191" s="20"/>
      <c r="AE191" s="3" t="e">
        <f>IF(#REF!=hulpblad!AD191,hulpblad!P191,"")</f>
        <v>#REF!</v>
      </c>
      <c r="AF191" s="3"/>
    </row>
    <row r="192" spans="15:32" x14ac:dyDescent="0.25">
      <c r="O192" s="3">
        <v>188</v>
      </c>
      <c r="P192" s="3" t="s">
        <v>358</v>
      </c>
      <c r="Q192" s="20">
        <f>Q191-(2*0.6)</f>
        <v>238.8</v>
      </c>
      <c r="R192" s="20">
        <f>R191-(2*0.6)</f>
        <v>83.8</v>
      </c>
      <c r="S192" s="20">
        <f>S191-(2*0.6)</f>
        <v>8.3000000000000007</v>
      </c>
      <c r="T192" s="20">
        <f>T191-(2*0.6)</f>
        <v>11.8</v>
      </c>
      <c r="U192" s="62">
        <v>269823</v>
      </c>
      <c r="V192" s="62">
        <v>319539</v>
      </c>
      <c r="W192" s="62"/>
      <c r="X192" s="62"/>
      <c r="Y192" s="20">
        <v>3760</v>
      </c>
      <c r="Z192" s="20"/>
      <c r="AA192" s="64">
        <v>32216840</v>
      </c>
      <c r="AB192" s="62"/>
      <c r="AC192" s="63">
        <v>0.29520000000000002</v>
      </c>
      <c r="AD192" s="20"/>
      <c r="AE192" s="3" t="e">
        <f>IF(#REF!=hulpblad!AD192,hulpblad!P192,"")</f>
        <v>#REF!</v>
      </c>
      <c r="AF192" s="3"/>
    </row>
    <row r="193" spans="15:32" x14ac:dyDescent="0.25">
      <c r="O193" s="3">
        <v>189</v>
      </c>
      <c r="P193" s="3" t="s">
        <v>359</v>
      </c>
      <c r="Q193" s="20">
        <f>Q191-(2*1.2)</f>
        <v>237.6</v>
      </c>
      <c r="R193" s="20">
        <f>R191-(2*1.2)</f>
        <v>82.6</v>
      </c>
      <c r="S193" s="20">
        <f>S191-(2*1.2)</f>
        <v>7.1</v>
      </c>
      <c r="T193" s="20">
        <f>T191-(2*1.2)</f>
        <v>10.6</v>
      </c>
      <c r="U193" s="62">
        <v>239713</v>
      </c>
      <c r="V193" s="62">
        <v>281632</v>
      </c>
      <c r="W193" s="62"/>
      <c r="X193" s="62"/>
      <c r="Y193" s="20">
        <v>3291</v>
      </c>
      <c r="Z193" s="20"/>
      <c r="AA193" s="64">
        <v>28477953</v>
      </c>
      <c r="AB193" s="62"/>
      <c r="AC193" s="63">
        <v>0.25840000000000002</v>
      </c>
      <c r="AD193" s="20"/>
      <c r="AE193" s="3" t="e">
        <f>IF(#REF!=hulpblad!AD193,hulpblad!P193,"")</f>
        <v>#REF!</v>
      </c>
      <c r="AF193" s="3"/>
    </row>
    <row r="194" spans="15:32" x14ac:dyDescent="0.25">
      <c r="O194" s="3">
        <v>190</v>
      </c>
      <c r="P194" s="3" t="s">
        <v>360</v>
      </c>
      <c r="Q194" s="20">
        <v>240</v>
      </c>
      <c r="R194" s="20">
        <v>170</v>
      </c>
      <c r="S194" s="20">
        <v>19</v>
      </c>
      <c r="T194" s="20">
        <v>13</v>
      </c>
      <c r="U194" s="62">
        <f t="shared" ref="U194:V196" si="7">U191*2</f>
        <v>599600</v>
      </c>
      <c r="V194" s="62">
        <f t="shared" si="7"/>
        <v>715200</v>
      </c>
      <c r="W194" s="62"/>
      <c r="X194" s="62"/>
      <c r="Y194" s="20">
        <f>Y191*2</f>
        <v>8460</v>
      </c>
      <c r="Z194" s="20"/>
      <c r="AA194" s="64">
        <f>AA191*2</f>
        <v>71960000</v>
      </c>
      <c r="AB194" s="62"/>
      <c r="AC194" s="63">
        <f>AC191*2</f>
        <v>0.66400000000000003</v>
      </c>
      <c r="AD194" s="20">
        <v>1</v>
      </c>
      <c r="AE194" s="3" t="e">
        <f>IF(#REF!=hulpblad!AD194,hulpblad!P194,"")</f>
        <v>#REF!</v>
      </c>
      <c r="AF194" s="3"/>
    </row>
    <row r="195" spans="15:32" x14ac:dyDescent="0.25">
      <c r="O195" s="3">
        <v>191</v>
      </c>
      <c r="P195" s="3" t="str">
        <f>CONCATENATE(P194," corrosie 50 jr.")</f>
        <v>Dubbel UNP 240 corrosie 50 jr.</v>
      </c>
      <c r="Q195" s="20">
        <f>Q194-(2*0.6)</f>
        <v>238.8</v>
      </c>
      <c r="R195" s="20">
        <f>R194-(2*0.6)</f>
        <v>168.8</v>
      </c>
      <c r="S195" s="20">
        <f>S194-(2*0.6)</f>
        <v>17.8</v>
      </c>
      <c r="T195" s="20">
        <f>T194-(2*0.6)</f>
        <v>11.8</v>
      </c>
      <c r="U195" s="62">
        <f t="shared" si="7"/>
        <v>539646</v>
      </c>
      <c r="V195" s="62">
        <f t="shared" si="7"/>
        <v>639078</v>
      </c>
      <c r="W195" s="62"/>
      <c r="X195" s="62"/>
      <c r="Y195" s="20">
        <f>Y192*2</f>
        <v>7520</v>
      </c>
      <c r="Z195" s="20"/>
      <c r="AA195" s="64">
        <f>AA192*2</f>
        <v>64433680</v>
      </c>
      <c r="AB195" s="62"/>
      <c r="AC195" s="63">
        <f>AC192*2</f>
        <v>0.59040000000000004</v>
      </c>
      <c r="AD195" s="20">
        <v>2</v>
      </c>
      <c r="AE195" s="3" t="e">
        <f>IF(#REF!=hulpblad!AD195,hulpblad!P195,"")</f>
        <v>#REF!</v>
      </c>
      <c r="AF195" s="3"/>
    </row>
    <row r="196" spans="15:32" x14ac:dyDescent="0.25">
      <c r="O196" s="3">
        <v>192</v>
      </c>
      <c r="P196" s="3" t="s">
        <v>361</v>
      </c>
      <c r="Q196" s="20">
        <f>Q194-(2*1.2)</f>
        <v>237.6</v>
      </c>
      <c r="R196" s="20">
        <f>R194-(2*1.2)</f>
        <v>167.6</v>
      </c>
      <c r="S196" s="20">
        <f>S194-(2*1.2)</f>
        <v>16.600000000000001</v>
      </c>
      <c r="T196" s="20">
        <f>T194-(2*1.2)</f>
        <v>10.6</v>
      </c>
      <c r="U196" s="62">
        <f t="shared" si="7"/>
        <v>479426</v>
      </c>
      <c r="V196" s="62">
        <f t="shared" si="7"/>
        <v>563264</v>
      </c>
      <c r="W196" s="62"/>
      <c r="X196" s="62"/>
      <c r="Y196" s="20">
        <f>Y193*2</f>
        <v>6582</v>
      </c>
      <c r="Z196" s="20"/>
      <c r="AA196" s="64">
        <f>AA193*2</f>
        <v>56955906</v>
      </c>
      <c r="AB196" s="62"/>
      <c r="AC196" s="63">
        <f>AC193*2</f>
        <v>0.51680000000000004</v>
      </c>
      <c r="AD196" s="20">
        <v>3</v>
      </c>
      <c r="AE196" s="3" t="e">
        <f>IF(#REF!=hulpblad!AD196,hulpblad!P196,"")</f>
        <v>#REF!</v>
      </c>
      <c r="AF196" s="3"/>
    </row>
    <row r="197" spans="15:32" x14ac:dyDescent="0.25">
      <c r="O197" s="3">
        <v>193</v>
      </c>
      <c r="P197" s="3" t="s">
        <v>362</v>
      </c>
      <c r="Q197" s="20">
        <v>260</v>
      </c>
      <c r="R197" s="20">
        <v>90</v>
      </c>
      <c r="S197" s="20">
        <v>10</v>
      </c>
      <c r="T197" s="20">
        <v>14</v>
      </c>
      <c r="U197" s="62">
        <v>371000</v>
      </c>
      <c r="V197" s="62">
        <v>442400</v>
      </c>
      <c r="W197" s="62"/>
      <c r="X197" s="62"/>
      <c r="Y197" s="20">
        <v>4830</v>
      </c>
      <c r="Z197" s="20"/>
      <c r="AA197" s="64">
        <v>48230000</v>
      </c>
      <c r="AB197" s="62"/>
      <c r="AC197" s="63">
        <v>0.379</v>
      </c>
      <c r="AD197" s="20"/>
      <c r="AE197" s="3" t="e">
        <f>IF(#REF!=hulpblad!AD197,hulpblad!P197,"")</f>
        <v>#REF!</v>
      </c>
      <c r="AF197" s="3"/>
    </row>
    <row r="198" spans="15:32" x14ac:dyDescent="0.25">
      <c r="O198" s="3">
        <v>194</v>
      </c>
      <c r="P198" s="3" t="s">
        <v>363</v>
      </c>
      <c r="Q198" s="20">
        <f>Q197-(2*0.6)</f>
        <v>258.8</v>
      </c>
      <c r="R198" s="20">
        <f>R197-(2*0.6)</f>
        <v>88.8</v>
      </c>
      <c r="S198" s="20">
        <f>S197-(2*0.6)</f>
        <v>8.8000000000000007</v>
      </c>
      <c r="T198" s="20">
        <f>T197-(2*0.6)</f>
        <v>12.8</v>
      </c>
      <c r="U198" s="62">
        <v>336272</v>
      </c>
      <c r="V198" s="62">
        <v>398204</v>
      </c>
      <c r="W198" s="62"/>
      <c r="X198" s="62"/>
      <c r="Y198" s="20">
        <v>4323</v>
      </c>
      <c r="Z198" s="20"/>
      <c r="AA198" s="64">
        <v>43513621</v>
      </c>
      <c r="AB198" s="62"/>
      <c r="AC198" s="63">
        <v>0.33939999999999998</v>
      </c>
      <c r="AD198" s="20"/>
      <c r="AE198" s="3" t="e">
        <f>IF(#REF!=hulpblad!AD198,hulpblad!P198,"")</f>
        <v>#REF!</v>
      </c>
      <c r="AF198" s="3"/>
    </row>
    <row r="199" spans="15:32" x14ac:dyDescent="0.25">
      <c r="O199" s="3">
        <v>195</v>
      </c>
      <c r="P199" s="3" t="s">
        <v>364</v>
      </c>
      <c r="Q199" s="20">
        <f>Q197-(2*1.2)</f>
        <v>257.60000000000002</v>
      </c>
      <c r="R199" s="20">
        <f>R197-(2*1.2)</f>
        <v>87.6</v>
      </c>
      <c r="S199" s="20">
        <f>S197-(2*1.2)</f>
        <v>7.6</v>
      </c>
      <c r="T199" s="20">
        <f>T197-(2*1.2)</f>
        <v>11.6</v>
      </c>
      <c r="U199" s="62">
        <v>301402</v>
      </c>
      <c r="V199" s="62">
        <v>354216</v>
      </c>
      <c r="W199" s="62"/>
      <c r="X199" s="62"/>
      <c r="Y199" s="20">
        <v>3819</v>
      </c>
      <c r="Z199" s="20"/>
      <c r="AA199" s="64">
        <v>38820621</v>
      </c>
      <c r="AB199" s="62"/>
      <c r="AC199" s="63">
        <v>0.29980000000000001</v>
      </c>
      <c r="AD199" s="20"/>
      <c r="AE199" s="3" t="e">
        <f>IF(#REF!=hulpblad!AD199,hulpblad!P199,"")</f>
        <v>#REF!</v>
      </c>
      <c r="AF199" s="3"/>
    </row>
    <row r="200" spans="15:32" x14ac:dyDescent="0.25">
      <c r="O200" s="3">
        <v>196</v>
      </c>
      <c r="P200" s="3" t="s">
        <v>365</v>
      </c>
      <c r="Q200" s="20">
        <v>260</v>
      </c>
      <c r="R200" s="20">
        <v>180</v>
      </c>
      <c r="S200" s="20">
        <v>20</v>
      </c>
      <c r="T200" s="20">
        <v>14</v>
      </c>
      <c r="U200" s="62">
        <f t="shared" ref="U200:V202" si="8">U197*2</f>
        <v>742000</v>
      </c>
      <c r="V200" s="62">
        <f t="shared" si="8"/>
        <v>884800</v>
      </c>
      <c r="W200" s="62"/>
      <c r="X200" s="62"/>
      <c r="Y200" s="20">
        <f>Y197*2</f>
        <v>9660</v>
      </c>
      <c r="Z200" s="20"/>
      <c r="AA200" s="64">
        <f>AA197*2</f>
        <v>96460000</v>
      </c>
      <c r="AB200" s="62"/>
      <c r="AC200" s="63">
        <f>AC197*2</f>
        <v>0.75800000000000001</v>
      </c>
      <c r="AD200" s="20">
        <v>1</v>
      </c>
      <c r="AE200" s="3" t="e">
        <f>IF(#REF!=hulpblad!AD200,hulpblad!P200,"")</f>
        <v>#REF!</v>
      </c>
      <c r="AF200" s="3"/>
    </row>
    <row r="201" spans="15:32" x14ac:dyDescent="0.25">
      <c r="O201" s="3">
        <v>197</v>
      </c>
      <c r="P201" s="3" t="str">
        <f>CONCATENATE(P200," corrosie 50 jr.")</f>
        <v>Dubbel UNP 260 corrosie 50 jr.</v>
      </c>
      <c r="Q201" s="20">
        <f>Q200-(2*0.6)</f>
        <v>258.8</v>
      </c>
      <c r="R201" s="20">
        <f>R200-(2*0.6)</f>
        <v>178.8</v>
      </c>
      <c r="S201" s="20">
        <f>S200-(2*0.6)</f>
        <v>18.8</v>
      </c>
      <c r="T201" s="20">
        <f>T200-(2*0.6)</f>
        <v>12.8</v>
      </c>
      <c r="U201" s="62">
        <f t="shared" si="8"/>
        <v>672544</v>
      </c>
      <c r="V201" s="62">
        <f t="shared" si="8"/>
        <v>796408</v>
      </c>
      <c r="W201" s="62"/>
      <c r="X201" s="62"/>
      <c r="Y201" s="20">
        <f>Y198*2</f>
        <v>8646</v>
      </c>
      <c r="Z201" s="20"/>
      <c r="AA201" s="64">
        <f>AA198*2</f>
        <v>87027242</v>
      </c>
      <c r="AB201" s="62"/>
      <c r="AC201" s="63">
        <f>AC198*2</f>
        <v>0.67879999999999996</v>
      </c>
      <c r="AD201" s="20">
        <v>2</v>
      </c>
      <c r="AE201" s="3" t="e">
        <f>IF(#REF!=hulpblad!AD201,hulpblad!P201,"")</f>
        <v>#REF!</v>
      </c>
      <c r="AF201" s="3"/>
    </row>
    <row r="202" spans="15:32" x14ac:dyDescent="0.25">
      <c r="O202" s="3">
        <v>198</v>
      </c>
      <c r="P202" s="3" t="s">
        <v>366</v>
      </c>
      <c r="Q202" s="20">
        <f>Q200-(2*1.2)</f>
        <v>257.60000000000002</v>
      </c>
      <c r="R202" s="20">
        <f>R200-(2*1.2)</f>
        <v>177.6</v>
      </c>
      <c r="S202" s="20">
        <f>S200-(2*1.2)</f>
        <v>17.600000000000001</v>
      </c>
      <c r="T202" s="20">
        <f>T200-(2*1.2)</f>
        <v>11.6</v>
      </c>
      <c r="U202" s="62">
        <f t="shared" si="8"/>
        <v>602804</v>
      </c>
      <c r="V202" s="62">
        <f t="shared" si="8"/>
        <v>708432</v>
      </c>
      <c r="W202" s="62"/>
      <c r="X202" s="62"/>
      <c r="Y202" s="20">
        <f>Y199*2</f>
        <v>7638</v>
      </c>
      <c r="Z202" s="20"/>
      <c r="AA202" s="64">
        <f>AA199*2</f>
        <v>77641242</v>
      </c>
      <c r="AB202" s="62"/>
      <c r="AC202" s="63">
        <f>AC199*2</f>
        <v>0.59960000000000002</v>
      </c>
      <c r="AD202" s="20">
        <v>3</v>
      </c>
      <c r="AE202" s="3" t="e">
        <f>IF(#REF!=hulpblad!AD202,hulpblad!P202,"")</f>
        <v>#REF!</v>
      </c>
      <c r="AF202" s="3"/>
    </row>
    <row r="203" spans="15:32" x14ac:dyDescent="0.25">
      <c r="O203" s="3">
        <v>199</v>
      </c>
      <c r="P203" s="3" t="s">
        <v>367</v>
      </c>
      <c r="Q203" s="20">
        <v>280</v>
      </c>
      <c r="R203" s="20">
        <v>95</v>
      </c>
      <c r="S203" s="20">
        <v>10</v>
      </c>
      <c r="T203" s="20">
        <v>15</v>
      </c>
      <c r="U203" s="62">
        <v>448000</v>
      </c>
      <c r="V203" s="62">
        <v>531800</v>
      </c>
      <c r="W203" s="62"/>
      <c r="X203" s="62"/>
      <c r="Y203" s="20">
        <v>5340</v>
      </c>
      <c r="Z203" s="20"/>
      <c r="AA203" s="64">
        <v>62740000</v>
      </c>
      <c r="AB203" s="62"/>
      <c r="AC203" s="63">
        <v>0.41899999999999998</v>
      </c>
      <c r="AD203" s="20"/>
      <c r="AE203" s="3" t="e">
        <f>IF(#REF!=hulpblad!AD203,hulpblad!P203,"")</f>
        <v>#REF!</v>
      </c>
      <c r="AF203" s="3"/>
    </row>
    <row r="204" spans="15:32" x14ac:dyDescent="0.25">
      <c r="O204" s="3">
        <v>200</v>
      </c>
      <c r="P204" s="3" t="s">
        <v>368</v>
      </c>
      <c r="Q204" s="20">
        <f>Q203-(2*0.6)</f>
        <v>278.8</v>
      </c>
      <c r="R204" s="20">
        <f>R203-(2*0.6)</f>
        <v>93.8</v>
      </c>
      <c r="S204" s="20">
        <f>S203-(2*0.6)</f>
        <v>8.8000000000000007</v>
      </c>
      <c r="T204" s="20">
        <f>T203-(2*0.6)</f>
        <v>13.8</v>
      </c>
      <c r="U204" s="62">
        <v>408297</v>
      </c>
      <c r="V204" s="62">
        <v>481172</v>
      </c>
      <c r="W204" s="62"/>
      <c r="X204" s="62"/>
      <c r="Y204" s="20">
        <v>4801</v>
      </c>
      <c r="Z204" s="20"/>
      <c r="AA204" s="64">
        <v>56916635</v>
      </c>
      <c r="AB204" s="62"/>
      <c r="AC204" s="63">
        <v>0.37690000000000001</v>
      </c>
      <c r="AD204" s="20"/>
      <c r="AE204" s="3" t="e">
        <f>IF(#REF!=hulpblad!AD204,hulpblad!P204,"")</f>
        <v>#REF!</v>
      </c>
      <c r="AF204" s="3"/>
    </row>
    <row r="205" spans="15:32" x14ac:dyDescent="0.25">
      <c r="O205" s="3">
        <v>201</v>
      </c>
      <c r="P205" s="3" t="s">
        <v>369</v>
      </c>
      <c r="Q205" s="20">
        <f>Q203-(2*1.2)</f>
        <v>277.60000000000002</v>
      </c>
      <c r="R205" s="20">
        <f>R203-(2*1.2)</f>
        <v>92.6</v>
      </c>
      <c r="S205" s="20">
        <f>S203-(2*1.2)</f>
        <v>7.6</v>
      </c>
      <c r="T205" s="20">
        <f>T203-(2*1.2)</f>
        <v>12.6</v>
      </c>
      <c r="U205" s="62">
        <v>368241</v>
      </c>
      <c r="V205" s="62">
        <v>430586</v>
      </c>
      <c r="W205" s="62"/>
      <c r="X205" s="62"/>
      <c r="Y205" s="20">
        <v>4262</v>
      </c>
      <c r="Z205" s="20"/>
      <c r="AA205" s="64">
        <v>51111871</v>
      </c>
      <c r="AB205" s="62"/>
      <c r="AC205" s="63">
        <v>0.33460000000000001</v>
      </c>
      <c r="AD205" s="20"/>
      <c r="AE205" s="3" t="e">
        <f>IF(#REF!=hulpblad!AD205,hulpblad!P205,"")</f>
        <v>#REF!</v>
      </c>
      <c r="AF205" s="3"/>
    </row>
    <row r="206" spans="15:32" x14ac:dyDescent="0.25">
      <c r="O206" s="3">
        <v>202</v>
      </c>
      <c r="P206" s="3" t="s">
        <v>370</v>
      </c>
      <c r="Q206" s="20">
        <v>280</v>
      </c>
      <c r="R206" s="20">
        <v>190</v>
      </c>
      <c r="S206" s="20">
        <v>20</v>
      </c>
      <c r="T206" s="20">
        <v>15</v>
      </c>
      <c r="U206" s="62">
        <f t="shared" ref="U206:V208" si="9">U203*2</f>
        <v>896000</v>
      </c>
      <c r="V206" s="62">
        <f t="shared" si="9"/>
        <v>1063600</v>
      </c>
      <c r="W206" s="62"/>
      <c r="X206" s="62"/>
      <c r="Y206" s="20">
        <f>Y203*2</f>
        <v>10680</v>
      </c>
      <c r="Z206" s="20"/>
      <c r="AA206" s="64">
        <f>AA203*2</f>
        <v>125480000</v>
      </c>
      <c r="AB206" s="62"/>
      <c r="AC206" s="63">
        <f>AC203*2</f>
        <v>0.83799999999999997</v>
      </c>
      <c r="AD206" s="20">
        <v>1</v>
      </c>
      <c r="AE206" s="3" t="e">
        <f>IF(#REF!=hulpblad!AD206,hulpblad!P206,"")</f>
        <v>#REF!</v>
      </c>
      <c r="AF206" s="3"/>
    </row>
    <row r="207" spans="15:32" x14ac:dyDescent="0.25">
      <c r="O207" s="3">
        <v>203</v>
      </c>
      <c r="P207" s="3" t="str">
        <f>CONCATENATE(P206," corrosie 50 jr.")</f>
        <v>Dubbel UNP 280 corrosie 50 jr.</v>
      </c>
      <c r="Q207" s="20">
        <f>Q206-(2*0.6)</f>
        <v>278.8</v>
      </c>
      <c r="R207" s="20">
        <f>R206-(2*0.6)</f>
        <v>188.8</v>
      </c>
      <c r="S207" s="20">
        <f>S206-(2*0.6)</f>
        <v>18.8</v>
      </c>
      <c r="T207" s="20">
        <f>T206-(2*0.6)</f>
        <v>13.8</v>
      </c>
      <c r="U207" s="62">
        <f t="shared" si="9"/>
        <v>816594</v>
      </c>
      <c r="V207" s="62">
        <f t="shared" si="9"/>
        <v>962344</v>
      </c>
      <c r="W207" s="62"/>
      <c r="X207" s="62"/>
      <c r="Y207" s="20">
        <f>Y204*2</f>
        <v>9602</v>
      </c>
      <c r="Z207" s="20"/>
      <c r="AA207" s="64">
        <f>AA204*2</f>
        <v>113833270</v>
      </c>
      <c r="AB207" s="62"/>
      <c r="AC207" s="63">
        <f>AC204*2</f>
        <v>0.75380000000000003</v>
      </c>
      <c r="AD207" s="20">
        <v>2</v>
      </c>
      <c r="AE207" s="3" t="e">
        <f>IF(#REF!=hulpblad!AD207,hulpblad!P207,"")</f>
        <v>#REF!</v>
      </c>
      <c r="AF207" s="3"/>
    </row>
    <row r="208" spans="15:32" x14ac:dyDescent="0.25">
      <c r="O208" s="3">
        <v>204</v>
      </c>
      <c r="P208" s="3" t="s">
        <v>371</v>
      </c>
      <c r="Q208" s="20">
        <f>Q206-(2*1.2)</f>
        <v>277.60000000000002</v>
      </c>
      <c r="R208" s="20">
        <f>R206-(2*1.2)</f>
        <v>187.6</v>
      </c>
      <c r="S208" s="20">
        <f>S206-(2*1.2)</f>
        <v>17.600000000000001</v>
      </c>
      <c r="T208" s="20">
        <f>T206-(2*1.2)</f>
        <v>12.6</v>
      </c>
      <c r="U208" s="62">
        <f t="shared" si="9"/>
        <v>736482</v>
      </c>
      <c r="V208" s="62">
        <f t="shared" si="9"/>
        <v>861172</v>
      </c>
      <c r="W208" s="62"/>
      <c r="X208" s="62"/>
      <c r="Y208" s="20">
        <f>Y205*2</f>
        <v>8524</v>
      </c>
      <c r="Z208" s="20"/>
      <c r="AA208" s="64">
        <f>AA205*2</f>
        <v>102223742</v>
      </c>
      <c r="AB208" s="62"/>
      <c r="AC208" s="63">
        <f>AC205*2</f>
        <v>0.66920000000000002</v>
      </c>
      <c r="AD208" s="20">
        <v>3</v>
      </c>
      <c r="AE208" s="3" t="e">
        <f>IF(#REF!=hulpblad!AD208,hulpblad!P208,"")</f>
        <v>#REF!</v>
      </c>
      <c r="AF208" s="3"/>
    </row>
    <row r="209" spans="15:32" x14ac:dyDescent="0.25">
      <c r="O209" s="3">
        <v>205</v>
      </c>
      <c r="P209" s="3" t="s">
        <v>372</v>
      </c>
      <c r="Q209" s="20">
        <v>300</v>
      </c>
      <c r="R209" s="20">
        <v>100</v>
      </c>
      <c r="S209" s="20">
        <v>10</v>
      </c>
      <c r="T209" s="20">
        <v>16</v>
      </c>
      <c r="U209" s="62">
        <v>535000</v>
      </c>
      <c r="V209" s="62">
        <v>632200</v>
      </c>
      <c r="W209" s="62"/>
      <c r="X209" s="62"/>
      <c r="Y209" s="20">
        <v>5880</v>
      </c>
      <c r="Z209" s="20"/>
      <c r="AA209" s="64">
        <v>80260000</v>
      </c>
      <c r="AB209" s="62"/>
      <c r="AC209" s="63">
        <v>0.46100000000000002</v>
      </c>
      <c r="AD209" s="20"/>
      <c r="AE209" s="3" t="e">
        <f>IF(#REF!=hulpblad!AD209,hulpblad!P209,"")</f>
        <v>#REF!</v>
      </c>
      <c r="AF209" s="3"/>
    </row>
    <row r="210" spans="15:32" x14ac:dyDescent="0.25">
      <c r="O210" s="3">
        <v>206</v>
      </c>
      <c r="P210" s="3" t="s">
        <v>373</v>
      </c>
      <c r="Q210" s="20">
        <f>Q209-(2*0.6)</f>
        <v>298.8</v>
      </c>
      <c r="R210" s="20">
        <f>R209-(2*0.6)</f>
        <v>98.8</v>
      </c>
      <c r="S210" s="20">
        <f>S209-(2*0.6)</f>
        <v>8.8000000000000007</v>
      </c>
      <c r="T210" s="20">
        <f>T209-(2*0.6)</f>
        <v>14.8</v>
      </c>
      <c r="U210" s="62">
        <v>489680</v>
      </c>
      <c r="V210" s="62">
        <v>574534</v>
      </c>
      <c r="W210" s="62"/>
      <c r="X210" s="62"/>
      <c r="Y210" s="20">
        <v>5300</v>
      </c>
      <c r="Z210" s="20"/>
      <c r="AA210" s="64">
        <v>73158235</v>
      </c>
      <c r="AB210" s="62"/>
      <c r="AC210" s="63">
        <v>0.41610000000000003</v>
      </c>
      <c r="AD210" s="20"/>
      <c r="AE210" s="3" t="e">
        <f>IF(#REF!=hulpblad!AD210,hulpblad!P210,"")</f>
        <v>#REF!</v>
      </c>
      <c r="AF210" s="3"/>
    </row>
    <row r="211" spans="15:32" x14ac:dyDescent="0.25">
      <c r="O211" s="3">
        <v>207</v>
      </c>
      <c r="P211" s="3" t="s">
        <v>374</v>
      </c>
      <c r="Q211" s="20">
        <f>Q209-(2*1.2)</f>
        <v>297.60000000000002</v>
      </c>
      <c r="R211" s="20">
        <f>R209-(2*1.2)</f>
        <v>97.6</v>
      </c>
      <c r="S211" s="20">
        <f>S209-(2*1.2)</f>
        <v>7.6</v>
      </c>
      <c r="T211" s="20">
        <f>T209-(2*1.2)</f>
        <v>13.6</v>
      </c>
      <c r="U211" s="62">
        <v>444080</v>
      </c>
      <c r="V211" s="62">
        <v>516890</v>
      </c>
      <c r="W211" s="62"/>
      <c r="X211" s="62"/>
      <c r="Y211" s="20">
        <v>4725</v>
      </c>
      <c r="Z211" s="20"/>
      <c r="AA211" s="64">
        <v>66079158</v>
      </c>
      <c r="AB211" s="62"/>
      <c r="AC211" s="63">
        <v>0.37090000000000001</v>
      </c>
      <c r="AD211" s="20"/>
      <c r="AE211" s="3" t="e">
        <f>IF(#REF!=hulpblad!AD211,hulpblad!P211,"")</f>
        <v>#REF!</v>
      </c>
      <c r="AF211" s="3"/>
    </row>
    <row r="212" spans="15:32" x14ac:dyDescent="0.25">
      <c r="O212" s="3">
        <v>208</v>
      </c>
      <c r="P212" s="3" t="s">
        <v>375</v>
      </c>
      <c r="Q212" s="20">
        <v>300</v>
      </c>
      <c r="R212" s="20">
        <v>200</v>
      </c>
      <c r="S212" s="20">
        <v>20</v>
      </c>
      <c r="T212" s="20">
        <v>16</v>
      </c>
      <c r="U212" s="62">
        <f t="shared" ref="U212:V214" si="10">U209*2</f>
        <v>1070000</v>
      </c>
      <c r="V212" s="62">
        <f t="shared" si="10"/>
        <v>1264400</v>
      </c>
      <c r="W212" s="62"/>
      <c r="X212" s="62"/>
      <c r="Y212" s="20">
        <f>Y209*2</f>
        <v>11760</v>
      </c>
      <c r="Z212" s="20"/>
      <c r="AA212" s="64">
        <f>AA209*2</f>
        <v>160520000</v>
      </c>
      <c r="AB212" s="62"/>
      <c r="AC212" s="63">
        <f>AC209*2</f>
        <v>0.92200000000000004</v>
      </c>
      <c r="AD212" s="20">
        <v>1</v>
      </c>
      <c r="AE212" s="3" t="e">
        <f>IF(#REF!=hulpblad!AD212,hulpblad!P212,"")</f>
        <v>#REF!</v>
      </c>
      <c r="AF212" s="3"/>
    </row>
    <row r="213" spans="15:32" x14ac:dyDescent="0.25">
      <c r="O213" s="3">
        <v>209</v>
      </c>
      <c r="P213" s="3" t="str">
        <f>CONCATENATE(P212," corrosie 50 jr.")</f>
        <v>Dubbel UNP 300 corrosie 50 jr.</v>
      </c>
      <c r="Q213" s="20">
        <f>Q212-(2*0.6)</f>
        <v>298.8</v>
      </c>
      <c r="R213" s="20">
        <f>R212-(2*0.6)</f>
        <v>198.8</v>
      </c>
      <c r="S213" s="20">
        <f>S212-(2*0.6)</f>
        <v>18.8</v>
      </c>
      <c r="T213" s="20">
        <f>T212-(2*0.6)</f>
        <v>14.8</v>
      </c>
      <c r="U213" s="62">
        <f t="shared" si="10"/>
        <v>979360</v>
      </c>
      <c r="V213" s="62">
        <f t="shared" si="10"/>
        <v>1149068</v>
      </c>
      <c r="W213" s="62"/>
      <c r="X213" s="62"/>
      <c r="Y213" s="20">
        <f>Y210*2</f>
        <v>10600</v>
      </c>
      <c r="Z213" s="20"/>
      <c r="AA213" s="64">
        <f>AA210*2</f>
        <v>146316470</v>
      </c>
      <c r="AB213" s="62"/>
      <c r="AC213" s="63">
        <f>AC210*2</f>
        <v>0.83220000000000005</v>
      </c>
      <c r="AD213" s="20">
        <v>2</v>
      </c>
      <c r="AE213" s="3" t="e">
        <f>IF(#REF!=hulpblad!AD213,hulpblad!P213,"")</f>
        <v>#REF!</v>
      </c>
      <c r="AF213" s="3"/>
    </row>
    <row r="214" spans="15:32" x14ac:dyDescent="0.25">
      <c r="O214" s="3">
        <v>210</v>
      </c>
      <c r="P214" s="3" t="s">
        <v>376</v>
      </c>
      <c r="Q214" s="20">
        <f>Q212-(2*1.2)</f>
        <v>297.60000000000002</v>
      </c>
      <c r="R214" s="20">
        <f>R212-(2*1.2)</f>
        <v>197.6</v>
      </c>
      <c r="S214" s="20">
        <f>S212-(2*1.2)</f>
        <v>17.600000000000001</v>
      </c>
      <c r="T214" s="20">
        <f>T212-(2*1.2)</f>
        <v>13.6</v>
      </c>
      <c r="U214" s="62">
        <f t="shared" si="10"/>
        <v>888160</v>
      </c>
      <c r="V214" s="62">
        <f t="shared" si="10"/>
        <v>1033780</v>
      </c>
      <c r="W214" s="62"/>
      <c r="X214" s="62"/>
      <c r="Y214" s="20">
        <f>Y211*2</f>
        <v>9450</v>
      </c>
      <c r="Z214" s="20"/>
      <c r="AA214" s="64">
        <f>AA211*2</f>
        <v>132158316</v>
      </c>
      <c r="AB214" s="62"/>
      <c r="AC214" s="63">
        <f>AC211*2</f>
        <v>0.74180000000000001</v>
      </c>
      <c r="AD214" s="20">
        <v>3</v>
      </c>
      <c r="AE214" s="3" t="e">
        <f>IF(#REF!=hulpblad!AD214,hulpblad!P214,"")</f>
        <v>#REF!</v>
      </c>
      <c r="AF214" s="3"/>
    </row>
    <row r="215" spans="15:32" x14ac:dyDescent="0.25">
      <c r="O215" s="3">
        <v>211</v>
      </c>
      <c r="P215" s="3" t="s">
        <v>377</v>
      </c>
      <c r="Q215" s="20">
        <v>320</v>
      </c>
      <c r="R215" s="20">
        <v>100</v>
      </c>
      <c r="S215" s="20">
        <v>14</v>
      </c>
      <c r="T215" s="20">
        <v>17.5</v>
      </c>
      <c r="U215" s="62">
        <v>679000</v>
      </c>
      <c r="V215" s="62">
        <v>826000</v>
      </c>
      <c r="W215" s="62"/>
      <c r="X215" s="62"/>
      <c r="Y215" s="20">
        <v>7580</v>
      </c>
      <c r="Z215" s="20"/>
      <c r="AA215" s="64">
        <v>108700000</v>
      </c>
      <c r="AB215" s="62"/>
      <c r="AC215" s="63">
        <v>0.59499999999999997</v>
      </c>
      <c r="AD215" s="20"/>
      <c r="AE215" s="3" t="e">
        <f>IF(#REF!=hulpblad!AD215,hulpblad!P215,"")</f>
        <v>#REF!</v>
      </c>
      <c r="AF215" s="3"/>
    </row>
    <row r="216" spans="15:32" x14ac:dyDescent="0.25">
      <c r="O216" s="3">
        <v>212</v>
      </c>
      <c r="P216" s="3" t="s">
        <v>378</v>
      </c>
      <c r="Q216" s="20">
        <f>Q215-(2*0.6)</f>
        <v>318.8</v>
      </c>
      <c r="R216" s="20">
        <f>R215-(2*0.6)</f>
        <v>98.8</v>
      </c>
      <c r="S216" s="20">
        <f>S215-(2*0.6)</f>
        <v>12.8</v>
      </c>
      <c r="T216" s="20">
        <f>T215-(2*0.6)</f>
        <v>16.3</v>
      </c>
      <c r="U216" s="62">
        <v>622438</v>
      </c>
      <c r="V216" s="62">
        <v>753360</v>
      </c>
      <c r="W216" s="62"/>
      <c r="X216" s="62"/>
      <c r="Y216" s="20">
        <v>6919</v>
      </c>
      <c r="Z216" s="20"/>
      <c r="AA216" s="64">
        <v>99216656</v>
      </c>
      <c r="AB216" s="62"/>
      <c r="AC216" s="63">
        <v>0.54320000000000002</v>
      </c>
      <c r="AD216" s="20"/>
      <c r="AE216" s="3" t="e">
        <f>IF(#REF!=hulpblad!AD216,hulpblad!P216,"")</f>
        <v>#REF!</v>
      </c>
      <c r="AF216" s="3"/>
    </row>
    <row r="217" spans="15:32" x14ac:dyDescent="0.25">
      <c r="O217" s="3">
        <v>213</v>
      </c>
      <c r="P217" s="3" t="s">
        <v>379</v>
      </c>
      <c r="Q217" s="20">
        <f>Q215-(2*1.2)</f>
        <v>317.60000000000002</v>
      </c>
      <c r="R217" s="20">
        <f>R215-(2*1.2)</f>
        <v>97.6</v>
      </c>
      <c r="S217" s="20">
        <f>S215-(2*1.2)</f>
        <v>11.6</v>
      </c>
      <c r="T217" s="20">
        <f>T215-(2*1.2)</f>
        <v>15.1</v>
      </c>
      <c r="U217" s="62">
        <v>573054</v>
      </c>
      <c r="V217" s="62">
        <v>690198</v>
      </c>
      <c r="W217" s="62"/>
      <c r="X217" s="62"/>
      <c r="Y217" s="20">
        <v>6322</v>
      </c>
      <c r="Z217" s="20"/>
      <c r="AA217" s="64">
        <v>91001003</v>
      </c>
      <c r="AB217" s="62"/>
      <c r="AC217" s="63">
        <v>0.49619999999999997</v>
      </c>
      <c r="AD217" s="20"/>
      <c r="AE217" s="3" t="e">
        <f>IF(#REF!=hulpblad!AD217,hulpblad!P217,"")</f>
        <v>#REF!</v>
      </c>
      <c r="AF217" s="3"/>
    </row>
    <row r="218" spans="15:32" x14ac:dyDescent="0.25">
      <c r="O218" s="3">
        <v>214</v>
      </c>
      <c r="P218" s="3" t="s">
        <v>380</v>
      </c>
      <c r="Q218" s="20">
        <v>320</v>
      </c>
      <c r="R218" s="20">
        <v>200</v>
      </c>
      <c r="S218" s="20">
        <v>28</v>
      </c>
      <c r="T218" s="20">
        <v>17.5</v>
      </c>
      <c r="U218" s="62">
        <f t="shared" ref="U218:V220" si="11">U215*2</f>
        <v>1358000</v>
      </c>
      <c r="V218" s="62">
        <f t="shared" si="11"/>
        <v>1652000</v>
      </c>
      <c r="W218" s="62"/>
      <c r="X218" s="62"/>
      <c r="Y218" s="20">
        <f>Y215*2</f>
        <v>15160</v>
      </c>
      <c r="Z218" s="20"/>
      <c r="AA218" s="64">
        <f>AA215*2</f>
        <v>217400000</v>
      </c>
      <c r="AB218" s="62"/>
      <c r="AC218" s="63">
        <f>AC215*2</f>
        <v>1.19</v>
      </c>
      <c r="AD218" s="20">
        <v>1</v>
      </c>
      <c r="AE218" s="3" t="e">
        <f>IF(#REF!=hulpblad!AD218,hulpblad!P218,"")</f>
        <v>#REF!</v>
      </c>
      <c r="AF218" s="3"/>
    </row>
    <row r="219" spans="15:32" x14ac:dyDescent="0.25">
      <c r="O219" s="3">
        <v>215</v>
      </c>
      <c r="P219" s="3" t="str">
        <f>CONCATENATE(P218," corrosie 50 jr.")</f>
        <v>Dubbel UNP 320 corrosie 50 jr.</v>
      </c>
      <c r="Q219" s="20">
        <f>Q218-(2*0.6)</f>
        <v>318.8</v>
      </c>
      <c r="R219" s="20">
        <f>R218-(2*0.6)</f>
        <v>198.8</v>
      </c>
      <c r="S219" s="20">
        <f>S218-(2*0.6)</f>
        <v>26.8</v>
      </c>
      <c r="T219" s="20">
        <f>T218-(2*0.6)</f>
        <v>16.3</v>
      </c>
      <c r="U219" s="62">
        <f t="shared" si="11"/>
        <v>1244876</v>
      </c>
      <c r="V219" s="62">
        <f t="shared" si="11"/>
        <v>1506720</v>
      </c>
      <c r="W219" s="62"/>
      <c r="X219" s="62"/>
      <c r="Y219" s="20">
        <f>Y216*2</f>
        <v>13838</v>
      </c>
      <c r="Z219" s="20"/>
      <c r="AA219" s="64">
        <f>AA216*2</f>
        <v>198433312</v>
      </c>
      <c r="AB219" s="62"/>
      <c r="AC219" s="63">
        <f>AC216*2</f>
        <v>1.0864</v>
      </c>
      <c r="AD219" s="20">
        <v>2</v>
      </c>
      <c r="AE219" s="3" t="e">
        <f>IF(#REF!=hulpblad!AD219,hulpblad!P219,"")</f>
        <v>#REF!</v>
      </c>
      <c r="AF219" s="3"/>
    </row>
    <row r="220" spans="15:32" x14ac:dyDescent="0.25">
      <c r="O220" s="3">
        <v>216</v>
      </c>
      <c r="P220" s="3" t="s">
        <v>381</v>
      </c>
      <c r="Q220" s="20">
        <f>Q218-(2*1.2)</f>
        <v>317.60000000000002</v>
      </c>
      <c r="R220" s="20">
        <f>R218-(2*1.2)</f>
        <v>197.6</v>
      </c>
      <c r="S220" s="20">
        <f>S218-(2*1.2)</f>
        <v>25.6</v>
      </c>
      <c r="T220" s="20">
        <f>T218-(2*1.2)</f>
        <v>15.1</v>
      </c>
      <c r="U220" s="62">
        <f t="shared" si="11"/>
        <v>1146108</v>
      </c>
      <c r="V220" s="62">
        <f t="shared" si="11"/>
        <v>1380396</v>
      </c>
      <c r="W220" s="62"/>
      <c r="X220" s="62"/>
      <c r="Y220" s="20">
        <f>Y217*2</f>
        <v>12644</v>
      </c>
      <c r="Z220" s="20"/>
      <c r="AA220" s="64">
        <f>AA217*2</f>
        <v>182002006</v>
      </c>
      <c r="AB220" s="62"/>
      <c r="AC220" s="63">
        <f>AC217*2</f>
        <v>0.99239999999999995</v>
      </c>
      <c r="AD220" s="20">
        <v>3</v>
      </c>
      <c r="AE220" s="3" t="e">
        <f>IF(#REF!=hulpblad!AD220,hulpblad!P220,"")</f>
        <v>#REF!</v>
      </c>
      <c r="AF220" s="3"/>
    </row>
    <row r="221" spans="15:32" x14ac:dyDescent="0.25">
      <c r="O221" s="3">
        <v>217</v>
      </c>
      <c r="P221" s="3" t="s">
        <v>382</v>
      </c>
      <c r="Q221" s="20">
        <v>350</v>
      </c>
      <c r="R221" s="20">
        <v>100</v>
      </c>
      <c r="S221" s="20">
        <v>14</v>
      </c>
      <c r="T221" s="20">
        <v>16</v>
      </c>
      <c r="U221" s="62">
        <v>734000</v>
      </c>
      <c r="V221" s="62">
        <v>900000</v>
      </c>
      <c r="W221" s="62"/>
      <c r="X221" s="62"/>
      <c r="Y221" s="20">
        <v>7720</v>
      </c>
      <c r="Z221" s="20"/>
      <c r="AA221" s="64">
        <v>128400000</v>
      </c>
      <c r="AB221" s="62"/>
      <c r="AC221" s="63">
        <v>0.60599999999999998</v>
      </c>
      <c r="AD221" s="20"/>
      <c r="AE221" s="3" t="e">
        <f>IF(#REF!=hulpblad!AD221,hulpblad!P221,"")</f>
        <v>#REF!</v>
      </c>
      <c r="AF221" s="3"/>
    </row>
    <row r="222" spans="15:32" x14ac:dyDescent="0.25">
      <c r="O222" s="3">
        <v>218</v>
      </c>
      <c r="P222" s="3" t="s">
        <v>383</v>
      </c>
      <c r="Q222" s="20">
        <f>Q221-(2*0.6)</f>
        <v>348.8</v>
      </c>
      <c r="R222" s="20">
        <f>R221-(2*0.6)</f>
        <v>98.8</v>
      </c>
      <c r="S222" s="20">
        <f>S221-(2*0.6)</f>
        <v>12.8</v>
      </c>
      <c r="T222" s="20">
        <f>T221-(2*0.6)</f>
        <v>14.8</v>
      </c>
      <c r="U222" s="62">
        <v>668515</v>
      </c>
      <c r="V222" s="62">
        <v>816950</v>
      </c>
      <c r="W222" s="62"/>
      <c r="X222" s="62"/>
      <c r="Y222" s="20">
        <v>7031</v>
      </c>
      <c r="Z222" s="20"/>
      <c r="AA222" s="64">
        <v>116589079</v>
      </c>
      <c r="AB222" s="62"/>
      <c r="AC222" s="63">
        <v>0.55189999999999995</v>
      </c>
      <c r="AD222" s="20"/>
      <c r="AE222" s="3" t="e">
        <f>IF(#REF!=hulpblad!AD222,hulpblad!P222,"")</f>
        <v>#REF!</v>
      </c>
      <c r="AF222" s="3"/>
    </row>
    <row r="223" spans="15:32" x14ac:dyDescent="0.25">
      <c r="O223" s="3">
        <v>219</v>
      </c>
      <c r="P223" s="3" t="s">
        <v>384</v>
      </c>
      <c r="Q223" s="20">
        <f>Q221-(2*1.2)</f>
        <v>347.6</v>
      </c>
      <c r="R223" s="20">
        <f>R221-(2*1.2)</f>
        <v>97.6</v>
      </c>
      <c r="S223" s="20">
        <f>S221-(2*1.2)</f>
        <v>11.6</v>
      </c>
      <c r="T223" s="20">
        <f>T221-(2*1.2)</f>
        <v>13.6</v>
      </c>
      <c r="U223" s="62">
        <v>611578</v>
      </c>
      <c r="V223" s="62">
        <v>744398</v>
      </c>
      <c r="W223" s="62"/>
      <c r="X223" s="62"/>
      <c r="Y223" s="20">
        <v>6397</v>
      </c>
      <c r="Z223" s="20"/>
      <c r="AA223" s="64">
        <v>106292205</v>
      </c>
      <c r="AB223" s="62"/>
      <c r="AC223" s="63">
        <v>0.50219999999999998</v>
      </c>
      <c r="AD223" s="20"/>
      <c r="AE223" s="3" t="e">
        <f>IF(#REF!=hulpblad!AD223,hulpblad!P223,"")</f>
        <v>#REF!</v>
      </c>
      <c r="AF223" s="3"/>
    </row>
    <row r="224" spans="15:32" x14ac:dyDescent="0.25">
      <c r="O224" s="3">
        <v>220</v>
      </c>
      <c r="P224" s="3" t="s">
        <v>385</v>
      </c>
      <c r="Q224" s="20">
        <v>350</v>
      </c>
      <c r="R224" s="20">
        <v>200</v>
      </c>
      <c r="S224" s="20">
        <v>28</v>
      </c>
      <c r="T224" s="20">
        <v>16</v>
      </c>
      <c r="U224" s="62">
        <f t="shared" ref="U224:V226" si="12">U221*2</f>
        <v>1468000</v>
      </c>
      <c r="V224" s="62">
        <f t="shared" si="12"/>
        <v>1800000</v>
      </c>
      <c r="W224" s="62"/>
      <c r="X224" s="62"/>
      <c r="Y224" s="20">
        <f>Y221*2</f>
        <v>15440</v>
      </c>
      <c r="Z224" s="20"/>
      <c r="AA224" s="64">
        <f>AA221*2</f>
        <v>256800000</v>
      </c>
      <c r="AB224" s="62"/>
      <c r="AC224" s="63">
        <f>AC221*2</f>
        <v>1.212</v>
      </c>
      <c r="AD224" s="20">
        <v>1</v>
      </c>
      <c r="AE224" s="3" t="e">
        <f>IF(#REF!=hulpblad!AD224,hulpblad!P224,"")</f>
        <v>#REF!</v>
      </c>
      <c r="AF224" s="3"/>
    </row>
    <row r="225" spans="15:32" x14ac:dyDescent="0.25">
      <c r="O225" s="3">
        <v>221</v>
      </c>
      <c r="P225" s="3" t="str">
        <f>CONCATENATE(P224," corrosie 50 jr.")</f>
        <v>Dubbel UNP 350 corrosie 50 jr.</v>
      </c>
      <c r="Q225" s="20">
        <f>Q224-(2*0.6)</f>
        <v>348.8</v>
      </c>
      <c r="R225" s="20">
        <f>R224-(2*0.6)</f>
        <v>198.8</v>
      </c>
      <c r="S225" s="20">
        <f>S224-(2*0.6)</f>
        <v>26.8</v>
      </c>
      <c r="T225" s="20">
        <f>T224-(2*0.6)</f>
        <v>14.8</v>
      </c>
      <c r="U225" s="62">
        <f t="shared" si="12"/>
        <v>1337030</v>
      </c>
      <c r="V225" s="62">
        <f t="shared" si="12"/>
        <v>1633900</v>
      </c>
      <c r="W225" s="62"/>
      <c r="X225" s="62"/>
      <c r="Y225" s="20">
        <f>Y222*2</f>
        <v>14062</v>
      </c>
      <c r="Z225" s="20"/>
      <c r="AA225" s="64">
        <f>AA222*2</f>
        <v>233178158</v>
      </c>
      <c r="AB225" s="62"/>
      <c r="AC225" s="63">
        <f>AC222*2</f>
        <v>1.1037999999999999</v>
      </c>
      <c r="AD225" s="20">
        <v>2</v>
      </c>
      <c r="AE225" s="3" t="e">
        <f>IF(#REF!=hulpblad!AD225,hulpblad!P225,"")</f>
        <v>#REF!</v>
      </c>
      <c r="AF225" s="3"/>
    </row>
    <row r="226" spans="15:32" x14ac:dyDescent="0.25">
      <c r="O226" s="3">
        <v>222</v>
      </c>
      <c r="P226" s="3" t="s">
        <v>386</v>
      </c>
      <c r="Q226" s="20">
        <f>Q224-(2*1.2)</f>
        <v>347.6</v>
      </c>
      <c r="R226" s="20">
        <f>R224-(2*1.2)</f>
        <v>197.6</v>
      </c>
      <c r="S226" s="20">
        <f>S224-(2*1.2)</f>
        <v>25.6</v>
      </c>
      <c r="T226" s="20">
        <f>T224-(2*1.2)</f>
        <v>13.6</v>
      </c>
      <c r="U226" s="62">
        <f t="shared" si="12"/>
        <v>1223156</v>
      </c>
      <c r="V226" s="62">
        <f t="shared" si="12"/>
        <v>1488796</v>
      </c>
      <c r="W226" s="62"/>
      <c r="X226" s="62"/>
      <c r="Y226" s="20">
        <f>Y223*2</f>
        <v>12794</v>
      </c>
      <c r="Z226" s="20"/>
      <c r="AA226" s="64">
        <f>AA223*2</f>
        <v>212584410</v>
      </c>
      <c r="AB226" s="62"/>
      <c r="AC226" s="63">
        <f>AC223*2</f>
        <v>1.0044</v>
      </c>
      <c r="AD226" s="20">
        <v>3</v>
      </c>
      <c r="AE226" s="3" t="e">
        <f>IF(#REF!=hulpblad!AD226,hulpblad!P226,"")</f>
        <v>#REF!</v>
      </c>
      <c r="AF226" s="3"/>
    </row>
    <row r="227" spans="15:32" x14ac:dyDescent="0.25">
      <c r="O227" s="3">
        <v>223</v>
      </c>
      <c r="P227" s="3" t="s">
        <v>387</v>
      </c>
      <c r="Q227" s="20">
        <v>380</v>
      </c>
      <c r="R227" s="20">
        <v>102</v>
      </c>
      <c r="S227" s="20">
        <v>13.5</v>
      </c>
      <c r="T227" s="20">
        <v>16</v>
      </c>
      <c r="U227" s="62">
        <v>829000</v>
      </c>
      <c r="V227" s="62">
        <v>1014000</v>
      </c>
      <c r="W227" s="62"/>
      <c r="X227" s="62"/>
      <c r="Y227" s="20">
        <v>8030</v>
      </c>
      <c r="Z227" s="20"/>
      <c r="AA227" s="64">
        <v>157500000</v>
      </c>
      <c r="AB227" s="62"/>
      <c r="AC227" s="63">
        <v>0.63100000000000001</v>
      </c>
      <c r="AD227" s="20"/>
      <c r="AE227" s="3" t="e">
        <f>IF(#REF!=hulpblad!AD227,hulpblad!P227,"")</f>
        <v>#REF!</v>
      </c>
      <c r="AF227" s="3"/>
    </row>
    <row r="228" spans="15:32" x14ac:dyDescent="0.25">
      <c r="O228" s="3">
        <v>224</v>
      </c>
      <c r="P228" s="3" t="s">
        <v>388</v>
      </c>
      <c r="Q228" s="20">
        <f>Q227-(2*0.6)</f>
        <v>378.8</v>
      </c>
      <c r="R228" s="20">
        <f>R227-(2*0.6)</f>
        <v>100.8</v>
      </c>
      <c r="S228" s="20">
        <f>S227-(2*0.6)</f>
        <v>12.3</v>
      </c>
      <c r="T228" s="20">
        <f>T227-(2*0.6)</f>
        <v>14.8</v>
      </c>
      <c r="U228" s="62">
        <v>754529</v>
      </c>
      <c r="V228" s="62">
        <v>920910</v>
      </c>
      <c r="W228" s="62"/>
      <c r="X228" s="62"/>
      <c r="Y228" s="20">
        <v>7300</v>
      </c>
      <c r="Z228" s="20"/>
      <c r="AA228" s="64">
        <v>142907765</v>
      </c>
      <c r="AB228" s="62"/>
      <c r="AC228" s="63">
        <v>0.57299999999999995</v>
      </c>
      <c r="AD228" s="20"/>
      <c r="AE228" s="3" t="e">
        <f>IF(#REF!=hulpblad!AD228,hulpblad!P228,"")</f>
        <v>#REF!</v>
      </c>
      <c r="AF228" s="3"/>
    </row>
    <row r="229" spans="15:32" x14ac:dyDescent="0.25">
      <c r="O229" s="3">
        <v>225</v>
      </c>
      <c r="P229" s="3" t="s">
        <v>389</v>
      </c>
      <c r="Q229" s="20">
        <f>Q227-(2*1.2)</f>
        <v>377.6</v>
      </c>
      <c r="R229" s="20">
        <f>R227-(2*1.2)</f>
        <v>99.6</v>
      </c>
      <c r="S229" s="20">
        <f>S227-(2*1.2)</f>
        <v>11.1</v>
      </c>
      <c r="T229" s="20">
        <f>T227-(2*1.2)</f>
        <v>13.6</v>
      </c>
      <c r="U229" s="62">
        <v>689174</v>
      </c>
      <c r="V229" s="62">
        <v>837630</v>
      </c>
      <c r="W229" s="62"/>
      <c r="X229" s="62"/>
      <c r="Y229" s="20">
        <v>6625</v>
      </c>
      <c r="Z229" s="20"/>
      <c r="AA229" s="64">
        <v>130116109</v>
      </c>
      <c r="AB229" s="62"/>
      <c r="AC229" s="63">
        <v>0.52010000000000001</v>
      </c>
      <c r="AD229" s="20"/>
      <c r="AE229" s="3" t="e">
        <f>IF(#REF!=hulpblad!AD229,hulpblad!P229,"")</f>
        <v>#REF!</v>
      </c>
      <c r="AF229" s="3"/>
    </row>
    <row r="230" spans="15:32" x14ac:dyDescent="0.25">
      <c r="O230" s="3">
        <v>226</v>
      </c>
      <c r="P230" s="3" t="s">
        <v>390</v>
      </c>
      <c r="Q230" s="20">
        <v>380</v>
      </c>
      <c r="R230" s="20">
        <v>204</v>
      </c>
      <c r="S230" s="20">
        <v>27</v>
      </c>
      <c r="T230" s="20">
        <v>16</v>
      </c>
      <c r="U230" s="62">
        <f t="shared" ref="U230:V232" si="13">U227*2</f>
        <v>1658000</v>
      </c>
      <c r="V230" s="62">
        <f t="shared" si="13"/>
        <v>2028000</v>
      </c>
      <c r="W230" s="62"/>
      <c r="X230" s="62"/>
      <c r="Y230" s="20">
        <f>Y227*2</f>
        <v>16060</v>
      </c>
      <c r="Z230" s="20"/>
      <c r="AA230" s="64">
        <f>AA227*2</f>
        <v>315000000</v>
      </c>
      <c r="AB230" s="62"/>
      <c r="AC230" s="63">
        <f>AC227*2</f>
        <v>1.262</v>
      </c>
      <c r="AD230" s="20">
        <v>1</v>
      </c>
      <c r="AE230" s="3" t="e">
        <f>IF(#REF!=hulpblad!AD230,hulpblad!P230,"")</f>
        <v>#REF!</v>
      </c>
      <c r="AF230" s="3"/>
    </row>
    <row r="231" spans="15:32" x14ac:dyDescent="0.25">
      <c r="O231" s="3">
        <v>227</v>
      </c>
      <c r="P231" s="3" t="str">
        <f>CONCATENATE(P230," corrosie 50 jr.")</f>
        <v>Dubbel UNP 380 corrosie 50 jr.</v>
      </c>
      <c r="Q231" s="20">
        <f>Q230-(2*0.6)</f>
        <v>378.8</v>
      </c>
      <c r="R231" s="20">
        <f>R230-(2*0.6)</f>
        <v>202.8</v>
      </c>
      <c r="S231" s="20">
        <f>S230-(2*0.6)</f>
        <v>25.8</v>
      </c>
      <c r="T231" s="20">
        <f>T230-(2*0.6)</f>
        <v>14.8</v>
      </c>
      <c r="U231" s="62">
        <f t="shared" si="13"/>
        <v>1509058</v>
      </c>
      <c r="V231" s="62">
        <f t="shared" si="13"/>
        <v>1841820</v>
      </c>
      <c r="W231" s="62"/>
      <c r="X231" s="62"/>
      <c r="Y231" s="20">
        <f>Y228*2</f>
        <v>14600</v>
      </c>
      <c r="Z231" s="20"/>
      <c r="AA231" s="64">
        <f>AA228*2</f>
        <v>285815530</v>
      </c>
      <c r="AB231" s="62"/>
      <c r="AC231" s="63">
        <f>AC228*2</f>
        <v>1.1459999999999999</v>
      </c>
      <c r="AD231" s="20">
        <v>2</v>
      </c>
      <c r="AE231" s="3" t="e">
        <f>IF(#REF!=hulpblad!AD231,hulpblad!P231,"")</f>
        <v>#REF!</v>
      </c>
      <c r="AF231" s="3"/>
    </row>
    <row r="232" spans="15:32" x14ac:dyDescent="0.25">
      <c r="O232" s="3">
        <v>228</v>
      </c>
      <c r="P232" s="3" t="s">
        <v>391</v>
      </c>
      <c r="Q232" s="20">
        <f>Q230-(2*1.2)</f>
        <v>377.6</v>
      </c>
      <c r="R232" s="20">
        <f>R230-(2*1.2)</f>
        <v>201.6</v>
      </c>
      <c r="S232" s="20">
        <f>S230-(2*1.2)</f>
        <v>24.6</v>
      </c>
      <c r="T232" s="20">
        <f>T230-(2*1.2)</f>
        <v>13.6</v>
      </c>
      <c r="U232" s="62">
        <f t="shared" si="13"/>
        <v>1378348</v>
      </c>
      <c r="V232" s="62">
        <f t="shared" si="13"/>
        <v>1675260</v>
      </c>
      <c r="W232" s="62"/>
      <c r="X232" s="62"/>
      <c r="Y232" s="20">
        <f>Y229*2</f>
        <v>13250</v>
      </c>
      <c r="Z232" s="20"/>
      <c r="AA232" s="64">
        <f>AA229*2</f>
        <v>260232218</v>
      </c>
      <c r="AB232" s="62"/>
      <c r="AC232" s="63">
        <f>AC229*2</f>
        <v>1.0402</v>
      </c>
      <c r="AD232" s="20">
        <v>3</v>
      </c>
      <c r="AE232" s="3" t="e">
        <f>IF(#REF!=hulpblad!AD232,hulpblad!P232,"")</f>
        <v>#REF!</v>
      </c>
      <c r="AF232" s="3"/>
    </row>
    <row r="233" spans="15:32" x14ac:dyDescent="0.25">
      <c r="O233" s="3">
        <v>229</v>
      </c>
      <c r="P233" s="3" t="s">
        <v>392</v>
      </c>
      <c r="Q233" s="20">
        <v>400</v>
      </c>
      <c r="R233" s="20">
        <v>110</v>
      </c>
      <c r="S233" s="20">
        <v>14</v>
      </c>
      <c r="T233" s="20">
        <v>18</v>
      </c>
      <c r="U233" s="62">
        <v>1018000</v>
      </c>
      <c r="V233" s="62">
        <v>1236000</v>
      </c>
      <c r="W233" s="62"/>
      <c r="X233" s="62"/>
      <c r="Y233" s="20">
        <v>9150</v>
      </c>
      <c r="Z233" s="20"/>
      <c r="AA233" s="64">
        <v>203500000</v>
      </c>
      <c r="AB233" s="62"/>
      <c r="AC233" s="63">
        <v>0.71799999999999997</v>
      </c>
      <c r="AD233" s="20"/>
      <c r="AE233" s="3" t="e">
        <f>IF(#REF!=hulpblad!AD233,hulpblad!P233,"")</f>
        <v>#REF!</v>
      </c>
      <c r="AF233" s="3"/>
    </row>
    <row r="234" spans="15:32" x14ac:dyDescent="0.25">
      <c r="O234" s="3">
        <v>230</v>
      </c>
      <c r="P234" s="3" t="s">
        <v>393</v>
      </c>
      <c r="Q234" s="20">
        <f>Q233-(2*0.6)</f>
        <v>398.8</v>
      </c>
      <c r="R234" s="20">
        <f>R233-(2*0.6)</f>
        <v>108.8</v>
      </c>
      <c r="S234" s="20">
        <f>S233-(2*0.6)</f>
        <v>12.8</v>
      </c>
      <c r="T234" s="20">
        <f>T233-(2*0.6)</f>
        <v>16.8</v>
      </c>
      <c r="U234" s="62">
        <v>933582</v>
      </c>
      <c r="V234" s="62">
        <v>1130194</v>
      </c>
      <c r="W234" s="62"/>
      <c r="X234" s="62"/>
      <c r="Y234" s="20">
        <v>8364</v>
      </c>
      <c r="Z234" s="20"/>
      <c r="AA234" s="64">
        <v>186156266</v>
      </c>
      <c r="AB234" s="62"/>
      <c r="AC234" s="63">
        <v>0.65659999999999996</v>
      </c>
      <c r="AD234" s="20"/>
      <c r="AE234" s="3" t="e">
        <f>IF(#REF!=hulpblad!AD234,hulpblad!P234,"")</f>
        <v>#REF!</v>
      </c>
      <c r="AF234" s="3"/>
    </row>
    <row r="235" spans="15:32" x14ac:dyDescent="0.25">
      <c r="O235" s="3">
        <v>231</v>
      </c>
      <c r="P235" s="3" t="s">
        <v>394</v>
      </c>
      <c r="Q235" s="20">
        <f>Q233-(2*1.2)</f>
        <v>397.6</v>
      </c>
      <c r="R235" s="20">
        <f>R233-(2*1.2)</f>
        <v>107.6</v>
      </c>
      <c r="S235" s="20">
        <f>S233-(2*1.2)</f>
        <v>11.6</v>
      </c>
      <c r="T235" s="20">
        <f>T233-(2*1.2)</f>
        <v>15.6</v>
      </c>
      <c r="U235" s="62">
        <v>860366</v>
      </c>
      <c r="V235" s="62">
        <v>1036779</v>
      </c>
      <c r="W235" s="62"/>
      <c r="X235" s="62"/>
      <c r="Y235" s="20">
        <v>7647</v>
      </c>
      <c r="Z235" s="20"/>
      <c r="AA235" s="64">
        <v>171040779</v>
      </c>
      <c r="AB235" s="62"/>
      <c r="AC235" s="63">
        <v>0.60029999999999994</v>
      </c>
      <c r="AD235" s="20"/>
      <c r="AE235" s="3" t="e">
        <f>IF(#REF!=hulpblad!AD235,hulpblad!P235,"")</f>
        <v>#REF!</v>
      </c>
      <c r="AF235" s="3"/>
    </row>
    <row r="236" spans="15:32" x14ac:dyDescent="0.25">
      <c r="O236" s="3">
        <v>232</v>
      </c>
      <c r="P236" s="3" t="s">
        <v>395</v>
      </c>
      <c r="Q236" s="20">
        <v>400</v>
      </c>
      <c r="R236" s="20">
        <v>220</v>
      </c>
      <c r="S236" s="20">
        <v>28</v>
      </c>
      <c r="T236" s="20">
        <v>18</v>
      </c>
      <c r="U236" s="62">
        <f t="shared" ref="U236:V238" si="14">U233*2</f>
        <v>2036000</v>
      </c>
      <c r="V236" s="62">
        <f t="shared" si="14"/>
        <v>2472000</v>
      </c>
      <c r="W236" s="62"/>
      <c r="X236" s="62"/>
      <c r="Y236" s="20">
        <f>Y233*2</f>
        <v>18300</v>
      </c>
      <c r="Z236" s="20"/>
      <c r="AA236" s="64">
        <f>AA233*2</f>
        <v>407000000</v>
      </c>
      <c r="AB236" s="62"/>
      <c r="AC236" s="63">
        <f>AC233*2</f>
        <v>1.4359999999999999</v>
      </c>
      <c r="AD236" s="20">
        <v>1</v>
      </c>
      <c r="AE236" s="3" t="e">
        <f>IF(#REF!=hulpblad!AD236,hulpblad!P236,"")</f>
        <v>#REF!</v>
      </c>
      <c r="AF236" s="3"/>
    </row>
    <row r="237" spans="15:32" x14ac:dyDescent="0.25">
      <c r="O237" s="3">
        <v>233</v>
      </c>
      <c r="P237" s="3" t="str">
        <f>CONCATENATE(P236," corrosie 50 jr.")</f>
        <v>Dubbel UNP 400 corrosie 50 jr.</v>
      </c>
      <c r="Q237" s="20">
        <f>Q236-(2*0.6)</f>
        <v>398.8</v>
      </c>
      <c r="R237" s="20">
        <f>R236-(2*0.6)</f>
        <v>218.8</v>
      </c>
      <c r="S237" s="20">
        <f>S236-(2*0.6)</f>
        <v>26.8</v>
      </c>
      <c r="T237" s="20">
        <f>T236-(2*0.6)</f>
        <v>16.8</v>
      </c>
      <c r="U237" s="62">
        <f t="shared" si="14"/>
        <v>1867164</v>
      </c>
      <c r="V237" s="62">
        <f t="shared" si="14"/>
        <v>2260388</v>
      </c>
      <c r="W237" s="62"/>
      <c r="X237" s="62"/>
      <c r="Y237" s="20">
        <f>Y234*2</f>
        <v>16728</v>
      </c>
      <c r="Z237" s="20"/>
      <c r="AA237" s="64">
        <f>AA234*2</f>
        <v>372312532</v>
      </c>
      <c r="AB237" s="62"/>
      <c r="AC237" s="63">
        <f>AC234*2</f>
        <v>1.3131999999999999</v>
      </c>
      <c r="AD237" s="20">
        <v>2</v>
      </c>
      <c r="AE237" s="3" t="e">
        <f>IF(#REF!=hulpblad!AD237,hulpblad!P237,"")</f>
        <v>#REF!</v>
      </c>
      <c r="AF237" s="3"/>
    </row>
    <row r="238" spans="15:32" x14ac:dyDescent="0.25">
      <c r="O238" s="3">
        <v>234</v>
      </c>
      <c r="P238" s="3" t="s">
        <v>396</v>
      </c>
      <c r="Q238" s="20">
        <f>Q236-(2*1.2)</f>
        <v>397.6</v>
      </c>
      <c r="R238" s="20">
        <f>R236-(2*1.2)</f>
        <v>217.6</v>
      </c>
      <c r="S238" s="20">
        <f>S236-(2*1.2)</f>
        <v>25.6</v>
      </c>
      <c r="T238" s="20">
        <f>T236-(2*1.2)</f>
        <v>15.6</v>
      </c>
      <c r="U238" s="62">
        <f t="shared" si="14"/>
        <v>1720732</v>
      </c>
      <c r="V238" s="62">
        <f t="shared" si="14"/>
        <v>2073558</v>
      </c>
      <c r="W238" s="62"/>
      <c r="X238" s="62"/>
      <c r="Y238" s="20">
        <f>Y235*2</f>
        <v>15294</v>
      </c>
      <c r="Z238" s="20"/>
      <c r="AA238" s="64">
        <f>AA235*2</f>
        <v>342081558</v>
      </c>
      <c r="AB238" s="62"/>
      <c r="AC238" s="63">
        <f>AC235*2</f>
        <v>1.2005999999999999</v>
      </c>
      <c r="AD238" s="20">
        <v>3</v>
      </c>
      <c r="AE238" s="3" t="e">
        <f>IF(#REF!=hulpblad!AD238,hulpblad!P238,"")</f>
        <v>#REF!</v>
      </c>
      <c r="AF238" s="3"/>
    </row>
    <row r="240" spans="15:32" x14ac:dyDescent="0.25">
      <c r="O240" s="3">
        <v>1</v>
      </c>
      <c r="P240" s="3" t="s">
        <v>409</v>
      </c>
    </row>
    <row r="241" spans="15:22" x14ac:dyDescent="0.25">
      <c r="O241" s="3">
        <v>2</v>
      </c>
      <c r="P241" s="3" t="s">
        <v>410</v>
      </c>
    </row>
    <row r="242" spans="15:22" x14ac:dyDescent="0.25">
      <c r="O242" s="3">
        <v>3</v>
      </c>
      <c r="P242" s="3" t="s">
        <v>411</v>
      </c>
    </row>
    <row r="246" spans="15:22" ht="13" x14ac:dyDescent="0.3">
      <c r="P246" s="10" t="s">
        <v>122</v>
      </c>
    </row>
    <row r="247" spans="15:22" x14ac:dyDescent="0.25">
      <c r="R247" t="s">
        <v>123</v>
      </c>
      <c r="S247" t="s">
        <v>26</v>
      </c>
      <c r="T247" t="s">
        <v>27</v>
      </c>
      <c r="U247" t="s">
        <v>18</v>
      </c>
      <c r="V247" t="s">
        <v>124</v>
      </c>
    </row>
    <row r="248" spans="15:22" x14ac:dyDescent="0.25">
      <c r="P248" t="s">
        <v>125</v>
      </c>
      <c r="R248">
        <v>0.13</v>
      </c>
      <c r="S248">
        <v>0.21</v>
      </c>
      <c r="T248">
        <v>0.34</v>
      </c>
      <c r="U248">
        <v>0.49</v>
      </c>
      <c r="V248"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download algemeen</vt:lpstr>
      <vt:lpstr>download gording</vt:lpstr>
      <vt:lpstr>download stempels</vt:lpstr>
      <vt:lpstr>download overzicht</vt:lpstr>
      <vt:lpstr>Controle blad gording UGT</vt:lpstr>
      <vt:lpstr>Controle blad stempels UGT</vt:lpstr>
      <vt:lpstr>Controle blad stempels BGT</vt:lpstr>
      <vt:lpstr>Controle inleidingskracht WIP</vt:lpstr>
      <vt:lpstr>hulpblad</vt:lpstr>
    </vt:vector>
  </TitlesOfParts>
  <Company>Gebr. Van 't 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ariejant</dc:creator>
  <cp:lastModifiedBy>VIKTOR</cp:lastModifiedBy>
  <cp:lastPrinted>2021-04-14T19:56:43Z</cp:lastPrinted>
  <dcterms:created xsi:type="dcterms:W3CDTF">2014-06-25T07:36:04Z</dcterms:created>
  <dcterms:modified xsi:type="dcterms:W3CDTF">2022-06-29T13:09:48Z</dcterms:modified>
</cp:coreProperties>
</file>