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_zzz\Desktop\"/>
    </mc:Choice>
  </mc:AlternateContent>
  <xr:revisionPtr revIDLastSave="0" documentId="13_ncr:1_{985E982B-F2B5-4F64-9E2D-06187A9AA5D8}" xr6:coauthVersionLast="47" xr6:coauthVersionMax="47" xr10:uidLastSave="{00000000-0000-0000-0000-000000000000}"/>
  <bookViews>
    <workbookView xWindow="-120" yWindow="-120" windowWidth="29040" windowHeight="15840" xr2:uid="{B8E5CFBF-AF16-4ACE-81B8-5B6FB52B9D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1" l="1"/>
  <c r="B45" i="1"/>
  <c r="L90" i="2"/>
  <c r="C79" i="1"/>
  <c r="D79" i="1"/>
  <c r="E79" i="1"/>
  <c r="F79" i="1"/>
  <c r="G79" i="1"/>
  <c r="H79" i="1"/>
  <c r="B79" i="1"/>
  <c r="B74" i="1"/>
  <c r="C74" i="1"/>
  <c r="D74" i="1"/>
  <c r="E74" i="1"/>
  <c r="F74" i="1"/>
  <c r="G74" i="1"/>
  <c r="H74" i="1"/>
  <c r="B75" i="1"/>
  <c r="C75" i="1"/>
  <c r="D75" i="1"/>
  <c r="E75" i="1"/>
  <c r="F75" i="1"/>
  <c r="G75" i="1"/>
  <c r="H75" i="1"/>
  <c r="B76" i="1"/>
  <c r="C76" i="1"/>
  <c r="D76" i="1"/>
  <c r="E76" i="1"/>
  <c r="F76" i="1"/>
  <c r="G76" i="1"/>
  <c r="H76" i="1"/>
  <c r="B77" i="1"/>
  <c r="C77" i="1"/>
  <c r="D77" i="1"/>
  <c r="E77" i="1"/>
  <c r="F77" i="1"/>
  <c r="G77" i="1"/>
  <c r="H77" i="1"/>
  <c r="B78" i="1"/>
  <c r="C78" i="1"/>
  <c r="D78" i="1"/>
  <c r="E78" i="1"/>
  <c r="F78" i="1"/>
  <c r="G78" i="1"/>
  <c r="H78" i="1"/>
  <c r="C73" i="1"/>
  <c r="D73" i="1"/>
  <c r="E73" i="1"/>
  <c r="F73" i="1"/>
  <c r="G73" i="1"/>
  <c r="H73" i="1"/>
  <c r="B73" i="1"/>
  <c r="B52" i="1"/>
  <c r="C48" i="1"/>
  <c r="D48" i="1"/>
  <c r="E48" i="1"/>
  <c r="F48" i="1"/>
  <c r="G48" i="1"/>
  <c r="H48" i="1"/>
  <c r="B48" i="1"/>
  <c r="B7" i="3"/>
  <c r="L58" i="2"/>
  <c r="O58" i="2"/>
  <c r="R58" i="2"/>
  <c r="U58" i="2"/>
  <c r="X58" i="2"/>
  <c r="I58" i="2"/>
  <c r="B32" i="1" l="1"/>
  <c r="B53" i="1" s="1"/>
  <c r="B62" i="1" s="1"/>
  <c r="C32" i="1"/>
  <c r="C53" i="1" s="1"/>
  <c r="C62" i="1" s="1"/>
  <c r="D32" i="1"/>
  <c r="D53" i="1" s="1"/>
  <c r="D62" i="1" s="1"/>
  <c r="E32" i="1"/>
  <c r="E53" i="1" s="1"/>
  <c r="E62" i="1" s="1"/>
  <c r="F32" i="1"/>
  <c r="F53" i="1" s="1"/>
  <c r="F62" i="1" s="1"/>
  <c r="G32" i="1"/>
  <c r="G53" i="1" s="1"/>
  <c r="G62" i="1" s="1"/>
  <c r="H32" i="1"/>
  <c r="H53" i="1" s="1"/>
  <c r="H62" i="1" s="1"/>
  <c r="B33" i="1"/>
  <c r="B54" i="1" s="1"/>
  <c r="B63" i="1" s="1"/>
  <c r="C33" i="1"/>
  <c r="C54" i="1" s="1"/>
  <c r="C63" i="1" s="1"/>
  <c r="D33" i="1"/>
  <c r="D54" i="1" s="1"/>
  <c r="D63" i="1" s="1"/>
  <c r="E33" i="1"/>
  <c r="E54" i="1" s="1"/>
  <c r="E63" i="1" s="1"/>
  <c r="F33" i="1"/>
  <c r="F54" i="1" s="1"/>
  <c r="F63" i="1" s="1"/>
  <c r="G33" i="1"/>
  <c r="G54" i="1" s="1"/>
  <c r="G63" i="1" s="1"/>
  <c r="H33" i="1"/>
  <c r="H54" i="1" s="1"/>
  <c r="H63" i="1" s="1"/>
  <c r="B34" i="1"/>
  <c r="B55" i="1" s="1"/>
  <c r="B64" i="1" s="1"/>
  <c r="C34" i="1"/>
  <c r="C55" i="1" s="1"/>
  <c r="C64" i="1" s="1"/>
  <c r="D34" i="1"/>
  <c r="D55" i="1" s="1"/>
  <c r="D64" i="1" s="1"/>
  <c r="E34" i="1"/>
  <c r="E55" i="1" s="1"/>
  <c r="E64" i="1" s="1"/>
  <c r="F34" i="1"/>
  <c r="F55" i="1" s="1"/>
  <c r="F64" i="1" s="1"/>
  <c r="G34" i="1"/>
  <c r="G55" i="1" s="1"/>
  <c r="G64" i="1" s="1"/>
  <c r="H34" i="1"/>
  <c r="H55" i="1" s="1"/>
  <c r="H64" i="1" s="1"/>
  <c r="B35" i="1"/>
  <c r="B56" i="1" s="1"/>
  <c r="B65" i="1" s="1"/>
  <c r="C35" i="1"/>
  <c r="C56" i="1" s="1"/>
  <c r="C65" i="1" s="1"/>
  <c r="D35" i="1"/>
  <c r="D56" i="1" s="1"/>
  <c r="D65" i="1" s="1"/>
  <c r="E35" i="1"/>
  <c r="E56" i="1" s="1"/>
  <c r="E65" i="1" s="1"/>
  <c r="F35" i="1"/>
  <c r="F56" i="1" s="1"/>
  <c r="F65" i="1" s="1"/>
  <c r="G35" i="1"/>
  <c r="G56" i="1" s="1"/>
  <c r="G65" i="1" s="1"/>
  <c r="H35" i="1"/>
  <c r="H56" i="1" s="1"/>
  <c r="H65" i="1" s="1"/>
  <c r="B36" i="1"/>
  <c r="B57" i="1" s="1"/>
  <c r="C36" i="1"/>
  <c r="C57" i="1" s="1"/>
  <c r="C66" i="1" s="1"/>
  <c r="D36" i="1"/>
  <c r="D57" i="1" s="1"/>
  <c r="D66" i="1" s="1"/>
  <c r="E36" i="1"/>
  <c r="E57" i="1" s="1"/>
  <c r="E66" i="1" s="1"/>
  <c r="F36" i="1"/>
  <c r="F57" i="1" s="1"/>
  <c r="F66" i="1" s="1"/>
  <c r="G36" i="1"/>
  <c r="G57" i="1" s="1"/>
  <c r="G66" i="1" s="1"/>
  <c r="H36" i="1"/>
  <c r="H57" i="1" s="1"/>
  <c r="H66" i="1" s="1"/>
  <c r="H31" i="1"/>
  <c r="H52" i="1" s="1"/>
  <c r="H61" i="1" s="1"/>
  <c r="G31" i="1"/>
  <c r="G52" i="1" s="1"/>
  <c r="G61" i="1" s="1"/>
  <c r="B31" i="1"/>
  <c r="B61" i="1" s="1"/>
  <c r="C31" i="1"/>
  <c r="C52" i="1" s="1"/>
  <c r="C61" i="1" s="1"/>
  <c r="D31" i="1"/>
  <c r="D52" i="1" s="1"/>
  <c r="D61" i="1" s="1"/>
  <c r="E31" i="1"/>
  <c r="E52" i="1" s="1"/>
  <c r="E61" i="1" s="1"/>
  <c r="F31" i="1"/>
  <c r="F52" i="1" s="1"/>
  <c r="F61" i="1" s="1"/>
  <c r="C67" i="1" l="1"/>
  <c r="C68" i="1" s="1"/>
  <c r="C45" i="1" s="1"/>
  <c r="E67" i="1"/>
  <c r="E68" i="1" s="1"/>
  <c r="E45" i="1" s="1"/>
  <c r="G67" i="1"/>
  <c r="G68" i="1" s="1"/>
  <c r="G45" i="1" s="1"/>
  <c r="H67" i="1"/>
  <c r="H68" i="1" s="1"/>
  <c r="H45" i="1" s="1"/>
  <c r="F67" i="1"/>
  <c r="F68" i="1" s="1"/>
  <c r="F45" i="1" s="1"/>
  <c r="B67" i="1"/>
  <c r="B68" i="1" s="1"/>
  <c r="D67" i="1"/>
  <c r="D68" i="1" s="1"/>
  <c r="D45" i="1" s="1"/>
  <c r="I22" i="1"/>
  <c r="I23" i="1"/>
  <c r="I24" i="1"/>
  <c r="I25" i="1"/>
  <c r="I26" i="1"/>
  <c r="I9" i="1" l="1"/>
  <c r="I10" i="1"/>
  <c r="I7" i="1"/>
  <c r="J12" i="1"/>
  <c r="C15" i="1"/>
  <c r="D15" i="1" s="1"/>
  <c r="D17" i="1" s="1"/>
  <c r="B17" i="1"/>
  <c r="E6" i="1"/>
  <c r="E7" i="1"/>
  <c r="E8" i="1"/>
  <c r="E9" i="1"/>
  <c r="E10" i="1"/>
  <c r="E11" i="1"/>
  <c r="D7" i="1"/>
  <c r="D8" i="1"/>
  <c r="D9" i="1"/>
  <c r="D10" i="1"/>
  <c r="D11" i="1"/>
  <c r="D6" i="1"/>
  <c r="F21" i="2" a="1"/>
  <c r="F21" i="2" s="1"/>
  <c r="J15" i="2" s="1"/>
  <c r="J34" i="2" s="1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C17" i="1" l="1"/>
  <c r="G10" i="1"/>
  <c r="E15" i="1"/>
  <c r="F15" i="1" s="1"/>
  <c r="F17" i="1" s="1"/>
  <c r="G9" i="1"/>
  <c r="I12" i="1"/>
  <c r="G11" i="1"/>
  <c r="G7" i="1"/>
  <c r="G8" i="1"/>
  <c r="G6" i="1"/>
  <c r="Q15" i="2"/>
  <c r="Q34" i="2" s="1"/>
  <c r="Z15" i="2"/>
  <c r="Z34" i="2" s="1"/>
  <c r="P15" i="2"/>
  <c r="P34" i="2" s="1"/>
  <c r="R15" i="2"/>
  <c r="R34" i="2" s="1"/>
  <c r="Y15" i="2"/>
  <c r="Y34" i="2" s="1"/>
  <c r="U15" i="2"/>
  <c r="U34" i="2" s="1"/>
  <c r="X15" i="2"/>
  <c r="X34" i="2" s="1"/>
  <c r="T15" i="2"/>
  <c r="T34" i="2" s="1"/>
  <c r="L15" i="2"/>
  <c r="L34" i="2" s="1"/>
  <c r="S15" i="2"/>
  <c r="S34" i="2" s="1"/>
  <c r="N15" i="2"/>
  <c r="N34" i="2" s="1"/>
  <c r="W15" i="2"/>
  <c r="W34" i="2" s="1"/>
  <c r="M15" i="2"/>
  <c r="M34" i="2" s="1"/>
  <c r="O15" i="2"/>
  <c r="O34" i="2" s="1"/>
  <c r="V15" i="2"/>
  <c r="V34" i="2" s="1"/>
  <c r="F28" i="2"/>
  <c r="I15" i="2"/>
  <c r="I34" i="2" s="1"/>
  <c r="K15" i="2"/>
  <c r="K34" i="2" s="1"/>
  <c r="F27" i="2"/>
  <c r="F34" i="2"/>
  <c r="F26" i="2"/>
  <c r="F33" i="2"/>
  <c r="F25" i="2"/>
  <c r="F32" i="2"/>
  <c r="F24" i="2"/>
  <c r="F31" i="2"/>
  <c r="F23" i="2"/>
  <c r="F30" i="2"/>
  <c r="F22" i="2"/>
  <c r="F29" i="2"/>
  <c r="B44" i="1" l="1"/>
  <c r="C44" i="1"/>
  <c r="D44" i="1"/>
  <c r="E44" i="1"/>
  <c r="E4" i="3" s="1"/>
  <c r="G44" i="1"/>
  <c r="G4" i="3" s="1"/>
  <c r="F44" i="1"/>
  <c r="F4" i="3" s="1"/>
  <c r="H44" i="1"/>
  <c r="H4" i="3" s="1"/>
  <c r="D43" i="1"/>
  <c r="E43" i="1"/>
  <c r="F43" i="1"/>
  <c r="G43" i="1"/>
  <c r="C43" i="1"/>
  <c r="H43" i="1"/>
  <c r="B43" i="1"/>
  <c r="G15" i="1"/>
  <c r="G17" i="1" s="1"/>
  <c r="M62" i="2"/>
  <c r="M88" i="2" s="1"/>
  <c r="L62" i="2"/>
  <c r="L88" i="2" s="1"/>
  <c r="K62" i="2"/>
  <c r="K88" i="2" s="1"/>
  <c r="J62" i="2"/>
  <c r="J88" i="2" s="1"/>
  <c r="I62" i="2"/>
  <c r="N62" i="2"/>
  <c r="N88" i="2" s="1"/>
  <c r="B4" i="3"/>
  <c r="C4" i="3"/>
  <c r="D4" i="3"/>
  <c r="E17" i="1"/>
  <c r="U18" i="2"/>
  <c r="U46" i="2" s="1"/>
  <c r="M18" i="2"/>
  <c r="M46" i="2" s="1"/>
  <c r="T18" i="2"/>
  <c r="T46" i="2" s="1"/>
  <c r="N18" i="2"/>
  <c r="N46" i="2" s="1"/>
  <c r="S18" i="2"/>
  <c r="S46" i="2" s="1"/>
  <c r="Z18" i="2"/>
  <c r="Z46" i="2" s="1"/>
  <c r="R18" i="2"/>
  <c r="R46" i="2" s="1"/>
  <c r="Y18" i="2"/>
  <c r="Y46" i="2" s="1"/>
  <c r="X18" i="2"/>
  <c r="X46" i="2" s="1"/>
  <c r="Q18" i="2"/>
  <c r="Q46" i="2" s="1"/>
  <c r="W18" i="2"/>
  <c r="W46" i="2" s="1"/>
  <c r="P18" i="2"/>
  <c r="P46" i="2" s="1"/>
  <c r="V18" i="2"/>
  <c r="V46" i="2" s="1"/>
  <c r="O18" i="2"/>
  <c r="O46" i="2" s="1"/>
  <c r="L18" i="2"/>
  <c r="L46" i="2" s="1"/>
  <c r="Y22" i="2"/>
  <c r="Y50" i="2" s="1"/>
  <c r="X22" i="2"/>
  <c r="X50" i="2" s="1"/>
  <c r="Q22" i="2"/>
  <c r="Q50" i="2" s="1"/>
  <c r="W22" i="2"/>
  <c r="W50" i="2" s="1"/>
  <c r="P22" i="2"/>
  <c r="P50" i="2" s="1"/>
  <c r="V22" i="2"/>
  <c r="V50" i="2" s="1"/>
  <c r="O22" i="2"/>
  <c r="O50" i="2" s="1"/>
  <c r="L22" i="2"/>
  <c r="L50" i="2" s="1"/>
  <c r="U22" i="2"/>
  <c r="U50" i="2" s="1"/>
  <c r="M22" i="2"/>
  <c r="M50" i="2" s="1"/>
  <c r="T22" i="2"/>
  <c r="T50" i="2" s="1"/>
  <c r="N22" i="2"/>
  <c r="N50" i="2" s="1"/>
  <c r="S22" i="2"/>
  <c r="S50" i="2" s="1"/>
  <c r="Z22" i="2"/>
  <c r="Z50" i="2" s="1"/>
  <c r="R22" i="2"/>
  <c r="R50" i="2" s="1"/>
  <c r="T27" i="2"/>
  <c r="T55" i="2" s="1"/>
  <c r="S27" i="2"/>
  <c r="S55" i="2" s="1"/>
  <c r="Z27" i="2"/>
  <c r="Z55" i="2" s="1"/>
  <c r="R27" i="2"/>
  <c r="R55" i="2" s="1"/>
  <c r="Q27" i="2"/>
  <c r="Q55" i="2" s="1"/>
  <c r="L27" i="2"/>
  <c r="L55" i="2" s="1"/>
  <c r="Y27" i="2"/>
  <c r="Y55" i="2" s="1"/>
  <c r="P27" i="2"/>
  <c r="P55" i="2" s="1"/>
  <c r="M27" i="2"/>
  <c r="M55" i="2" s="1"/>
  <c r="X27" i="2"/>
  <c r="X55" i="2" s="1"/>
  <c r="O27" i="2"/>
  <c r="O55" i="2" s="1"/>
  <c r="N27" i="2"/>
  <c r="N55" i="2" s="1"/>
  <c r="W27" i="2"/>
  <c r="W55" i="2" s="1"/>
  <c r="V27" i="2"/>
  <c r="V55" i="2" s="1"/>
  <c r="U27" i="2"/>
  <c r="U55" i="2" s="1"/>
  <c r="T19" i="2"/>
  <c r="T47" i="2" s="1"/>
  <c r="S19" i="2"/>
  <c r="S47" i="2" s="1"/>
  <c r="Z19" i="2"/>
  <c r="Z47" i="2" s="1"/>
  <c r="R19" i="2"/>
  <c r="R47" i="2" s="1"/>
  <c r="Q19" i="2"/>
  <c r="Q47" i="2" s="1"/>
  <c r="L19" i="2"/>
  <c r="L47" i="2" s="1"/>
  <c r="Y19" i="2"/>
  <c r="Y47" i="2" s="1"/>
  <c r="P19" i="2"/>
  <c r="P47" i="2" s="1"/>
  <c r="M19" i="2"/>
  <c r="M47" i="2" s="1"/>
  <c r="X19" i="2"/>
  <c r="X47" i="2" s="1"/>
  <c r="O19" i="2"/>
  <c r="O47" i="2" s="1"/>
  <c r="N19" i="2"/>
  <c r="N47" i="2" s="1"/>
  <c r="W19" i="2"/>
  <c r="W47" i="2" s="1"/>
  <c r="V19" i="2"/>
  <c r="V47" i="2" s="1"/>
  <c r="U19" i="2"/>
  <c r="U47" i="2" s="1"/>
  <c r="U26" i="2"/>
  <c r="U54" i="2" s="1"/>
  <c r="M26" i="2"/>
  <c r="M54" i="2" s="1"/>
  <c r="T26" i="2"/>
  <c r="T54" i="2" s="1"/>
  <c r="N26" i="2"/>
  <c r="N54" i="2" s="1"/>
  <c r="S26" i="2"/>
  <c r="S54" i="2" s="1"/>
  <c r="Z26" i="2"/>
  <c r="Z54" i="2" s="1"/>
  <c r="R26" i="2"/>
  <c r="R54" i="2" s="1"/>
  <c r="Y26" i="2"/>
  <c r="Y54" i="2" s="1"/>
  <c r="X26" i="2"/>
  <c r="X54" i="2" s="1"/>
  <c r="Q26" i="2"/>
  <c r="Q54" i="2" s="1"/>
  <c r="W26" i="2"/>
  <c r="W54" i="2" s="1"/>
  <c r="P26" i="2"/>
  <c r="P54" i="2" s="1"/>
  <c r="V26" i="2"/>
  <c r="V54" i="2" s="1"/>
  <c r="O26" i="2"/>
  <c r="O54" i="2" s="1"/>
  <c r="L26" i="2"/>
  <c r="L54" i="2" s="1"/>
  <c r="X23" i="2"/>
  <c r="X51" i="2" s="1"/>
  <c r="O23" i="2"/>
  <c r="O51" i="2" s="1"/>
  <c r="N23" i="2"/>
  <c r="N51" i="2" s="1"/>
  <c r="W23" i="2"/>
  <c r="W51" i="2" s="1"/>
  <c r="V23" i="2"/>
  <c r="V51" i="2" s="1"/>
  <c r="U23" i="2"/>
  <c r="U51" i="2" s="1"/>
  <c r="T23" i="2"/>
  <c r="T51" i="2" s="1"/>
  <c r="S23" i="2"/>
  <c r="S51" i="2" s="1"/>
  <c r="Z23" i="2"/>
  <c r="Z51" i="2" s="1"/>
  <c r="R23" i="2"/>
  <c r="R51" i="2" s="1"/>
  <c r="Q23" i="2"/>
  <c r="Q51" i="2" s="1"/>
  <c r="L23" i="2"/>
  <c r="L51" i="2" s="1"/>
  <c r="Y23" i="2"/>
  <c r="Y51" i="2" s="1"/>
  <c r="P23" i="2"/>
  <c r="P51" i="2" s="1"/>
  <c r="M23" i="2"/>
  <c r="M51" i="2" s="1"/>
  <c r="S20" i="2"/>
  <c r="S48" i="2" s="1"/>
  <c r="P20" i="2"/>
  <c r="P48" i="2" s="1"/>
  <c r="Z20" i="2"/>
  <c r="Z48" i="2" s="1"/>
  <c r="R20" i="2"/>
  <c r="R48" i="2" s="1"/>
  <c r="O20" i="2"/>
  <c r="O48" i="2" s="1"/>
  <c r="Y20" i="2"/>
  <c r="Y48" i="2" s="1"/>
  <c r="X20" i="2"/>
  <c r="X48" i="2" s="1"/>
  <c r="W20" i="2"/>
  <c r="W48" i="2" s="1"/>
  <c r="V20" i="2"/>
  <c r="V48" i="2" s="1"/>
  <c r="L20" i="2"/>
  <c r="L48" i="2" s="1"/>
  <c r="U20" i="2"/>
  <c r="U48" i="2" s="1"/>
  <c r="M20" i="2"/>
  <c r="M48" i="2" s="1"/>
  <c r="T20" i="2"/>
  <c r="T48" i="2" s="1"/>
  <c r="Q20" i="2"/>
  <c r="Q48" i="2" s="1"/>
  <c r="N20" i="2"/>
  <c r="N48" i="2" s="1"/>
  <c r="W16" i="2"/>
  <c r="W44" i="2" s="1"/>
  <c r="W39" i="2" s="1"/>
  <c r="V16" i="2"/>
  <c r="V44" i="2" s="1"/>
  <c r="L16" i="2"/>
  <c r="L44" i="2" s="1"/>
  <c r="U16" i="2"/>
  <c r="U44" i="2" s="1"/>
  <c r="M16" i="2"/>
  <c r="M44" i="2" s="1"/>
  <c r="T16" i="2"/>
  <c r="T44" i="2" s="1"/>
  <c r="Q16" i="2"/>
  <c r="Q44" i="2" s="1"/>
  <c r="N16" i="2"/>
  <c r="N44" i="2" s="1"/>
  <c r="S16" i="2"/>
  <c r="S44" i="2" s="1"/>
  <c r="P16" i="2"/>
  <c r="P44" i="2" s="1"/>
  <c r="Z16" i="2"/>
  <c r="Z44" i="2" s="1"/>
  <c r="R16" i="2"/>
  <c r="R44" i="2" s="1"/>
  <c r="O16" i="2"/>
  <c r="O44" i="2" s="1"/>
  <c r="Y16" i="2"/>
  <c r="Y44" i="2" s="1"/>
  <c r="X16" i="2"/>
  <c r="X44" i="2" s="1"/>
  <c r="X38" i="2" s="1"/>
  <c r="W24" i="2"/>
  <c r="W52" i="2" s="1"/>
  <c r="V24" i="2"/>
  <c r="V52" i="2" s="1"/>
  <c r="L24" i="2"/>
  <c r="L52" i="2" s="1"/>
  <c r="U24" i="2"/>
  <c r="U52" i="2" s="1"/>
  <c r="M24" i="2"/>
  <c r="M52" i="2" s="1"/>
  <c r="T24" i="2"/>
  <c r="T52" i="2" s="1"/>
  <c r="Q24" i="2"/>
  <c r="Q52" i="2" s="1"/>
  <c r="N24" i="2"/>
  <c r="N52" i="2" s="1"/>
  <c r="S24" i="2"/>
  <c r="S52" i="2" s="1"/>
  <c r="P24" i="2"/>
  <c r="P52" i="2" s="1"/>
  <c r="Z24" i="2"/>
  <c r="Z52" i="2" s="1"/>
  <c r="R24" i="2"/>
  <c r="R52" i="2" s="1"/>
  <c r="O24" i="2"/>
  <c r="O52" i="2" s="1"/>
  <c r="Y24" i="2"/>
  <c r="Y52" i="2" s="1"/>
  <c r="X24" i="2"/>
  <c r="X52" i="2" s="1"/>
  <c r="K28" i="2"/>
  <c r="K56" i="2" s="1"/>
  <c r="S28" i="2"/>
  <c r="S56" i="2" s="1"/>
  <c r="P28" i="2"/>
  <c r="P56" i="2" s="1"/>
  <c r="Z28" i="2"/>
  <c r="Z56" i="2" s="1"/>
  <c r="R28" i="2"/>
  <c r="R56" i="2" s="1"/>
  <c r="O28" i="2"/>
  <c r="O56" i="2" s="1"/>
  <c r="Y28" i="2"/>
  <c r="Y56" i="2" s="1"/>
  <c r="X28" i="2"/>
  <c r="X56" i="2" s="1"/>
  <c r="W28" i="2"/>
  <c r="W56" i="2" s="1"/>
  <c r="V28" i="2"/>
  <c r="V56" i="2" s="1"/>
  <c r="L28" i="2"/>
  <c r="L56" i="2" s="1"/>
  <c r="U28" i="2"/>
  <c r="U56" i="2" s="1"/>
  <c r="M28" i="2"/>
  <c r="M56" i="2" s="1"/>
  <c r="T28" i="2"/>
  <c r="T56" i="2" s="1"/>
  <c r="Q28" i="2"/>
  <c r="Q56" i="2" s="1"/>
  <c r="N28" i="2"/>
  <c r="N56" i="2" s="1"/>
  <c r="V17" i="2"/>
  <c r="V45" i="2" s="1"/>
  <c r="Q17" i="2"/>
  <c r="Q45" i="2" s="1"/>
  <c r="U17" i="2"/>
  <c r="U45" i="2" s="1"/>
  <c r="P17" i="2"/>
  <c r="P45" i="2" s="1"/>
  <c r="T17" i="2"/>
  <c r="T45" i="2" s="1"/>
  <c r="O17" i="2"/>
  <c r="O45" i="2" s="1"/>
  <c r="S17" i="2"/>
  <c r="S45" i="2" s="1"/>
  <c r="Z17" i="2"/>
  <c r="Z45" i="2" s="1"/>
  <c r="R17" i="2"/>
  <c r="R45" i="2" s="1"/>
  <c r="L17" i="2"/>
  <c r="L45" i="2" s="1"/>
  <c r="Y17" i="2"/>
  <c r="Y45" i="2" s="1"/>
  <c r="M17" i="2"/>
  <c r="M45" i="2" s="1"/>
  <c r="X17" i="2"/>
  <c r="X45" i="2" s="1"/>
  <c r="N17" i="2"/>
  <c r="N45" i="2" s="1"/>
  <c r="W17" i="2"/>
  <c r="W45" i="2" s="1"/>
  <c r="Z21" i="2"/>
  <c r="Z49" i="2" s="1"/>
  <c r="R21" i="2"/>
  <c r="R49" i="2" s="1"/>
  <c r="L21" i="2"/>
  <c r="L49" i="2" s="1"/>
  <c r="Y21" i="2"/>
  <c r="Y49" i="2" s="1"/>
  <c r="M21" i="2"/>
  <c r="M49" i="2" s="1"/>
  <c r="X21" i="2"/>
  <c r="X49" i="2" s="1"/>
  <c r="N21" i="2"/>
  <c r="N49" i="2" s="1"/>
  <c r="W21" i="2"/>
  <c r="W49" i="2" s="1"/>
  <c r="V21" i="2"/>
  <c r="V49" i="2" s="1"/>
  <c r="Q21" i="2"/>
  <c r="Q49" i="2" s="1"/>
  <c r="U21" i="2"/>
  <c r="U49" i="2" s="1"/>
  <c r="P21" i="2"/>
  <c r="P49" i="2" s="1"/>
  <c r="T21" i="2"/>
  <c r="T49" i="2" s="1"/>
  <c r="O21" i="2"/>
  <c r="O49" i="2" s="1"/>
  <c r="S21" i="2"/>
  <c r="S49" i="2" s="1"/>
  <c r="V25" i="2"/>
  <c r="V53" i="2" s="1"/>
  <c r="Q25" i="2"/>
  <c r="Q53" i="2" s="1"/>
  <c r="U25" i="2"/>
  <c r="U53" i="2" s="1"/>
  <c r="P25" i="2"/>
  <c r="P53" i="2" s="1"/>
  <c r="T25" i="2"/>
  <c r="T53" i="2" s="1"/>
  <c r="O25" i="2"/>
  <c r="O53" i="2" s="1"/>
  <c r="S25" i="2"/>
  <c r="S53" i="2" s="1"/>
  <c r="Z25" i="2"/>
  <c r="Z53" i="2" s="1"/>
  <c r="R25" i="2"/>
  <c r="R53" i="2" s="1"/>
  <c r="L25" i="2"/>
  <c r="L53" i="2" s="1"/>
  <c r="Y25" i="2"/>
  <c r="Y53" i="2" s="1"/>
  <c r="M25" i="2"/>
  <c r="M53" i="2" s="1"/>
  <c r="X25" i="2"/>
  <c r="X53" i="2" s="1"/>
  <c r="N25" i="2"/>
  <c r="N53" i="2" s="1"/>
  <c r="W25" i="2"/>
  <c r="W53" i="2" s="1"/>
  <c r="J18" i="2"/>
  <c r="J46" i="2" s="1"/>
  <c r="I18" i="2"/>
  <c r="I46" i="2" s="1"/>
  <c r="K18" i="2"/>
  <c r="K46" i="2" s="1"/>
  <c r="J25" i="2"/>
  <c r="J53" i="2" s="1"/>
  <c r="K25" i="2"/>
  <c r="K53" i="2" s="1"/>
  <c r="I25" i="2"/>
  <c r="I53" i="2" s="1"/>
  <c r="J26" i="2"/>
  <c r="J54" i="2" s="1"/>
  <c r="I26" i="2"/>
  <c r="I54" i="2" s="1"/>
  <c r="K26" i="2"/>
  <c r="K54" i="2" s="1"/>
  <c r="I22" i="2"/>
  <c r="I50" i="2" s="1"/>
  <c r="J22" i="2"/>
  <c r="J50" i="2" s="1"/>
  <c r="K22" i="2"/>
  <c r="K50" i="2" s="1"/>
  <c r="J19" i="2"/>
  <c r="J47" i="2" s="1"/>
  <c r="K19" i="2"/>
  <c r="K47" i="2" s="1"/>
  <c r="I19" i="2"/>
  <c r="I47" i="2" s="1"/>
  <c r="J23" i="2"/>
  <c r="J51" i="2" s="1"/>
  <c r="K23" i="2"/>
  <c r="K51" i="2" s="1"/>
  <c r="I23" i="2"/>
  <c r="I51" i="2" s="1"/>
  <c r="J27" i="2"/>
  <c r="J55" i="2" s="1"/>
  <c r="K27" i="2"/>
  <c r="K55" i="2" s="1"/>
  <c r="I27" i="2"/>
  <c r="I55" i="2" s="1"/>
  <c r="J16" i="2"/>
  <c r="J44" i="2" s="1"/>
  <c r="K16" i="2"/>
  <c r="K44" i="2" s="1"/>
  <c r="I16" i="2"/>
  <c r="I44" i="2" s="1"/>
  <c r="I20" i="2"/>
  <c r="I48" i="2" s="1"/>
  <c r="J20" i="2"/>
  <c r="J48" i="2" s="1"/>
  <c r="K20" i="2"/>
  <c r="K48" i="2" s="1"/>
  <c r="J24" i="2"/>
  <c r="J52" i="2" s="1"/>
  <c r="K24" i="2"/>
  <c r="K52" i="2" s="1"/>
  <c r="I24" i="2"/>
  <c r="I52" i="2" s="1"/>
  <c r="I28" i="2"/>
  <c r="I56" i="2" s="1"/>
  <c r="J28" i="2"/>
  <c r="J56" i="2" s="1"/>
  <c r="J17" i="2"/>
  <c r="J45" i="2" s="1"/>
  <c r="K17" i="2"/>
  <c r="K45" i="2" s="1"/>
  <c r="I17" i="2"/>
  <c r="I45" i="2" s="1"/>
  <c r="I21" i="2"/>
  <c r="I49" i="2" s="1"/>
  <c r="J21" i="2"/>
  <c r="J49" i="2" s="1"/>
  <c r="K21" i="2"/>
  <c r="K49" i="2" s="1"/>
  <c r="H15" i="1" l="1"/>
  <c r="H16" i="1" s="1"/>
  <c r="H18" i="1" s="1"/>
  <c r="I79" i="2"/>
  <c r="I105" i="2" s="1"/>
  <c r="L74" i="2"/>
  <c r="L100" i="2" s="1"/>
  <c r="J82" i="2"/>
  <c r="J108" i="2" s="1"/>
  <c r="N80" i="2"/>
  <c r="N106" i="2" s="1"/>
  <c r="I77" i="2"/>
  <c r="I103" i="2" s="1"/>
  <c r="I83" i="2"/>
  <c r="I109" i="2" s="1"/>
  <c r="L77" i="2"/>
  <c r="L103" i="2" s="1"/>
  <c r="K76" i="2"/>
  <c r="K102" i="2" s="1"/>
  <c r="N76" i="2"/>
  <c r="N102" i="2" s="1"/>
  <c r="M79" i="2"/>
  <c r="M105" i="2" s="1"/>
  <c r="K75" i="2"/>
  <c r="K101" i="2" s="1"/>
  <c r="N83" i="2"/>
  <c r="N109" i="2" s="1"/>
  <c r="L83" i="2"/>
  <c r="L109" i="2" s="1"/>
  <c r="M78" i="2"/>
  <c r="M104" i="2" s="1"/>
  <c r="J81" i="2"/>
  <c r="J107" i="2" s="1"/>
  <c r="K80" i="2"/>
  <c r="K106" i="2" s="1"/>
  <c r="I78" i="2"/>
  <c r="I104" i="2" s="1"/>
  <c r="M73" i="2"/>
  <c r="M99" i="2" s="1"/>
  <c r="N84" i="2"/>
  <c r="N110" i="2" s="1"/>
  <c r="L78" i="2"/>
  <c r="L104" i="2" s="1"/>
  <c r="I74" i="2"/>
  <c r="I100" i="2" s="1"/>
  <c r="L81" i="2"/>
  <c r="L107" i="2" s="1"/>
  <c r="K84" i="2"/>
  <c r="K110" i="2" s="1"/>
  <c r="K74" i="2"/>
  <c r="K100" i="2" s="1"/>
  <c r="I82" i="2"/>
  <c r="I108" i="2" s="1"/>
  <c r="M80" i="2"/>
  <c r="M106" i="2" s="1"/>
  <c r="M83" i="2"/>
  <c r="M109" i="2" s="1"/>
  <c r="K81" i="2"/>
  <c r="K107" i="2" s="1"/>
  <c r="L79" i="2"/>
  <c r="L105" i="2" s="1"/>
  <c r="L73" i="2"/>
  <c r="L99" i="2" s="1"/>
  <c r="I73" i="2"/>
  <c r="N77" i="2"/>
  <c r="N103" i="2" s="1"/>
  <c r="N73" i="2"/>
  <c r="N99" i="2" s="1"/>
  <c r="Y42" i="2"/>
  <c r="Y41" i="2"/>
  <c r="Y40" i="2"/>
  <c r="Y43" i="2"/>
  <c r="Y37" i="2"/>
  <c r="Y35" i="2"/>
  <c r="Y36" i="2"/>
  <c r="Y39" i="2"/>
  <c r="Y38" i="2"/>
  <c r="T37" i="2"/>
  <c r="T40" i="2"/>
  <c r="T36" i="2"/>
  <c r="T41" i="2"/>
  <c r="T35" i="2"/>
  <c r="T38" i="2"/>
  <c r="T42" i="2"/>
  <c r="T39" i="2"/>
  <c r="T43" i="2"/>
  <c r="L76" i="2"/>
  <c r="L102" i="2" s="1"/>
  <c r="J79" i="2"/>
  <c r="J105" i="2" s="1"/>
  <c r="N75" i="2"/>
  <c r="N101" i="2" s="1"/>
  <c r="L75" i="2"/>
  <c r="L101" i="2" s="1"/>
  <c r="M36" i="2"/>
  <c r="M37" i="2"/>
  <c r="M38" i="2"/>
  <c r="M42" i="2"/>
  <c r="M43" i="2"/>
  <c r="M39" i="2"/>
  <c r="M40" i="2"/>
  <c r="M41" i="2"/>
  <c r="M35" i="2"/>
  <c r="I76" i="2"/>
  <c r="N81" i="2"/>
  <c r="N107" i="2" s="1"/>
  <c r="K73" i="2"/>
  <c r="K99" i="2" s="1"/>
  <c r="L84" i="2"/>
  <c r="L110" i="2" s="1"/>
  <c r="R40" i="2"/>
  <c r="R36" i="2"/>
  <c r="R35" i="2"/>
  <c r="R38" i="2"/>
  <c r="R37" i="2"/>
  <c r="R43" i="2"/>
  <c r="R42" i="2"/>
  <c r="L72" i="2"/>
  <c r="L98" i="2" s="1"/>
  <c r="R41" i="2"/>
  <c r="R39" i="2"/>
  <c r="U38" i="2"/>
  <c r="U42" i="2"/>
  <c r="U43" i="2"/>
  <c r="U39" i="2"/>
  <c r="U40" i="2"/>
  <c r="U36" i="2"/>
  <c r="U41" i="2"/>
  <c r="U35" i="2"/>
  <c r="U37" i="2"/>
  <c r="M72" i="2"/>
  <c r="M98" i="2" s="1"/>
  <c r="M76" i="2"/>
  <c r="M102" i="2" s="1"/>
  <c r="K79" i="2"/>
  <c r="K105" i="2" s="1"/>
  <c r="N82" i="2"/>
  <c r="N108" i="2" s="1"/>
  <c r="M82" i="2"/>
  <c r="M108" i="2" s="1"/>
  <c r="I88" i="2"/>
  <c r="O88" i="2" s="1"/>
  <c r="I116" i="2" s="1"/>
  <c r="O62" i="2"/>
  <c r="J116" i="2" s="1"/>
  <c r="K77" i="2"/>
  <c r="K103" i="2" s="1"/>
  <c r="N79" i="2"/>
  <c r="N105" i="2" s="1"/>
  <c r="K78" i="2"/>
  <c r="K104" i="2" s="1"/>
  <c r="L80" i="2"/>
  <c r="L106" i="2" s="1"/>
  <c r="L37" i="2"/>
  <c r="L38" i="2"/>
  <c r="J72" i="2"/>
  <c r="J98" i="2" s="1"/>
  <c r="L42" i="2"/>
  <c r="L43" i="2"/>
  <c r="L39" i="2"/>
  <c r="L36" i="2"/>
  <c r="L40" i="2"/>
  <c r="L41" i="2"/>
  <c r="L35" i="2"/>
  <c r="M84" i="2"/>
  <c r="M110" i="2" s="1"/>
  <c r="J80" i="2"/>
  <c r="J106" i="2" s="1"/>
  <c r="P37" i="2"/>
  <c r="P41" i="2"/>
  <c r="P36" i="2"/>
  <c r="P35" i="2"/>
  <c r="P39" i="2"/>
  <c r="P40" i="2"/>
  <c r="P43" i="2"/>
  <c r="P42" i="2"/>
  <c r="V37" i="2"/>
  <c r="V39" i="2"/>
  <c r="V40" i="2"/>
  <c r="V43" i="2"/>
  <c r="V36" i="2"/>
  <c r="V41" i="2"/>
  <c r="V35" i="2"/>
  <c r="V38" i="2"/>
  <c r="V42" i="2"/>
  <c r="L82" i="2"/>
  <c r="L108" i="2" s="1"/>
  <c r="M75" i="2"/>
  <c r="M101" i="2" s="1"/>
  <c r="J75" i="2"/>
  <c r="J101" i="2" s="1"/>
  <c r="P38" i="2"/>
  <c r="I43" i="2"/>
  <c r="I42" i="2"/>
  <c r="I39" i="2"/>
  <c r="I41" i="2"/>
  <c r="I36" i="2"/>
  <c r="I40" i="2"/>
  <c r="I37" i="2"/>
  <c r="I38" i="2"/>
  <c r="I35" i="2"/>
  <c r="I72" i="2"/>
  <c r="Z40" i="2"/>
  <c r="Z37" i="2"/>
  <c r="Z38" i="2"/>
  <c r="Z43" i="2"/>
  <c r="Z36" i="2"/>
  <c r="Z41" i="2"/>
  <c r="Z35" i="2"/>
  <c r="Z42" i="2"/>
  <c r="Z39" i="2"/>
  <c r="I84" i="2"/>
  <c r="K36" i="2"/>
  <c r="K38" i="2"/>
  <c r="K42" i="2"/>
  <c r="K43" i="2"/>
  <c r="K35" i="2"/>
  <c r="K39" i="2"/>
  <c r="K40" i="2"/>
  <c r="K37" i="2"/>
  <c r="K41" i="2"/>
  <c r="I80" i="2"/>
  <c r="J36" i="2"/>
  <c r="J39" i="2"/>
  <c r="J37" i="2"/>
  <c r="J43" i="2"/>
  <c r="J41" i="2"/>
  <c r="J42" i="2"/>
  <c r="J35" i="2"/>
  <c r="J38" i="2"/>
  <c r="J40" i="2"/>
  <c r="I75" i="2"/>
  <c r="I81" i="2"/>
  <c r="J84" i="2"/>
  <c r="J110" i="2" s="1"/>
  <c r="S40" i="2"/>
  <c r="S39" i="2"/>
  <c r="S35" i="2"/>
  <c r="S38" i="2"/>
  <c r="S36" i="2"/>
  <c r="S37" i="2"/>
  <c r="S41" i="2"/>
  <c r="S42" i="2"/>
  <c r="S43" i="2"/>
  <c r="W37" i="2"/>
  <c r="W41" i="2"/>
  <c r="W35" i="2"/>
  <c r="W43" i="2"/>
  <c r="W36" i="2"/>
  <c r="W42" i="2"/>
  <c r="W40" i="2"/>
  <c r="W38" i="2"/>
  <c r="K82" i="2"/>
  <c r="K108" i="2" s="1"/>
  <c r="J83" i="2"/>
  <c r="J109" i="2" s="1"/>
  <c r="J74" i="2"/>
  <c r="J100" i="2" s="1"/>
  <c r="K72" i="2"/>
  <c r="K98" i="2" s="1"/>
  <c r="O37" i="2"/>
  <c r="O42" i="2"/>
  <c r="O41" i="2"/>
  <c r="O43" i="2"/>
  <c r="O35" i="2"/>
  <c r="O40" i="2"/>
  <c r="O36" i="2"/>
  <c r="O38" i="2"/>
  <c r="M81" i="2"/>
  <c r="M107" i="2" s="1"/>
  <c r="J76" i="2"/>
  <c r="J102" i="2" s="1"/>
  <c r="M77" i="2"/>
  <c r="M103" i="2" s="1"/>
  <c r="J77" i="2"/>
  <c r="J103" i="2" s="1"/>
  <c r="J73" i="2"/>
  <c r="J99" i="2" s="1"/>
  <c r="N40" i="2"/>
  <c r="N41" i="2"/>
  <c r="N35" i="2"/>
  <c r="N37" i="2"/>
  <c r="N38" i="2"/>
  <c r="N42" i="2"/>
  <c r="N36" i="2"/>
  <c r="N43" i="2"/>
  <c r="N39" i="2"/>
  <c r="K83" i="2"/>
  <c r="K109" i="2" s="1"/>
  <c r="J78" i="2"/>
  <c r="J104" i="2" s="1"/>
  <c r="N78" i="2"/>
  <c r="N104" i="2" s="1"/>
  <c r="N74" i="2"/>
  <c r="N100" i="2" s="1"/>
  <c r="M74" i="2"/>
  <c r="M100" i="2" s="1"/>
  <c r="N72" i="2"/>
  <c r="N98" i="2" s="1"/>
  <c r="X37" i="2"/>
  <c r="X41" i="2"/>
  <c r="X36" i="2"/>
  <c r="X35" i="2"/>
  <c r="X43" i="2"/>
  <c r="X42" i="2"/>
  <c r="X40" i="2"/>
  <c r="N68" i="2" s="1"/>
  <c r="N94" i="2" s="1"/>
  <c r="X39" i="2"/>
  <c r="Q41" i="2"/>
  <c r="Q43" i="2"/>
  <c r="Q35" i="2"/>
  <c r="Q38" i="2"/>
  <c r="Q37" i="2"/>
  <c r="Q36" i="2"/>
  <c r="Q42" i="2"/>
  <c r="Q40" i="2"/>
  <c r="Q39" i="2"/>
  <c r="O39" i="2"/>
  <c r="F46" i="1"/>
  <c r="F5" i="3" s="1"/>
  <c r="F3" i="3"/>
  <c r="E3" i="3"/>
  <c r="E46" i="1"/>
  <c r="E5" i="3" s="1"/>
  <c r="G3" i="3"/>
  <c r="G46" i="1"/>
  <c r="G5" i="3" s="1"/>
  <c r="D46" i="1"/>
  <c r="D5" i="3" s="1"/>
  <c r="D3" i="3"/>
  <c r="C46" i="1"/>
  <c r="C5" i="3" s="1"/>
  <c r="C3" i="3"/>
  <c r="B46" i="1"/>
  <c r="B5" i="3" s="1"/>
  <c r="B3" i="3"/>
  <c r="H46" i="1"/>
  <c r="H5" i="3" s="1"/>
  <c r="H3" i="3"/>
  <c r="H17" i="1"/>
  <c r="D16" i="1"/>
  <c r="D18" i="1" s="1"/>
  <c r="F16" i="1"/>
  <c r="F18" i="1" s="1"/>
  <c r="B16" i="1"/>
  <c r="B18" i="1" s="1"/>
  <c r="E16" i="1"/>
  <c r="E18" i="1" s="1"/>
  <c r="G16" i="1"/>
  <c r="G18" i="1" s="1"/>
  <c r="C16" i="1"/>
  <c r="C18" i="1" s="1"/>
  <c r="I15" i="1" l="1"/>
  <c r="I16" i="1" s="1"/>
  <c r="I18" i="1" s="1"/>
  <c r="C7" i="3"/>
  <c r="G47" i="1"/>
  <c r="H47" i="1"/>
  <c r="D47" i="1"/>
  <c r="B6" i="3"/>
  <c r="H6" i="3"/>
  <c r="H7" i="3"/>
  <c r="G6" i="3"/>
  <c r="G7" i="3"/>
  <c r="D6" i="3"/>
  <c r="D7" i="3"/>
  <c r="F6" i="3"/>
  <c r="F7" i="3"/>
  <c r="E6" i="3"/>
  <c r="E7" i="3"/>
  <c r="E47" i="1"/>
  <c r="F47" i="1"/>
  <c r="M68" i="2"/>
  <c r="M94" i="2" s="1"/>
  <c r="N64" i="2"/>
  <c r="N90" i="2" s="1"/>
  <c r="N65" i="2"/>
  <c r="N91" i="2" s="1"/>
  <c r="N66" i="2"/>
  <c r="N92" i="2" s="1"/>
  <c r="O105" i="2"/>
  <c r="M122" i="2" s="1"/>
  <c r="M63" i="2"/>
  <c r="M89" i="2" s="1"/>
  <c r="N69" i="2"/>
  <c r="N95" i="2" s="1"/>
  <c r="N67" i="2"/>
  <c r="N93" i="2" s="1"/>
  <c r="I71" i="2"/>
  <c r="I97" i="2" s="1"/>
  <c r="M70" i="2"/>
  <c r="M96" i="2" s="1"/>
  <c r="M65" i="2"/>
  <c r="M91" i="2" s="1"/>
  <c r="L63" i="2"/>
  <c r="L89" i="2" s="1"/>
  <c r="O78" i="2"/>
  <c r="N121" i="2" s="1"/>
  <c r="N63" i="2"/>
  <c r="N89" i="2" s="1"/>
  <c r="J65" i="2"/>
  <c r="J91" i="2" s="1"/>
  <c r="K64" i="2"/>
  <c r="K90" i="2" s="1"/>
  <c r="I68" i="2"/>
  <c r="I94" i="2" s="1"/>
  <c r="I70" i="2"/>
  <c r="I96" i="2" s="1"/>
  <c r="K68" i="2"/>
  <c r="K94" i="2" s="1"/>
  <c r="I64" i="2"/>
  <c r="J68" i="2"/>
  <c r="J94" i="2" s="1"/>
  <c r="L67" i="2"/>
  <c r="L93" i="2" s="1"/>
  <c r="L64" i="2"/>
  <c r="O104" i="2"/>
  <c r="M121" i="2" s="1"/>
  <c r="O77" i="2"/>
  <c r="N120" i="2" s="1"/>
  <c r="K63" i="2"/>
  <c r="K89" i="2" s="1"/>
  <c r="I110" i="2"/>
  <c r="O110" i="2" s="1"/>
  <c r="M127" i="2" s="1"/>
  <c r="O84" i="2"/>
  <c r="N127" i="2" s="1"/>
  <c r="J64" i="2"/>
  <c r="J90" i="2" s="1"/>
  <c r="O82" i="2"/>
  <c r="N125" i="2" s="1"/>
  <c r="M69" i="2"/>
  <c r="M95" i="2" s="1"/>
  <c r="L69" i="2"/>
  <c r="L95" i="2" s="1"/>
  <c r="L68" i="2"/>
  <c r="L94" i="2" s="1"/>
  <c r="N70" i="2"/>
  <c r="N96" i="2" s="1"/>
  <c r="O103" i="2"/>
  <c r="M120" i="2" s="1"/>
  <c r="M66" i="2"/>
  <c r="M92" i="2" s="1"/>
  <c r="I69" i="2"/>
  <c r="I67" i="2"/>
  <c r="J67" i="2"/>
  <c r="J93" i="2" s="1"/>
  <c r="O108" i="2"/>
  <c r="M125" i="2" s="1"/>
  <c r="I99" i="2"/>
  <c r="O99" i="2" s="1"/>
  <c r="M116" i="2" s="1"/>
  <c r="O73" i="2"/>
  <c r="N116" i="2" s="1"/>
  <c r="N71" i="2"/>
  <c r="N97" i="2" s="1"/>
  <c r="K69" i="2"/>
  <c r="K95" i="2" s="1"/>
  <c r="I98" i="2"/>
  <c r="O98" i="2" s="1"/>
  <c r="O72" i="2"/>
  <c r="J71" i="2"/>
  <c r="J97" i="2" s="1"/>
  <c r="L70" i="2"/>
  <c r="L96" i="2" s="1"/>
  <c r="O80" i="2"/>
  <c r="N123" i="2" s="1"/>
  <c r="I106" i="2"/>
  <c r="O106" i="2" s="1"/>
  <c r="M123" i="2" s="1"/>
  <c r="K67" i="2"/>
  <c r="K93" i="2" s="1"/>
  <c r="K70" i="2"/>
  <c r="K96" i="2" s="1"/>
  <c r="I107" i="2"/>
  <c r="O107" i="2" s="1"/>
  <c r="M124" i="2" s="1"/>
  <c r="O81" i="2"/>
  <c r="N124" i="2" s="1"/>
  <c r="I63" i="2"/>
  <c r="J70" i="2"/>
  <c r="J96" i="2" s="1"/>
  <c r="M67" i="2"/>
  <c r="M93" i="2" s="1"/>
  <c r="L71" i="2"/>
  <c r="L97" i="2" s="1"/>
  <c r="O109" i="2"/>
  <c r="M126" i="2" s="1"/>
  <c r="J69" i="2"/>
  <c r="J95" i="2" s="1"/>
  <c r="M64" i="2"/>
  <c r="M90" i="2" s="1"/>
  <c r="O75" i="2"/>
  <c r="N118" i="2" s="1"/>
  <c r="I101" i="2"/>
  <c r="O101" i="2" s="1"/>
  <c r="M118" i="2" s="1"/>
  <c r="I66" i="2"/>
  <c r="O74" i="2"/>
  <c r="N117" i="2" s="1"/>
  <c r="K71" i="2"/>
  <c r="K97" i="2" s="1"/>
  <c r="M71" i="2"/>
  <c r="M97" i="2" s="1"/>
  <c r="L65" i="2"/>
  <c r="L91" i="2" s="1"/>
  <c r="O76" i="2"/>
  <c r="N119" i="2" s="1"/>
  <c r="I102" i="2"/>
  <c r="O102" i="2" s="1"/>
  <c r="M119" i="2" s="1"/>
  <c r="O83" i="2"/>
  <c r="N126" i="2" s="1"/>
  <c r="K65" i="2"/>
  <c r="K91" i="2" s="1"/>
  <c r="K66" i="2"/>
  <c r="K92" i="2" s="1"/>
  <c r="I65" i="2"/>
  <c r="O100" i="2"/>
  <c r="M117" i="2" s="1"/>
  <c r="J63" i="2"/>
  <c r="J89" i="2" s="1"/>
  <c r="J66" i="2"/>
  <c r="J92" i="2" s="1"/>
  <c r="O79" i="2"/>
  <c r="N122" i="2" s="1"/>
  <c r="L66" i="2"/>
  <c r="L92" i="2" s="1"/>
  <c r="C47" i="1"/>
  <c r="C6" i="3"/>
  <c r="B47" i="1"/>
  <c r="I17" i="1"/>
  <c r="J15" i="1"/>
  <c r="O96" i="2" l="1"/>
  <c r="I124" i="2" s="1"/>
  <c r="O71" i="2"/>
  <c r="J125" i="2" s="1"/>
  <c r="I93" i="2"/>
  <c r="O93" i="2" s="1"/>
  <c r="I121" i="2" s="1"/>
  <c r="O67" i="2"/>
  <c r="J121" i="2" s="1"/>
  <c r="O97" i="2"/>
  <c r="I125" i="2" s="1"/>
  <c r="I91" i="2"/>
  <c r="O91" i="2" s="1"/>
  <c r="I119" i="2" s="1"/>
  <c r="O65" i="2"/>
  <c r="J119" i="2" s="1"/>
  <c r="I92" i="2"/>
  <c r="O92" i="2" s="1"/>
  <c r="I120" i="2" s="1"/>
  <c r="O66" i="2"/>
  <c r="J120" i="2" s="1"/>
  <c r="I89" i="2"/>
  <c r="O89" i="2" s="1"/>
  <c r="I117" i="2" s="1"/>
  <c r="O63" i="2"/>
  <c r="J117" i="2" s="1"/>
  <c r="O68" i="2"/>
  <c r="J122" i="2" s="1"/>
  <c r="I95" i="2"/>
  <c r="O95" i="2" s="1"/>
  <c r="I123" i="2" s="1"/>
  <c r="O69" i="2"/>
  <c r="J123" i="2" s="1"/>
  <c r="J126" i="2"/>
  <c r="N115" i="2"/>
  <c r="O94" i="2"/>
  <c r="I122" i="2" s="1"/>
  <c r="O70" i="2"/>
  <c r="J124" i="2" s="1"/>
  <c r="I90" i="2"/>
  <c r="O90" i="2" s="1"/>
  <c r="I118" i="2" s="1"/>
  <c r="O64" i="2"/>
  <c r="J118" i="2" s="1"/>
  <c r="M115" i="2"/>
  <c r="I126" i="2"/>
  <c r="J17" i="1"/>
  <c r="K15" i="1"/>
  <c r="J16" i="1"/>
  <c r="J18" i="1" s="1"/>
  <c r="L15" i="1" l="1"/>
  <c r="K17" i="1"/>
  <c r="K16" i="1"/>
  <c r="K18" i="1" s="1"/>
  <c r="L17" i="1" l="1"/>
  <c r="L16" i="1"/>
  <c r="L18" i="1" s="1"/>
  <c r="I21" i="1" l="1"/>
</calcChain>
</file>

<file path=xl/sharedStrings.xml><?xml version="1.0" encoding="utf-8"?>
<sst xmlns="http://schemas.openxmlformats.org/spreadsheetml/2006/main" count="238" uniqueCount="124">
  <si>
    <t>Budgeting</t>
    <phoneticPr fontId="1" type="noConversion"/>
  </si>
  <si>
    <t>Year</t>
    <phoneticPr fontId="1" type="noConversion"/>
  </si>
  <si>
    <t>Budget</t>
    <phoneticPr fontId="1" type="noConversion"/>
  </si>
  <si>
    <t>Parameters</t>
    <phoneticPr fontId="1" type="noConversion"/>
  </si>
  <si>
    <t>GDP growth rate</t>
    <phoneticPr fontId="1" type="noConversion"/>
  </si>
  <si>
    <t>Region1</t>
  </si>
  <si>
    <t>Region1</t>
    <phoneticPr fontId="1" type="noConversion"/>
  </si>
  <si>
    <t>Region2</t>
  </si>
  <si>
    <t>Region2</t>
    <phoneticPr fontId="1" type="noConversion"/>
  </si>
  <si>
    <t>Region3</t>
  </si>
  <si>
    <t>Region3</t>
    <phoneticPr fontId="1" type="noConversion"/>
  </si>
  <si>
    <t>Region4</t>
  </si>
  <si>
    <t>Region4</t>
    <phoneticPr fontId="1" type="noConversion"/>
  </si>
  <si>
    <t>Region5</t>
  </si>
  <si>
    <t>Region5</t>
    <phoneticPr fontId="1" type="noConversion"/>
  </si>
  <si>
    <t>Region6</t>
  </si>
  <si>
    <t>Region6</t>
    <phoneticPr fontId="1" type="noConversion"/>
  </si>
  <si>
    <t>From relocation</t>
    <phoneticPr fontId="1" type="noConversion"/>
  </si>
  <si>
    <t>Involuntary</t>
    <phoneticPr fontId="1" type="noConversion"/>
  </si>
  <si>
    <t>Proactive</t>
    <phoneticPr fontId="1" type="noConversion"/>
  </si>
  <si>
    <t>Total</t>
    <phoneticPr fontId="1" type="noConversion"/>
  </si>
  <si>
    <t>Miscellaneous</t>
    <phoneticPr fontId="1" type="noConversion"/>
  </si>
  <si>
    <t>The probability in each scenario</t>
    <phoneticPr fontId="1" type="noConversion"/>
  </si>
  <si>
    <t>#small</t>
  </si>
  <si>
    <t>#small</t>
    <phoneticPr fontId="1" type="noConversion"/>
  </si>
  <si>
    <t>#medium</t>
  </si>
  <si>
    <t>#medium</t>
    <phoneticPr fontId="1" type="noConversion"/>
  </si>
  <si>
    <t>#big</t>
  </si>
  <si>
    <t>#big</t>
    <phoneticPr fontId="1" type="noConversion"/>
  </si>
  <si>
    <t>SSP1‒ 2.6</t>
  </si>
  <si>
    <t>SSP2‒3.4</t>
  </si>
  <si>
    <t>SSP3‒6.0</t>
  </si>
  <si>
    <t>SSP5‒Baseline</t>
  </si>
  <si>
    <t>Risk Amplification Factor (RAF)</t>
  </si>
  <si>
    <t>weighted average</t>
    <phoneticPr fontId="1" type="noConversion"/>
  </si>
  <si>
    <t>2&gt;5&gt;4&gt;3&gt;6&gt;1</t>
    <phoneticPr fontId="1" type="noConversion"/>
  </si>
  <si>
    <t>projected frequency</t>
    <phoneticPr fontId="1" type="noConversion"/>
  </si>
  <si>
    <t>Frequency</t>
    <phoneticPr fontId="1" type="noConversion"/>
  </si>
  <si>
    <t>damage (severity)</t>
  </si>
  <si>
    <t>average property price (K)</t>
    <phoneticPr fontId="1" type="noConversion"/>
  </si>
  <si>
    <t>cost of relocation (property price)</t>
    <phoneticPr fontId="1" type="noConversion"/>
  </si>
  <si>
    <t>cost of relocation (household goods)</t>
    <phoneticPr fontId="1" type="noConversion"/>
  </si>
  <si>
    <t>cost of relocation (benefits)</t>
    <phoneticPr fontId="1" type="noConversion"/>
  </si>
  <si>
    <t>cost of relocation (total)</t>
    <phoneticPr fontId="1" type="noConversion"/>
  </si>
  <si>
    <t>3months of average household income</t>
    <phoneticPr fontId="1" type="noConversion"/>
  </si>
  <si>
    <t>household target number</t>
    <phoneticPr fontId="1" type="noConversion"/>
  </si>
  <si>
    <t>maximum intake</t>
    <phoneticPr fontId="1" type="noConversion"/>
  </si>
  <si>
    <t>number of households</t>
    <phoneticPr fontId="1" type="noConversion"/>
  </si>
  <si>
    <t>Rank (worst to best)</t>
    <phoneticPr fontId="1" type="noConversion"/>
  </si>
  <si>
    <t>voluntary bonus</t>
    <phoneticPr fontId="1" type="noConversion"/>
  </si>
  <si>
    <t>GDP (k)</t>
    <phoneticPr fontId="1" type="noConversion"/>
  </si>
  <si>
    <t>10% of GDP (k)</t>
    <phoneticPr fontId="1" type="noConversion"/>
  </si>
  <si>
    <t>9% of GDP (k)</t>
    <phoneticPr fontId="1" type="noConversion"/>
  </si>
  <si>
    <t>difference between owner occupied and total house</t>
    <phoneticPr fontId="1" type="noConversion"/>
  </si>
  <si>
    <t>% relocation target</t>
    <phoneticPr fontId="1" type="noConversion"/>
  </si>
  <si>
    <t>Target transition</t>
    <phoneticPr fontId="1" type="noConversion"/>
  </si>
  <si>
    <t>Year 1</t>
    <phoneticPr fontId="1" type="noConversion"/>
  </si>
  <si>
    <t>Year 2</t>
    <phoneticPr fontId="1" type="noConversion"/>
  </si>
  <si>
    <t>Year 3</t>
    <phoneticPr fontId="1" type="noConversion"/>
  </si>
  <si>
    <t>Year 4</t>
    <phoneticPr fontId="1" type="noConversion"/>
  </si>
  <si>
    <t>Year 5</t>
    <phoneticPr fontId="1" type="noConversion"/>
  </si>
  <si>
    <t>Year 6</t>
    <phoneticPr fontId="1" type="noConversion"/>
  </si>
  <si>
    <t>Year 7</t>
    <phoneticPr fontId="1" type="noConversion"/>
  </si>
  <si>
    <t>Total</t>
    <phoneticPr fontId="1" type="noConversion"/>
  </si>
  <si>
    <t>PV 10% GDP (B)</t>
    <phoneticPr fontId="1" type="noConversion"/>
  </si>
  <si>
    <t>Miscellaneous cost</t>
    <phoneticPr fontId="1" type="noConversion"/>
  </si>
  <si>
    <t>Voluntary relocation cost</t>
    <phoneticPr fontId="1" type="noConversion"/>
  </si>
  <si>
    <t>Proactive relocation cost</t>
    <phoneticPr fontId="1" type="noConversion"/>
  </si>
  <si>
    <t>Excess budget</t>
    <phoneticPr fontId="1" type="noConversion"/>
  </si>
  <si>
    <t>Budget - 10% GDP</t>
    <phoneticPr fontId="1" type="noConversion"/>
  </si>
  <si>
    <t>#minor</t>
    <phoneticPr fontId="1" type="noConversion"/>
  </si>
  <si>
    <t>#major</t>
    <phoneticPr fontId="1" type="noConversion"/>
  </si>
  <si>
    <t>Region</t>
    <phoneticPr fontId="1" type="noConversion"/>
  </si>
  <si>
    <t>Total (damage)</t>
  </si>
  <si>
    <t>region</t>
  </si>
  <si>
    <t>Projection on number of households</t>
    <phoneticPr fontId="1" type="noConversion"/>
  </si>
  <si>
    <t>weighting</t>
    <phoneticPr fontId="1" type="noConversion"/>
  </si>
  <si>
    <t>in millions</t>
    <phoneticPr fontId="1" type="noConversion"/>
  </si>
  <si>
    <t>Without</t>
  </si>
  <si>
    <t>Without</t>
    <phoneticPr fontId="1" type="noConversion"/>
  </si>
  <si>
    <t>With</t>
  </si>
  <si>
    <t>With</t>
    <phoneticPr fontId="1" type="noConversion"/>
  </si>
  <si>
    <t>worst</t>
  </si>
  <si>
    <t>worst</t>
    <phoneticPr fontId="1" type="noConversion"/>
  </si>
  <si>
    <t>normal</t>
  </si>
  <si>
    <t>normal</t>
    <phoneticPr fontId="1" type="noConversion"/>
  </si>
  <si>
    <t>worse</t>
  </si>
  <si>
    <t>worse</t>
    <phoneticPr fontId="1" type="noConversion"/>
  </si>
  <si>
    <t>better</t>
  </si>
  <si>
    <t>better</t>
    <phoneticPr fontId="1" type="noConversion"/>
  </si>
  <si>
    <t>best</t>
  </si>
  <si>
    <t>best</t>
    <phoneticPr fontId="1" type="noConversion"/>
  </si>
  <si>
    <t>SSP1</t>
  </si>
  <si>
    <t>SSP1</t>
    <phoneticPr fontId="1" type="noConversion"/>
  </si>
  <si>
    <t>SSP2</t>
  </si>
  <si>
    <t>SSP2</t>
    <phoneticPr fontId="1" type="noConversion"/>
  </si>
  <si>
    <t>SSP3</t>
  </si>
  <si>
    <t>SSP3</t>
    <phoneticPr fontId="1" type="noConversion"/>
  </si>
  <si>
    <t>SSP5</t>
  </si>
  <si>
    <t>SSP5</t>
    <phoneticPr fontId="1" type="noConversion"/>
  </si>
  <si>
    <t>Normal</t>
    <phoneticPr fontId="1" type="noConversion"/>
  </si>
  <si>
    <t>Worse</t>
    <phoneticPr fontId="1" type="noConversion"/>
  </si>
  <si>
    <t>Worst</t>
    <phoneticPr fontId="1" type="noConversion"/>
  </si>
  <si>
    <t>Better</t>
    <phoneticPr fontId="1" type="noConversion"/>
  </si>
  <si>
    <t>Best</t>
    <phoneticPr fontId="1" type="noConversion"/>
  </si>
  <si>
    <t>Year 1</t>
  </si>
  <si>
    <t>Year 2</t>
  </si>
  <si>
    <t>Year 3</t>
  </si>
  <si>
    <t>Year 4</t>
  </si>
  <si>
    <t>Year 5</t>
  </si>
  <si>
    <t>Year 6</t>
  </si>
  <si>
    <t>Confidence level</t>
    <phoneticPr fontId="1" type="noConversion"/>
  </si>
  <si>
    <t>Number of households requires emergency displacement each year</t>
    <phoneticPr fontId="1" type="noConversion"/>
  </si>
  <si>
    <t>Year 7 and onwards</t>
    <phoneticPr fontId="1" type="noConversion"/>
  </si>
  <si>
    <t>% of households requires emergency displacement in baseline year (2020)</t>
    <phoneticPr fontId="1" type="noConversion"/>
  </si>
  <si>
    <t>$ expense for emergency displacement</t>
    <phoneticPr fontId="1" type="noConversion"/>
  </si>
  <si>
    <t>Temporary housing cost with disaster (per household per month)</t>
  </si>
  <si>
    <t>Total ($M)</t>
    <phoneticPr fontId="1" type="noConversion"/>
  </si>
  <si>
    <t>Total ($B)</t>
    <phoneticPr fontId="1" type="noConversion"/>
  </si>
  <si>
    <t>Voluntary</t>
    <phoneticPr fontId="1" type="noConversion"/>
  </si>
  <si>
    <t>Cost (B)</t>
    <phoneticPr fontId="1" type="noConversion"/>
  </si>
  <si>
    <t>Budget  (B)</t>
    <phoneticPr fontId="1" type="noConversion"/>
  </si>
  <si>
    <t>Without the scheme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</si>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</sst>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 "/>
  </numFmts>
  <fonts count="4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b/>
      <sz val="11"/>
      <color theme="1"/>
      <name val="Calibri"/>
      <family val="2"/>
    </font>
    <font>
      <sz val="11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6" borderId="3" xfId="0" applyFill="1" applyBorder="1">
      <alignment vertical="center"/>
    </xf>
    <xf numFmtId="0" fontId="2" fillId="6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3" fillId="5" borderId="0" xfId="0" applyFont="1" applyFill="1" applyAlignment="1"/>
    <xf numFmtId="0" fontId="3" fillId="7" borderId="0" xfId="0" applyFont="1" applyFill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5" borderId="11" xfId="0" applyFont="1" applyFill="1" applyBorder="1" applyAlignment="1"/>
    <xf numFmtId="0" fontId="3" fillId="7" borderId="12" xfId="0" applyFont="1" applyFill="1" applyBorder="1" applyAlignment="1"/>
    <xf numFmtId="0" fontId="3" fillId="5" borderId="12" xfId="0" applyFont="1" applyFill="1" applyBorder="1" applyAlignment="1"/>
    <xf numFmtId="0" fontId="3" fillId="7" borderId="13" xfId="0" applyFont="1" applyFill="1" applyBorder="1" applyAlignment="1"/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0" xfId="0" applyNumberFormat="1" applyBorder="1">
      <alignment vertical="center"/>
    </xf>
    <xf numFmtId="1" fontId="0" fillId="0" borderId="0" xfId="0" applyNumberFormat="1">
      <alignment vertical="center"/>
    </xf>
    <xf numFmtId="0" fontId="0" fillId="3" borderId="1" xfId="0" applyFill="1" applyBorder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3" fontId="0" fillId="0" borderId="3" xfId="0" applyNumberFormat="1" applyBorder="1">
      <alignment vertical="center"/>
    </xf>
    <xf numFmtId="1" fontId="2" fillId="0" borderId="0" xfId="0" applyNumberFormat="1" applyFont="1">
      <alignment vertical="center"/>
    </xf>
    <xf numFmtId="2" fontId="0" fillId="0" borderId="0" xfId="0" applyNumberFormat="1">
      <alignment vertical="center"/>
    </xf>
    <xf numFmtId="0" fontId="0" fillId="0" borderId="15" xfId="0" applyBorder="1">
      <alignment vertical="center"/>
    </xf>
    <xf numFmtId="3" fontId="0" fillId="0" borderId="12" xfId="0" applyNumberFormat="1" applyBorder="1">
      <alignment vertical="center"/>
    </xf>
    <xf numFmtId="3" fontId="0" fillId="0" borderId="13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" fontId="0" fillId="0" borderId="8" xfId="0" applyNumberFormat="1" applyBorder="1">
      <alignment vertical="center"/>
    </xf>
    <xf numFmtId="2" fontId="0" fillId="0" borderId="3" xfId="0" applyNumberFormat="1" applyBorder="1">
      <alignment vertical="center"/>
    </xf>
    <xf numFmtId="2" fontId="0" fillId="0" borderId="10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0" fillId="0" borderId="0" xfId="0" applyNumberFormat="1">
      <alignment vertical="center"/>
    </xf>
    <xf numFmtId="0" fontId="0" fillId="6" borderId="1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6" borderId="1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2" fontId="0" fillId="4" borderId="0" xfId="0" applyNumberFormat="1" applyFill="1">
      <alignment vertical="center"/>
    </xf>
    <xf numFmtId="2" fontId="0" fillId="4" borderId="8" xfId="0" applyNumberFormat="1" applyFill="1" applyBorder="1">
      <alignment vertical="center"/>
    </xf>
    <xf numFmtId="0" fontId="0" fillId="4" borderId="1" xfId="0" applyFill="1" applyBorder="1">
      <alignment vertical="center"/>
    </xf>
    <xf numFmtId="2" fontId="0" fillId="4" borderId="2" xfId="0" applyNumberFormat="1" applyFill="1" applyBorder="1">
      <alignment vertical="center"/>
    </xf>
    <xf numFmtId="0" fontId="2" fillId="4" borderId="7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8" xfId="0" applyFill="1" applyBorder="1">
      <alignment vertical="center"/>
    </xf>
    <xf numFmtId="0" fontId="2" fillId="4" borderId="22" xfId="0" applyFont="1" applyFill="1" applyBorder="1">
      <alignment vertical="center"/>
    </xf>
    <xf numFmtId="0" fontId="0" fillId="4" borderId="23" xfId="0" applyFill="1" applyBorder="1">
      <alignment vertical="center"/>
    </xf>
    <xf numFmtId="0" fontId="0" fillId="4" borderId="19" xfId="0" applyFill="1" applyBorder="1">
      <alignment vertical="center"/>
    </xf>
    <xf numFmtId="2" fontId="0" fillId="4" borderId="20" xfId="0" applyNumberFormat="1" applyFill="1" applyBorder="1">
      <alignment vertical="center"/>
    </xf>
    <xf numFmtId="0" fontId="2" fillId="4" borderId="18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Projected ST economic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Sheet2!$O$87</c:f>
              <c:strCache>
                <c:ptCount val="1"/>
                <c:pt idx="0">
                  <c:v>With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Sheet2!$H$88:$H$98</c15:sqref>
                  </c15:fullRef>
                </c:ext>
              </c:extLst>
              <c:f>Sheet2!$H$88:$H$97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Sheet2!$O$88:$O$98</c15:sqref>
                  </c15:fullRef>
                </c:ext>
              </c:extLst>
              <c:f>Sheet2!$O$88:$O$97</c:f>
              <c:numCache>
                <c:formatCode>0.00</c:formatCode>
                <c:ptCount val="10"/>
                <c:pt idx="0">
                  <c:v>1023.4438549068063</c:v>
                </c:pt>
                <c:pt idx="1">
                  <c:v>1035.8645742187266</c:v>
                </c:pt>
                <c:pt idx="2">
                  <c:v>979.33574885011217</c:v>
                </c:pt>
                <c:pt idx="3">
                  <c:v>921.17301151793879</c:v>
                </c:pt>
                <c:pt idx="4">
                  <c:v>868.1339782385561</c:v>
                </c:pt>
                <c:pt idx="5">
                  <c:v>819.00968908945879</c:v>
                </c:pt>
                <c:pt idx="6">
                  <c:v>780.92908806202979</c:v>
                </c:pt>
                <c:pt idx="7">
                  <c:v>760.8234485580939</c:v>
                </c:pt>
                <c:pt idx="8">
                  <c:v>747.54819012560961</c:v>
                </c:pt>
                <c:pt idx="9">
                  <c:v>755.81770097048707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8-4770-89D3-A32D576C4898}"/>
            </c:ext>
          </c:extLst>
        </c:ser>
        <c:ser>
          <c:idx val="2"/>
          <c:order val="1"/>
          <c:tx>
            <c:strRef>
              <c:f>Sheet2!$O$61</c:f>
              <c:strCache>
                <c:ptCount val="1"/>
                <c:pt idx="0">
                  <c:v>Without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Sheet2!$H$88:$H$98</c15:sqref>
                  </c15:fullRef>
                </c:ext>
              </c:extLst>
              <c:f>Sheet2!$H$88:$H$97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Sheet2!$O$62:$O$72</c15:sqref>
                  </c15:fullRef>
                </c:ext>
              </c:extLst>
              <c:f>Sheet2!$O$62:$O$71</c:f>
              <c:numCache>
                <c:formatCode>0.00</c:formatCode>
                <c:ptCount val="10"/>
                <c:pt idx="0">
                  <c:v>1023.4438549068063</c:v>
                </c:pt>
                <c:pt idx="1">
                  <c:v>1035.8645742187266</c:v>
                </c:pt>
                <c:pt idx="2">
                  <c:v>1048.2852935306464</c:v>
                </c:pt>
                <c:pt idx="3">
                  <c:v>1060.7060128425665</c:v>
                </c:pt>
                <c:pt idx="4">
                  <c:v>1073.1267321544865</c:v>
                </c:pt>
                <c:pt idx="5">
                  <c:v>1085.5474514664065</c:v>
                </c:pt>
                <c:pt idx="6">
                  <c:v>1097.9681707783263</c:v>
                </c:pt>
                <c:pt idx="7">
                  <c:v>1110.3888900902462</c:v>
                </c:pt>
                <c:pt idx="8">
                  <c:v>1122.8096094021662</c:v>
                </c:pt>
                <c:pt idx="9">
                  <c:v>1135.2303287140862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68-4770-89D3-A32D576C4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749040"/>
        <c:axId val="736754800"/>
      </c:lineChart>
      <c:catAx>
        <c:axId val="7367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754800"/>
        <c:crosses val="autoZero"/>
        <c:auto val="1"/>
        <c:lblAlgn val="ctr"/>
        <c:lblOffset val="100"/>
        <c:noMultiLvlLbl val="0"/>
      </c:catAx>
      <c:valAx>
        <c:axId val="7367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74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Projected ST economic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Sheet2!$O$87</c:f>
              <c:strCache>
                <c:ptCount val="1"/>
                <c:pt idx="0">
                  <c:v>With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Sheet2!$H$88:$H$98</c15:sqref>
                  </c15:fullRef>
                </c:ext>
              </c:extLst>
              <c:f>Sheet2!$H$88:$H$97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Sheet2!$O$88:$O$98</c15:sqref>
                  </c15:fullRef>
                </c:ext>
              </c:extLst>
              <c:f>Sheet2!$O$88:$O$97</c:f>
              <c:numCache>
                <c:formatCode>0.00</c:formatCode>
                <c:ptCount val="10"/>
                <c:pt idx="0">
                  <c:v>1023.4438549068063</c:v>
                </c:pt>
                <c:pt idx="1">
                  <c:v>1035.8645742187266</c:v>
                </c:pt>
                <c:pt idx="2">
                  <c:v>979.33574885011217</c:v>
                </c:pt>
                <c:pt idx="3">
                  <c:v>921.17301151793879</c:v>
                </c:pt>
                <c:pt idx="4">
                  <c:v>868.1339782385561</c:v>
                </c:pt>
                <c:pt idx="5">
                  <c:v>819.00968908945879</c:v>
                </c:pt>
                <c:pt idx="6">
                  <c:v>780.92908806202979</c:v>
                </c:pt>
                <c:pt idx="7">
                  <c:v>760.8234485580939</c:v>
                </c:pt>
                <c:pt idx="8">
                  <c:v>747.54819012560961</c:v>
                </c:pt>
                <c:pt idx="9">
                  <c:v>755.81770097048707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4-463E-A4D8-387998192554}"/>
            </c:ext>
          </c:extLst>
        </c:ser>
        <c:ser>
          <c:idx val="2"/>
          <c:order val="1"/>
          <c:tx>
            <c:strRef>
              <c:f>Sheet2!$O$61</c:f>
              <c:strCache>
                <c:ptCount val="1"/>
                <c:pt idx="0">
                  <c:v>Without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Sheet2!$H$88:$H$98</c15:sqref>
                  </c15:fullRef>
                </c:ext>
              </c:extLst>
              <c:f>Sheet2!$H$88:$H$97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Sheet2!$O$62:$O$72</c15:sqref>
                  </c15:fullRef>
                </c:ext>
              </c:extLst>
              <c:f>Sheet2!$O$62:$O$71</c:f>
              <c:numCache>
                <c:formatCode>0.00</c:formatCode>
                <c:ptCount val="10"/>
                <c:pt idx="0">
                  <c:v>1023.4438549068063</c:v>
                </c:pt>
                <c:pt idx="1">
                  <c:v>1035.8645742187266</c:v>
                </c:pt>
                <c:pt idx="2">
                  <c:v>1048.2852935306464</c:v>
                </c:pt>
                <c:pt idx="3">
                  <c:v>1060.7060128425665</c:v>
                </c:pt>
                <c:pt idx="4">
                  <c:v>1073.1267321544865</c:v>
                </c:pt>
                <c:pt idx="5">
                  <c:v>1085.5474514664065</c:v>
                </c:pt>
                <c:pt idx="6">
                  <c:v>1097.9681707783263</c:v>
                </c:pt>
                <c:pt idx="7">
                  <c:v>1110.3888900902462</c:v>
                </c:pt>
                <c:pt idx="8">
                  <c:v>1122.8096094021662</c:v>
                </c:pt>
                <c:pt idx="9">
                  <c:v>1135.2303287140862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C4-463E-A4D8-387998192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749040"/>
        <c:axId val="736754800"/>
      </c:lineChart>
      <c:catAx>
        <c:axId val="7367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754800"/>
        <c:crosses val="autoZero"/>
        <c:auto val="1"/>
        <c:lblAlgn val="ctr"/>
        <c:lblOffset val="100"/>
        <c:noMultiLvlLbl val="0"/>
      </c:catAx>
      <c:valAx>
        <c:axId val="7367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74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 sz="1800" b="0" i="0" baseline="0">
                <a:effectLst/>
              </a:rPr>
              <a:t>Projected LT economic cost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Sheet2!$M$114</c:f>
              <c:strCache>
                <c:ptCount val="1"/>
                <c:pt idx="0">
                  <c:v>With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Sheet2!$L$115:$L$127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Sheet2!$M$115:$M$127</c:f>
              <c:numCache>
                <c:formatCode>0.00</c:formatCode>
                <c:ptCount val="13"/>
                <c:pt idx="0">
                  <c:v>764.08721181536453</c:v>
                </c:pt>
                <c:pt idx="1">
                  <c:v>837.76341438398049</c:v>
                </c:pt>
                <c:pt idx="2">
                  <c:v>895.10664823489901</c:v>
                </c:pt>
                <c:pt idx="3">
                  <c:v>937.08857850752156</c:v>
                </c:pt>
                <c:pt idx="4">
                  <c:v>964.23932825826648</c:v>
                </c:pt>
                <c:pt idx="5">
                  <c:v>974.19719245686599</c:v>
                </c:pt>
                <c:pt idx="6">
                  <c:v>970.18924410486352</c:v>
                </c:pt>
                <c:pt idx="7">
                  <c:v>964.06216631139114</c:v>
                </c:pt>
                <c:pt idx="8">
                  <c:v>959.32649119299356</c:v>
                </c:pt>
                <c:pt idx="9">
                  <c:v>955.97404204442989</c:v>
                </c:pt>
                <c:pt idx="10">
                  <c:v>955.14001810990908</c:v>
                </c:pt>
                <c:pt idx="11">
                  <c:v>975.03803031242023</c:v>
                </c:pt>
                <c:pt idx="12">
                  <c:v>995.75780139159133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1-4012-A907-6FC07AEE1FE3}"/>
            </c:ext>
          </c:extLst>
        </c:ser>
        <c:ser>
          <c:idx val="1"/>
          <c:order val="1"/>
          <c:tx>
            <c:strRef>
              <c:f>Sheet2!$N$114</c:f>
              <c:strCache>
                <c:ptCount val="1"/>
                <c:pt idx="0">
                  <c:v>Without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Sheet2!$L$115:$L$127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Sheet2!$N$115:$N$127</c:f>
              <c:numCache>
                <c:formatCode>0.00</c:formatCode>
                <c:ptCount val="13"/>
                <c:pt idx="0">
                  <c:v>1147.651048026006</c:v>
                </c:pt>
                <c:pt idx="1">
                  <c:v>1258.3119382816596</c:v>
                </c:pt>
                <c:pt idx="2">
                  <c:v>1344.440879335197</c:v>
                </c:pt>
                <c:pt idx="3">
                  <c:v>1407.4973021237151</c:v>
                </c:pt>
                <c:pt idx="4">
                  <c:v>1448.2774459663317</c:v>
                </c:pt>
                <c:pt idx="5">
                  <c:v>1463.2340544619401</c:v>
                </c:pt>
                <c:pt idx="6">
                  <c:v>1457.2141577073778</c:v>
                </c:pt>
                <c:pt idx="7">
                  <c:v>1448.0113505640559</c:v>
                </c:pt>
                <c:pt idx="8">
                  <c:v>1440.8984157724535</c:v>
                </c:pt>
                <c:pt idx="9">
                  <c:v>1435.8630720063122</c:v>
                </c:pt>
                <c:pt idx="10">
                  <c:v>1434.6103767279062</c:v>
                </c:pt>
                <c:pt idx="11">
                  <c:v>1464.4969841788948</c:v>
                </c:pt>
                <c:pt idx="12">
                  <c:v>1495.617864918901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1-4012-A907-6FC07AEE1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307432"/>
        <c:axId val="739309592"/>
      </c:lineChart>
      <c:catAx>
        <c:axId val="73930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309592"/>
        <c:crosses val="autoZero"/>
        <c:auto val="1"/>
        <c:lblAlgn val="ctr"/>
        <c:lblOffset val="100"/>
        <c:noMultiLvlLbl val="0"/>
      </c:catAx>
      <c:valAx>
        <c:axId val="73930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30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Projected ST economic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Sheet2!$O$87</c:f>
              <c:strCache>
                <c:ptCount val="1"/>
                <c:pt idx="0">
                  <c:v>With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Sheet2!$H$88:$H$98</c15:sqref>
                  </c15:fullRef>
                </c:ext>
              </c:extLst>
              <c:f>Sheet2!$H$88:$H$97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Sheet2!$O$88:$O$98</c15:sqref>
                  </c15:fullRef>
                </c:ext>
              </c:extLst>
              <c:f>Sheet2!$O$88:$O$97</c:f>
              <c:numCache>
                <c:formatCode>0.00</c:formatCode>
                <c:ptCount val="10"/>
                <c:pt idx="0">
                  <c:v>1023.4438549068063</c:v>
                </c:pt>
                <c:pt idx="1">
                  <c:v>1035.8645742187266</c:v>
                </c:pt>
                <c:pt idx="2">
                  <c:v>979.33574885011217</c:v>
                </c:pt>
                <c:pt idx="3">
                  <c:v>921.17301151793879</c:v>
                </c:pt>
                <c:pt idx="4">
                  <c:v>868.1339782385561</c:v>
                </c:pt>
                <c:pt idx="5">
                  <c:v>819.00968908945879</c:v>
                </c:pt>
                <c:pt idx="6">
                  <c:v>780.92908806202979</c:v>
                </c:pt>
                <c:pt idx="7">
                  <c:v>760.8234485580939</c:v>
                </c:pt>
                <c:pt idx="8">
                  <c:v>747.54819012560961</c:v>
                </c:pt>
                <c:pt idx="9">
                  <c:v>755.81770097048707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C-40B2-A61A-995BC81AD24B}"/>
            </c:ext>
          </c:extLst>
        </c:ser>
        <c:ser>
          <c:idx val="2"/>
          <c:order val="1"/>
          <c:tx>
            <c:strRef>
              <c:f>Sheet2!$O$61</c:f>
              <c:strCache>
                <c:ptCount val="1"/>
                <c:pt idx="0">
                  <c:v>Without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Sheet2!$H$88:$H$98</c15:sqref>
                  </c15:fullRef>
                </c:ext>
              </c:extLst>
              <c:f>Sheet2!$H$88:$H$97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Sheet2!$O$62:$O$72</c15:sqref>
                  </c15:fullRef>
                </c:ext>
              </c:extLst>
              <c:f>Sheet2!$O$62:$O$71</c:f>
              <c:numCache>
                <c:formatCode>0.00</c:formatCode>
                <c:ptCount val="10"/>
                <c:pt idx="0">
                  <c:v>1023.4438549068063</c:v>
                </c:pt>
                <c:pt idx="1">
                  <c:v>1035.8645742187266</c:v>
                </c:pt>
                <c:pt idx="2">
                  <c:v>1048.2852935306464</c:v>
                </c:pt>
                <c:pt idx="3">
                  <c:v>1060.7060128425665</c:v>
                </c:pt>
                <c:pt idx="4">
                  <c:v>1073.1267321544865</c:v>
                </c:pt>
                <c:pt idx="5">
                  <c:v>1085.5474514664065</c:v>
                </c:pt>
                <c:pt idx="6">
                  <c:v>1097.9681707783263</c:v>
                </c:pt>
                <c:pt idx="7">
                  <c:v>1110.3888900902462</c:v>
                </c:pt>
                <c:pt idx="8">
                  <c:v>1122.8096094021662</c:v>
                </c:pt>
                <c:pt idx="9">
                  <c:v>1135.2303287140862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C-40B2-A61A-995BC81A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749040"/>
        <c:axId val="736754800"/>
      </c:lineChart>
      <c:catAx>
        <c:axId val="7367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754800"/>
        <c:crosses val="autoZero"/>
        <c:auto val="1"/>
        <c:lblAlgn val="ctr"/>
        <c:lblOffset val="100"/>
        <c:noMultiLvlLbl val="0"/>
      </c:catAx>
      <c:valAx>
        <c:axId val="7367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674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 sz="1800" b="0" i="0" baseline="0">
                <a:effectLst/>
              </a:rPr>
              <a:t>Projected LT economic cost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Sheet2!$M$114</c:f>
              <c:strCache>
                <c:ptCount val="1"/>
                <c:pt idx="0">
                  <c:v>With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Sheet2!$L$115:$L$127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Sheet2!$M$115:$M$127</c:f>
              <c:numCache>
                <c:formatCode>0.00</c:formatCode>
                <c:ptCount val="13"/>
                <c:pt idx="0">
                  <c:v>764.08721181536453</c:v>
                </c:pt>
                <c:pt idx="1">
                  <c:v>837.76341438398049</c:v>
                </c:pt>
                <c:pt idx="2">
                  <c:v>895.10664823489901</c:v>
                </c:pt>
                <c:pt idx="3">
                  <c:v>937.08857850752156</c:v>
                </c:pt>
                <c:pt idx="4">
                  <c:v>964.23932825826648</c:v>
                </c:pt>
                <c:pt idx="5">
                  <c:v>974.19719245686599</c:v>
                </c:pt>
                <c:pt idx="6">
                  <c:v>970.18924410486352</c:v>
                </c:pt>
                <c:pt idx="7">
                  <c:v>964.06216631139114</c:v>
                </c:pt>
                <c:pt idx="8">
                  <c:v>959.32649119299356</c:v>
                </c:pt>
                <c:pt idx="9">
                  <c:v>955.97404204442989</c:v>
                </c:pt>
                <c:pt idx="10">
                  <c:v>955.14001810990908</c:v>
                </c:pt>
                <c:pt idx="11">
                  <c:v>975.03803031242023</c:v>
                </c:pt>
                <c:pt idx="12">
                  <c:v>995.75780139159133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8-419C-9172-56718DF57CC5}"/>
            </c:ext>
          </c:extLst>
        </c:ser>
        <c:ser>
          <c:idx val="1"/>
          <c:order val="1"/>
          <c:tx>
            <c:strRef>
              <c:f>Sheet2!$N$114</c:f>
              <c:strCache>
                <c:ptCount val="1"/>
                <c:pt idx="0">
                  <c:v>Without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Sheet2!$L$115:$L$127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Sheet2!$N$115:$N$127</c:f>
              <c:numCache>
                <c:formatCode>0.00</c:formatCode>
                <c:ptCount val="13"/>
                <c:pt idx="0">
                  <c:v>1147.651048026006</c:v>
                </c:pt>
                <c:pt idx="1">
                  <c:v>1258.3119382816596</c:v>
                </c:pt>
                <c:pt idx="2">
                  <c:v>1344.440879335197</c:v>
                </c:pt>
                <c:pt idx="3">
                  <c:v>1407.4973021237151</c:v>
                </c:pt>
                <c:pt idx="4">
                  <c:v>1448.2774459663317</c:v>
                </c:pt>
                <c:pt idx="5">
                  <c:v>1463.2340544619401</c:v>
                </c:pt>
                <c:pt idx="6">
                  <c:v>1457.2141577073778</c:v>
                </c:pt>
                <c:pt idx="7">
                  <c:v>1448.0113505640559</c:v>
                </c:pt>
                <c:pt idx="8">
                  <c:v>1440.8984157724535</c:v>
                </c:pt>
                <c:pt idx="9">
                  <c:v>1435.8630720063122</c:v>
                </c:pt>
                <c:pt idx="10">
                  <c:v>1434.6103767279062</c:v>
                </c:pt>
                <c:pt idx="11">
                  <c:v>1464.4969841788948</c:v>
                </c:pt>
                <c:pt idx="12">
                  <c:v>1495.617864918901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8-419C-9172-56718DF57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307432"/>
        <c:axId val="739309592"/>
      </c:lineChart>
      <c:catAx>
        <c:axId val="73930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309592"/>
        <c:crosses val="autoZero"/>
        <c:auto val="1"/>
        <c:lblAlgn val="ctr"/>
        <c:lblOffset val="100"/>
        <c:noMultiLvlLbl val="0"/>
      </c:catAx>
      <c:valAx>
        <c:axId val="73930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30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Scenario Analysis - LT Economic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Sheet2!$I$150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Sheet2!$H$151:$H$163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Sheet2!$I$151:$I$163</c:f>
              <c:numCache>
                <c:formatCode>General</c:formatCode>
                <c:ptCount val="13"/>
                <c:pt idx="0">
                  <c:v>773.00731584053665</c:v>
                </c:pt>
                <c:pt idx="1">
                  <c:v>867.70514619011522</c:v>
                </c:pt>
                <c:pt idx="2">
                  <c:v>960.3553932690769</c:v>
                </c:pt>
                <c:pt idx="3">
                  <c:v>1054.0774701266344</c:v>
                </c:pt>
                <c:pt idx="4">
                  <c:v>1150.1483055644965</c:v>
                </c:pt>
                <c:pt idx="5">
                  <c:v>1248.4111793988886</c:v>
                </c:pt>
                <c:pt idx="6">
                  <c:v>1351.8103869084584</c:v>
                </c:pt>
                <c:pt idx="7">
                  <c:v>1465.8931412067132</c:v>
                </c:pt>
                <c:pt idx="8">
                  <c:v>1593.7475113061096</c:v>
                </c:pt>
                <c:pt idx="9">
                  <c:v>1735.3728158145452</c:v>
                </c:pt>
                <c:pt idx="10">
                  <c:v>1891.335291569917</c:v>
                </c:pt>
                <c:pt idx="11">
                  <c:v>2070.7410626416163</c:v>
                </c:pt>
                <c:pt idx="12">
                  <c:v>2263.6363531836637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E-409A-9766-5629E0E08A67}"/>
            </c:ext>
          </c:extLst>
        </c:ser>
        <c:ser>
          <c:idx val="1"/>
          <c:order val="1"/>
          <c:tx>
            <c:strRef>
              <c:f>Sheet2!$J$150</c:f>
              <c:strCache>
                <c:ptCount val="1"/>
                <c:pt idx="0">
                  <c:v>Worse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Sheet2!$H$151:$H$163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Sheet2!$J$151:$J$163</c:f>
              <c:numCache>
                <c:formatCode>General</c:formatCode>
                <c:ptCount val="13"/>
                <c:pt idx="0">
                  <c:v>779.94320606070528</c:v>
                </c:pt>
                <c:pt idx="1">
                  <c:v>889.74545516561091</c:v>
                </c:pt>
                <c:pt idx="2">
                  <c:v>1008.626572655773</c:v>
                </c:pt>
                <c:pt idx="3">
                  <c:v>1144.6188086456764</c:v>
                </c:pt>
                <c:pt idx="4">
                  <c:v>1302.5573215008112</c:v>
                </c:pt>
                <c:pt idx="5">
                  <c:v>1483.8076209963242</c:v>
                </c:pt>
                <c:pt idx="6">
                  <c:v>1690.2012891060638</c:v>
                </c:pt>
                <c:pt idx="7">
                  <c:v>1922.0912869395743</c:v>
                </c:pt>
                <c:pt idx="8">
                  <c:v>2180.2571270631079</c:v>
                </c:pt>
                <c:pt idx="9">
                  <c:v>2464.6988094766634</c:v>
                </c:pt>
                <c:pt idx="10">
                  <c:v>2775.7951881897134</c:v>
                </c:pt>
                <c:pt idx="11">
                  <c:v>3119.6133784906328</c:v>
                </c:pt>
                <c:pt idx="12">
                  <c:v>3489.5207096452532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3E-409A-9766-5629E0E08A67}"/>
            </c:ext>
          </c:extLst>
        </c:ser>
        <c:ser>
          <c:idx val="2"/>
          <c:order val="2"/>
          <c:tx>
            <c:strRef>
              <c:f>Sheet2!$K$150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Sheet2!$H$151:$H$163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Sheet2!$K$151:$K$163</c:f>
              <c:numCache>
                <c:formatCode>General</c:formatCode>
                <c:ptCount val="13"/>
                <c:pt idx="0">
                  <c:v>786.03825842531933</c:v>
                </c:pt>
                <c:pt idx="1">
                  <c:v>913.58736486240775</c:v>
                </c:pt>
                <c:pt idx="2">
                  <c:v>1067.2215238005758</c:v>
                </c:pt>
                <c:pt idx="3">
                  <c:v>1260.5985585597034</c:v>
                </c:pt>
                <c:pt idx="4">
                  <c:v>1506.7589512140207</c:v>
                </c:pt>
                <c:pt idx="5">
                  <c:v>1815.464325036357</c:v>
                </c:pt>
                <c:pt idx="6">
                  <c:v>2187.4389998325914</c:v>
                </c:pt>
                <c:pt idx="7">
                  <c:v>2613.2920296341254</c:v>
                </c:pt>
                <c:pt idx="8">
                  <c:v>3089.4631407008683</c:v>
                </c:pt>
                <c:pt idx="9">
                  <c:v>3615.9523330328202</c:v>
                </c:pt>
                <c:pt idx="10">
                  <c:v>4192.9483522426144</c:v>
                </c:pt>
                <c:pt idx="11">
                  <c:v>4823.4827117981276</c:v>
                </c:pt>
                <c:pt idx="12">
                  <c:v>5504.2431646848954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3E-409A-9766-5629E0E08A67}"/>
            </c:ext>
          </c:extLst>
        </c:ser>
        <c:ser>
          <c:idx val="3"/>
          <c:order val="3"/>
          <c:tx>
            <c:strRef>
              <c:f>Sheet2!$L$150</c:f>
              <c:strCache>
                <c:ptCount val="1"/>
                <c:pt idx="0">
                  <c:v>Better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Sheet2!$H$151:$H$163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Sheet2!$L$151:$L$163</c:f>
              <c:numCache>
                <c:formatCode>General</c:formatCode>
                <c:ptCount val="13"/>
                <c:pt idx="0">
                  <c:v>768.33296601144184</c:v>
                </c:pt>
                <c:pt idx="1">
                  <c:v>851.09416949424451</c:v>
                </c:pt>
                <c:pt idx="2">
                  <c:v>921.90375548399697</c:v>
                </c:pt>
                <c:pt idx="3">
                  <c:v>980.82918179893272</c:v>
                </c:pt>
                <c:pt idx="4">
                  <c:v>1025.6947634530025</c:v>
                </c:pt>
                <c:pt idx="5">
                  <c:v>1052.9238732956346</c:v>
                </c:pt>
                <c:pt idx="6">
                  <c:v>1066.0624758327494</c:v>
                </c:pt>
                <c:pt idx="7">
                  <c:v>1075.8213735371655</c:v>
                </c:pt>
                <c:pt idx="8">
                  <c:v>1087.1904007818373</c:v>
                </c:pt>
                <c:pt idx="9">
                  <c:v>1100.1675133904537</c:v>
                </c:pt>
                <c:pt idx="10">
                  <c:v>1115.5083752056494</c:v>
                </c:pt>
                <c:pt idx="11">
                  <c:v>1145.355393509416</c:v>
                </c:pt>
                <c:pt idx="12">
                  <c:v>1176.4350501281729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3E-409A-9766-5629E0E08A67}"/>
            </c:ext>
          </c:extLst>
        </c:ser>
        <c:ser>
          <c:idx val="4"/>
          <c:order val="4"/>
          <c:tx>
            <c:strRef>
              <c:f>Sheet2!$M$150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Sheet2!$H$151:$H$163</c:f>
              <c:numCache>
                <c:formatCode>General</c:formatCode>
                <c:ptCount val="1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  <c:pt idx="3">
                  <c:v>2060</c:v>
                </c:pt>
                <c:pt idx="4">
                  <c:v>2070</c:v>
                </c:pt>
                <c:pt idx="5">
                  <c:v>2080</c:v>
                </c:pt>
                <c:pt idx="6">
                  <c:v>2090</c:v>
                </c:pt>
                <c:pt idx="7">
                  <c:v>2100</c:v>
                </c:pt>
                <c:pt idx="8">
                  <c:v>2110</c:v>
                </c:pt>
                <c:pt idx="9">
                  <c:v>2120</c:v>
                </c:pt>
                <c:pt idx="10">
                  <c:v>2130</c:v>
                </c:pt>
                <c:pt idx="11">
                  <c:v>2140</c:v>
                </c:pt>
                <c:pt idx="12">
                  <c:v>2150</c:v>
                </c:pt>
              </c:numCache>
            </c:numRef>
          </c:cat>
          <c:val>
            <c:numRef>
              <c:f>Sheet2!$M$151:$M$163</c:f>
              <c:numCache>
                <c:formatCode>General</c:formatCode>
                <c:ptCount val="13"/>
                <c:pt idx="0">
                  <c:v>764.08721181536453</c:v>
                </c:pt>
                <c:pt idx="1">
                  <c:v>837.76341438398049</c:v>
                </c:pt>
                <c:pt idx="2">
                  <c:v>895.10664823489901</c:v>
                </c:pt>
                <c:pt idx="3">
                  <c:v>937.08857850752156</c:v>
                </c:pt>
                <c:pt idx="4">
                  <c:v>964.23932825826648</c:v>
                </c:pt>
                <c:pt idx="5">
                  <c:v>974.19719245686599</c:v>
                </c:pt>
                <c:pt idx="6">
                  <c:v>970.18924410486352</c:v>
                </c:pt>
                <c:pt idx="7">
                  <c:v>964.06216631139114</c:v>
                </c:pt>
                <c:pt idx="8">
                  <c:v>959.32649119299356</c:v>
                </c:pt>
                <c:pt idx="9">
                  <c:v>955.97404204442989</c:v>
                </c:pt>
                <c:pt idx="10">
                  <c:v>955.14001810990908</c:v>
                </c:pt>
                <c:pt idx="11">
                  <c:v>975.03803031242023</c:v>
                </c:pt>
                <c:pt idx="12">
                  <c:v>995.75780139159133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3E-409A-9766-5629E0E08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42904"/>
        <c:axId val="601338584"/>
      </c:lineChart>
      <c:catAx>
        <c:axId val="60134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338584"/>
        <c:crosses val="autoZero"/>
        <c:auto val="1"/>
        <c:lblAlgn val="ctr"/>
        <c:lblOffset val="100"/>
        <c:noMultiLvlLbl val="0"/>
      </c:catAx>
      <c:valAx>
        <c:axId val="60133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34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Scenario Analysis - ST Economic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Sheet2!$I$134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Sheet2!$H$135:$H$145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Sheet2!$I$135:$I$145</c:f>
              <c:numCache>
                <c:formatCode>General</c:formatCode>
                <c:ptCount val="11"/>
                <c:pt idx="0">
                  <c:v>1023.4438549068062</c:v>
                </c:pt>
                <c:pt idx="1">
                  <c:v>1037.2043645691847</c:v>
                </c:pt>
                <c:pt idx="2">
                  <c:v>981.8390837614495</c:v>
                </c:pt>
                <c:pt idx="3">
                  <c:v>924.66364520057539</c:v>
                </c:pt>
                <c:pt idx="4">
                  <c:v>872.4694122263536</c:v>
                </c:pt>
                <c:pt idx="5">
                  <c:v>824.06382687446205</c:v>
                </c:pt>
                <c:pt idx="6">
                  <c:v>786.64663772015615</c:v>
                </c:pt>
                <c:pt idx="7">
                  <c:v>767.24949214259414</c:v>
                </c:pt>
                <c:pt idx="8">
                  <c:v>754.6842733457471</c:v>
                </c:pt>
                <c:pt idx="9">
                  <c:v>763.84579459314182</c:v>
                </c:pt>
                <c:pt idx="10">
                  <c:v>773.00731584053665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9-49F0-809E-ED10AAADE920}"/>
            </c:ext>
          </c:extLst>
        </c:ser>
        <c:ser>
          <c:idx val="1"/>
          <c:order val="1"/>
          <c:tx>
            <c:strRef>
              <c:f>Sheet2!$J$134</c:f>
              <c:strCache>
                <c:ptCount val="1"/>
                <c:pt idx="0">
                  <c:v>Worse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Sheet2!$H$135:$H$145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Sheet2!$J$135:$J$145</c:f>
              <c:numCache>
                <c:formatCode>General</c:formatCode>
                <c:ptCount val="11"/>
                <c:pt idx="0">
                  <c:v>1023.4438549068063</c:v>
                </c:pt>
                <c:pt idx="1">
                  <c:v>1038.2461280690945</c:v>
                </c:pt>
                <c:pt idx="2">
                  <c:v>983.7855695961839</c:v>
                </c:pt>
                <c:pt idx="3">
                  <c:v>927.37781220504871</c:v>
                </c:pt>
                <c:pt idx="4">
                  <c:v>875.84045970643854</c:v>
                </c:pt>
                <c:pt idx="5">
                  <c:v>827.99370759507531</c:v>
                </c:pt>
                <c:pt idx="6">
                  <c:v>791.09235905313835</c:v>
                </c:pt>
                <c:pt idx="7">
                  <c:v>772.24610795854642</c:v>
                </c:pt>
                <c:pt idx="8">
                  <c:v>760.23298552188203</c:v>
                </c:pt>
                <c:pt idx="9">
                  <c:v>770.08809579129354</c:v>
                </c:pt>
                <c:pt idx="10">
                  <c:v>779.94320606070528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9-49F0-809E-ED10AAADE920}"/>
            </c:ext>
          </c:extLst>
        </c:ser>
        <c:ser>
          <c:idx val="2"/>
          <c:order val="2"/>
          <c:tx>
            <c:strRef>
              <c:f>Sheet2!$K$134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Sheet2!$H$135:$H$145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Sheet2!$K$135:$K$145</c:f>
              <c:numCache>
                <c:formatCode>General</c:formatCode>
                <c:ptCount val="11"/>
                <c:pt idx="0">
                  <c:v>1023.4438549068063</c:v>
                </c:pt>
                <c:pt idx="1">
                  <c:v>1039.1615985973087</c:v>
                </c:pt>
                <c:pt idx="2">
                  <c:v>985.49608298568137</c:v>
                </c:pt>
                <c:pt idx="3">
                  <c:v>929.76294078889907</c:v>
                </c:pt>
                <c:pt idx="4">
                  <c:v>878.80283515681265</c:v>
                </c:pt>
                <c:pt idx="5">
                  <c:v>831.4471689415617</c:v>
                </c:pt>
                <c:pt idx="6">
                  <c:v>794.99912566317107</c:v>
                </c:pt>
                <c:pt idx="7">
                  <c:v>776.63698412257929</c:v>
                </c:pt>
                <c:pt idx="8">
                  <c:v>765.10902741357324</c:v>
                </c:pt>
                <c:pt idx="9">
                  <c:v>775.57364291944634</c:v>
                </c:pt>
                <c:pt idx="10">
                  <c:v>786.03825842531933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9-49F0-809E-ED10AAADE920}"/>
            </c:ext>
          </c:extLst>
        </c:ser>
        <c:ser>
          <c:idx val="3"/>
          <c:order val="3"/>
          <c:tx>
            <c:strRef>
              <c:f>Sheet2!$L$134</c:f>
              <c:strCache>
                <c:ptCount val="1"/>
                <c:pt idx="0">
                  <c:v>Better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Sheet2!$H$135:$H$145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Sheet2!$L$135:$L$145</c:f>
              <c:numCache>
                <c:formatCode>General</c:formatCode>
                <c:ptCount val="11"/>
                <c:pt idx="0">
                  <c:v>1023.4438549068063</c:v>
                </c:pt>
                <c:pt idx="1">
                  <c:v>1036.5022820847189</c:v>
                </c:pt>
                <c:pt idx="2">
                  <c:v>980.52727584060517</c:v>
                </c:pt>
                <c:pt idx="3">
                  <c:v>922.83446889144</c:v>
                </c:pt>
                <c:pt idx="4">
                  <c:v>870.19754016491504</c:v>
                </c:pt>
                <c:pt idx="5">
                  <c:v>821.4153366746973</c:v>
                </c:pt>
                <c:pt idx="6">
                  <c:v>783.65050368496043</c:v>
                </c:pt>
                <c:pt idx="7">
                  <c:v>763.88209018784096</c:v>
                </c:pt>
                <c:pt idx="8">
                  <c:v>750.94479348247114</c:v>
                </c:pt>
                <c:pt idx="9">
                  <c:v>759.63887974695649</c:v>
                </c:pt>
                <c:pt idx="10">
                  <c:v>768.33296601144184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19-49F0-809E-ED10AAADE920}"/>
            </c:ext>
          </c:extLst>
        </c:ser>
        <c:ser>
          <c:idx val="4"/>
          <c:order val="4"/>
          <c:tx>
            <c:strRef>
              <c:f>Sheet2!$M$134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Sheet2!$H$135:$H$145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Sheet2!$M$135:$M$145</c:f>
              <c:numCache>
                <c:formatCode>General</c:formatCode>
                <c:ptCount val="11"/>
                <c:pt idx="0">
                  <c:v>1023.4438549068063</c:v>
                </c:pt>
                <c:pt idx="1">
                  <c:v>1035.8645742187266</c:v>
                </c:pt>
                <c:pt idx="2">
                  <c:v>979.33574885011217</c:v>
                </c:pt>
                <c:pt idx="3">
                  <c:v>921.17301151793879</c:v>
                </c:pt>
                <c:pt idx="4">
                  <c:v>868.1339782385561</c:v>
                </c:pt>
                <c:pt idx="5">
                  <c:v>819.00968908945879</c:v>
                </c:pt>
                <c:pt idx="6">
                  <c:v>780.92908806202979</c:v>
                </c:pt>
                <c:pt idx="7">
                  <c:v>760.8234485580939</c:v>
                </c:pt>
                <c:pt idx="8">
                  <c:v>747.54819012560961</c:v>
                </c:pt>
                <c:pt idx="9">
                  <c:v>755.81770097048707</c:v>
                </c:pt>
                <c:pt idx="10">
                  <c:v>764.08721181536453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19-49F0-809E-ED10AAADE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42904"/>
        <c:axId val="601338584"/>
      </c:lineChart>
      <c:catAx>
        <c:axId val="60134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338584"/>
        <c:crosses val="autoZero"/>
        <c:auto val="1"/>
        <c:lblAlgn val="ctr"/>
        <c:lblOffset val="100"/>
        <c:noMultiLvlLbl val="0"/>
      </c:catAx>
      <c:valAx>
        <c:axId val="60133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34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Minor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(Sheet2!$L$34,Sheet2!$L$44:$L$56)</c:f>
              <c:numCache>
                <c:formatCode>0.000</c:formatCode>
                <c:ptCount val="14"/>
                <c:pt idx="0">
                  <c:v>19.428571428571427</c:v>
                </c:pt>
                <c:pt idx="1">
                  <c:v>21.786461714285711</c:v>
                </c:pt>
                <c:pt idx="2">
                  <c:v>23.887195428571431</c:v>
                </c:pt>
                <c:pt idx="3">
                  <c:v>25.522226285714286</c:v>
                </c:pt>
                <c:pt idx="4">
                  <c:v>26.719259428571426</c:v>
                </c:pt>
                <c:pt idx="5">
                  <c:v>27.493410285714287</c:v>
                </c:pt>
                <c:pt idx="6">
                  <c:v>27.777339428571427</c:v>
                </c:pt>
                <c:pt idx="7">
                  <c:v>27.663060571428566</c:v>
                </c:pt>
                <c:pt idx="8">
                  <c:v>27.488358857142853</c:v>
                </c:pt>
                <c:pt idx="9">
                  <c:v>27.353330285714282</c:v>
                </c:pt>
                <c:pt idx="10">
                  <c:v>27.257741714285714</c:v>
                </c:pt>
                <c:pt idx="11">
                  <c:v>27.23396114285714</c:v>
                </c:pt>
                <c:pt idx="12">
                  <c:v>27.801314285714287</c:v>
                </c:pt>
                <c:pt idx="13">
                  <c:v>28.392098285714287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4-44F7-8FAB-0E5355BC4B68}"/>
            </c:ext>
          </c:extLst>
        </c:ser>
        <c:ser>
          <c:idx val="2"/>
          <c:order val="1"/>
          <c:tx>
            <c:v>Medium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(Sheet2!$M$34,Sheet2!$M$44:$M$56)</c:f>
              <c:numCache>
                <c:formatCode>0.000</c:formatCode>
                <c:ptCount val="14"/>
                <c:pt idx="0">
                  <c:v>2.5238095238095237</c:v>
                </c:pt>
                <c:pt idx="1">
                  <c:v>2.8301040952380951</c:v>
                </c:pt>
                <c:pt idx="2">
                  <c:v>3.1029935238095239</c:v>
                </c:pt>
                <c:pt idx="3">
                  <c:v>3.3153872380952381</c:v>
                </c:pt>
                <c:pt idx="4">
                  <c:v>3.4708841904761902</c:v>
                </c:pt>
                <c:pt idx="5">
                  <c:v>3.571447904761905</c:v>
                </c:pt>
                <c:pt idx="6">
                  <c:v>3.6083308571428572</c:v>
                </c:pt>
                <c:pt idx="7">
                  <c:v>3.5934858095238091</c:v>
                </c:pt>
                <c:pt idx="8">
                  <c:v>3.570791714285714</c:v>
                </c:pt>
                <c:pt idx="9">
                  <c:v>3.5532512380952377</c:v>
                </c:pt>
                <c:pt idx="10">
                  <c:v>3.5408340952380954</c:v>
                </c:pt>
                <c:pt idx="11">
                  <c:v>3.5377449523809523</c:v>
                </c:pt>
                <c:pt idx="12">
                  <c:v>3.6114452380952384</c:v>
                </c:pt>
                <c:pt idx="13">
                  <c:v>3.6881892380952386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4-44F7-8FAB-0E5355BC4B68}"/>
            </c:ext>
          </c:extLst>
        </c:ser>
        <c:ser>
          <c:idx val="3"/>
          <c:order val="2"/>
          <c:tx>
            <c:v>Major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(Sheet2!$N$34,Sheet2!$N$44:$N$56)</c:f>
              <c:numCache>
                <c:formatCode>0.000</c:formatCode>
                <c:ptCount val="14"/>
                <c:pt idx="0">
                  <c:v>1.5238095238095237</c:v>
                </c:pt>
                <c:pt idx="1">
                  <c:v>1.7087420952380952</c:v>
                </c:pt>
                <c:pt idx="2">
                  <c:v>1.873505523809524</c:v>
                </c:pt>
                <c:pt idx="3">
                  <c:v>2.001743238095238</c:v>
                </c:pt>
                <c:pt idx="4">
                  <c:v>2.0956281904761904</c:v>
                </c:pt>
                <c:pt idx="5">
                  <c:v>2.1563459047619049</c:v>
                </c:pt>
                <c:pt idx="6">
                  <c:v>2.1786148571428572</c:v>
                </c:pt>
                <c:pt idx="7">
                  <c:v>2.1696518095238093</c:v>
                </c:pt>
                <c:pt idx="8">
                  <c:v>2.1559497142857142</c:v>
                </c:pt>
                <c:pt idx="9">
                  <c:v>2.1453592380952378</c:v>
                </c:pt>
                <c:pt idx="10">
                  <c:v>2.1378620952380953</c:v>
                </c:pt>
                <c:pt idx="11">
                  <c:v>2.1359969523809523</c:v>
                </c:pt>
                <c:pt idx="12">
                  <c:v>2.1804952380952383</c:v>
                </c:pt>
                <c:pt idx="13">
                  <c:v>2.2268312380952384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44-44F7-8FAB-0E5355BC4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508192"/>
        <c:axId val="673504232"/>
      </c:lineChart>
      <c:catAx>
        <c:axId val="67350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504232"/>
        <c:crosses val="autoZero"/>
        <c:auto val="1"/>
        <c:lblAlgn val="ctr"/>
        <c:lblOffset val="100"/>
        <c:noMultiLvlLbl val="0"/>
      </c:catAx>
      <c:valAx>
        <c:axId val="67350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50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Region</a:t>
            </a:r>
            <a:r>
              <a:rPr lang="en-AU" altLang="zh-CN" baseline="0"/>
              <a:t> 1 future hazard projection</a:t>
            </a:r>
            <a:endParaRPr lang="en-AU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Minor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(Sheet2!$I$34,Sheet2!$I$44:$I$56)</c:f>
              <c:numCache>
                <c:formatCode>0.000</c:formatCode>
                <c:ptCount val="14"/>
                <c:pt idx="0">
                  <c:v>9.7619047619047628</c:v>
                </c:pt>
                <c:pt idx="1">
                  <c:v>10.946629047619048</c:v>
                </c:pt>
                <c:pt idx="2">
                  <c:v>12.002144761904765</c:v>
                </c:pt>
                <c:pt idx="3">
                  <c:v>12.823667619047621</c:v>
                </c:pt>
                <c:pt idx="4">
                  <c:v>13.425118095238096</c:v>
                </c:pt>
                <c:pt idx="5">
                  <c:v>13.814090952380955</c:v>
                </c:pt>
                <c:pt idx="6">
                  <c:v>13.95675142857143</c:v>
                </c:pt>
                <c:pt idx="7">
                  <c:v>13.899331904761905</c:v>
                </c:pt>
                <c:pt idx="8">
                  <c:v>13.811552857142857</c:v>
                </c:pt>
                <c:pt idx="9">
                  <c:v>13.743707619047619</c:v>
                </c:pt>
                <c:pt idx="10">
                  <c:v>13.69567904761905</c:v>
                </c:pt>
                <c:pt idx="11">
                  <c:v>13.683730476190478</c:v>
                </c:pt>
                <c:pt idx="12">
                  <c:v>13.968797619047622</c:v>
                </c:pt>
                <c:pt idx="13">
                  <c:v>14.265637619047622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9-44A1-AB38-81EB1BF7C58B}"/>
            </c:ext>
          </c:extLst>
        </c:ser>
        <c:ser>
          <c:idx val="1"/>
          <c:order val="1"/>
          <c:tx>
            <c:v>Medium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(Sheet2!$J$34,Sheet2!$J$44:$J$56)</c:f>
              <c:numCache>
                <c:formatCode>0.000</c:formatCode>
                <c:ptCount val="14"/>
                <c:pt idx="0">
                  <c:v>1.8571428571428572</c:v>
                </c:pt>
                <c:pt idx="1">
                  <c:v>2.0825294285714286</c:v>
                </c:pt>
                <c:pt idx="2">
                  <c:v>2.2833348571428576</c:v>
                </c:pt>
                <c:pt idx="3">
                  <c:v>2.4396245714285714</c:v>
                </c:pt>
                <c:pt idx="4">
                  <c:v>2.5540468571428572</c:v>
                </c:pt>
                <c:pt idx="5">
                  <c:v>2.6280465714285715</c:v>
                </c:pt>
                <c:pt idx="6">
                  <c:v>2.6551868571428572</c:v>
                </c:pt>
                <c:pt idx="7">
                  <c:v>2.6442631428571426</c:v>
                </c:pt>
                <c:pt idx="8">
                  <c:v>2.6275637142857144</c:v>
                </c:pt>
                <c:pt idx="9">
                  <c:v>2.6146565714285712</c:v>
                </c:pt>
                <c:pt idx="10">
                  <c:v>2.6055194285714287</c:v>
                </c:pt>
                <c:pt idx="11">
                  <c:v>2.603246285714286</c:v>
                </c:pt>
                <c:pt idx="12">
                  <c:v>2.6574785714285718</c:v>
                </c:pt>
                <c:pt idx="13">
                  <c:v>2.7139505714285717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9-44A1-AB38-81EB1BF7C58B}"/>
            </c:ext>
          </c:extLst>
        </c:ser>
        <c:ser>
          <c:idx val="2"/>
          <c:order val="2"/>
          <c:tx>
            <c:v>Major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(Sheet2!$K$34,Sheet2!$K$44:$K$56)</c:f>
              <c:numCache>
                <c:formatCode>0.000</c:formatCode>
                <c:ptCount val="14"/>
                <c:pt idx="0">
                  <c:v>0.52380952380952384</c:v>
                </c:pt>
                <c:pt idx="1">
                  <c:v>0.5873800952380952</c:v>
                </c:pt>
                <c:pt idx="2">
                  <c:v>0.64401752380952393</c:v>
                </c:pt>
                <c:pt idx="3">
                  <c:v>0.6880992380952381</c:v>
                </c:pt>
                <c:pt idx="4">
                  <c:v>0.7203721904761905</c:v>
                </c:pt>
                <c:pt idx="5">
                  <c:v>0.74124390476190483</c:v>
                </c:pt>
                <c:pt idx="6">
                  <c:v>0.7488988571428572</c:v>
                </c:pt>
                <c:pt idx="7">
                  <c:v>0.74581780952380949</c:v>
                </c:pt>
                <c:pt idx="8">
                  <c:v>0.74110771428571431</c:v>
                </c:pt>
                <c:pt idx="9">
                  <c:v>0.73746723809523806</c:v>
                </c:pt>
                <c:pt idx="10">
                  <c:v>0.73489009523809534</c:v>
                </c:pt>
                <c:pt idx="11">
                  <c:v>0.73424895238095245</c:v>
                </c:pt>
                <c:pt idx="12">
                  <c:v>0.74954523809523821</c:v>
                </c:pt>
                <c:pt idx="13">
                  <c:v>0.76547323809523826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9-44A1-AB38-81EB1BF7C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503512"/>
        <c:axId val="673498472"/>
      </c:lineChart>
      <c:catAx>
        <c:axId val="67350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498472"/>
        <c:crosses val="autoZero"/>
        <c:auto val="1"/>
        <c:lblAlgn val="ctr"/>
        <c:lblOffset val="100"/>
        <c:noMultiLvlLbl val="0"/>
      </c:catAx>
      <c:valAx>
        <c:axId val="67349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50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 sz="1800" b="0" i="0" baseline="0">
                <a:effectLst/>
              </a:rPr>
              <a:t>Region 2 future hazard projection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Minor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(Sheet2!$L$34,Sheet2!$L$44:$L$56)</c:f>
              <c:numCache>
                <c:formatCode>0.000</c:formatCode>
                <c:ptCount val="14"/>
                <c:pt idx="0">
                  <c:v>19.428571428571427</c:v>
                </c:pt>
                <c:pt idx="1">
                  <c:v>21.786461714285711</c:v>
                </c:pt>
                <c:pt idx="2">
                  <c:v>23.887195428571431</c:v>
                </c:pt>
                <c:pt idx="3">
                  <c:v>25.522226285714286</c:v>
                </c:pt>
                <c:pt idx="4">
                  <c:v>26.719259428571426</c:v>
                </c:pt>
                <c:pt idx="5">
                  <c:v>27.493410285714287</c:v>
                </c:pt>
                <c:pt idx="6">
                  <c:v>27.777339428571427</c:v>
                </c:pt>
                <c:pt idx="7">
                  <c:v>27.663060571428566</c:v>
                </c:pt>
                <c:pt idx="8">
                  <c:v>27.488358857142853</c:v>
                </c:pt>
                <c:pt idx="9">
                  <c:v>27.353330285714282</c:v>
                </c:pt>
                <c:pt idx="10">
                  <c:v>27.257741714285714</c:v>
                </c:pt>
                <c:pt idx="11">
                  <c:v>27.23396114285714</c:v>
                </c:pt>
                <c:pt idx="12">
                  <c:v>27.801314285714287</c:v>
                </c:pt>
                <c:pt idx="13">
                  <c:v>28.392098285714287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5-44C9-8333-5A6A967C2706}"/>
            </c:ext>
          </c:extLst>
        </c:ser>
        <c:ser>
          <c:idx val="2"/>
          <c:order val="1"/>
          <c:tx>
            <c:v>Medium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(Sheet2!$M$34,Sheet2!$M$44:$M$56)</c:f>
              <c:numCache>
                <c:formatCode>0.000</c:formatCode>
                <c:ptCount val="14"/>
                <c:pt idx="0">
                  <c:v>2.5238095238095237</c:v>
                </c:pt>
                <c:pt idx="1">
                  <c:v>2.8301040952380951</c:v>
                </c:pt>
                <c:pt idx="2">
                  <c:v>3.1029935238095239</c:v>
                </c:pt>
                <c:pt idx="3">
                  <c:v>3.3153872380952381</c:v>
                </c:pt>
                <c:pt idx="4">
                  <c:v>3.4708841904761902</c:v>
                </c:pt>
                <c:pt idx="5">
                  <c:v>3.571447904761905</c:v>
                </c:pt>
                <c:pt idx="6">
                  <c:v>3.6083308571428572</c:v>
                </c:pt>
                <c:pt idx="7">
                  <c:v>3.5934858095238091</c:v>
                </c:pt>
                <c:pt idx="8">
                  <c:v>3.570791714285714</c:v>
                </c:pt>
                <c:pt idx="9">
                  <c:v>3.5532512380952377</c:v>
                </c:pt>
                <c:pt idx="10">
                  <c:v>3.5408340952380954</c:v>
                </c:pt>
                <c:pt idx="11">
                  <c:v>3.5377449523809523</c:v>
                </c:pt>
                <c:pt idx="12">
                  <c:v>3.6114452380952384</c:v>
                </c:pt>
                <c:pt idx="13">
                  <c:v>3.6881892380952386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5-44C9-8333-5A6A967C2706}"/>
            </c:ext>
          </c:extLst>
        </c:ser>
        <c:ser>
          <c:idx val="3"/>
          <c:order val="2"/>
          <c:tx>
            <c:v>Major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(Sheet2!$H$34,Sheet2!$H$44:$H$56)</c:f>
              <c:numCache>
                <c:formatCode>General</c:formatCode>
                <c:ptCount val="1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  <c:pt idx="4">
                  <c:v>2060</c:v>
                </c:pt>
                <c:pt idx="5">
                  <c:v>2070</c:v>
                </c:pt>
                <c:pt idx="6">
                  <c:v>2080</c:v>
                </c:pt>
                <c:pt idx="7">
                  <c:v>2090</c:v>
                </c:pt>
                <c:pt idx="8">
                  <c:v>2100</c:v>
                </c:pt>
                <c:pt idx="9">
                  <c:v>2110</c:v>
                </c:pt>
                <c:pt idx="10">
                  <c:v>2120</c:v>
                </c:pt>
                <c:pt idx="11">
                  <c:v>2130</c:v>
                </c:pt>
                <c:pt idx="12">
                  <c:v>2140</c:v>
                </c:pt>
                <c:pt idx="13">
                  <c:v>2150</c:v>
                </c:pt>
              </c:numCache>
            </c:numRef>
          </c:cat>
          <c:val>
            <c:numRef>
              <c:f>(Sheet2!$N$34,Sheet2!$N$44:$N$56)</c:f>
              <c:numCache>
                <c:formatCode>0.000</c:formatCode>
                <c:ptCount val="14"/>
                <c:pt idx="0">
                  <c:v>1.5238095238095237</c:v>
                </c:pt>
                <c:pt idx="1">
                  <c:v>1.7087420952380952</c:v>
                </c:pt>
                <c:pt idx="2">
                  <c:v>1.873505523809524</c:v>
                </c:pt>
                <c:pt idx="3">
                  <c:v>2.001743238095238</c:v>
                </c:pt>
                <c:pt idx="4">
                  <c:v>2.0956281904761904</c:v>
                </c:pt>
                <c:pt idx="5">
                  <c:v>2.1563459047619049</c:v>
                </c:pt>
                <c:pt idx="6">
                  <c:v>2.1786148571428572</c:v>
                </c:pt>
                <c:pt idx="7">
                  <c:v>2.1696518095238093</c:v>
                </c:pt>
                <c:pt idx="8">
                  <c:v>2.1559497142857142</c:v>
                </c:pt>
                <c:pt idx="9">
                  <c:v>2.1453592380952378</c:v>
                </c:pt>
                <c:pt idx="10">
                  <c:v>2.1378620952380953</c:v>
                </c:pt>
                <c:pt idx="11">
                  <c:v>2.1359969523809523</c:v>
                </c:pt>
                <c:pt idx="12">
                  <c:v>2.1804952380952383</c:v>
                </c:pt>
                <c:pt idx="13">
                  <c:v>2.2268312380952384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65-44C9-8333-5A6A967C2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508192"/>
        <c:axId val="673504232"/>
      </c:lineChart>
      <c:catAx>
        <c:axId val="67350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504232"/>
        <c:crosses val="autoZero"/>
        <c:auto val="1"/>
        <c:lblAlgn val="ctr"/>
        <c:lblOffset val="100"/>
        <c:noMultiLvlLbl val="0"/>
      </c:catAx>
      <c:valAx>
        <c:axId val="67350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50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61632</xdr:colOff>
      <xdr:row>88</xdr:row>
      <xdr:rowOff>1120</xdr:rowOff>
    </xdr:from>
    <xdr:to>
      <xdr:col>20</xdr:col>
      <xdr:colOff>621926</xdr:colOff>
      <xdr:row>102</xdr:row>
      <xdr:rowOff>77320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66755-30BA-2971-BB9B-F909485F8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224118</xdr:colOff>
      <xdr:row>105</xdr:row>
      <xdr:rowOff>100853</xdr:rowOff>
    </xdr:from>
    <xdr:to>
      <xdr:col>20</xdr:col>
      <xdr:colOff>784412</xdr:colOff>
      <xdr:row>119</xdr:row>
      <xdr:rowOff>165848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79F6F-7B5D-4284-BDE6-F78FBBE98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341779</xdr:colOff>
      <xdr:row>122</xdr:row>
      <xdr:rowOff>23532</xdr:rowOff>
    </xdr:from>
    <xdr:to>
      <xdr:col>20</xdr:col>
      <xdr:colOff>902073</xdr:colOff>
      <xdr:row>136</xdr:row>
      <xdr:rowOff>99732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25A7C-1CF5-7BC2-6CEC-7A502AA3F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277347</xdr:colOff>
      <xdr:row>11</xdr:row>
      <xdr:rowOff>188820</xdr:rowOff>
    </xdr:from>
    <xdr:to>
      <xdr:col>10</xdr:col>
      <xdr:colOff>251573</xdr:colOff>
      <xdr:row>26</xdr:row>
      <xdr:rowOff>55470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5BD7C4-0A76-4F8E-960F-3A91781B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571499</xdr:colOff>
      <xdr:row>11</xdr:row>
      <xdr:rowOff>197223</xdr:rowOff>
    </xdr:from>
    <xdr:to>
      <xdr:col>15</xdr:col>
      <xdr:colOff>76759</xdr:colOff>
      <xdr:row>26</xdr:row>
      <xdr:rowOff>62192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335AC5-33C7-4FB1-BF39-87CAECDAFA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1025338</xdr:colOff>
      <xdr:row>154</xdr:row>
      <xdr:rowOff>45943</xdr:rowOff>
    </xdr:from>
    <xdr:to>
      <xdr:col>19</xdr:col>
      <xdr:colOff>532279</xdr:colOff>
      <xdr:row>168</xdr:row>
      <xdr:rowOff>122143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4A3194-09DA-3F36-4E32-BD137B0B6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984997</xdr:colOff>
      <xdr:row>138</xdr:row>
      <xdr:rowOff>113179</xdr:rowOff>
    </xdr:from>
    <xdr:to>
      <xdr:col>19</xdr:col>
      <xdr:colOff>491938</xdr:colOff>
      <xdr:row>152</xdr:row>
      <xdr:rowOff>189379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BA7FECD-49FF-41E1-95CC-EF58E2B9B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207308</xdr:colOff>
      <xdr:row>32</xdr:row>
      <xdr:rowOff>180414</xdr:rowOff>
    </xdr:from>
    <xdr:to>
      <xdr:col>20</xdr:col>
      <xdr:colOff>44824</xdr:colOff>
      <xdr:row>46</xdr:row>
      <xdr:rowOff>168087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9762EAE-E206-DBA3-DD08-673B0C257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8</xdr:row>
      <xdr:rowOff>85725</xdr:rowOff>
    </xdr:from>
    <xdr:to>
      <xdr:col>17</xdr:col>
      <xdr:colOff>357469</xdr:colOff>
      <xdr:row>23</xdr:row>
      <xdr:rowOff>129428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225FE-80BB-45B7-8B7E-9E7F5844D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434788</xdr:colOff>
      <xdr:row>25</xdr:row>
      <xdr:rowOff>89647</xdr:rowOff>
    </xdr:from>
    <xdr:to>
      <xdr:col>17</xdr:col>
      <xdr:colOff>201706</xdr:colOff>
      <xdr:row>38</xdr:row>
      <xdr:rowOff>137832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7750F3-CD67-4A5B-879C-602A395E3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A430-8420-4105-BCD8-A2E062D869E8}">
  <dimension ref="A1:O79"/>
  <sheetViews>
    <sheetView tabSelected="1" zoomScale="115" zoomScaleNormal="115" workbookViewId="0">
      <selection activeCell="D72" sqref="D72"/>
    </sheetView>
  </sheetViews>
  <sheetFormatPr defaultRowHeight="15" x14ac:dyDescent="0.25"/>
  <cols>
    <col min="1" max="1" width="42" bestFit="1" customWidth="1"/>
    <col min="2" max="2" width="18.7109375" customWidth="1"/>
    <col min="3" max="6" width="15" bestFit="1" customWidth="1"/>
    <col min="7" max="12" width="14.85546875" bestFit="1" customWidth="1"/>
    <col min="15" max="15" width="12.85546875" customWidth="1"/>
  </cols>
  <sheetData>
    <row r="1" spans="1:15" x14ac:dyDescent="0.25">
      <c r="A1" t="s">
        <v>0</v>
      </c>
    </row>
    <row r="2" spans="1:15" x14ac:dyDescent="0.25">
      <c r="A2" t="s">
        <v>3</v>
      </c>
    </row>
    <row r="3" spans="1:15" x14ac:dyDescent="0.25">
      <c r="A3" t="s">
        <v>4</v>
      </c>
      <c r="B3">
        <v>8.1788489171286103E-5</v>
      </c>
    </row>
    <row r="4" spans="1:15" x14ac:dyDescent="0.25">
      <c r="A4" t="s">
        <v>48</v>
      </c>
      <c r="B4" t="s">
        <v>35</v>
      </c>
      <c r="D4">
        <v>0.8</v>
      </c>
      <c r="E4">
        <v>0.4</v>
      </c>
      <c r="F4" t="s">
        <v>44</v>
      </c>
      <c r="I4" t="s">
        <v>53</v>
      </c>
      <c r="O4" s="31"/>
    </row>
    <row r="5" spans="1:15" x14ac:dyDescent="0.25">
      <c r="A5" s="4"/>
      <c r="B5" s="4" t="s">
        <v>47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54</v>
      </c>
      <c r="I5" s="4" t="s">
        <v>45</v>
      </c>
      <c r="J5" s="4" t="s">
        <v>46</v>
      </c>
      <c r="K5" s="4" t="s">
        <v>49</v>
      </c>
      <c r="L5" s="4"/>
    </row>
    <row r="6" spans="1:15" ht="14.25" customHeight="1" x14ac:dyDescent="0.25">
      <c r="A6" t="s">
        <v>5</v>
      </c>
      <c r="B6">
        <v>2791896</v>
      </c>
      <c r="C6" s="31">
        <v>348487.5</v>
      </c>
      <c r="D6">
        <f>D$4*$C6</f>
        <v>278790</v>
      </c>
      <c r="E6">
        <f t="shared" ref="E6" si="0">E$4*$C6</f>
        <v>139395</v>
      </c>
      <c r="F6">
        <v>16749</v>
      </c>
      <c r="G6" s="31">
        <f>SUM(D6:F6)</f>
        <v>434934</v>
      </c>
      <c r="H6" s="31"/>
      <c r="J6">
        <v>887823</v>
      </c>
      <c r="K6">
        <v>150000</v>
      </c>
    </row>
    <row r="7" spans="1:15" x14ac:dyDescent="0.25">
      <c r="A7" t="s">
        <v>7</v>
      </c>
      <c r="B7">
        <v>2523732</v>
      </c>
      <c r="C7" s="31">
        <v>306776.25000000006</v>
      </c>
      <c r="D7">
        <f t="shared" ref="D7:E11" si="1">D$4*$C7</f>
        <v>245421.00000000006</v>
      </c>
      <c r="E7">
        <f t="shared" si="1"/>
        <v>122710.50000000003</v>
      </c>
      <c r="F7">
        <v>16749</v>
      </c>
      <c r="G7" s="31">
        <f t="shared" ref="G7:G11" si="2">SUM(D7:F7)</f>
        <v>384880.50000000012</v>
      </c>
      <c r="H7" s="37">
        <v>0.55000000000000004</v>
      </c>
      <c r="I7" s="31">
        <f>H7*B7</f>
        <v>1388052.6</v>
      </c>
      <c r="K7">
        <v>150000</v>
      </c>
    </row>
    <row r="8" spans="1:15" x14ac:dyDescent="0.25">
      <c r="A8" t="s">
        <v>9</v>
      </c>
      <c r="B8">
        <v>2212536</v>
      </c>
      <c r="C8" s="31">
        <v>295806.00000000006</v>
      </c>
      <c r="D8">
        <f t="shared" si="1"/>
        <v>236644.80000000005</v>
      </c>
      <c r="E8">
        <f t="shared" si="1"/>
        <v>118322.40000000002</v>
      </c>
      <c r="F8">
        <v>16749</v>
      </c>
      <c r="G8" s="31">
        <f t="shared" si="2"/>
        <v>371716.20000000007</v>
      </c>
      <c r="H8" s="31"/>
      <c r="I8" s="31"/>
      <c r="J8">
        <v>889440</v>
      </c>
      <c r="K8">
        <v>150000</v>
      </c>
    </row>
    <row r="9" spans="1:15" x14ac:dyDescent="0.25">
      <c r="A9" t="s">
        <v>11</v>
      </c>
      <c r="B9">
        <v>496548</v>
      </c>
      <c r="C9" s="31">
        <v>183791</v>
      </c>
      <c r="D9">
        <f t="shared" si="1"/>
        <v>147032.80000000002</v>
      </c>
      <c r="E9">
        <f t="shared" si="1"/>
        <v>73516.400000000009</v>
      </c>
      <c r="F9">
        <v>16749</v>
      </c>
      <c r="G9" s="31">
        <f t="shared" si="2"/>
        <v>237298.2</v>
      </c>
      <c r="H9" s="37">
        <v>0.25</v>
      </c>
      <c r="I9" s="31">
        <f t="shared" ref="I9:I10" si="3">H9*B9</f>
        <v>124137</v>
      </c>
      <c r="K9">
        <v>150000</v>
      </c>
    </row>
    <row r="10" spans="1:15" x14ac:dyDescent="0.25">
      <c r="A10" t="s">
        <v>13</v>
      </c>
      <c r="B10">
        <v>566592</v>
      </c>
      <c r="C10" s="31">
        <v>198568.75</v>
      </c>
      <c r="D10">
        <f t="shared" si="1"/>
        <v>158855</v>
      </c>
      <c r="E10">
        <f t="shared" si="1"/>
        <v>79427.5</v>
      </c>
      <c r="F10">
        <v>16749</v>
      </c>
      <c r="G10" s="31">
        <f t="shared" si="2"/>
        <v>255031.5</v>
      </c>
      <c r="H10" s="37">
        <v>0.5</v>
      </c>
      <c r="I10" s="31">
        <f t="shared" si="3"/>
        <v>283296</v>
      </c>
      <c r="K10">
        <v>150000</v>
      </c>
    </row>
    <row r="11" spans="1:15" x14ac:dyDescent="0.25">
      <c r="A11" t="s">
        <v>15</v>
      </c>
      <c r="B11">
        <v>135480</v>
      </c>
      <c r="C11" s="31">
        <v>240745.99999999997</v>
      </c>
      <c r="D11">
        <f t="shared" si="1"/>
        <v>192596.8</v>
      </c>
      <c r="E11">
        <f t="shared" si="1"/>
        <v>96298.4</v>
      </c>
      <c r="F11">
        <v>16749</v>
      </c>
      <c r="G11" s="31">
        <f t="shared" si="2"/>
        <v>305644.19999999995</v>
      </c>
      <c r="H11" s="31"/>
      <c r="I11" s="31"/>
      <c r="J11">
        <v>32787</v>
      </c>
      <c r="K11">
        <v>150000</v>
      </c>
    </row>
    <row r="12" spans="1:15" x14ac:dyDescent="0.25">
      <c r="I12" s="36">
        <f>SUM(I7:I10)</f>
        <v>1795485.6</v>
      </c>
      <c r="J12" s="34">
        <f>J11+J8+J6</f>
        <v>1810050</v>
      </c>
    </row>
    <row r="13" spans="1:15" x14ac:dyDescent="0.25">
      <c r="A13" s="6" t="s">
        <v>1</v>
      </c>
      <c r="B13" s="4">
        <v>2020</v>
      </c>
      <c r="C13" s="4">
        <v>2021</v>
      </c>
      <c r="D13" s="4">
        <v>2022</v>
      </c>
      <c r="E13" s="4">
        <v>2023</v>
      </c>
      <c r="F13" s="4">
        <v>2024</v>
      </c>
      <c r="G13" s="4">
        <v>2025</v>
      </c>
      <c r="H13" s="4">
        <v>2026</v>
      </c>
      <c r="I13" s="4">
        <v>2027</v>
      </c>
      <c r="J13" s="4">
        <v>2028</v>
      </c>
      <c r="K13" s="4">
        <v>2029</v>
      </c>
      <c r="L13" s="4">
        <v>2030</v>
      </c>
      <c r="M13" s="4">
        <v>2040</v>
      </c>
      <c r="N13" s="4">
        <v>2050</v>
      </c>
      <c r="O13" s="4"/>
    </row>
    <row r="14" spans="1:15" x14ac:dyDescent="0.25">
      <c r="A14" s="2" t="s">
        <v>2</v>
      </c>
    </row>
    <row r="15" spans="1:15" x14ac:dyDescent="0.25">
      <c r="A15" s="1" t="s">
        <v>50</v>
      </c>
      <c r="B15">
        <v>1296938922</v>
      </c>
      <c r="C15">
        <f>B15*(1+$B$3)</f>
        <v>1297044996.6749778</v>
      </c>
      <c r="D15">
        <f t="shared" ref="D15:L15" si="4">C15*(1+$B$3)</f>
        <v>1297151080.0256431</v>
      </c>
      <c r="E15">
        <f t="shared" si="4"/>
        <v>1297257172.0527053</v>
      </c>
      <c r="F15">
        <f t="shared" si="4"/>
        <v>1297363272.7568741</v>
      </c>
      <c r="G15">
        <f t="shared" si="4"/>
        <v>1297469382.1388593</v>
      </c>
      <c r="H15">
        <f t="shared" si="4"/>
        <v>1297575500.1993704</v>
      </c>
      <c r="I15">
        <f t="shared" si="4"/>
        <v>1297681626.9391174</v>
      </c>
      <c r="J15">
        <f t="shared" si="4"/>
        <v>1297787762.3588102</v>
      </c>
      <c r="K15">
        <f t="shared" si="4"/>
        <v>1297893906.4591584</v>
      </c>
      <c r="L15">
        <f t="shared" si="4"/>
        <v>1298000059.2408724</v>
      </c>
    </row>
    <row r="16" spans="1:15" x14ac:dyDescent="0.25">
      <c r="A16" s="1" t="s">
        <v>51</v>
      </c>
      <c r="B16">
        <f>B15*0.1</f>
        <v>129693892.2</v>
      </c>
      <c r="C16">
        <f t="shared" ref="C16:L16" si="5">C15*0.1</f>
        <v>129704499.66749778</v>
      </c>
      <c r="D16">
        <f t="shared" si="5"/>
        <v>129715108.00256431</v>
      </c>
      <c r="E16">
        <f t="shared" si="5"/>
        <v>129725717.20527053</v>
      </c>
      <c r="F16">
        <f t="shared" si="5"/>
        <v>129736327.27568741</v>
      </c>
      <c r="G16">
        <f t="shared" si="5"/>
        <v>129746938.21388593</v>
      </c>
      <c r="H16">
        <f t="shared" si="5"/>
        <v>129757550.01993704</v>
      </c>
      <c r="I16">
        <f t="shared" si="5"/>
        <v>129768162.69391175</v>
      </c>
      <c r="J16">
        <f t="shared" si="5"/>
        <v>129778776.23588103</v>
      </c>
      <c r="K16">
        <f t="shared" si="5"/>
        <v>129789390.64591585</v>
      </c>
      <c r="L16">
        <f t="shared" si="5"/>
        <v>129800005.92408724</v>
      </c>
    </row>
    <row r="17" spans="1:14" x14ac:dyDescent="0.25">
      <c r="A17" s="32" t="s">
        <v>52</v>
      </c>
      <c r="B17" s="4">
        <f>B15*0.09</f>
        <v>116724502.97999999</v>
      </c>
      <c r="C17" s="4">
        <f t="shared" ref="C17:L17" si="6">C15*0.09</f>
        <v>116734049.700748</v>
      </c>
      <c r="D17" s="4">
        <f t="shared" si="6"/>
        <v>116743597.20230788</v>
      </c>
      <c r="E17" s="4">
        <f t="shared" si="6"/>
        <v>116753145.48474348</v>
      </c>
      <c r="F17" s="4">
        <f t="shared" si="6"/>
        <v>116762694.54811867</v>
      </c>
      <c r="G17" s="4">
        <f t="shared" si="6"/>
        <v>116772244.39249733</v>
      </c>
      <c r="H17" s="4">
        <f t="shared" si="6"/>
        <v>116781795.01794334</v>
      </c>
      <c r="I17" s="4">
        <f t="shared" si="6"/>
        <v>116791346.42452057</v>
      </c>
      <c r="J17" s="4">
        <f t="shared" si="6"/>
        <v>116800898.61229292</v>
      </c>
      <c r="K17" s="4">
        <f t="shared" si="6"/>
        <v>116810451.58132425</v>
      </c>
      <c r="L17" s="4">
        <f t="shared" si="6"/>
        <v>116820005.33167851</v>
      </c>
      <c r="M17" s="4"/>
      <c r="N17" s="4"/>
    </row>
    <row r="18" spans="1:14" x14ac:dyDescent="0.25">
      <c r="A18" t="s">
        <v>64</v>
      </c>
      <c r="B18" s="37">
        <f>B16/1000000</f>
        <v>129.69389219999999</v>
      </c>
      <c r="C18" s="37">
        <f t="shared" ref="C18:L18" si="7">C16/1000000</f>
        <v>129.70449966749777</v>
      </c>
      <c r="D18" s="37">
        <f t="shared" si="7"/>
        <v>129.71510800256431</v>
      </c>
      <c r="E18" s="37">
        <f t="shared" si="7"/>
        <v>129.72571720527054</v>
      </c>
      <c r="F18" s="37">
        <f t="shared" si="7"/>
        <v>129.73632727568742</v>
      </c>
      <c r="G18" s="37">
        <f t="shared" si="7"/>
        <v>129.74693821388593</v>
      </c>
      <c r="H18" s="37">
        <f t="shared" si="7"/>
        <v>129.75755001993704</v>
      </c>
      <c r="I18" s="37">
        <f t="shared" si="7"/>
        <v>129.76816269391173</v>
      </c>
      <c r="J18" s="37">
        <f t="shared" si="7"/>
        <v>129.77877623588103</v>
      </c>
      <c r="K18" s="37">
        <f t="shared" si="7"/>
        <v>129.78939064591586</v>
      </c>
      <c r="L18" s="37">
        <f t="shared" si="7"/>
        <v>129.80000592408723</v>
      </c>
    </row>
    <row r="19" spans="1:14" ht="15.75" thickBot="1" x14ac:dyDescent="0.3"/>
    <row r="20" spans="1:14" x14ac:dyDescent="0.25">
      <c r="A20" s="9" t="s">
        <v>55</v>
      </c>
      <c r="B20" s="4" t="s">
        <v>56</v>
      </c>
      <c r="C20" s="4" t="s">
        <v>57</v>
      </c>
      <c r="D20" s="4" t="s">
        <v>58</v>
      </c>
      <c r="E20" s="4" t="s">
        <v>59</v>
      </c>
      <c r="F20" s="4" t="s">
        <v>60</v>
      </c>
      <c r="G20" s="4" t="s">
        <v>61</v>
      </c>
      <c r="H20" s="4" t="s">
        <v>62</v>
      </c>
      <c r="I20" s="38" t="s">
        <v>63</v>
      </c>
      <c r="J20" s="4"/>
      <c r="K20" s="4"/>
      <c r="L20" s="4"/>
      <c r="M20" s="4"/>
      <c r="N20" s="4"/>
    </row>
    <row r="21" spans="1:14" x14ac:dyDescent="0.25">
      <c r="A21" s="3" t="s">
        <v>6</v>
      </c>
      <c r="B21" s="33">
        <v>260000</v>
      </c>
      <c r="C21" s="33">
        <v>260000</v>
      </c>
      <c r="D21" s="33">
        <v>260000</v>
      </c>
      <c r="E21" s="33">
        <v>107823</v>
      </c>
      <c r="I21" s="39">
        <f>SUM(B21:H21)</f>
        <v>887823</v>
      </c>
    </row>
    <row r="22" spans="1:14" x14ac:dyDescent="0.25">
      <c r="A22" s="3" t="s">
        <v>8</v>
      </c>
      <c r="B22" s="33">
        <v>-260000</v>
      </c>
      <c r="C22" s="33">
        <v>-260000</v>
      </c>
      <c r="D22" s="33">
        <v>-230000</v>
      </c>
      <c r="E22" s="33">
        <v>-230000</v>
      </c>
      <c r="F22" s="33">
        <v>-200000</v>
      </c>
      <c r="G22" s="33">
        <v>-120000</v>
      </c>
      <c r="H22" s="33">
        <v>-88053</v>
      </c>
      <c r="I22" s="39">
        <f t="shared" ref="I22:I26" si="8">SUM(B22:H22)</f>
        <v>-1388053</v>
      </c>
    </row>
    <row r="23" spans="1:14" x14ac:dyDescent="0.25">
      <c r="A23" s="3" t="s">
        <v>10</v>
      </c>
      <c r="E23" s="33">
        <v>119390</v>
      </c>
      <c r="F23" s="33">
        <v>260000</v>
      </c>
      <c r="G23" s="33">
        <v>260000</v>
      </c>
      <c r="H23" s="33">
        <v>235486</v>
      </c>
      <c r="I23" s="39">
        <f t="shared" si="8"/>
        <v>874876</v>
      </c>
    </row>
    <row r="24" spans="1:14" x14ac:dyDescent="0.25">
      <c r="A24" s="3" t="s">
        <v>12</v>
      </c>
      <c r="F24" s="33"/>
      <c r="G24" s="33">
        <v>-80000</v>
      </c>
      <c r="H24">
        <v>-44137</v>
      </c>
      <c r="I24" s="39">
        <f t="shared" si="8"/>
        <v>-124137</v>
      </c>
    </row>
    <row r="25" spans="1:14" x14ac:dyDescent="0.25">
      <c r="A25" s="3" t="s">
        <v>14</v>
      </c>
      <c r="D25" s="33">
        <v>-30000</v>
      </c>
      <c r="E25" s="33">
        <v>-30000</v>
      </c>
      <c r="F25" s="33">
        <v>-60000</v>
      </c>
      <c r="G25" s="33">
        <v>-60000</v>
      </c>
      <c r="H25" s="33">
        <v>-103296</v>
      </c>
      <c r="I25" s="39">
        <f t="shared" si="8"/>
        <v>-283296</v>
      </c>
    </row>
    <row r="26" spans="1:14" ht="15.75" thickBot="1" x14ac:dyDescent="0.3">
      <c r="A26" s="8" t="s">
        <v>16</v>
      </c>
      <c r="B26" s="7"/>
      <c r="C26" s="7"/>
      <c r="D26" s="35"/>
      <c r="E26" s="35">
        <v>32787</v>
      </c>
      <c r="F26" s="7"/>
      <c r="G26" s="7"/>
      <c r="H26" s="7"/>
      <c r="I26" s="40">
        <f t="shared" si="8"/>
        <v>32787</v>
      </c>
      <c r="J26" s="7"/>
      <c r="K26" s="7"/>
      <c r="L26" s="7"/>
      <c r="M26" s="7"/>
      <c r="N26" s="7"/>
    </row>
    <row r="29" spans="1:14" ht="15.75" thickBot="1" x14ac:dyDescent="0.3"/>
    <row r="30" spans="1:14" x14ac:dyDescent="0.25">
      <c r="A30" s="9" t="s">
        <v>55</v>
      </c>
      <c r="B30" s="4" t="s">
        <v>56</v>
      </c>
      <c r="C30" s="4" t="s">
        <v>57</v>
      </c>
      <c r="D30" s="4" t="s">
        <v>58</v>
      </c>
      <c r="E30" s="4" t="s">
        <v>59</v>
      </c>
      <c r="F30" s="4" t="s">
        <v>60</v>
      </c>
      <c r="G30" s="4" t="s">
        <v>61</v>
      </c>
      <c r="H30" s="4" t="s">
        <v>62</v>
      </c>
      <c r="I30" s="38" t="s">
        <v>63</v>
      </c>
    </row>
    <row r="31" spans="1:14" x14ac:dyDescent="0.25">
      <c r="A31" s="3" t="s">
        <v>6</v>
      </c>
      <c r="B31" s="55">
        <f>(SUM(B21)+$B6)/$B6</f>
        <v>1.0931266780711029</v>
      </c>
      <c r="C31" s="55">
        <f>(SUM(B21:C21)+$B6)/$B6</f>
        <v>1.186253356142206</v>
      </c>
      <c r="D31" s="55">
        <f>(SUM(B21:D21)+$B6)/$B6</f>
        <v>1.2793800342133088</v>
      </c>
      <c r="E31" s="55">
        <f>(SUM(B21:E21)+$B6)/$B6</f>
        <v>1.3180000257889262</v>
      </c>
      <c r="F31" s="55">
        <f>(SUM(B21:F21)+$B6)/$B6</f>
        <v>1.3180000257889262</v>
      </c>
      <c r="G31" s="55">
        <f>(SUM(B21:G21)+$B6)/$B6</f>
        <v>1.3180000257889262</v>
      </c>
      <c r="H31" s="55">
        <f>(SUM(B21:H21)+$B6)/$B6</f>
        <v>1.3180000257889262</v>
      </c>
      <c r="I31" s="39"/>
    </row>
    <row r="32" spans="1:14" x14ac:dyDescent="0.25">
      <c r="A32" s="3" t="s">
        <v>8</v>
      </c>
      <c r="B32" s="55">
        <f t="shared" ref="B32:B36" si="9">(SUM(B22)+$B7)/$B7</f>
        <v>0.89697796754964476</v>
      </c>
      <c r="C32" s="55">
        <f t="shared" ref="C32:C36" si="10">(SUM(B22:C22)+$B7)/$B7</f>
        <v>0.79395593509928941</v>
      </c>
      <c r="D32" s="55">
        <f t="shared" ref="D32:D36" si="11">(SUM(B22:D22)+$B7)/$B7</f>
        <v>0.70282106023935975</v>
      </c>
      <c r="E32" s="55">
        <f t="shared" ref="E32:E36" si="12">(SUM(B22:E22)+$B7)/$B7</f>
        <v>0.61168618537943009</v>
      </c>
      <c r="F32" s="55">
        <f t="shared" ref="F32:F36" si="13">(SUM(B22:F22)+$B7)/$B7</f>
        <v>0.53243846810992612</v>
      </c>
      <c r="G32" s="55">
        <f t="shared" ref="G32:G36" si="14">(SUM(B22:G22)+$B7)/$B7</f>
        <v>0.48488983774822364</v>
      </c>
      <c r="H32" s="55">
        <f t="shared" ref="H32:H36" si="15">(SUM(B22:H22)+$B7)/$B7</f>
        <v>0.44999984150456546</v>
      </c>
      <c r="I32" s="39"/>
    </row>
    <row r="33" spans="1:14" x14ac:dyDescent="0.25">
      <c r="A33" s="3" t="s">
        <v>10</v>
      </c>
      <c r="B33" s="55">
        <f t="shared" si="9"/>
        <v>1</v>
      </c>
      <c r="C33" s="55">
        <f t="shared" si="10"/>
        <v>1</v>
      </c>
      <c r="D33" s="55">
        <f t="shared" si="11"/>
        <v>1</v>
      </c>
      <c r="E33" s="55">
        <f t="shared" si="12"/>
        <v>1.05396070391623</v>
      </c>
      <c r="F33" s="55">
        <f t="shared" si="13"/>
        <v>1.1714729161469011</v>
      </c>
      <c r="G33" s="55">
        <f t="shared" si="14"/>
        <v>1.2889851283775722</v>
      </c>
      <c r="H33" s="55">
        <f t="shared" si="15"/>
        <v>1.395417746875079</v>
      </c>
      <c r="I33" s="39"/>
    </row>
    <row r="34" spans="1:14" x14ac:dyDescent="0.25">
      <c r="A34" s="3" t="s">
        <v>12</v>
      </c>
      <c r="B34" s="55">
        <f t="shared" si="9"/>
        <v>1</v>
      </c>
      <c r="C34" s="55">
        <f t="shared" si="10"/>
        <v>1</v>
      </c>
      <c r="D34" s="55">
        <f t="shared" si="11"/>
        <v>1</v>
      </c>
      <c r="E34" s="55">
        <f t="shared" si="12"/>
        <v>1</v>
      </c>
      <c r="F34" s="55">
        <f t="shared" si="13"/>
        <v>1</v>
      </c>
      <c r="G34" s="55">
        <f t="shared" si="14"/>
        <v>0.83888768054649299</v>
      </c>
      <c r="H34" s="55">
        <f t="shared" si="15"/>
        <v>0.75</v>
      </c>
      <c r="I34" s="39"/>
    </row>
    <row r="35" spans="1:14" x14ac:dyDescent="0.25">
      <c r="A35" s="3" t="s">
        <v>14</v>
      </c>
      <c r="B35" s="55">
        <f t="shared" si="9"/>
        <v>1</v>
      </c>
      <c r="C35" s="55">
        <f t="shared" si="10"/>
        <v>1</v>
      </c>
      <c r="D35" s="55">
        <f t="shared" si="11"/>
        <v>0.9470518468315825</v>
      </c>
      <c r="E35" s="55">
        <f t="shared" si="12"/>
        <v>0.894103693663165</v>
      </c>
      <c r="F35" s="55">
        <f t="shared" si="13"/>
        <v>0.78820738732633011</v>
      </c>
      <c r="G35" s="55">
        <f t="shared" si="14"/>
        <v>0.68231108098949511</v>
      </c>
      <c r="H35" s="55">
        <f t="shared" si="15"/>
        <v>0.5</v>
      </c>
      <c r="I35" s="39"/>
    </row>
    <row r="36" spans="1:14" ht="15.75" thickBot="1" x14ac:dyDescent="0.3">
      <c r="A36" s="8" t="s">
        <v>16</v>
      </c>
      <c r="B36" s="55">
        <f t="shared" si="9"/>
        <v>1</v>
      </c>
      <c r="C36" s="55">
        <f t="shared" si="10"/>
        <v>1</v>
      </c>
      <c r="D36" s="55">
        <f t="shared" si="11"/>
        <v>1</v>
      </c>
      <c r="E36" s="55">
        <f t="shared" si="12"/>
        <v>1.2420062001771479</v>
      </c>
      <c r="F36" s="55">
        <f t="shared" si="13"/>
        <v>1.2420062001771479</v>
      </c>
      <c r="G36" s="55">
        <f t="shared" si="14"/>
        <v>1.2420062001771479</v>
      </c>
      <c r="H36" s="55">
        <f t="shared" si="15"/>
        <v>1.2420062001771479</v>
      </c>
      <c r="I36" s="40"/>
    </row>
    <row r="37" spans="1:14" ht="15.75" thickBot="1" x14ac:dyDescent="0.3"/>
    <row r="38" spans="1:14" ht="15.75" thickBot="1" x14ac:dyDescent="0.3">
      <c r="A38" s="76" t="s">
        <v>121</v>
      </c>
      <c r="B38" s="63" t="s">
        <v>56</v>
      </c>
      <c r="C38" s="63" t="s">
        <v>57</v>
      </c>
      <c r="D38" s="63" t="s">
        <v>58</v>
      </c>
      <c r="E38" s="63" t="s">
        <v>59</v>
      </c>
      <c r="F38" s="63" t="s">
        <v>60</v>
      </c>
      <c r="G38" s="63" t="s">
        <v>61</v>
      </c>
      <c r="H38" s="64" t="s">
        <v>62</v>
      </c>
    </row>
    <row r="39" spans="1:14" x14ac:dyDescent="0.25">
      <c r="A39" s="62" t="s">
        <v>69</v>
      </c>
      <c r="B39" s="65">
        <v>129.69389219999999</v>
      </c>
      <c r="C39" s="65">
        <v>129.69389219999999</v>
      </c>
      <c r="D39" s="65">
        <v>129.69389219999999</v>
      </c>
      <c r="E39" s="65">
        <v>129.69389219999999</v>
      </c>
      <c r="F39" s="65">
        <v>129.69389219999999</v>
      </c>
      <c r="G39" s="65">
        <v>129.69389219999999</v>
      </c>
      <c r="H39" s="66">
        <v>129.69389219999999</v>
      </c>
    </row>
    <row r="40" spans="1:14" x14ac:dyDescent="0.25">
      <c r="A40" s="62"/>
      <c r="B40" s="65"/>
      <c r="C40" s="65"/>
      <c r="D40" s="65"/>
      <c r="E40" s="65"/>
      <c r="F40" s="65"/>
      <c r="G40" s="65"/>
      <c r="H40" s="66"/>
    </row>
    <row r="41" spans="1:14" x14ac:dyDescent="0.25">
      <c r="A41" s="69" t="s">
        <v>120</v>
      </c>
      <c r="B41" s="70"/>
      <c r="C41" s="70"/>
      <c r="D41" s="70"/>
      <c r="E41" s="70"/>
      <c r="F41" s="70"/>
      <c r="G41" s="70"/>
      <c r="H41" s="71"/>
    </row>
    <row r="42" spans="1:14" x14ac:dyDescent="0.25">
      <c r="A42" s="72" t="s">
        <v>17</v>
      </c>
      <c r="B42" s="67"/>
      <c r="C42" s="67"/>
      <c r="D42" s="67"/>
      <c r="E42" s="67"/>
      <c r="F42" s="67"/>
      <c r="G42" s="67"/>
      <c r="H42" s="73"/>
      <c r="I42" s="4"/>
      <c r="J42" s="4"/>
      <c r="K42" s="4"/>
      <c r="L42" s="4"/>
      <c r="M42" s="4"/>
      <c r="N42" s="4"/>
    </row>
    <row r="43" spans="1:14" x14ac:dyDescent="0.25">
      <c r="A43" s="62" t="s">
        <v>119</v>
      </c>
      <c r="B43" s="65">
        <f>0.1*$I$12/7*200000/1000000000</f>
        <v>5.1299588571428574</v>
      </c>
      <c r="C43" s="65">
        <f t="shared" ref="C43:H43" si="16">0.1*$I$12/7*200000/1000000000</f>
        <v>5.1299588571428574</v>
      </c>
      <c r="D43" s="65">
        <f t="shared" si="16"/>
        <v>5.1299588571428574</v>
      </c>
      <c r="E43" s="65">
        <f t="shared" si="16"/>
        <v>5.1299588571428574</v>
      </c>
      <c r="F43" s="65">
        <f t="shared" si="16"/>
        <v>5.1299588571428574</v>
      </c>
      <c r="G43" s="65">
        <f t="shared" si="16"/>
        <v>5.1299588571428574</v>
      </c>
      <c r="H43" s="66">
        <f t="shared" si="16"/>
        <v>5.1299588571428574</v>
      </c>
    </row>
    <row r="44" spans="1:14" x14ac:dyDescent="0.25">
      <c r="A44" s="62" t="s">
        <v>19</v>
      </c>
      <c r="B44" s="65">
        <f t="shared" ref="B44:H44" si="17">(-B22*$G$7/1000-B24*$G$9/1000-$G$10*B25/1000)/1000000</f>
        <v>100.06893000000002</v>
      </c>
      <c r="C44" s="65">
        <f t="shared" si="17"/>
        <v>100.06893000000002</v>
      </c>
      <c r="D44" s="65">
        <f t="shared" si="17"/>
        <v>96.173460000000034</v>
      </c>
      <c r="E44" s="65">
        <f t="shared" si="17"/>
        <v>96.173460000000034</v>
      </c>
      <c r="F44" s="65">
        <f t="shared" si="17"/>
        <v>92.277990000000031</v>
      </c>
      <c r="G44" s="65">
        <f t="shared" si="17"/>
        <v>80.471406000000016</v>
      </c>
      <c r="H44" s="66">
        <f t="shared" si="17"/>
        <v>70.707247143900005</v>
      </c>
    </row>
    <row r="45" spans="1:14" x14ac:dyDescent="0.25">
      <c r="A45" s="62" t="s">
        <v>18</v>
      </c>
      <c r="B45" s="65">
        <f>B68</f>
        <v>1.4771036457623623</v>
      </c>
      <c r="C45" s="65">
        <f t="shared" ref="C45:H45" si="18">C68</f>
        <v>1.4379305564080767</v>
      </c>
      <c r="D45" s="65">
        <f t="shared" si="18"/>
        <v>1.4054137785452196</v>
      </c>
      <c r="E45" s="65">
        <f t="shared" si="18"/>
        <v>1.3800641510931</v>
      </c>
      <c r="F45" s="65">
        <f t="shared" si="18"/>
        <v>1.3764849910788146</v>
      </c>
      <c r="G45" s="65">
        <f t="shared" si="18"/>
        <v>1.3906221293273859</v>
      </c>
      <c r="H45" s="66">
        <f t="shared" si="18"/>
        <v>1.4080162965259224</v>
      </c>
    </row>
    <row r="46" spans="1:14" x14ac:dyDescent="0.25">
      <c r="A46" s="62" t="s">
        <v>21</v>
      </c>
      <c r="B46" s="65">
        <f>0.1*SUM(B43:B45)</f>
        <v>10.667599250290525</v>
      </c>
      <c r="C46" s="65">
        <f t="shared" ref="C46:H46" si="19">0.1*SUM(C43:C45)</f>
        <v>10.663681941355096</v>
      </c>
      <c r="D46" s="65">
        <f t="shared" si="19"/>
        <v>10.270883263568813</v>
      </c>
      <c r="E46" s="65">
        <f t="shared" si="19"/>
        <v>10.268348300823599</v>
      </c>
      <c r="F46" s="65">
        <f t="shared" si="19"/>
        <v>9.8784433848221695</v>
      </c>
      <c r="G46" s="65">
        <f t="shared" si="19"/>
        <v>8.6991986986470256</v>
      </c>
      <c r="H46" s="66">
        <f t="shared" si="19"/>
        <v>7.7245222297568787</v>
      </c>
    </row>
    <row r="47" spans="1:14" ht="15.75" thickBot="1" x14ac:dyDescent="0.3">
      <c r="A47" s="74" t="s">
        <v>20</v>
      </c>
      <c r="B47" s="68">
        <f>SUM(B43:B46)</f>
        <v>117.34359175319577</v>
      </c>
      <c r="C47" s="68">
        <f t="shared" ref="C47:H47" si="20">SUM(C43:C46)</f>
        <v>117.30050135490605</v>
      </c>
      <c r="D47" s="68">
        <f t="shared" si="20"/>
        <v>112.97971589925692</v>
      </c>
      <c r="E47" s="68">
        <f t="shared" si="20"/>
        <v>112.95183130905959</v>
      </c>
      <c r="F47" s="68">
        <f t="shared" si="20"/>
        <v>108.66287723304387</v>
      </c>
      <c r="G47" s="68">
        <f t="shared" si="20"/>
        <v>95.691185685117276</v>
      </c>
      <c r="H47" s="75">
        <f t="shared" si="20"/>
        <v>84.969744527325673</v>
      </c>
      <c r="I47" s="5"/>
      <c r="J47" s="5"/>
      <c r="K47" s="5"/>
      <c r="L47" s="5"/>
      <c r="M47" s="5"/>
      <c r="N47" s="5"/>
    </row>
    <row r="48" spans="1:14" ht="15.75" thickBot="1" x14ac:dyDescent="0.3">
      <c r="A48" s="77" t="s">
        <v>111</v>
      </c>
      <c r="B48" s="78">
        <f>_xlfn.NORM.DIST(B39,SUM(B43:B46),10,TRUE)</f>
        <v>0.89159033869466986</v>
      </c>
      <c r="C48" s="78">
        <f t="shared" ref="C48:H48" si="21">_xlfn.NORM.DIST(C39,SUM(C43:C46),10,TRUE)</f>
        <v>0.89239002492181352</v>
      </c>
      <c r="D48" s="78">
        <f t="shared" si="21"/>
        <v>0.95268039199879873</v>
      </c>
      <c r="E48" s="78">
        <f t="shared" si="21"/>
        <v>0.95295494839491401</v>
      </c>
      <c r="F48" s="78">
        <f t="shared" si="21"/>
        <v>0.98227155091491802</v>
      </c>
      <c r="G48" s="78">
        <f t="shared" si="21"/>
        <v>0.99966340408287113</v>
      </c>
      <c r="H48" s="79">
        <f t="shared" si="21"/>
        <v>0.99999613293847167</v>
      </c>
    </row>
    <row r="51" spans="1:11" x14ac:dyDescent="0.25">
      <c r="A51" s="56" t="s">
        <v>112</v>
      </c>
      <c r="B51" s="4" t="s">
        <v>105</v>
      </c>
      <c r="C51" s="4" t="s">
        <v>106</v>
      </c>
      <c r="D51" s="4" t="s">
        <v>107</v>
      </c>
      <c r="E51" s="4" t="s">
        <v>108</v>
      </c>
      <c r="F51" s="4" t="s">
        <v>109</v>
      </c>
      <c r="G51" s="4" t="s">
        <v>110</v>
      </c>
      <c r="H51" s="4" t="s">
        <v>113</v>
      </c>
      <c r="J51" s="4" t="s">
        <v>114</v>
      </c>
    </row>
    <row r="52" spans="1:11" x14ac:dyDescent="0.25">
      <c r="A52" s="3" t="s">
        <v>6</v>
      </c>
      <c r="B52" s="60">
        <f>$J52*B31*$B6</f>
        <v>24633.160571428565</v>
      </c>
      <c r="C52" s="60">
        <f t="shared" ref="B52:H57" si="22">$J52*C31*$B6</f>
        <v>26731.731999999993</v>
      </c>
      <c r="D52" s="60">
        <f t="shared" si="22"/>
        <v>28830.303428571424</v>
      </c>
      <c r="E52" s="60">
        <f t="shared" si="22"/>
        <v>29700.589071428563</v>
      </c>
      <c r="F52" s="60">
        <f t="shared" si="22"/>
        <v>29700.589071428563</v>
      </c>
      <c r="G52" s="60">
        <f t="shared" si="22"/>
        <v>29700.589071428563</v>
      </c>
      <c r="H52" s="60">
        <f t="shared" si="22"/>
        <v>29700.589071428563</v>
      </c>
      <c r="J52">
        <v>8.0714285714285697E-3</v>
      </c>
    </row>
    <row r="53" spans="1:11" x14ac:dyDescent="0.25">
      <c r="A53" s="3" t="s">
        <v>8</v>
      </c>
      <c r="B53">
        <f t="shared" si="22"/>
        <v>44606.300076190477</v>
      </c>
      <c r="C53">
        <f t="shared" si="22"/>
        <v>39483.061980952378</v>
      </c>
      <c r="D53">
        <f t="shared" si="22"/>
        <v>34950.966742857141</v>
      </c>
      <c r="E53">
        <f t="shared" si="22"/>
        <v>30418.871504761904</v>
      </c>
      <c r="F53">
        <f t="shared" si="22"/>
        <v>26477.919123809526</v>
      </c>
      <c r="G53">
        <f t="shared" si="22"/>
        <v>24113.347695238095</v>
      </c>
      <c r="H53">
        <f t="shared" si="22"/>
        <v>22378.284295238096</v>
      </c>
      <c r="J53">
        <v>1.9704761904761905E-2</v>
      </c>
    </row>
    <row r="54" spans="1:11" x14ac:dyDescent="0.25">
      <c r="A54" s="3" t="s">
        <v>10</v>
      </c>
      <c r="B54">
        <f t="shared" si="22"/>
        <v>31681.408342857147</v>
      </c>
      <c r="C54">
        <f t="shared" si="22"/>
        <v>31681.408342857147</v>
      </c>
      <c r="D54">
        <f t="shared" si="22"/>
        <v>31681.408342857147</v>
      </c>
      <c r="E54">
        <f t="shared" si="22"/>
        <v>33390.95943809524</v>
      </c>
      <c r="F54">
        <f t="shared" si="22"/>
        <v>37113.911819047615</v>
      </c>
      <c r="G54">
        <f t="shared" si="22"/>
        <v>40836.864200000004</v>
      </c>
      <c r="H54">
        <f t="shared" si="22"/>
        <v>44208.799447619043</v>
      </c>
      <c r="J54">
        <v>1.431904761904762E-2</v>
      </c>
    </row>
    <row r="55" spans="1:11" x14ac:dyDescent="0.25">
      <c r="A55" s="3" t="s">
        <v>12</v>
      </c>
      <c r="B55">
        <f t="shared" si="22"/>
        <v>1929.4436571428571</v>
      </c>
      <c r="C55">
        <f t="shared" si="22"/>
        <v>1929.4436571428571</v>
      </c>
      <c r="D55">
        <f t="shared" si="22"/>
        <v>1929.4436571428571</v>
      </c>
      <c r="E55">
        <f t="shared" si="22"/>
        <v>1929.4436571428571</v>
      </c>
      <c r="F55">
        <f t="shared" si="22"/>
        <v>1929.4436571428571</v>
      </c>
      <c r="G55">
        <f t="shared" si="22"/>
        <v>1618.5865142857142</v>
      </c>
      <c r="H55">
        <f t="shared" si="22"/>
        <v>1447.0827428571429</v>
      </c>
      <c r="J55">
        <v>3.8857142857142857E-3</v>
      </c>
    </row>
    <row r="56" spans="1:11" x14ac:dyDescent="0.25">
      <c r="A56" s="3" t="s">
        <v>14</v>
      </c>
      <c r="B56">
        <f t="shared" si="22"/>
        <v>2236.6893714285716</v>
      </c>
      <c r="C56">
        <f t="shared" si="22"/>
        <v>2236.6893714285716</v>
      </c>
      <c r="D56">
        <f t="shared" si="22"/>
        <v>2118.2608</v>
      </c>
      <c r="E56">
        <f t="shared" si="22"/>
        <v>1999.8322285714287</v>
      </c>
      <c r="F56">
        <f t="shared" si="22"/>
        <v>1762.975085714286</v>
      </c>
      <c r="G56">
        <f t="shared" si="22"/>
        <v>1526.1179428571431</v>
      </c>
      <c r="H56">
        <f t="shared" si="22"/>
        <v>1118.3446857142858</v>
      </c>
      <c r="J56">
        <v>3.9476190476190479E-3</v>
      </c>
    </row>
    <row r="57" spans="1:11" ht="15.75" thickBot="1" x14ac:dyDescent="0.3">
      <c r="A57" s="8" t="s">
        <v>16</v>
      </c>
      <c r="B57" s="7">
        <f t="shared" si="22"/>
        <v>258.70228571428572</v>
      </c>
      <c r="C57" s="7">
        <f t="shared" si="22"/>
        <v>258.70228571428572</v>
      </c>
      <c r="D57" s="7">
        <f t="shared" si="22"/>
        <v>258.70228571428572</v>
      </c>
      <c r="E57" s="7">
        <f t="shared" si="22"/>
        <v>321.30984285714288</v>
      </c>
      <c r="F57" s="7">
        <f t="shared" si="22"/>
        <v>321.30984285714288</v>
      </c>
      <c r="G57" s="7">
        <f t="shared" si="22"/>
        <v>321.30984285714288</v>
      </c>
      <c r="H57" s="7">
        <f t="shared" si="22"/>
        <v>321.30984285714288</v>
      </c>
      <c r="J57" s="7">
        <v>1.9095238095238095E-3</v>
      </c>
    </row>
    <row r="60" spans="1:11" x14ac:dyDescent="0.25">
      <c r="A60" s="56" t="s">
        <v>115</v>
      </c>
      <c r="B60" s="4" t="s">
        <v>105</v>
      </c>
      <c r="C60" s="4" t="s">
        <v>106</v>
      </c>
      <c r="D60" s="4" t="s">
        <v>107</v>
      </c>
      <c r="E60" s="4" t="s">
        <v>108</v>
      </c>
      <c r="F60" s="4" t="s">
        <v>109</v>
      </c>
      <c r="G60" s="4" t="s">
        <v>110</v>
      </c>
      <c r="H60" s="4" t="s">
        <v>113</v>
      </c>
      <c r="I60" s="4"/>
      <c r="K60" t="s">
        <v>116</v>
      </c>
    </row>
    <row r="61" spans="1:11" x14ac:dyDescent="0.25">
      <c r="A61" s="3" t="s">
        <v>6</v>
      </c>
      <c r="B61">
        <f>B52*$K61*3</f>
        <v>361811862.47314274</v>
      </c>
      <c r="C61">
        <f t="shared" ref="C61:H61" si="23">C52*$K61*3</f>
        <v>392635679.61599988</v>
      </c>
      <c r="D61">
        <f t="shared" si="23"/>
        <v>423459496.75885701</v>
      </c>
      <c r="E61">
        <f t="shared" si="23"/>
        <v>436242252.28114271</v>
      </c>
      <c r="F61">
        <f t="shared" si="23"/>
        <v>436242252.28114271</v>
      </c>
      <c r="G61">
        <f t="shared" si="23"/>
        <v>436242252.28114271</v>
      </c>
      <c r="H61">
        <f t="shared" si="23"/>
        <v>436242252.28114271</v>
      </c>
      <c r="K61">
        <v>4896</v>
      </c>
    </row>
    <row r="62" spans="1:11" x14ac:dyDescent="0.25">
      <c r="A62" s="3" t="s">
        <v>8</v>
      </c>
      <c r="B62">
        <f t="shared" ref="B62:H66" si="24">B53*$K62*3</f>
        <v>609439373.60996222</v>
      </c>
      <c r="C62">
        <f t="shared" si="24"/>
        <v>539442467.11281943</v>
      </c>
      <c r="D62">
        <f t="shared" si="24"/>
        <v>477522126.74996227</v>
      </c>
      <c r="E62">
        <f t="shared" si="24"/>
        <v>415601786.38710511</v>
      </c>
      <c r="F62">
        <f t="shared" si="24"/>
        <v>361758012.15853375</v>
      </c>
      <c r="G62">
        <f t="shared" si="24"/>
        <v>329451747.62139082</v>
      </c>
      <c r="H62">
        <f t="shared" si="24"/>
        <v>305746218.36064887</v>
      </c>
      <c r="K62">
        <v>4554.21</v>
      </c>
    </row>
    <row r="63" spans="1:11" x14ac:dyDescent="0.25">
      <c r="A63" s="3" t="s">
        <v>10</v>
      </c>
      <c r="B63">
        <f t="shared" si="24"/>
        <v>451911528.9546001</v>
      </c>
      <c r="C63">
        <f t="shared" si="24"/>
        <v>451911528.9546001</v>
      </c>
      <c r="D63">
        <f t="shared" si="24"/>
        <v>451911528.9546001</v>
      </c>
      <c r="E63">
        <f t="shared" si="24"/>
        <v>476296993.16485</v>
      </c>
      <c r="F63">
        <f t="shared" si="24"/>
        <v>529402116.66485</v>
      </c>
      <c r="G63">
        <f t="shared" si="24"/>
        <v>582507240.16485012</v>
      </c>
      <c r="H63">
        <f t="shared" si="24"/>
        <v>630605367.52069998</v>
      </c>
      <c r="K63">
        <v>4754.75</v>
      </c>
    </row>
    <row r="64" spans="1:11" x14ac:dyDescent="0.25">
      <c r="A64" s="3" t="s">
        <v>12</v>
      </c>
      <c r="B64">
        <f t="shared" si="24"/>
        <v>23717686.155428573</v>
      </c>
      <c r="C64">
        <f t="shared" si="24"/>
        <v>23717686.155428573</v>
      </c>
      <c r="D64">
        <f t="shared" si="24"/>
        <v>23717686.155428573</v>
      </c>
      <c r="E64">
        <f t="shared" si="24"/>
        <v>23717686.155428573</v>
      </c>
      <c r="F64">
        <f t="shared" si="24"/>
        <v>23717686.155428573</v>
      </c>
      <c r="G64">
        <f t="shared" si="24"/>
        <v>19896474.726857141</v>
      </c>
      <c r="H64">
        <f t="shared" si="24"/>
        <v>17788264.61657143</v>
      </c>
      <c r="K64">
        <v>4097.5</v>
      </c>
    </row>
    <row r="65" spans="1:11" x14ac:dyDescent="0.25">
      <c r="A65" s="3" t="s">
        <v>14</v>
      </c>
      <c r="B65">
        <f t="shared" si="24"/>
        <v>26823497.286857143</v>
      </c>
      <c r="C65">
        <f t="shared" si="24"/>
        <v>26823497.286857143</v>
      </c>
      <c r="D65">
        <f t="shared" si="24"/>
        <v>25403242.644000001</v>
      </c>
      <c r="E65">
        <f t="shared" si="24"/>
        <v>23982988.001142859</v>
      </c>
      <c r="F65">
        <f t="shared" si="24"/>
        <v>21142478.715428576</v>
      </c>
      <c r="G65">
        <f t="shared" si="24"/>
        <v>18301969.429714289</v>
      </c>
      <c r="H65">
        <f t="shared" si="24"/>
        <v>13411748.643428572</v>
      </c>
      <c r="K65">
        <v>3997.5</v>
      </c>
    </row>
    <row r="66" spans="1:11" ht="15.75" thickBot="1" x14ac:dyDescent="0.3">
      <c r="A66" s="8" t="s">
        <v>16</v>
      </c>
      <c r="B66" s="7">
        <f>B57*$K66*3</f>
        <v>3399697.2823714288</v>
      </c>
      <c r="C66" s="7">
        <f t="shared" si="24"/>
        <v>3399697.2823714288</v>
      </c>
      <c r="D66" s="7">
        <f t="shared" si="24"/>
        <v>3399697.2823714288</v>
      </c>
      <c r="E66" s="7">
        <f t="shared" si="24"/>
        <v>4222445.1034307145</v>
      </c>
      <c r="F66" s="7">
        <f t="shared" si="24"/>
        <v>4222445.1034307145</v>
      </c>
      <c r="G66" s="7">
        <f t="shared" si="24"/>
        <v>4222445.1034307145</v>
      </c>
      <c r="H66" s="7">
        <f t="shared" si="24"/>
        <v>4222445.1034307145</v>
      </c>
      <c r="K66">
        <v>4380.45</v>
      </c>
    </row>
    <row r="67" spans="1:11" ht="15.75" thickBot="1" x14ac:dyDescent="0.3">
      <c r="A67" s="61" t="s">
        <v>117</v>
      </c>
      <c r="B67" s="50">
        <f>SUM(B61:B66)/1000000</f>
        <v>1477.1036457623622</v>
      </c>
      <c r="C67" s="50">
        <f t="shared" ref="C67:H67" si="25">SUM(C61:C66)/1000000</f>
        <v>1437.9305564080767</v>
      </c>
      <c r="D67" s="50">
        <f t="shared" si="25"/>
        <v>1405.4137785452197</v>
      </c>
      <c r="E67" s="50">
        <f t="shared" si="25"/>
        <v>1380.0641510931</v>
      </c>
      <c r="F67" s="50">
        <f t="shared" si="25"/>
        <v>1376.4849910788146</v>
      </c>
      <c r="G67" s="50">
        <f t="shared" si="25"/>
        <v>1390.6221293273859</v>
      </c>
      <c r="H67" s="50">
        <f t="shared" si="25"/>
        <v>1408.0162965259224</v>
      </c>
    </row>
    <row r="68" spans="1:11" x14ac:dyDescent="0.25">
      <c r="A68" s="3" t="s">
        <v>118</v>
      </c>
      <c r="B68" s="37">
        <f>B67/1000</f>
        <v>1.4771036457623623</v>
      </c>
      <c r="C68" s="37">
        <f t="shared" ref="C68:H68" si="26">C67/1000</f>
        <v>1.4379305564080767</v>
      </c>
      <c r="D68" s="37">
        <f t="shared" si="26"/>
        <v>1.4054137785452196</v>
      </c>
      <c r="E68" s="37">
        <f t="shared" si="26"/>
        <v>1.3800641510931</v>
      </c>
      <c r="F68" s="37">
        <f t="shared" si="26"/>
        <v>1.3764849910788146</v>
      </c>
      <c r="G68" s="37">
        <f t="shared" si="26"/>
        <v>1.3906221293273859</v>
      </c>
      <c r="H68" s="37">
        <f t="shared" si="26"/>
        <v>1.4080162965259224</v>
      </c>
    </row>
    <row r="71" spans="1:11" x14ac:dyDescent="0.25">
      <c r="A71" s="3" t="s">
        <v>122</v>
      </c>
    </row>
    <row r="72" spans="1:11" x14ac:dyDescent="0.25">
      <c r="A72" s="56" t="s">
        <v>112</v>
      </c>
      <c r="B72" s="4" t="s">
        <v>105</v>
      </c>
      <c r="C72" s="4" t="s">
        <v>106</v>
      </c>
      <c r="D72" s="4" t="s">
        <v>107</v>
      </c>
      <c r="E72" s="4" t="s">
        <v>108</v>
      </c>
      <c r="F72" s="4" t="s">
        <v>109</v>
      </c>
      <c r="G72" s="4" t="s">
        <v>110</v>
      </c>
      <c r="H72" s="4" t="s">
        <v>113</v>
      </c>
    </row>
    <row r="73" spans="1:11" x14ac:dyDescent="0.25">
      <c r="A73" s="3" t="s">
        <v>6</v>
      </c>
      <c r="B73" s="60">
        <f>$J52*$B6</f>
        <v>22534.589142857138</v>
      </c>
      <c r="C73" s="60">
        <f t="shared" ref="C73:H73" si="27">$J52*$B6</f>
        <v>22534.589142857138</v>
      </c>
      <c r="D73" s="60">
        <f t="shared" si="27"/>
        <v>22534.589142857138</v>
      </c>
      <c r="E73" s="60">
        <f t="shared" si="27"/>
        <v>22534.589142857138</v>
      </c>
      <c r="F73" s="60">
        <f t="shared" si="27"/>
        <v>22534.589142857138</v>
      </c>
      <c r="G73" s="60">
        <f t="shared" si="27"/>
        <v>22534.589142857138</v>
      </c>
      <c r="H73" s="60">
        <f t="shared" si="27"/>
        <v>22534.589142857138</v>
      </c>
    </row>
    <row r="74" spans="1:11" x14ac:dyDescent="0.25">
      <c r="A74" s="3" t="s">
        <v>8</v>
      </c>
      <c r="B74" s="60">
        <f t="shared" ref="B74:H74" si="28">$J53*$B7</f>
        <v>49729.538171428576</v>
      </c>
      <c r="C74" s="60">
        <f t="shared" si="28"/>
        <v>49729.538171428576</v>
      </c>
      <c r="D74" s="60">
        <f t="shared" si="28"/>
        <v>49729.538171428576</v>
      </c>
      <c r="E74" s="60">
        <f t="shared" si="28"/>
        <v>49729.538171428576</v>
      </c>
      <c r="F74" s="60">
        <f t="shared" si="28"/>
        <v>49729.538171428576</v>
      </c>
      <c r="G74" s="60">
        <f t="shared" si="28"/>
        <v>49729.538171428576</v>
      </c>
      <c r="H74" s="60">
        <f t="shared" si="28"/>
        <v>49729.538171428576</v>
      </c>
    </row>
    <row r="75" spans="1:11" x14ac:dyDescent="0.25">
      <c r="A75" s="3" t="s">
        <v>10</v>
      </c>
      <c r="B75" s="60">
        <f t="shared" ref="B75:H75" si="29">$J54*$B8</f>
        <v>31681.408342857147</v>
      </c>
      <c r="C75" s="60">
        <f t="shared" si="29"/>
        <v>31681.408342857147</v>
      </c>
      <c r="D75" s="60">
        <f t="shared" si="29"/>
        <v>31681.408342857147</v>
      </c>
      <c r="E75" s="60">
        <f t="shared" si="29"/>
        <v>31681.408342857147</v>
      </c>
      <c r="F75" s="60">
        <f t="shared" si="29"/>
        <v>31681.408342857147</v>
      </c>
      <c r="G75" s="60">
        <f t="shared" si="29"/>
        <v>31681.408342857147</v>
      </c>
      <c r="H75" s="60">
        <f t="shared" si="29"/>
        <v>31681.408342857147</v>
      </c>
    </row>
    <row r="76" spans="1:11" x14ac:dyDescent="0.25">
      <c r="A76" s="3" t="s">
        <v>12</v>
      </c>
      <c r="B76" s="60">
        <f t="shared" ref="B76:H76" si="30">$J55*$B9</f>
        <v>1929.4436571428571</v>
      </c>
      <c r="C76" s="60">
        <f t="shared" si="30"/>
        <v>1929.4436571428571</v>
      </c>
      <c r="D76" s="60">
        <f t="shared" si="30"/>
        <v>1929.4436571428571</v>
      </c>
      <c r="E76" s="60">
        <f t="shared" si="30"/>
        <v>1929.4436571428571</v>
      </c>
      <c r="F76" s="60">
        <f t="shared" si="30"/>
        <v>1929.4436571428571</v>
      </c>
      <c r="G76" s="60">
        <f t="shared" si="30"/>
        <v>1929.4436571428571</v>
      </c>
      <c r="H76" s="60">
        <f t="shared" si="30"/>
        <v>1929.4436571428571</v>
      </c>
    </row>
    <row r="77" spans="1:11" x14ac:dyDescent="0.25">
      <c r="A77" s="3" t="s">
        <v>14</v>
      </c>
      <c r="B77" s="60">
        <f t="shared" ref="B77:H77" si="31">$J56*$B10</f>
        <v>2236.6893714285716</v>
      </c>
      <c r="C77" s="60">
        <f t="shared" si="31"/>
        <v>2236.6893714285716</v>
      </c>
      <c r="D77" s="60">
        <f t="shared" si="31"/>
        <v>2236.6893714285716</v>
      </c>
      <c r="E77" s="60">
        <f t="shared" si="31"/>
        <v>2236.6893714285716</v>
      </c>
      <c r="F77" s="60">
        <f t="shared" si="31"/>
        <v>2236.6893714285716</v>
      </c>
      <c r="G77" s="60">
        <f t="shared" si="31"/>
        <v>2236.6893714285716</v>
      </c>
      <c r="H77" s="60">
        <f t="shared" si="31"/>
        <v>2236.6893714285716</v>
      </c>
    </row>
    <row r="78" spans="1:11" ht="15.75" thickBot="1" x14ac:dyDescent="0.3">
      <c r="A78" s="8" t="s">
        <v>16</v>
      </c>
      <c r="B78" s="60">
        <f t="shared" ref="B78:H78" si="32">$J57*$B11</f>
        <v>258.70228571428572</v>
      </c>
      <c r="C78" s="60">
        <f t="shared" si="32"/>
        <v>258.70228571428572</v>
      </c>
      <c r="D78" s="60">
        <f t="shared" si="32"/>
        <v>258.70228571428572</v>
      </c>
      <c r="E78" s="60">
        <f t="shared" si="32"/>
        <v>258.70228571428572</v>
      </c>
      <c r="F78" s="60">
        <f t="shared" si="32"/>
        <v>258.70228571428572</v>
      </c>
      <c r="G78" s="60">
        <f t="shared" si="32"/>
        <v>258.70228571428572</v>
      </c>
      <c r="H78" s="60">
        <f t="shared" si="32"/>
        <v>258.70228571428572</v>
      </c>
    </row>
    <row r="79" spans="1:11" x14ac:dyDescent="0.25">
      <c r="A79" s="3" t="s">
        <v>123</v>
      </c>
      <c r="B79">
        <f>SUM(B73:B78)</f>
        <v>108370.37097142857</v>
      </c>
      <c r="C79">
        <f t="shared" ref="C79:H79" si="33">SUM(C73:C78)</f>
        <v>108370.37097142857</v>
      </c>
      <c r="D79">
        <f t="shared" si="33"/>
        <v>108370.37097142857</v>
      </c>
      <c r="E79">
        <f t="shared" si="33"/>
        <v>108370.37097142857</v>
      </c>
      <c r="F79">
        <f t="shared" si="33"/>
        <v>108370.37097142857</v>
      </c>
      <c r="G79">
        <f t="shared" si="33"/>
        <v>108370.37097142857</v>
      </c>
      <c r="H79">
        <f t="shared" si="33"/>
        <v>108370.37097142857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7AB5-4EE5-47BD-B484-E17DE4A27228}">
  <dimension ref="A1:AF163"/>
  <sheetViews>
    <sheetView topLeftCell="G21" zoomScale="85" zoomScaleNormal="85" workbookViewId="0">
      <selection activeCell="L44" activeCellId="3" sqref="L34:N34 H34 H44:H56 L44:N56"/>
    </sheetView>
  </sheetViews>
  <sheetFormatPr defaultRowHeight="15" x14ac:dyDescent="0.25"/>
  <cols>
    <col min="8" max="8" width="20.28515625" bestFit="1" customWidth="1"/>
    <col min="9" max="9" width="15.85546875" bestFit="1" customWidth="1"/>
    <col min="10" max="11" width="14.85546875" bestFit="1" customWidth="1"/>
    <col min="12" max="12" width="15.85546875" bestFit="1" customWidth="1"/>
    <col min="13" max="14" width="14.85546875" bestFit="1" customWidth="1"/>
    <col min="15" max="15" width="15.85546875" bestFit="1" customWidth="1"/>
    <col min="16" max="17" width="14.85546875" bestFit="1" customWidth="1"/>
    <col min="18" max="18" width="15.85546875" bestFit="1" customWidth="1"/>
    <col min="19" max="20" width="14.85546875" bestFit="1" customWidth="1"/>
    <col min="21" max="21" width="15.85546875" bestFit="1" customWidth="1"/>
    <col min="22" max="26" width="14.85546875" bestFit="1" customWidth="1"/>
  </cols>
  <sheetData>
    <row r="1" spans="1:26" x14ac:dyDescent="0.25">
      <c r="A1" s="10" t="s">
        <v>22</v>
      </c>
      <c r="B1" t="s">
        <v>85</v>
      </c>
      <c r="C1" t="s">
        <v>87</v>
      </c>
      <c r="D1" t="s">
        <v>83</v>
      </c>
      <c r="E1" t="s">
        <v>89</v>
      </c>
      <c r="F1" t="s">
        <v>91</v>
      </c>
      <c r="H1" s="10"/>
      <c r="I1" s="10" t="s">
        <v>38</v>
      </c>
      <c r="K1" t="s">
        <v>23</v>
      </c>
      <c r="L1" t="s">
        <v>25</v>
      </c>
      <c r="M1" t="s">
        <v>27</v>
      </c>
    </row>
    <row r="2" spans="1:26" x14ac:dyDescent="0.25">
      <c r="A2" t="s">
        <v>93</v>
      </c>
      <c r="B2">
        <v>0.6</v>
      </c>
      <c r="C2" s="10">
        <v>0.2</v>
      </c>
      <c r="D2" s="10">
        <v>0.1</v>
      </c>
      <c r="E2" s="10">
        <v>0.4</v>
      </c>
      <c r="F2" s="10">
        <v>0.6</v>
      </c>
      <c r="H2" s="10"/>
      <c r="I2" s="10"/>
      <c r="J2">
        <v>1</v>
      </c>
      <c r="K2">
        <v>2337862</v>
      </c>
      <c r="L2">
        <v>5246270.1428571427</v>
      </c>
      <c r="M2">
        <v>29632635.19047619</v>
      </c>
    </row>
    <row r="3" spans="1:26" x14ac:dyDescent="0.25">
      <c r="A3" t="s">
        <v>95</v>
      </c>
      <c r="B3">
        <v>0.2</v>
      </c>
      <c r="C3" s="10">
        <v>0.2</v>
      </c>
      <c r="D3" s="10">
        <v>0.2</v>
      </c>
      <c r="E3" s="10">
        <v>0.3</v>
      </c>
      <c r="F3" s="10">
        <v>0.2</v>
      </c>
      <c r="H3" s="10"/>
      <c r="I3" s="10"/>
      <c r="J3">
        <v>2</v>
      </c>
      <c r="K3">
        <v>2853733.7619047621</v>
      </c>
      <c r="L3">
        <v>3625047.8095238097</v>
      </c>
      <c r="M3">
        <v>192052170.04761904</v>
      </c>
      <c r="R3" t="s">
        <v>82</v>
      </c>
      <c r="S3" t="s">
        <v>86</v>
      </c>
      <c r="T3" t="s">
        <v>84</v>
      </c>
      <c r="U3" t="s">
        <v>88</v>
      </c>
      <c r="V3" t="s">
        <v>90</v>
      </c>
    </row>
    <row r="4" spans="1:26" x14ac:dyDescent="0.25">
      <c r="A4" t="s">
        <v>97</v>
      </c>
      <c r="B4">
        <v>0.2</v>
      </c>
      <c r="C4" s="10">
        <v>0.4</v>
      </c>
      <c r="D4" s="10">
        <v>0.3</v>
      </c>
      <c r="E4" s="10">
        <v>0.3</v>
      </c>
      <c r="F4" s="10">
        <v>0.2</v>
      </c>
      <c r="H4" s="10"/>
      <c r="I4" s="10"/>
      <c r="J4">
        <v>3</v>
      </c>
      <c r="K4">
        <v>2230315.5714285714</v>
      </c>
      <c r="L4">
        <v>4203367</v>
      </c>
      <c r="M4">
        <v>36407069.476190478</v>
      </c>
      <c r="Q4" t="s">
        <v>92</v>
      </c>
      <c r="R4">
        <v>0.1</v>
      </c>
      <c r="S4">
        <v>0.2</v>
      </c>
      <c r="T4">
        <v>0.3</v>
      </c>
      <c r="U4">
        <v>0.4</v>
      </c>
      <c r="V4">
        <v>0.6</v>
      </c>
    </row>
    <row r="5" spans="1:26" x14ac:dyDescent="0.25">
      <c r="A5" t="s">
        <v>99</v>
      </c>
      <c r="B5">
        <v>0</v>
      </c>
      <c r="C5" s="10">
        <v>0.2</v>
      </c>
      <c r="D5" s="10">
        <v>0.4</v>
      </c>
      <c r="E5" s="10">
        <v>0</v>
      </c>
      <c r="F5" s="10">
        <v>0</v>
      </c>
      <c r="J5">
        <v>4</v>
      </c>
      <c r="K5">
        <v>1174426.6190476189</v>
      </c>
      <c r="L5">
        <v>2811315.9523809524</v>
      </c>
      <c r="M5">
        <v>19336624.904761903</v>
      </c>
      <c r="Q5" t="s">
        <v>94</v>
      </c>
      <c r="R5">
        <v>0.2</v>
      </c>
      <c r="S5">
        <v>0.2</v>
      </c>
      <c r="T5">
        <v>0.3</v>
      </c>
      <c r="U5">
        <v>0.3</v>
      </c>
      <c r="V5">
        <v>0.2</v>
      </c>
    </row>
    <row r="6" spans="1:26" x14ac:dyDescent="0.25">
      <c r="A6" s="10"/>
      <c r="B6" s="10"/>
      <c r="C6" s="10"/>
      <c r="D6" s="10"/>
      <c r="J6">
        <v>5</v>
      </c>
      <c r="K6">
        <v>1568320.4761904762</v>
      </c>
      <c r="L6">
        <v>543570.28571428568</v>
      </c>
      <c r="M6">
        <v>8192514.1904761903</v>
      </c>
      <c r="Q6" t="s">
        <v>96</v>
      </c>
      <c r="R6">
        <v>0.3</v>
      </c>
      <c r="S6">
        <v>0.4</v>
      </c>
      <c r="T6">
        <v>0.3</v>
      </c>
      <c r="U6">
        <v>0.3</v>
      </c>
      <c r="V6">
        <v>0.2</v>
      </c>
    </row>
    <row r="7" spans="1:26" x14ac:dyDescent="0.25">
      <c r="A7" s="10"/>
      <c r="B7" s="10"/>
      <c r="C7" s="10"/>
      <c r="D7" s="10"/>
      <c r="J7">
        <v>6</v>
      </c>
      <c r="K7">
        <v>413462.71428571426</v>
      </c>
      <c r="L7">
        <v>1832015.6666666667</v>
      </c>
      <c r="M7">
        <v>5321952.666666667</v>
      </c>
      <c r="Q7" t="s">
        <v>98</v>
      </c>
      <c r="R7">
        <v>0.4</v>
      </c>
      <c r="S7">
        <v>0.2</v>
      </c>
      <c r="T7">
        <v>0.1</v>
      </c>
      <c r="U7">
        <v>0</v>
      </c>
      <c r="V7">
        <v>0</v>
      </c>
    </row>
    <row r="8" spans="1:26" x14ac:dyDescent="0.25">
      <c r="A8" s="10"/>
      <c r="B8" s="10"/>
      <c r="C8" s="10"/>
      <c r="D8" s="10"/>
      <c r="H8" s="10"/>
      <c r="I8" s="10"/>
    </row>
    <row r="10" spans="1:26" x14ac:dyDescent="0.25">
      <c r="A10" t="s">
        <v>37</v>
      </c>
      <c r="B10" t="s">
        <v>24</v>
      </c>
      <c r="C10" t="s">
        <v>26</v>
      </c>
      <c r="D10" t="s">
        <v>28</v>
      </c>
    </row>
    <row r="11" spans="1:26" x14ac:dyDescent="0.25">
      <c r="A11">
        <v>1</v>
      </c>
      <c r="B11">
        <v>9.7619047619047628</v>
      </c>
      <c r="C11">
        <v>1.8571428571428572</v>
      </c>
      <c r="D11">
        <v>0.52380952380952384</v>
      </c>
    </row>
    <row r="12" spans="1:26" ht="15.75" thickBot="1" x14ac:dyDescent="0.3">
      <c r="A12">
        <v>2</v>
      </c>
      <c r="B12">
        <v>19.428571428571427</v>
      </c>
      <c r="C12">
        <v>2.5238095238095237</v>
      </c>
      <c r="D12">
        <v>1.5238095238095237</v>
      </c>
    </row>
    <row r="13" spans="1:26" x14ac:dyDescent="0.25">
      <c r="A13">
        <v>3</v>
      </c>
      <c r="B13">
        <v>19.857142857142858</v>
      </c>
      <c r="C13">
        <v>1.8571428571428572</v>
      </c>
      <c r="D13">
        <v>1.0476190476190477</v>
      </c>
      <c r="G13" t="s">
        <v>36</v>
      </c>
      <c r="I13" s="13" t="s">
        <v>24</v>
      </c>
      <c r="J13" s="14" t="s">
        <v>26</v>
      </c>
      <c r="K13" s="14" t="s">
        <v>28</v>
      </c>
      <c r="L13" s="14" t="s">
        <v>24</v>
      </c>
      <c r="M13" s="14" t="s">
        <v>26</v>
      </c>
      <c r="N13" s="14" t="s">
        <v>28</v>
      </c>
      <c r="O13" s="14" t="s">
        <v>24</v>
      </c>
      <c r="P13" s="14" t="s">
        <v>26</v>
      </c>
      <c r="Q13" s="14" t="s">
        <v>28</v>
      </c>
      <c r="R13" s="14" t="s">
        <v>24</v>
      </c>
      <c r="S13" s="14" t="s">
        <v>26</v>
      </c>
      <c r="T13" s="14" t="s">
        <v>28</v>
      </c>
      <c r="U13" s="14" t="s">
        <v>24</v>
      </c>
      <c r="V13" s="14" t="s">
        <v>26</v>
      </c>
      <c r="W13" s="14" t="s">
        <v>28</v>
      </c>
      <c r="X13" s="14" t="s">
        <v>24</v>
      </c>
      <c r="Y13" s="14" t="s">
        <v>26</v>
      </c>
      <c r="Z13" s="15" t="s">
        <v>28</v>
      </c>
    </row>
    <row r="14" spans="1:26" ht="15.75" thickBot="1" x14ac:dyDescent="0.3">
      <c r="A14">
        <v>4</v>
      </c>
      <c r="B14">
        <v>10.285714285714286</v>
      </c>
      <c r="C14">
        <v>0.95238095238095233</v>
      </c>
      <c r="D14">
        <v>0.19047619047619047</v>
      </c>
      <c r="I14" s="16">
        <v>1</v>
      </c>
      <c r="J14" s="7">
        <v>1</v>
      </c>
      <c r="K14" s="7">
        <v>1</v>
      </c>
      <c r="L14" s="7">
        <v>2</v>
      </c>
      <c r="M14" s="7">
        <v>2</v>
      </c>
      <c r="N14" s="7">
        <v>2</v>
      </c>
      <c r="O14" s="7">
        <v>3</v>
      </c>
      <c r="P14" s="7">
        <v>3</v>
      </c>
      <c r="Q14" s="7">
        <v>3</v>
      </c>
      <c r="R14" s="7">
        <v>4</v>
      </c>
      <c r="S14" s="7">
        <v>4</v>
      </c>
      <c r="T14" s="7">
        <v>4</v>
      </c>
      <c r="U14" s="7">
        <v>5</v>
      </c>
      <c r="V14" s="7">
        <v>5</v>
      </c>
      <c r="W14" s="7">
        <v>5</v>
      </c>
      <c r="X14" s="7">
        <v>6</v>
      </c>
      <c r="Y14" s="7">
        <v>6</v>
      </c>
      <c r="Z14" s="17">
        <v>6</v>
      </c>
    </row>
    <row r="15" spans="1:26" x14ac:dyDescent="0.25">
      <c r="A15">
        <v>5</v>
      </c>
      <c r="B15">
        <v>8.5238095238095237</v>
      </c>
      <c r="C15">
        <v>0.23809523809523808</v>
      </c>
      <c r="D15">
        <v>0.2857142857142857</v>
      </c>
      <c r="H15" s="18">
        <v>2020</v>
      </c>
      <c r="I15" s="22">
        <f>$F21*B$11</f>
        <v>9.7619047619047628</v>
      </c>
      <c r="J15" s="23">
        <f t="shared" ref="J15:K28" si="0">$F21*C$11</f>
        <v>1.8571428571428572</v>
      </c>
      <c r="K15" s="24">
        <f t="shared" si="0"/>
        <v>0.52380952380952384</v>
      </c>
      <c r="L15" s="22">
        <f>$F21*B$12</f>
        <v>19.428571428571427</v>
      </c>
      <c r="M15" s="23">
        <f t="shared" ref="M15:N15" si="1">$F21*C$12</f>
        <v>2.5238095238095237</v>
      </c>
      <c r="N15" s="24">
        <f t="shared" si="1"/>
        <v>1.5238095238095237</v>
      </c>
      <c r="O15" s="22">
        <f>$F21*B$13</f>
        <v>19.857142857142858</v>
      </c>
      <c r="P15" s="23">
        <f t="shared" ref="P15:Q15" si="2">$F21*C$13</f>
        <v>1.8571428571428572</v>
      </c>
      <c r="Q15" s="23">
        <f t="shared" si="2"/>
        <v>1.0476190476190477</v>
      </c>
      <c r="R15" s="22">
        <f>$F21*B$14</f>
        <v>10.285714285714286</v>
      </c>
      <c r="S15" s="23">
        <f t="shared" ref="S15:T15" si="3">$F21*C$14</f>
        <v>0.95238095238095233</v>
      </c>
      <c r="T15" s="24">
        <f t="shared" si="3"/>
        <v>0.19047619047619047</v>
      </c>
      <c r="U15" s="23">
        <f>$F21*B$15</f>
        <v>8.5238095238095237</v>
      </c>
      <c r="V15" s="23">
        <f t="shared" ref="V15:W15" si="4">$F21*C$15</f>
        <v>0.23809523809523808</v>
      </c>
      <c r="W15" s="24">
        <f t="shared" si="4"/>
        <v>0.2857142857142857</v>
      </c>
      <c r="X15" s="23">
        <f>$F21*B$16</f>
        <v>3.8571428571428572</v>
      </c>
      <c r="Y15" s="23">
        <f t="shared" ref="Y15:Z15" si="5">$F21*C$16</f>
        <v>0.5714285714285714</v>
      </c>
      <c r="Z15" s="24">
        <f t="shared" si="5"/>
        <v>9.5238095238095233E-2</v>
      </c>
    </row>
    <row r="16" spans="1:26" x14ac:dyDescent="0.25">
      <c r="A16">
        <v>6</v>
      </c>
      <c r="B16">
        <v>3.8571428571428572</v>
      </c>
      <c r="C16">
        <v>0.5714285714285714</v>
      </c>
      <c r="D16">
        <v>9.5238095238095233E-2</v>
      </c>
      <c r="H16" s="19">
        <v>2030</v>
      </c>
      <c r="I16" s="25">
        <f t="shared" ref="I16:I28" si="6">$F22*B$11</f>
        <v>10.946629047619048</v>
      </c>
      <c r="J16" s="26">
        <f t="shared" si="0"/>
        <v>2.0825294285714286</v>
      </c>
      <c r="K16" s="27">
        <f t="shared" si="0"/>
        <v>0.5873800952380952</v>
      </c>
      <c r="L16" s="25">
        <f t="shared" ref="L16:L28" si="7">$F22*B$12</f>
        <v>21.786461714285711</v>
      </c>
      <c r="M16" s="26">
        <f t="shared" ref="M16:M28" si="8">$F22*C$12</f>
        <v>2.8301040952380951</v>
      </c>
      <c r="N16" s="27">
        <f t="shared" ref="N16:N28" si="9">$F22*D$12</f>
        <v>1.7087420952380952</v>
      </c>
      <c r="O16" s="25">
        <f t="shared" ref="O16:O28" si="10">$F22*B$13</f>
        <v>22.267045428571429</v>
      </c>
      <c r="P16" s="26">
        <f t="shared" ref="P16:P28" si="11">$F22*C$13</f>
        <v>2.0825294285714286</v>
      </c>
      <c r="Q16" s="26">
        <f t="shared" ref="Q16:Q28" si="12">$F22*D$13</f>
        <v>1.1747601904761904</v>
      </c>
      <c r="R16" s="25">
        <f t="shared" ref="R16:R28" si="13">$F22*B$14</f>
        <v>11.534009142857144</v>
      </c>
      <c r="S16" s="26">
        <f t="shared" ref="S16:S28" si="14">$F22*C$14</f>
        <v>1.0679638095238095</v>
      </c>
      <c r="T16" s="27">
        <f t="shared" ref="T16:T28" si="15">$F22*D$14</f>
        <v>0.2135927619047619</v>
      </c>
      <c r="U16" s="26">
        <f t="shared" ref="U16:U28" si="16">$F22*B$15</f>
        <v>9.5582760952380941</v>
      </c>
      <c r="V16" s="26">
        <f t="shared" ref="V16:V28" si="17">$F22*C$15</f>
        <v>0.26699095238095238</v>
      </c>
      <c r="W16" s="27">
        <f t="shared" ref="W16:W28" si="18">$F22*D$15</f>
        <v>0.32038914285714282</v>
      </c>
      <c r="X16" s="26">
        <f t="shared" ref="X16:X28" si="19">$F22*B$16</f>
        <v>4.3252534285714281</v>
      </c>
      <c r="Y16" s="26">
        <f t="shared" ref="Y16:Y28" si="20">$F22*C$16</f>
        <v>0.64077828571428563</v>
      </c>
      <c r="Z16" s="27">
        <f t="shared" ref="Z16:Z28" si="21">$F22*D$16</f>
        <v>0.10679638095238095</v>
      </c>
    </row>
    <row r="17" spans="1:26" x14ac:dyDescent="0.25">
      <c r="H17" s="20">
        <f>H16+10</f>
        <v>2040</v>
      </c>
      <c r="I17" s="25">
        <f t="shared" si="6"/>
        <v>12.002144761904765</v>
      </c>
      <c r="J17" s="26">
        <f t="shared" si="0"/>
        <v>2.2833348571428576</v>
      </c>
      <c r="K17" s="27">
        <f t="shared" si="0"/>
        <v>0.64401752380952393</v>
      </c>
      <c r="L17" s="25">
        <f t="shared" si="7"/>
        <v>23.887195428571431</v>
      </c>
      <c r="M17" s="26">
        <f t="shared" si="8"/>
        <v>3.1029935238095239</v>
      </c>
      <c r="N17" s="27">
        <f t="shared" si="9"/>
        <v>1.873505523809524</v>
      </c>
      <c r="O17" s="25">
        <f t="shared" si="10"/>
        <v>24.41411885714286</v>
      </c>
      <c r="P17" s="26">
        <f t="shared" si="11"/>
        <v>2.2833348571428576</v>
      </c>
      <c r="Q17" s="26">
        <f t="shared" si="12"/>
        <v>1.2880350476190479</v>
      </c>
      <c r="R17" s="25">
        <f t="shared" si="13"/>
        <v>12.646162285714288</v>
      </c>
      <c r="S17" s="26">
        <f t="shared" si="14"/>
        <v>1.1709409523809524</v>
      </c>
      <c r="T17" s="27">
        <f t="shared" si="15"/>
        <v>0.23418819047619049</v>
      </c>
      <c r="U17" s="26">
        <f t="shared" si="16"/>
        <v>10.479921523809525</v>
      </c>
      <c r="V17" s="26">
        <f t="shared" si="17"/>
        <v>0.2927352380952381</v>
      </c>
      <c r="W17" s="27">
        <f t="shared" si="18"/>
        <v>0.35128228571428571</v>
      </c>
      <c r="X17" s="26">
        <f t="shared" si="19"/>
        <v>4.7423108571428578</v>
      </c>
      <c r="Y17" s="26">
        <f t="shared" si="20"/>
        <v>0.70256457142857143</v>
      </c>
      <c r="Z17" s="27">
        <f t="shared" si="21"/>
        <v>0.11709409523809525</v>
      </c>
    </row>
    <row r="18" spans="1:26" x14ac:dyDescent="0.25">
      <c r="H18" s="19">
        <f t="shared" ref="H18:H28" si="22">H17+10</f>
        <v>2050</v>
      </c>
      <c r="I18" s="25">
        <f t="shared" si="6"/>
        <v>12.823667619047621</v>
      </c>
      <c r="J18" s="26">
        <f t="shared" si="0"/>
        <v>2.4396245714285714</v>
      </c>
      <c r="K18" s="27">
        <f t="shared" si="0"/>
        <v>0.6880992380952381</v>
      </c>
      <c r="L18" s="25">
        <f t="shared" si="7"/>
        <v>25.522226285714286</v>
      </c>
      <c r="M18" s="26">
        <f t="shared" si="8"/>
        <v>3.3153872380952381</v>
      </c>
      <c r="N18" s="27">
        <f t="shared" si="9"/>
        <v>2.001743238095238</v>
      </c>
      <c r="O18" s="25">
        <f t="shared" si="10"/>
        <v>26.085216571428571</v>
      </c>
      <c r="P18" s="26">
        <f t="shared" si="11"/>
        <v>2.4396245714285714</v>
      </c>
      <c r="Q18" s="26">
        <f t="shared" si="12"/>
        <v>1.3761984761904762</v>
      </c>
      <c r="R18" s="25">
        <f t="shared" si="13"/>
        <v>13.511766857142858</v>
      </c>
      <c r="S18" s="26">
        <f t="shared" si="14"/>
        <v>1.2510895238095239</v>
      </c>
      <c r="T18" s="27">
        <f t="shared" si="15"/>
        <v>0.25021790476190475</v>
      </c>
      <c r="U18" s="26">
        <f t="shared" si="16"/>
        <v>11.197251238095239</v>
      </c>
      <c r="V18" s="26">
        <f t="shared" si="17"/>
        <v>0.31277238095238097</v>
      </c>
      <c r="W18" s="27">
        <f t="shared" si="18"/>
        <v>0.37532685714285713</v>
      </c>
      <c r="X18" s="26">
        <f t="shared" si="19"/>
        <v>5.0669125714285714</v>
      </c>
      <c r="Y18" s="26">
        <f t="shared" si="20"/>
        <v>0.75065371428571426</v>
      </c>
      <c r="Z18" s="27">
        <f t="shared" si="21"/>
        <v>0.12510895238095238</v>
      </c>
    </row>
    <row r="19" spans="1:26" x14ac:dyDescent="0.25">
      <c r="B19" t="s">
        <v>33</v>
      </c>
      <c r="H19" s="20">
        <f t="shared" si="22"/>
        <v>2060</v>
      </c>
      <c r="I19" s="25">
        <f t="shared" si="6"/>
        <v>13.425118095238096</v>
      </c>
      <c r="J19" s="26">
        <f t="shared" si="0"/>
        <v>2.5540468571428572</v>
      </c>
      <c r="K19" s="27">
        <f t="shared" si="0"/>
        <v>0.7203721904761905</v>
      </c>
      <c r="L19" s="25">
        <f t="shared" si="7"/>
        <v>26.719259428571426</v>
      </c>
      <c r="M19" s="26">
        <f t="shared" si="8"/>
        <v>3.4708841904761902</v>
      </c>
      <c r="N19" s="27">
        <f t="shared" si="9"/>
        <v>2.0956281904761904</v>
      </c>
      <c r="O19" s="25">
        <f t="shared" si="10"/>
        <v>27.308654857142859</v>
      </c>
      <c r="P19" s="26">
        <f t="shared" si="11"/>
        <v>2.5540468571428572</v>
      </c>
      <c r="Q19" s="26">
        <f t="shared" si="12"/>
        <v>1.440744380952381</v>
      </c>
      <c r="R19" s="25">
        <f t="shared" si="13"/>
        <v>14.145490285714287</v>
      </c>
      <c r="S19" s="26">
        <f t="shared" si="14"/>
        <v>1.3097676190476191</v>
      </c>
      <c r="T19" s="27">
        <f t="shared" si="15"/>
        <v>0.2619535238095238</v>
      </c>
      <c r="U19" s="26">
        <f t="shared" si="16"/>
        <v>11.722420190476191</v>
      </c>
      <c r="V19" s="26">
        <f t="shared" si="17"/>
        <v>0.32744190476190477</v>
      </c>
      <c r="W19" s="27">
        <f t="shared" si="18"/>
        <v>0.39293028571428568</v>
      </c>
      <c r="X19" s="26">
        <f t="shared" si="19"/>
        <v>5.3045588571428572</v>
      </c>
      <c r="Y19" s="26">
        <f t="shared" si="20"/>
        <v>0.78586057142857135</v>
      </c>
      <c r="Z19" s="27">
        <f t="shared" si="21"/>
        <v>0.1309767619047619</v>
      </c>
    </row>
    <row r="20" spans="1:26" x14ac:dyDescent="0.25">
      <c r="B20" t="s">
        <v>29</v>
      </c>
      <c r="C20" t="s">
        <v>30</v>
      </c>
      <c r="D20" t="s">
        <v>31</v>
      </c>
      <c r="E20" t="s">
        <v>32</v>
      </c>
      <c r="F20" t="s">
        <v>34</v>
      </c>
      <c r="H20" s="19">
        <f t="shared" si="22"/>
        <v>2070</v>
      </c>
      <c r="I20" s="25">
        <f t="shared" si="6"/>
        <v>13.814090952380955</v>
      </c>
      <c r="J20" s="26">
        <f t="shared" si="0"/>
        <v>2.6280465714285715</v>
      </c>
      <c r="K20" s="27">
        <f t="shared" si="0"/>
        <v>0.74124390476190483</v>
      </c>
      <c r="L20" s="25">
        <f t="shared" si="7"/>
        <v>27.493410285714287</v>
      </c>
      <c r="M20" s="26">
        <f t="shared" si="8"/>
        <v>3.571447904761905</v>
      </c>
      <c r="N20" s="27">
        <f t="shared" si="9"/>
        <v>2.1563459047619049</v>
      </c>
      <c r="O20" s="25">
        <f t="shared" si="10"/>
        <v>28.099882571428573</v>
      </c>
      <c r="P20" s="26">
        <f t="shared" si="11"/>
        <v>2.6280465714285715</v>
      </c>
      <c r="Q20" s="26">
        <f t="shared" si="12"/>
        <v>1.4824878095238097</v>
      </c>
      <c r="R20" s="25">
        <f t="shared" si="13"/>
        <v>14.555334857142858</v>
      </c>
      <c r="S20" s="26">
        <f t="shared" si="14"/>
        <v>1.3477161904761905</v>
      </c>
      <c r="T20" s="27">
        <f t="shared" si="15"/>
        <v>0.26954323809523811</v>
      </c>
      <c r="U20" s="26">
        <f t="shared" si="16"/>
        <v>12.062059904761906</v>
      </c>
      <c r="V20" s="26">
        <f t="shared" si="17"/>
        <v>0.33692904761904763</v>
      </c>
      <c r="W20" s="27">
        <f t="shared" si="18"/>
        <v>0.40431485714285714</v>
      </c>
      <c r="X20" s="26">
        <f t="shared" si="19"/>
        <v>5.4582505714285716</v>
      </c>
      <c r="Y20" s="26">
        <f t="shared" si="20"/>
        <v>0.80862971428571429</v>
      </c>
      <c r="Z20" s="27">
        <f t="shared" si="21"/>
        <v>0.13477161904761906</v>
      </c>
    </row>
    <row r="21" spans="1:26" x14ac:dyDescent="0.25">
      <c r="A21" s="11">
        <v>2020</v>
      </c>
      <c r="B21">
        <v>1</v>
      </c>
      <c r="C21">
        <v>1</v>
      </c>
      <c r="D21">
        <v>1</v>
      </c>
      <c r="E21">
        <v>1</v>
      </c>
      <c r="F21">
        <f t="array" ref="F21:F34">MMULT($B$21:$E$34,$B$2:$B$5)</f>
        <v>1</v>
      </c>
      <c r="H21" s="20">
        <f t="shared" si="22"/>
        <v>2080</v>
      </c>
      <c r="I21" s="25">
        <f t="shared" si="6"/>
        <v>13.95675142857143</v>
      </c>
      <c r="J21" s="26">
        <f t="shared" si="0"/>
        <v>2.6551868571428572</v>
      </c>
      <c r="K21" s="27">
        <f t="shared" si="0"/>
        <v>0.7488988571428572</v>
      </c>
      <c r="L21" s="25">
        <f t="shared" si="7"/>
        <v>27.777339428571427</v>
      </c>
      <c r="M21" s="26">
        <f t="shared" si="8"/>
        <v>3.6083308571428572</v>
      </c>
      <c r="N21" s="27">
        <f t="shared" si="9"/>
        <v>2.1786148571428572</v>
      </c>
      <c r="O21" s="25">
        <f t="shared" si="10"/>
        <v>28.390074857142857</v>
      </c>
      <c r="P21" s="26">
        <f t="shared" si="11"/>
        <v>2.6551868571428572</v>
      </c>
      <c r="Q21" s="26">
        <f t="shared" si="12"/>
        <v>1.4977977142857144</v>
      </c>
      <c r="R21" s="25">
        <f t="shared" si="13"/>
        <v>14.705650285714286</v>
      </c>
      <c r="S21" s="26">
        <f t="shared" si="14"/>
        <v>1.3616342857142856</v>
      </c>
      <c r="T21" s="27">
        <f t="shared" si="15"/>
        <v>0.27232685714285715</v>
      </c>
      <c r="U21" s="26">
        <f t="shared" si="16"/>
        <v>12.186626857142857</v>
      </c>
      <c r="V21" s="26">
        <f t="shared" si="17"/>
        <v>0.34040857142857139</v>
      </c>
      <c r="W21" s="27">
        <f t="shared" si="18"/>
        <v>0.40849028571428569</v>
      </c>
      <c r="X21" s="26">
        <f t="shared" si="19"/>
        <v>5.5146188571428576</v>
      </c>
      <c r="Y21" s="26">
        <f t="shared" si="20"/>
        <v>0.81698057142857139</v>
      </c>
      <c r="Z21" s="27">
        <f t="shared" si="21"/>
        <v>0.13616342857142857</v>
      </c>
    </row>
    <row r="22" spans="1:26" x14ac:dyDescent="0.25">
      <c r="A22" s="12">
        <v>2030</v>
      </c>
      <c r="B22">
        <v>1.1089</v>
      </c>
      <c r="C22">
        <v>1.1234599999999999</v>
      </c>
      <c r="D22">
        <v>1.15665</v>
      </c>
      <c r="E22">
        <v>1.1775</v>
      </c>
      <c r="F22">
        <v>1.121362</v>
      </c>
      <c r="H22" s="19">
        <f t="shared" si="22"/>
        <v>2090</v>
      </c>
      <c r="I22" s="25">
        <f t="shared" si="6"/>
        <v>13.899331904761905</v>
      </c>
      <c r="J22" s="26">
        <f t="shared" si="0"/>
        <v>2.6442631428571426</v>
      </c>
      <c r="K22" s="27">
        <f t="shared" si="0"/>
        <v>0.74581780952380949</v>
      </c>
      <c r="L22" s="25">
        <f t="shared" si="7"/>
        <v>27.663060571428566</v>
      </c>
      <c r="M22" s="26">
        <f t="shared" si="8"/>
        <v>3.5934858095238091</v>
      </c>
      <c r="N22" s="27">
        <f t="shared" si="9"/>
        <v>2.1696518095238093</v>
      </c>
      <c r="O22" s="25">
        <f t="shared" si="10"/>
        <v>28.273275142857141</v>
      </c>
      <c r="P22" s="26">
        <f t="shared" si="11"/>
        <v>2.6442631428571426</v>
      </c>
      <c r="Q22" s="26">
        <f t="shared" si="12"/>
        <v>1.491635619047619</v>
      </c>
      <c r="R22" s="25">
        <f t="shared" si="13"/>
        <v>14.645149714285713</v>
      </c>
      <c r="S22" s="26">
        <f t="shared" si="14"/>
        <v>1.3560323809523807</v>
      </c>
      <c r="T22" s="27">
        <f t="shared" si="15"/>
        <v>0.27120647619047616</v>
      </c>
      <c r="U22" s="26">
        <f t="shared" si="16"/>
        <v>12.136489809523807</v>
      </c>
      <c r="V22" s="26">
        <f t="shared" si="17"/>
        <v>0.33900809523809516</v>
      </c>
      <c r="W22" s="27">
        <f t="shared" si="18"/>
        <v>0.40680971428571422</v>
      </c>
      <c r="X22" s="26">
        <f t="shared" si="19"/>
        <v>5.4919311428571422</v>
      </c>
      <c r="Y22" s="26">
        <f t="shared" si="20"/>
        <v>0.81361942857142844</v>
      </c>
      <c r="Z22" s="27">
        <f t="shared" si="21"/>
        <v>0.13560323809523808</v>
      </c>
    </row>
    <row r="23" spans="1:26" x14ac:dyDescent="0.25">
      <c r="A23" s="11">
        <f>A22+10</f>
        <v>2040</v>
      </c>
      <c r="B23">
        <v>1.1903600000000001</v>
      </c>
      <c r="C23">
        <v>1.24834</v>
      </c>
      <c r="D23">
        <v>1.32802</v>
      </c>
      <c r="E23">
        <v>1.43414</v>
      </c>
      <c r="F23">
        <v>1.2294880000000001</v>
      </c>
      <c r="H23" s="20">
        <f t="shared" si="22"/>
        <v>2100</v>
      </c>
      <c r="I23" s="25">
        <f t="shared" si="6"/>
        <v>13.811552857142857</v>
      </c>
      <c r="J23" s="26">
        <f t="shared" si="0"/>
        <v>2.6275637142857144</v>
      </c>
      <c r="K23" s="27">
        <f t="shared" si="0"/>
        <v>0.74110771428571431</v>
      </c>
      <c r="L23" s="25">
        <f t="shared" si="7"/>
        <v>27.488358857142853</v>
      </c>
      <c r="M23" s="26">
        <f t="shared" si="8"/>
        <v>3.570791714285714</v>
      </c>
      <c r="N23" s="27">
        <f t="shared" si="9"/>
        <v>2.1559497142857142</v>
      </c>
      <c r="O23" s="25">
        <f t="shared" si="10"/>
        <v>28.094719714285713</v>
      </c>
      <c r="P23" s="26">
        <f t="shared" si="11"/>
        <v>2.6275637142857144</v>
      </c>
      <c r="Q23" s="26">
        <f t="shared" si="12"/>
        <v>1.4822154285714286</v>
      </c>
      <c r="R23" s="25">
        <f t="shared" si="13"/>
        <v>14.552660571428572</v>
      </c>
      <c r="S23" s="26">
        <f t="shared" si="14"/>
        <v>1.3474685714285712</v>
      </c>
      <c r="T23" s="27">
        <f t="shared" si="15"/>
        <v>0.26949371428571428</v>
      </c>
      <c r="U23" s="26">
        <f t="shared" si="16"/>
        <v>12.059843714285714</v>
      </c>
      <c r="V23" s="26">
        <f t="shared" si="17"/>
        <v>0.33686714285714281</v>
      </c>
      <c r="W23" s="27">
        <f t="shared" si="18"/>
        <v>0.40424057142857139</v>
      </c>
      <c r="X23" s="26">
        <f t="shared" si="19"/>
        <v>5.4572477142857139</v>
      </c>
      <c r="Y23" s="26">
        <f t="shared" si="20"/>
        <v>0.80848114285714279</v>
      </c>
      <c r="Z23" s="27">
        <f t="shared" si="21"/>
        <v>0.13474685714285714</v>
      </c>
    </row>
    <row r="24" spans="1:26" x14ac:dyDescent="0.25">
      <c r="A24" s="12">
        <f t="shared" ref="A24:A34" si="23">A23+10</f>
        <v>2050</v>
      </c>
      <c r="B24">
        <v>1.23499</v>
      </c>
      <c r="C24">
        <v>1.3595699999999999</v>
      </c>
      <c r="D24">
        <v>1.5036799999999999</v>
      </c>
      <c r="E24">
        <v>1.7992999999999999</v>
      </c>
      <c r="F24">
        <v>1.313644</v>
      </c>
      <c r="H24" s="19">
        <f t="shared" si="22"/>
        <v>2110</v>
      </c>
      <c r="I24" s="25">
        <f t="shared" si="6"/>
        <v>13.743707619047619</v>
      </c>
      <c r="J24" s="26">
        <f t="shared" si="0"/>
        <v>2.6146565714285712</v>
      </c>
      <c r="K24" s="27">
        <f t="shared" si="0"/>
        <v>0.73746723809523806</v>
      </c>
      <c r="L24" s="25">
        <f t="shared" si="7"/>
        <v>27.353330285714282</v>
      </c>
      <c r="M24" s="26">
        <f t="shared" si="8"/>
        <v>3.5532512380952377</v>
      </c>
      <c r="N24" s="27">
        <f t="shared" si="9"/>
        <v>2.1453592380952378</v>
      </c>
      <c r="O24" s="25">
        <f t="shared" si="10"/>
        <v>27.956712571428572</v>
      </c>
      <c r="P24" s="26">
        <f t="shared" si="11"/>
        <v>2.6146565714285712</v>
      </c>
      <c r="Q24" s="26">
        <f t="shared" si="12"/>
        <v>1.4749344761904761</v>
      </c>
      <c r="R24" s="25">
        <f t="shared" si="13"/>
        <v>14.481174857142857</v>
      </c>
      <c r="S24" s="26">
        <f t="shared" si="14"/>
        <v>1.3408495238095237</v>
      </c>
      <c r="T24" s="27">
        <f t="shared" si="15"/>
        <v>0.26816990476190472</v>
      </c>
      <c r="U24" s="26">
        <f t="shared" si="16"/>
        <v>12.000603238095238</v>
      </c>
      <c r="V24" s="26">
        <f t="shared" si="17"/>
        <v>0.33521238095238093</v>
      </c>
      <c r="W24" s="27">
        <f t="shared" si="18"/>
        <v>0.40225485714285708</v>
      </c>
      <c r="X24" s="26">
        <f t="shared" si="19"/>
        <v>5.4304405714285711</v>
      </c>
      <c r="Y24" s="26">
        <f t="shared" si="20"/>
        <v>0.80450971428571416</v>
      </c>
      <c r="Z24" s="27">
        <f t="shared" si="21"/>
        <v>0.13408495238095236</v>
      </c>
    </row>
    <row r="25" spans="1:26" x14ac:dyDescent="0.25">
      <c r="A25" s="11">
        <f t="shared" si="23"/>
        <v>2060</v>
      </c>
      <c r="B25">
        <v>1.2468699999999999</v>
      </c>
      <c r="C25">
        <v>1.4409400000000001</v>
      </c>
      <c r="D25">
        <v>1.6947300000000001</v>
      </c>
      <c r="E25">
        <v>2.32185</v>
      </c>
      <c r="F25">
        <v>1.375256</v>
      </c>
      <c r="H25" s="20">
        <f t="shared" si="22"/>
        <v>2120</v>
      </c>
      <c r="I25" s="25">
        <f t="shared" si="6"/>
        <v>13.69567904761905</v>
      </c>
      <c r="J25" s="26">
        <f t="shared" si="0"/>
        <v>2.6055194285714287</v>
      </c>
      <c r="K25" s="27">
        <f t="shared" si="0"/>
        <v>0.73489009523809534</v>
      </c>
      <c r="L25" s="25">
        <f t="shared" si="7"/>
        <v>27.257741714285714</v>
      </c>
      <c r="M25" s="26">
        <f t="shared" si="8"/>
        <v>3.5408340952380954</v>
      </c>
      <c r="N25" s="27">
        <f t="shared" si="9"/>
        <v>2.1378620952380953</v>
      </c>
      <c r="O25" s="25">
        <f t="shared" si="10"/>
        <v>27.859015428571432</v>
      </c>
      <c r="P25" s="26">
        <f t="shared" si="11"/>
        <v>2.6055194285714287</v>
      </c>
      <c r="Q25" s="26">
        <f t="shared" si="12"/>
        <v>1.4697801904761907</v>
      </c>
      <c r="R25" s="25">
        <f t="shared" si="13"/>
        <v>14.430569142857145</v>
      </c>
      <c r="S25" s="26">
        <f t="shared" si="14"/>
        <v>1.3361638095238095</v>
      </c>
      <c r="T25" s="27">
        <f t="shared" si="15"/>
        <v>0.26723276190476192</v>
      </c>
      <c r="U25" s="26">
        <f t="shared" si="16"/>
        <v>11.958666095238096</v>
      </c>
      <c r="V25" s="26">
        <f t="shared" si="17"/>
        <v>0.33404095238095238</v>
      </c>
      <c r="W25" s="27">
        <f t="shared" si="18"/>
        <v>0.40084914285714285</v>
      </c>
      <c r="X25" s="26">
        <f t="shared" si="19"/>
        <v>5.4114634285714294</v>
      </c>
      <c r="Y25" s="26">
        <f t="shared" si="20"/>
        <v>0.8016982857142857</v>
      </c>
      <c r="Z25" s="27">
        <f t="shared" si="21"/>
        <v>0.13361638095238096</v>
      </c>
    </row>
    <row r="26" spans="1:26" x14ac:dyDescent="0.25">
      <c r="A26" s="12">
        <f t="shared" si="23"/>
        <v>2070</v>
      </c>
      <c r="B26">
        <v>1.23472</v>
      </c>
      <c r="C26">
        <v>1.48054</v>
      </c>
      <c r="D26">
        <v>1.8908100000000001</v>
      </c>
      <c r="E26">
        <v>3.0611799999999998</v>
      </c>
      <c r="F26">
        <v>1.4151020000000001</v>
      </c>
      <c r="H26" s="19">
        <f t="shared" si="22"/>
        <v>2130</v>
      </c>
      <c r="I26" s="25">
        <f t="shared" si="6"/>
        <v>13.683730476190478</v>
      </c>
      <c r="J26" s="26">
        <f t="shared" si="0"/>
        <v>2.603246285714286</v>
      </c>
      <c r="K26" s="27">
        <f t="shared" si="0"/>
        <v>0.73424895238095245</v>
      </c>
      <c r="L26" s="25">
        <f t="shared" si="7"/>
        <v>27.23396114285714</v>
      </c>
      <c r="M26" s="26">
        <f t="shared" si="8"/>
        <v>3.5377449523809523</v>
      </c>
      <c r="N26" s="27">
        <f t="shared" si="9"/>
        <v>2.1359969523809523</v>
      </c>
      <c r="O26" s="25">
        <f t="shared" si="10"/>
        <v>27.834710285714287</v>
      </c>
      <c r="P26" s="26">
        <f t="shared" si="11"/>
        <v>2.603246285714286</v>
      </c>
      <c r="Q26" s="26">
        <f t="shared" si="12"/>
        <v>1.4684979047619049</v>
      </c>
      <c r="R26" s="25">
        <f t="shared" si="13"/>
        <v>14.41797942857143</v>
      </c>
      <c r="S26" s="26">
        <f t="shared" si="14"/>
        <v>1.3349980952380951</v>
      </c>
      <c r="T26" s="27">
        <f t="shared" si="15"/>
        <v>0.26699961904761904</v>
      </c>
      <c r="U26" s="26">
        <f t="shared" si="16"/>
        <v>11.948232952380952</v>
      </c>
      <c r="V26" s="26">
        <f t="shared" si="17"/>
        <v>0.33374952380952377</v>
      </c>
      <c r="W26" s="27">
        <f t="shared" si="18"/>
        <v>0.40049942857142856</v>
      </c>
      <c r="X26" s="26">
        <f t="shared" si="19"/>
        <v>5.4067422857142855</v>
      </c>
      <c r="Y26" s="26">
        <f t="shared" si="20"/>
        <v>0.80099885714285712</v>
      </c>
      <c r="Z26" s="27">
        <f t="shared" si="21"/>
        <v>0.13349980952380952</v>
      </c>
    </row>
    <row r="27" spans="1:26" x14ac:dyDescent="0.25">
      <c r="A27" s="11">
        <f t="shared" si="23"/>
        <v>2080</v>
      </c>
      <c r="B27">
        <v>1.1986399999999999</v>
      </c>
      <c r="C27">
        <v>1.4834799999999999</v>
      </c>
      <c r="D27">
        <v>2.0691799999999998</v>
      </c>
      <c r="E27">
        <v>4.0675800000000004</v>
      </c>
      <c r="F27">
        <v>1.429716</v>
      </c>
      <c r="H27" s="20">
        <f t="shared" si="22"/>
        <v>2140</v>
      </c>
      <c r="I27" s="25">
        <f t="shared" si="6"/>
        <v>13.968797619047622</v>
      </c>
      <c r="J27" s="26">
        <f t="shared" si="0"/>
        <v>2.6574785714285718</v>
      </c>
      <c r="K27" s="27">
        <f t="shared" si="0"/>
        <v>0.74954523809523821</v>
      </c>
      <c r="L27" s="25">
        <f t="shared" si="7"/>
        <v>27.801314285714287</v>
      </c>
      <c r="M27" s="26">
        <f t="shared" si="8"/>
        <v>3.6114452380952384</v>
      </c>
      <c r="N27" s="27">
        <f t="shared" si="9"/>
        <v>2.1804952380952383</v>
      </c>
      <c r="O27" s="25">
        <f t="shared" si="10"/>
        <v>28.414578571428574</v>
      </c>
      <c r="P27" s="26">
        <f t="shared" si="11"/>
        <v>2.6574785714285718</v>
      </c>
      <c r="Q27" s="26">
        <f t="shared" si="12"/>
        <v>1.4990904761904764</v>
      </c>
      <c r="R27" s="25">
        <f t="shared" si="13"/>
        <v>14.71834285714286</v>
      </c>
      <c r="S27" s="26">
        <f t="shared" si="14"/>
        <v>1.3628095238095239</v>
      </c>
      <c r="T27" s="27">
        <f t="shared" si="15"/>
        <v>0.27256190476190478</v>
      </c>
      <c r="U27" s="26">
        <f t="shared" si="16"/>
        <v>12.197145238095239</v>
      </c>
      <c r="V27" s="26">
        <f t="shared" si="17"/>
        <v>0.34070238095238098</v>
      </c>
      <c r="W27" s="27">
        <f t="shared" si="18"/>
        <v>0.40884285714285717</v>
      </c>
      <c r="X27" s="26">
        <f t="shared" si="19"/>
        <v>5.5193785714285726</v>
      </c>
      <c r="Y27" s="26">
        <f t="shared" si="20"/>
        <v>0.81768571428571435</v>
      </c>
      <c r="Z27" s="27">
        <f t="shared" si="21"/>
        <v>0.13628095238095239</v>
      </c>
    </row>
    <row r="28" spans="1:26" ht="15.75" thickBot="1" x14ac:dyDescent="0.3">
      <c r="A28" s="12">
        <f t="shared" si="23"/>
        <v>2090</v>
      </c>
      <c r="B28">
        <v>1.1424300000000001</v>
      </c>
      <c r="C28">
        <v>1.4596499999999999</v>
      </c>
      <c r="D28">
        <v>2.2322299999999999</v>
      </c>
      <c r="E28">
        <v>5.3360200000000004</v>
      </c>
      <c r="F28">
        <v>1.4238339999999998</v>
      </c>
      <c r="H28" s="21">
        <f t="shared" si="22"/>
        <v>2150</v>
      </c>
      <c r="I28" s="28">
        <f t="shared" si="6"/>
        <v>14.265637619047622</v>
      </c>
      <c r="J28" s="29">
        <f t="shared" si="0"/>
        <v>2.7139505714285717</v>
      </c>
      <c r="K28" s="30">
        <f t="shared" si="0"/>
        <v>0.76547323809523826</v>
      </c>
      <c r="L28" s="28">
        <f t="shared" si="7"/>
        <v>28.392098285714287</v>
      </c>
      <c r="M28" s="29">
        <f t="shared" si="8"/>
        <v>3.6881892380952386</v>
      </c>
      <c r="N28" s="30">
        <f t="shared" si="9"/>
        <v>2.2268312380952384</v>
      </c>
      <c r="O28" s="28">
        <f t="shared" si="10"/>
        <v>29.018394571428576</v>
      </c>
      <c r="P28" s="29">
        <f t="shared" si="11"/>
        <v>2.7139505714285717</v>
      </c>
      <c r="Q28" s="29">
        <f t="shared" si="12"/>
        <v>1.5309464761904765</v>
      </c>
      <c r="R28" s="28">
        <f t="shared" si="13"/>
        <v>15.03111085714286</v>
      </c>
      <c r="S28" s="29">
        <f t="shared" si="14"/>
        <v>1.3917695238095238</v>
      </c>
      <c r="T28" s="30">
        <f t="shared" si="15"/>
        <v>0.2783539047619048</v>
      </c>
      <c r="U28" s="29">
        <f t="shared" si="16"/>
        <v>12.456337238095239</v>
      </c>
      <c r="V28" s="29">
        <f t="shared" si="17"/>
        <v>0.34794238095238095</v>
      </c>
      <c r="W28" s="30">
        <f t="shared" si="18"/>
        <v>0.41753085714285715</v>
      </c>
      <c r="X28" s="29">
        <f t="shared" si="19"/>
        <v>5.636666571428572</v>
      </c>
      <c r="Y28" s="29">
        <f t="shared" si="20"/>
        <v>0.8350617142857143</v>
      </c>
      <c r="Z28" s="30">
        <f t="shared" si="21"/>
        <v>0.1391769523809524</v>
      </c>
    </row>
    <row r="29" spans="1:26" x14ac:dyDescent="0.25">
      <c r="A29" s="11">
        <f t="shared" si="23"/>
        <v>2100</v>
      </c>
      <c r="B29">
        <v>1.0868100000000001</v>
      </c>
      <c r="C29">
        <v>1.4216599999999999</v>
      </c>
      <c r="D29">
        <v>2.3921199999999998</v>
      </c>
      <c r="E29">
        <v>6.8114400000000002</v>
      </c>
      <c r="F29">
        <v>1.4148419999999999</v>
      </c>
    </row>
    <row r="30" spans="1:26" x14ac:dyDescent="0.25">
      <c r="A30" s="12">
        <f t="shared" si="23"/>
        <v>2110</v>
      </c>
      <c r="B30">
        <v>1.0325899999999999</v>
      </c>
      <c r="C30">
        <v>1.3841600000000001</v>
      </c>
      <c r="D30">
        <v>2.5575299999999999</v>
      </c>
      <c r="E30">
        <v>8.4667399999999997</v>
      </c>
      <c r="F30">
        <v>1.4078919999999999</v>
      </c>
    </row>
    <row r="31" spans="1:26" ht="15.75" thickBot="1" x14ac:dyDescent="0.3">
      <c r="A31" s="11">
        <f t="shared" si="23"/>
        <v>2120</v>
      </c>
      <c r="B31">
        <v>0.97974000000000006</v>
      </c>
      <c r="C31">
        <v>1.34717</v>
      </c>
      <c r="D31">
        <v>2.7284700000000002</v>
      </c>
      <c r="E31">
        <v>10.301909999999999</v>
      </c>
      <c r="F31">
        <v>1.4029720000000001</v>
      </c>
    </row>
    <row r="32" spans="1:26" ht="15.75" thickBot="1" x14ac:dyDescent="0.3">
      <c r="A32" s="12">
        <f t="shared" si="23"/>
        <v>2130</v>
      </c>
      <c r="B32">
        <v>0.93103999999999998</v>
      </c>
      <c r="C32">
        <v>1.31067</v>
      </c>
      <c r="D32">
        <v>2.9049499999999999</v>
      </c>
      <c r="E32">
        <v>12.31695</v>
      </c>
      <c r="F32">
        <v>1.401748</v>
      </c>
      <c r="H32" s="13"/>
      <c r="I32" s="13" t="s">
        <v>70</v>
      </c>
      <c r="J32" s="14" t="s">
        <v>25</v>
      </c>
      <c r="K32" s="15" t="s">
        <v>71</v>
      </c>
      <c r="L32" s="14" t="s">
        <v>70</v>
      </c>
      <c r="M32" s="14" t="s">
        <v>25</v>
      </c>
      <c r="N32" s="14" t="s">
        <v>71</v>
      </c>
      <c r="O32" s="13" t="s">
        <v>70</v>
      </c>
      <c r="P32" s="14" t="s">
        <v>25</v>
      </c>
      <c r="Q32" s="14" t="s">
        <v>71</v>
      </c>
      <c r="R32" s="13" t="s">
        <v>70</v>
      </c>
      <c r="S32" s="14" t="s">
        <v>25</v>
      </c>
      <c r="T32" s="15" t="s">
        <v>71</v>
      </c>
      <c r="U32" s="14" t="s">
        <v>70</v>
      </c>
      <c r="V32" s="14" t="s">
        <v>25</v>
      </c>
      <c r="W32" s="15" t="s">
        <v>71</v>
      </c>
      <c r="X32" s="14" t="s">
        <v>70</v>
      </c>
      <c r="Y32" s="14" t="s">
        <v>25</v>
      </c>
      <c r="Z32" s="15" t="s">
        <v>71</v>
      </c>
    </row>
    <row r="33" spans="1:32" ht="15.75" thickBot="1" x14ac:dyDescent="0.3">
      <c r="A33" s="11">
        <f t="shared" si="23"/>
        <v>2140</v>
      </c>
      <c r="B33">
        <v>0.93103999999999998</v>
      </c>
      <c r="C33">
        <v>1.27468</v>
      </c>
      <c r="D33">
        <v>3.0869499999999999</v>
      </c>
      <c r="E33">
        <v>14.511850000000001</v>
      </c>
      <c r="F33">
        <v>1.4309500000000002</v>
      </c>
      <c r="H33" s="16" t="s">
        <v>72</v>
      </c>
      <c r="I33" s="42">
        <v>1</v>
      </c>
      <c r="J33">
        <v>1</v>
      </c>
      <c r="K33" s="43">
        <v>1</v>
      </c>
      <c r="L33">
        <v>2</v>
      </c>
      <c r="M33">
        <v>2</v>
      </c>
      <c r="N33">
        <v>2</v>
      </c>
      <c r="O33" s="42">
        <v>3</v>
      </c>
      <c r="P33">
        <v>3</v>
      </c>
      <c r="Q33">
        <v>3</v>
      </c>
      <c r="R33" s="42">
        <v>4</v>
      </c>
      <c r="S33">
        <v>4</v>
      </c>
      <c r="T33" s="43">
        <v>4</v>
      </c>
      <c r="U33">
        <v>5</v>
      </c>
      <c r="V33">
        <v>5</v>
      </c>
      <c r="W33" s="43">
        <v>5</v>
      </c>
      <c r="X33">
        <v>6</v>
      </c>
      <c r="Y33">
        <v>6</v>
      </c>
      <c r="Z33" s="43">
        <v>6</v>
      </c>
      <c r="AD33" s="14" t="s">
        <v>70</v>
      </c>
      <c r="AE33" s="14" t="s">
        <v>25</v>
      </c>
      <c r="AF33" s="15" t="s">
        <v>71</v>
      </c>
    </row>
    <row r="34" spans="1:32" x14ac:dyDescent="0.25">
      <c r="A34" s="12">
        <f t="shared" si="23"/>
        <v>2150</v>
      </c>
      <c r="B34">
        <v>0.93103999999999998</v>
      </c>
      <c r="C34">
        <v>1.23919</v>
      </c>
      <c r="D34">
        <v>3.2744800000000001</v>
      </c>
      <c r="E34">
        <v>16.88663</v>
      </c>
      <c r="F34">
        <v>1.4613580000000002</v>
      </c>
      <c r="H34" s="42">
        <v>2020</v>
      </c>
      <c r="I34" s="22">
        <f>I15</f>
        <v>9.7619047619047628</v>
      </c>
      <c r="J34" s="23">
        <f t="shared" ref="J34:Z34" si="24">J15</f>
        <v>1.8571428571428572</v>
      </c>
      <c r="K34" s="23">
        <f t="shared" si="24"/>
        <v>0.52380952380952384</v>
      </c>
      <c r="L34" s="23">
        <f t="shared" si="24"/>
        <v>19.428571428571427</v>
      </c>
      <c r="M34" s="23">
        <f t="shared" si="24"/>
        <v>2.5238095238095237</v>
      </c>
      <c r="N34" s="23">
        <f t="shared" si="24"/>
        <v>1.5238095238095237</v>
      </c>
      <c r="O34" s="23">
        <f t="shared" si="24"/>
        <v>19.857142857142858</v>
      </c>
      <c r="P34" s="23">
        <f t="shared" si="24"/>
        <v>1.8571428571428572</v>
      </c>
      <c r="Q34" s="23">
        <f t="shared" si="24"/>
        <v>1.0476190476190477</v>
      </c>
      <c r="R34" s="23">
        <f t="shared" si="24"/>
        <v>10.285714285714286</v>
      </c>
      <c r="S34" s="23">
        <f t="shared" si="24"/>
        <v>0.95238095238095233</v>
      </c>
      <c r="T34" s="23">
        <f t="shared" si="24"/>
        <v>0.19047619047619047</v>
      </c>
      <c r="U34" s="23">
        <f t="shared" si="24"/>
        <v>8.5238095238095237</v>
      </c>
      <c r="V34" s="23">
        <f t="shared" si="24"/>
        <v>0.23809523809523808</v>
      </c>
      <c r="W34" s="23">
        <f t="shared" si="24"/>
        <v>0.2857142857142857</v>
      </c>
      <c r="X34" s="23">
        <f t="shared" si="24"/>
        <v>3.8571428571428572</v>
      </c>
      <c r="Y34" s="23">
        <f t="shared" si="24"/>
        <v>0.5714285714285714</v>
      </c>
      <c r="Z34" s="24">
        <f t="shared" si="24"/>
        <v>9.5238095238095233E-2</v>
      </c>
      <c r="AC34">
        <v>1</v>
      </c>
      <c r="AD34">
        <v>9.7619047619047628</v>
      </c>
      <c r="AE34">
        <v>1.8571428571428572</v>
      </c>
      <c r="AF34">
        <v>0.52380952380952384</v>
      </c>
    </row>
    <row r="35" spans="1:32" x14ac:dyDescent="0.25">
      <c r="H35" s="42">
        <v>2021</v>
      </c>
      <c r="I35" s="25">
        <f>(I$44-I$34)/10*($H35-$H$34)+I$34</f>
        <v>9.8803771904761906</v>
      </c>
      <c r="J35" s="26">
        <f t="shared" ref="J35:Z43" si="25">(J$44-J$34)/10*($H35-$H$34)+J$34</f>
        <v>1.8796815142857144</v>
      </c>
      <c r="K35" s="26">
        <f t="shared" si="25"/>
        <v>0.53016658095238101</v>
      </c>
      <c r="L35" s="26">
        <f t="shared" si="25"/>
        <v>19.664360457142855</v>
      </c>
      <c r="M35" s="26">
        <f t="shared" si="25"/>
        <v>2.5544389809523809</v>
      </c>
      <c r="N35" s="26">
        <f t="shared" si="25"/>
        <v>1.5423027809523808</v>
      </c>
      <c r="O35" s="26">
        <f t="shared" si="25"/>
        <v>20.098133114285716</v>
      </c>
      <c r="P35" s="26">
        <f t="shared" si="25"/>
        <v>1.8796815142857144</v>
      </c>
      <c r="Q35" s="26">
        <f t="shared" si="25"/>
        <v>1.060333161904762</v>
      </c>
      <c r="R35" s="26">
        <f t="shared" si="25"/>
        <v>10.410543771428571</v>
      </c>
      <c r="S35" s="26">
        <f t="shared" si="25"/>
        <v>0.96393923809523807</v>
      </c>
      <c r="T35" s="26">
        <f t="shared" si="25"/>
        <v>0.1927878476190476</v>
      </c>
      <c r="U35" s="26">
        <f t="shared" si="25"/>
        <v>8.6272561809523811</v>
      </c>
      <c r="V35" s="26">
        <f t="shared" si="25"/>
        <v>0.24098480952380952</v>
      </c>
      <c r="W35" s="26">
        <f t="shared" si="25"/>
        <v>0.28918177142857143</v>
      </c>
      <c r="X35" s="26">
        <f t="shared" si="25"/>
        <v>3.9039539142857143</v>
      </c>
      <c r="Y35" s="26">
        <f t="shared" si="25"/>
        <v>0.57836354285714286</v>
      </c>
      <c r="Z35" s="27">
        <f t="shared" si="25"/>
        <v>9.6393923809523802E-2</v>
      </c>
      <c r="AC35">
        <v>2</v>
      </c>
      <c r="AD35">
        <v>19.428571428571427</v>
      </c>
      <c r="AE35">
        <v>2.5238095238095237</v>
      </c>
      <c r="AF35">
        <v>1.5238095238095237</v>
      </c>
    </row>
    <row r="36" spans="1:32" x14ac:dyDescent="0.25">
      <c r="H36" s="42">
        <v>2022</v>
      </c>
      <c r="I36" s="25">
        <f t="shared" ref="I36:I43" si="26">(I$44-I$34)/10*($H36-$H$34)+I$34</f>
        <v>9.9988496190476202</v>
      </c>
      <c r="J36" s="26">
        <f t="shared" si="25"/>
        <v>1.9022201714285716</v>
      </c>
      <c r="K36" s="26">
        <f t="shared" si="25"/>
        <v>0.53652363809523806</v>
      </c>
      <c r="L36" s="26">
        <f t="shared" si="25"/>
        <v>19.900149485714284</v>
      </c>
      <c r="M36" s="26">
        <f t="shared" si="25"/>
        <v>2.585068438095238</v>
      </c>
      <c r="N36" s="26">
        <f t="shared" si="25"/>
        <v>1.5607960380952379</v>
      </c>
      <c r="O36" s="26">
        <f t="shared" si="25"/>
        <v>20.33912337142857</v>
      </c>
      <c r="P36" s="26">
        <f t="shared" si="25"/>
        <v>1.9022201714285716</v>
      </c>
      <c r="Q36" s="26">
        <f t="shared" si="25"/>
        <v>1.0730472761904761</v>
      </c>
      <c r="R36" s="26">
        <f t="shared" si="25"/>
        <v>10.535373257142858</v>
      </c>
      <c r="S36" s="26">
        <f t="shared" si="25"/>
        <v>0.97549752380952381</v>
      </c>
      <c r="T36" s="26">
        <f t="shared" si="25"/>
        <v>0.19509950476190474</v>
      </c>
      <c r="U36" s="26">
        <f t="shared" si="25"/>
        <v>8.7307028380952385</v>
      </c>
      <c r="V36" s="26">
        <f t="shared" si="25"/>
        <v>0.24387438095238095</v>
      </c>
      <c r="W36" s="26">
        <f t="shared" si="25"/>
        <v>0.29264925714285711</v>
      </c>
      <c r="X36" s="26">
        <f t="shared" si="25"/>
        <v>3.9507649714285713</v>
      </c>
      <c r="Y36" s="26">
        <f t="shared" si="25"/>
        <v>0.58529851428571422</v>
      </c>
      <c r="Z36" s="27">
        <f t="shared" si="25"/>
        <v>9.754975238095237E-2</v>
      </c>
      <c r="AC36">
        <v>3</v>
      </c>
      <c r="AD36">
        <v>19.857142857142858</v>
      </c>
      <c r="AE36">
        <v>1.8571428571428572</v>
      </c>
      <c r="AF36">
        <v>1.0476190476190477</v>
      </c>
    </row>
    <row r="37" spans="1:32" x14ac:dyDescent="0.25">
      <c r="H37" s="42">
        <v>2023</v>
      </c>
      <c r="I37" s="25">
        <f t="shared" si="26"/>
        <v>10.117322047619048</v>
      </c>
      <c r="J37" s="26">
        <f t="shared" si="25"/>
        <v>1.9247588285714285</v>
      </c>
      <c r="K37" s="26">
        <f t="shared" si="25"/>
        <v>0.54288069523809523</v>
      </c>
      <c r="L37" s="26">
        <f t="shared" si="25"/>
        <v>20.135938514285712</v>
      </c>
      <c r="M37" s="26">
        <f t="shared" si="25"/>
        <v>2.6156978952380951</v>
      </c>
      <c r="N37" s="26">
        <f t="shared" si="25"/>
        <v>1.5792892952380952</v>
      </c>
      <c r="O37" s="26">
        <f t="shared" si="25"/>
        <v>20.580113628571429</v>
      </c>
      <c r="P37" s="26">
        <f t="shared" si="25"/>
        <v>1.9247588285714285</v>
      </c>
      <c r="Q37" s="26">
        <f t="shared" si="25"/>
        <v>1.0857613904761905</v>
      </c>
      <c r="R37" s="26">
        <f t="shared" si="25"/>
        <v>10.660202742857145</v>
      </c>
      <c r="S37" s="26">
        <f t="shared" si="25"/>
        <v>0.98705580952380945</v>
      </c>
      <c r="T37" s="26">
        <f t="shared" si="25"/>
        <v>0.19741116190476191</v>
      </c>
      <c r="U37" s="26">
        <f t="shared" si="25"/>
        <v>8.8341494952380941</v>
      </c>
      <c r="V37" s="26">
        <f t="shared" si="25"/>
        <v>0.24676395238095236</v>
      </c>
      <c r="W37" s="26">
        <f t="shared" si="25"/>
        <v>0.29611674285714285</v>
      </c>
      <c r="X37" s="26">
        <f t="shared" si="25"/>
        <v>3.9975760285714284</v>
      </c>
      <c r="Y37" s="26">
        <f t="shared" si="25"/>
        <v>0.59223348571428569</v>
      </c>
      <c r="Z37" s="27">
        <f t="shared" si="25"/>
        <v>9.8705580952380953E-2</v>
      </c>
      <c r="AC37">
        <v>4</v>
      </c>
      <c r="AD37">
        <v>10.285714285714286</v>
      </c>
      <c r="AE37">
        <v>0.95238095238095233</v>
      </c>
      <c r="AF37">
        <v>0.19047619047619047</v>
      </c>
    </row>
    <row r="38" spans="1:32" x14ac:dyDescent="0.25">
      <c r="H38" s="42">
        <v>2024</v>
      </c>
      <c r="I38" s="25">
        <f t="shared" si="26"/>
        <v>10.235794476190478</v>
      </c>
      <c r="J38" s="26">
        <f t="shared" si="25"/>
        <v>1.9472974857142857</v>
      </c>
      <c r="K38" s="26">
        <f t="shared" si="25"/>
        <v>0.5492377523809524</v>
      </c>
      <c r="L38" s="26">
        <f t="shared" si="25"/>
        <v>20.37172754285714</v>
      </c>
      <c r="M38" s="26">
        <f t="shared" si="25"/>
        <v>2.6463273523809523</v>
      </c>
      <c r="N38" s="26">
        <f t="shared" si="25"/>
        <v>1.5977825523809523</v>
      </c>
      <c r="O38" s="26">
        <f t="shared" si="25"/>
        <v>20.821103885714287</v>
      </c>
      <c r="P38" s="26">
        <f t="shared" si="25"/>
        <v>1.9472974857142857</v>
      </c>
      <c r="Q38" s="26">
        <f t="shared" si="25"/>
        <v>1.0984755047619048</v>
      </c>
      <c r="R38" s="26">
        <f t="shared" si="25"/>
        <v>10.78503222857143</v>
      </c>
      <c r="S38" s="26">
        <f t="shared" si="25"/>
        <v>0.99861409523809519</v>
      </c>
      <c r="T38" s="26">
        <f t="shared" si="25"/>
        <v>0.19972281904761904</v>
      </c>
      <c r="U38" s="26">
        <f t="shared" si="25"/>
        <v>8.9375961523809515</v>
      </c>
      <c r="V38" s="26">
        <f t="shared" si="25"/>
        <v>0.2496535238095238</v>
      </c>
      <c r="W38" s="26">
        <f t="shared" si="25"/>
        <v>0.29958422857142852</v>
      </c>
      <c r="X38" s="26">
        <f t="shared" si="25"/>
        <v>4.0443870857142858</v>
      </c>
      <c r="Y38" s="26">
        <f t="shared" si="25"/>
        <v>0.59916845714285705</v>
      </c>
      <c r="Z38" s="27">
        <f t="shared" si="25"/>
        <v>9.9861409523809522E-2</v>
      </c>
      <c r="AC38">
        <v>5</v>
      </c>
      <c r="AD38">
        <v>8.5238095238095237</v>
      </c>
      <c r="AE38">
        <v>0.23809523809523808</v>
      </c>
      <c r="AF38">
        <v>0.2857142857142857</v>
      </c>
    </row>
    <row r="39" spans="1:32" x14ac:dyDescent="0.25">
      <c r="H39" s="42">
        <v>2025</v>
      </c>
      <c r="I39" s="25">
        <f t="shared" si="26"/>
        <v>10.354266904761905</v>
      </c>
      <c r="J39" s="26">
        <f t="shared" si="25"/>
        <v>1.9698361428571429</v>
      </c>
      <c r="K39" s="26">
        <f t="shared" si="25"/>
        <v>0.55559480952380946</v>
      </c>
      <c r="L39" s="26">
        <f t="shared" si="25"/>
        <v>20.607516571428569</v>
      </c>
      <c r="M39" s="26">
        <f t="shared" si="25"/>
        <v>2.6769568095238094</v>
      </c>
      <c r="N39" s="26">
        <f t="shared" si="25"/>
        <v>1.6162758095238094</v>
      </c>
      <c r="O39" s="26">
        <f t="shared" si="25"/>
        <v>21.062094142857141</v>
      </c>
      <c r="P39" s="26">
        <f t="shared" si="25"/>
        <v>1.9698361428571429</v>
      </c>
      <c r="Q39" s="26">
        <f t="shared" si="25"/>
        <v>1.1111896190476189</v>
      </c>
      <c r="R39" s="26">
        <f t="shared" si="25"/>
        <v>10.909861714285714</v>
      </c>
      <c r="S39" s="26">
        <f t="shared" si="25"/>
        <v>1.010172380952381</v>
      </c>
      <c r="T39" s="26">
        <f t="shared" si="25"/>
        <v>0.20203447619047618</v>
      </c>
      <c r="U39" s="26">
        <f t="shared" si="25"/>
        <v>9.0410428095238089</v>
      </c>
      <c r="V39" s="26">
        <f t="shared" si="25"/>
        <v>0.25254309523809526</v>
      </c>
      <c r="W39" s="26">
        <f t="shared" si="25"/>
        <v>0.30305171428571426</v>
      </c>
      <c r="X39" s="26">
        <f t="shared" si="25"/>
        <v>4.0911981428571425</v>
      </c>
      <c r="Y39" s="26">
        <f t="shared" si="25"/>
        <v>0.60610342857142852</v>
      </c>
      <c r="Z39" s="27">
        <f t="shared" si="25"/>
        <v>0.10101723809523809</v>
      </c>
      <c r="AC39">
        <v>6</v>
      </c>
      <c r="AD39">
        <v>3.8571428571428572</v>
      </c>
      <c r="AE39">
        <v>0.5714285714285714</v>
      </c>
      <c r="AF39">
        <v>9.5238095238095233E-2</v>
      </c>
    </row>
    <row r="40" spans="1:32" x14ac:dyDescent="0.25">
      <c r="H40" s="42">
        <v>2026</v>
      </c>
      <c r="I40" s="25">
        <f t="shared" si="26"/>
        <v>10.472739333333333</v>
      </c>
      <c r="J40" s="26">
        <f t="shared" si="25"/>
        <v>1.9923748000000001</v>
      </c>
      <c r="K40" s="26">
        <f t="shared" si="25"/>
        <v>0.56195186666666663</v>
      </c>
      <c r="L40" s="26">
        <f t="shared" si="25"/>
        <v>20.843305599999997</v>
      </c>
      <c r="M40" s="26">
        <f t="shared" si="25"/>
        <v>2.7075862666666666</v>
      </c>
      <c r="N40" s="26">
        <f t="shared" si="25"/>
        <v>1.6347690666666665</v>
      </c>
      <c r="O40" s="26">
        <f t="shared" si="25"/>
        <v>21.303084399999999</v>
      </c>
      <c r="P40" s="26">
        <f t="shared" si="25"/>
        <v>1.9923748000000001</v>
      </c>
      <c r="Q40" s="26">
        <f t="shared" si="25"/>
        <v>1.1239037333333333</v>
      </c>
      <c r="R40" s="26">
        <f t="shared" si="25"/>
        <v>11.034691200000001</v>
      </c>
      <c r="S40" s="26">
        <f t="shared" si="25"/>
        <v>1.0217306666666666</v>
      </c>
      <c r="T40" s="26">
        <f t="shared" si="25"/>
        <v>0.20434613333333332</v>
      </c>
      <c r="U40" s="26">
        <f t="shared" si="25"/>
        <v>9.1444894666666663</v>
      </c>
      <c r="V40" s="26">
        <f t="shared" si="25"/>
        <v>0.25543266666666664</v>
      </c>
      <c r="W40" s="26">
        <f t="shared" si="25"/>
        <v>0.30651919999999999</v>
      </c>
      <c r="X40" s="26">
        <f t="shared" si="25"/>
        <v>4.1380091999999999</v>
      </c>
      <c r="Y40" s="26">
        <f t="shared" si="25"/>
        <v>0.61303839999999998</v>
      </c>
      <c r="Z40" s="27">
        <f t="shared" si="25"/>
        <v>0.10217306666666666</v>
      </c>
    </row>
    <row r="41" spans="1:32" x14ac:dyDescent="0.25">
      <c r="H41" s="42">
        <v>2027</v>
      </c>
      <c r="I41" s="25">
        <f t="shared" si="26"/>
        <v>10.591211761904763</v>
      </c>
      <c r="J41" s="26">
        <f t="shared" si="25"/>
        <v>2.0149134571428573</v>
      </c>
      <c r="K41" s="26">
        <f t="shared" si="25"/>
        <v>0.5683089238095238</v>
      </c>
      <c r="L41" s="26">
        <f t="shared" si="25"/>
        <v>21.079094628571426</v>
      </c>
      <c r="M41" s="26">
        <f t="shared" si="25"/>
        <v>2.7382157238095237</v>
      </c>
      <c r="N41" s="26">
        <f t="shared" si="25"/>
        <v>1.6532623238095236</v>
      </c>
      <c r="O41" s="26">
        <f t="shared" si="25"/>
        <v>21.544074657142858</v>
      </c>
      <c r="P41" s="26">
        <f t="shared" si="25"/>
        <v>2.0149134571428573</v>
      </c>
      <c r="Q41" s="26">
        <f t="shared" si="25"/>
        <v>1.1366178476190476</v>
      </c>
      <c r="R41" s="26">
        <f t="shared" si="25"/>
        <v>11.159520685714288</v>
      </c>
      <c r="S41" s="26">
        <f t="shared" si="25"/>
        <v>1.0332889523809523</v>
      </c>
      <c r="T41" s="26">
        <f t="shared" si="25"/>
        <v>0.20665779047619046</v>
      </c>
      <c r="U41" s="26">
        <f t="shared" si="25"/>
        <v>9.2479361238095237</v>
      </c>
      <c r="V41" s="26">
        <f t="shared" si="25"/>
        <v>0.25832223809523808</v>
      </c>
      <c r="W41" s="26">
        <f t="shared" si="25"/>
        <v>0.30998668571428567</v>
      </c>
      <c r="X41" s="26">
        <f t="shared" si="25"/>
        <v>4.1848202571428565</v>
      </c>
      <c r="Y41" s="26">
        <f t="shared" si="25"/>
        <v>0.61997337142857134</v>
      </c>
      <c r="Z41" s="27">
        <f t="shared" si="25"/>
        <v>0.10332889523809523</v>
      </c>
    </row>
    <row r="42" spans="1:32" ht="15.75" thickBot="1" x14ac:dyDescent="0.3">
      <c r="H42" s="42">
        <v>2028</v>
      </c>
      <c r="I42" s="25">
        <f t="shared" si="26"/>
        <v>10.709684190476191</v>
      </c>
      <c r="J42" s="26">
        <f t="shared" si="25"/>
        <v>2.0374521142857143</v>
      </c>
      <c r="K42" s="26">
        <f t="shared" si="25"/>
        <v>0.57466598095238097</v>
      </c>
      <c r="L42" s="26">
        <f t="shared" si="25"/>
        <v>21.314883657142854</v>
      </c>
      <c r="M42" s="26">
        <f t="shared" si="25"/>
        <v>2.7688451809523809</v>
      </c>
      <c r="N42" s="26">
        <f t="shared" si="25"/>
        <v>1.671755580952381</v>
      </c>
      <c r="O42" s="26">
        <f t="shared" si="25"/>
        <v>21.785064914285716</v>
      </c>
      <c r="P42" s="26">
        <f t="shared" si="25"/>
        <v>2.0374521142857143</v>
      </c>
      <c r="Q42" s="26">
        <f t="shared" si="25"/>
        <v>1.1493319619047619</v>
      </c>
      <c r="R42" s="26">
        <f t="shared" si="25"/>
        <v>11.284350171428573</v>
      </c>
      <c r="S42" s="26">
        <f t="shared" si="25"/>
        <v>1.0448472380952381</v>
      </c>
      <c r="T42" s="26">
        <f t="shared" si="25"/>
        <v>0.20896944761904762</v>
      </c>
      <c r="U42" s="26">
        <f t="shared" si="25"/>
        <v>9.3513827809523793</v>
      </c>
      <c r="V42" s="26">
        <f t="shared" si="25"/>
        <v>0.26121180952380951</v>
      </c>
      <c r="W42" s="26">
        <f t="shared" si="25"/>
        <v>0.3134541714285714</v>
      </c>
      <c r="X42" s="26">
        <f t="shared" si="25"/>
        <v>4.231631314285714</v>
      </c>
      <c r="Y42" s="26">
        <f t="shared" si="25"/>
        <v>0.62690834285714281</v>
      </c>
      <c r="Z42" s="27">
        <f t="shared" si="25"/>
        <v>0.10448472380952381</v>
      </c>
    </row>
    <row r="43" spans="1:32" x14ac:dyDescent="0.25">
      <c r="A43" t="s">
        <v>73</v>
      </c>
      <c r="C43" t="s">
        <v>74</v>
      </c>
      <c r="D43" s="13" t="s">
        <v>70</v>
      </c>
      <c r="E43" s="14" t="s">
        <v>25</v>
      </c>
      <c r="F43" s="15" t="s">
        <v>71</v>
      </c>
      <c r="H43" s="42">
        <v>2029</v>
      </c>
      <c r="I43" s="25">
        <f t="shared" si="26"/>
        <v>10.82815661904762</v>
      </c>
      <c r="J43" s="26">
        <f t="shared" si="25"/>
        <v>2.0599907714285717</v>
      </c>
      <c r="K43" s="26">
        <f t="shared" si="25"/>
        <v>0.58102303809523803</v>
      </c>
      <c r="L43" s="26">
        <f t="shared" si="25"/>
        <v>21.550672685714282</v>
      </c>
      <c r="M43" s="26">
        <f t="shared" si="25"/>
        <v>2.799474638095238</v>
      </c>
      <c r="N43" s="26">
        <f t="shared" si="25"/>
        <v>1.6902488380952381</v>
      </c>
      <c r="O43" s="26">
        <f t="shared" si="25"/>
        <v>22.02605517142857</v>
      </c>
      <c r="P43" s="26">
        <f t="shared" si="25"/>
        <v>2.0599907714285717</v>
      </c>
      <c r="Q43" s="26">
        <f t="shared" si="25"/>
        <v>1.1620460761904761</v>
      </c>
      <c r="R43" s="26">
        <f t="shared" si="25"/>
        <v>11.409179657142857</v>
      </c>
      <c r="S43" s="26">
        <f t="shared" si="25"/>
        <v>1.0564055238095238</v>
      </c>
      <c r="T43" s="26">
        <f t="shared" si="25"/>
        <v>0.21128110476190476</v>
      </c>
      <c r="U43" s="26">
        <f t="shared" si="25"/>
        <v>9.4548294380952367</v>
      </c>
      <c r="V43" s="26">
        <f t="shared" si="25"/>
        <v>0.26410138095238095</v>
      </c>
      <c r="W43" s="26">
        <f t="shared" si="25"/>
        <v>0.31692165714285708</v>
      </c>
      <c r="X43" s="26">
        <f t="shared" si="25"/>
        <v>4.2784423714285706</v>
      </c>
      <c r="Y43" s="26">
        <f t="shared" si="25"/>
        <v>0.63384331428571417</v>
      </c>
      <c r="Z43" s="27">
        <f t="shared" si="25"/>
        <v>0.10564055238095238</v>
      </c>
    </row>
    <row r="44" spans="1:32" x14ac:dyDescent="0.25">
      <c r="C44">
        <v>1</v>
      </c>
      <c r="D44">
        <v>3992862.8360655736</v>
      </c>
      <c r="E44">
        <v>8507488.5183450431</v>
      </c>
      <c r="F44">
        <v>40206434.192037471</v>
      </c>
      <c r="H44" s="42">
        <v>2030</v>
      </c>
      <c r="I44" s="25">
        <f>I16</f>
        <v>10.946629047619048</v>
      </c>
      <c r="J44" s="26">
        <f t="shared" ref="J44:Z44" si="27">J16</f>
        <v>2.0825294285714286</v>
      </c>
      <c r="K44" s="26">
        <f t="shared" si="27"/>
        <v>0.5873800952380952</v>
      </c>
      <c r="L44" s="26">
        <f t="shared" si="27"/>
        <v>21.786461714285711</v>
      </c>
      <c r="M44" s="26">
        <f t="shared" si="27"/>
        <v>2.8301040952380951</v>
      </c>
      <c r="N44" s="26">
        <f t="shared" si="27"/>
        <v>1.7087420952380952</v>
      </c>
      <c r="O44" s="26">
        <f t="shared" si="27"/>
        <v>22.267045428571429</v>
      </c>
      <c r="P44" s="26">
        <f t="shared" si="27"/>
        <v>2.0825294285714286</v>
      </c>
      <c r="Q44" s="26">
        <f t="shared" si="27"/>
        <v>1.1747601904761904</v>
      </c>
      <c r="R44" s="26">
        <f t="shared" si="27"/>
        <v>11.534009142857144</v>
      </c>
      <c r="S44" s="26">
        <f t="shared" si="27"/>
        <v>1.0679638095238095</v>
      </c>
      <c r="T44" s="26">
        <f t="shared" si="27"/>
        <v>0.2135927619047619</v>
      </c>
      <c r="U44" s="26">
        <f t="shared" si="27"/>
        <v>9.5582760952380941</v>
      </c>
      <c r="V44" s="26">
        <f t="shared" si="27"/>
        <v>0.26699095238095238</v>
      </c>
      <c r="W44" s="26">
        <f t="shared" si="27"/>
        <v>0.32038914285714282</v>
      </c>
      <c r="X44" s="26">
        <f t="shared" si="27"/>
        <v>4.3252534285714281</v>
      </c>
      <c r="Y44" s="26">
        <f t="shared" si="27"/>
        <v>0.64077828571428563</v>
      </c>
      <c r="Z44" s="27">
        <f t="shared" si="27"/>
        <v>0.10679638095238095</v>
      </c>
    </row>
    <row r="45" spans="1:32" x14ac:dyDescent="0.25">
      <c r="C45">
        <v>2</v>
      </c>
      <c r="D45">
        <v>4667637.5323965652</v>
      </c>
      <c r="E45">
        <v>6379471.0312256049</v>
      </c>
      <c r="F45">
        <v>403710387.20296645</v>
      </c>
      <c r="H45" s="42">
        <v>2040</v>
      </c>
      <c r="I45" s="25">
        <f t="shared" ref="I45:Z45" si="28">I17</f>
        <v>12.002144761904765</v>
      </c>
      <c r="J45" s="26">
        <f t="shared" si="28"/>
        <v>2.2833348571428576</v>
      </c>
      <c r="K45" s="26">
        <f t="shared" si="28"/>
        <v>0.64401752380952393</v>
      </c>
      <c r="L45" s="26">
        <f t="shared" si="28"/>
        <v>23.887195428571431</v>
      </c>
      <c r="M45" s="26">
        <f t="shared" si="28"/>
        <v>3.1029935238095239</v>
      </c>
      <c r="N45" s="26">
        <f t="shared" si="28"/>
        <v>1.873505523809524</v>
      </c>
      <c r="O45" s="26">
        <f t="shared" si="28"/>
        <v>24.41411885714286</v>
      </c>
      <c r="P45" s="26">
        <f t="shared" si="28"/>
        <v>2.2833348571428576</v>
      </c>
      <c r="Q45" s="26">
        <f t="shared" si="28"/>
        <v>1.2880350476190479</v>
      </c>
      <c r="R45" s="26">
        <f t="shared" si="28"/>
        <v>12.646162285714288</v>
      </c>
      <c r="S45" s="26">
        <f t="shared" si="28"/>
        <v>1.1709409523809524</v>
      </c>
      <c r="T45" s="26">
        <f t="shared" si="28"/>
        <v>0.23418819047619049</v>
      </c>
      <c r="U45" s="26">
        <f t="shared" si="28"/>
        <v>10.479921523809525</v>
      </c>
      <c r="V45" s="26">
        <f t="shared" si="28"/>
        <v>0.2927352380952381</v>
      </c>
      <c r="W45" s="26">
        <f t="shared" si="28"/>
        <v>0.35128228571428571</v>
      </c>
      <c r="X45" s="26">
        <f t="shared" si="28"/>
        <v>4.7423108571428578</v>
      </c>
      <c r="Y45" s="26">
        <f t="shared" si="28"/>
        <v>0.70256457142857143</v>
      </c>
      <c r="Z45" s="27">
        <f t="shared" si="28"/>
        <v>0.11709409523809525</v>
      </c>
    </row>
    <row r="46" spans="1:32" x14ac:dyDescent="0.25">
      <c r="C46">
        <v>3</v>
      </c>
      <c r="D46">
        <v>3587066.2271662764</v>
      </c>
      <c r="E46">
        <v>7631921.5433255266</v>
      </c>
      <c r="F46">
        <v>58663762.900078058</v>
      </c>
      <c r="H46" s="42">
        <v>2050</v>
      </c>
      <c r="I46" s="25">
        <f t="shared" ref="I46:Z46" si="29">I18</f>
        <v>12.823667619047621</v>
      </c>
      <c r="J46" s="26">
        <f t="shared" si="29"/>
        <v>2.4396245714285714</v>
      </c>
      <c r="K46" s="26">
        <f t="shared" si="29"/>
        <v>0.6880992380952381</v>
      </c>
      <c r="L46" s="26">
        <f t="shared" si="29"/>
        <v>25.522226285714286</v>
      </c>
      <c r="M46" s="26">
        <f t="shared" si="29"/>
        <v>3.3153872380952381</v>
      </c>
      <c r="N46" s="26">
        <f t="shared" si="29"/>
        <v>2.001743238095238</v>
      </c>
      <c r="O46" s="26">
        <f t="shared" si="29"/>
        <v>26.085216571428571</v>
      </c>
      <c r="P46" s="26">
        <f t="shared" si="29"/>
        <v>2.4396245714285714</v>
      </c>
      <c r="Q46" s="26">
        <f t="shared" si="29"/>
        <v>1.3761984761904762</v>
      </c>
      <c r="R46" s="26">
        <f t="shared" si="29"/>
        <v>13.511766857142858</v>
      </c>
      <c r="S46" s="26">
        <f t="shared" si="29"/>
        <v>1.2510895238095239</v>
      </c>
      <c r="T46" s="26">
        <f t="shared" si="29"/>
        <v>0.25021790476190475</v>
      </c>
      <c r="U46" s="26">
        <f t="shared" si="29"/>
        <v>11.197251238095239</v>
      </c>
      <c r="V46" s="26">
        <f t="shared" si="29"/>
        <v>0.31277238095238097</v>
      </c>
      <c r="W46" s="26">
        <f t="shared" si="29"/>
        <v>0.37532685714285713</v>
      </c>
      <c r="X46" s="26">
        <f t="shared" si="29"/>
        <v>5.0669125714285714</v>
      </c>
      <c r="Y46" s="26">
        <f t="shared" si="29"/>
        <v>0.75065371428571426</v>
      </c>
      <c r="Z46" s="27">
        <f t="shared" si="29"/>
        <v>0.12510895238095238</v>
      </c>
    </row>
    <row r="47" spans="1:32" x14ac:dyDescent="0.25">
      <c r="C47">
        <v>4</v>
      </c>
      <c r="D47">
        <v>2118894.8977361433</v>
      </c>
      <c r="E47">
        <v>4732756.5120999217</v>
      </c>
      <c r="F47">
        <v>35552553.049960971</v>
      </c>
      <c r="H47" s="42">
        <v>2060</v>
      </c>
      <c r="I47" s="25">
        <f t="shared" ref="I47:Z47" si="30">I19</f>
        <v>13.425118095238096</v>
      </c>
      <c r="J47" s="26">
        <f t="shared" si="30"/>
        <v>2.5540468571428572</v>
      </c>
      <c r="K47" s="26">
        <f t="shared" si="30"/>
        <v>0.7203721904761905</v>
      </c>
      <c r="L47" s="26">
        <f t="shared" si="30"/>
        <v>26.719259428571426</v>
      </c>
      <c r="M47" s="26">
        <f t="shared" si="30"/>
        <v>3.4708841904761902</v>
      </c>
      <c r="N47" s="26">
        <f t="shared" si="30"/>
        <v>2.0956281904761904</v>
      </c>
      <c r="O47" s="26">
        <f t="shared" si="30"/>
        <v>27.308654857142859</v>
      </c>
      <c r="P47" s="26">
        <f t="shared" si="30"/>
        <v>2.5540468571428572</v>
      </c>
      <c r="Q47" s="26">
        <f t="shared" si="30"/>
        <v>1.440744380952381</v>
      </c>
      <c r="R47" s="26">
        <f t="shared" si="30"/>
        <v>14.145490285714287</v>
      </c>
      <c r="S47" s="26">
        <f t="shared" si="30"/>
        <v>1.3097676190476191</v>
      </c>
      <c r="T47" s="26">
        <f t="shared" si="30"/>
        <v>0.2619535238095238</v>
      </c>
      <c r="U47" s="26">
        <f t="shared" si="30"/>
        <v>11.722420190476191</v>
      </c>
      <c r="V47" s="26">
        <f t="shared" si="30"/>
        <v>0.32744190476190477</v>
      </c>
      <c r="W47" s="26">
        <f t="shared" si="30"/>
        <v>0.39293028571428568</v>
      </c>
      <c r="X47" s="26">
        <f t="shared" si="30"/>
        <v>5.3045588571428572</v>
      </c>
      <c r="Y47" s="26">
        <f t="shared" si="30"/>
        <v>0.78586057142857135</v>
      </c>
      <c r="Z47" s="27">
        <f t="shared" si="30"/>
        <v>0.1309767619047619</v>
      </c>
    </row>
    <row r="48" spans="1:32" x14ac:dyDescent="0.25">
      <c r="C48">
        <v>5</v>
      </c>
      <c r="D48">
        <v>2417458.8532396564</v>
      </c>
      <c r="E48">
        <v>1230585.4043715848</v>
      </c>
      <c r="F48">
        <v>68137042.432474628</v>
      </c>
      <c r="H48" s="42">
        <v>2070</v>
      </c>
      <c r="I48" s="25">
        <f t="shared" ref="I48:Z48" si="31">I20</f>
        <v>13.814090952380955</v>
      </c>
      <c r="J48" s="26">
        <f t="shared" si="31"/>
        <v>2.6280465714285715</v>
      </c>
      <c r="K48" s="26">
        <f t="shared" si="31"/>
        <v>0.74124390476190483</v>
      </c>
      <c r="L48" s="26">
        <f t="shared" si="31"/>
        <v>27.493410285714287</v>
      </c>
      <c r="M48" s="26">
        <f t="shared" si="31"/>
        <v>3.571447904761905</v>
      </c>
      <c r="N48" s="26">
        <f t="shared" si="31"/>
        <v>2.1563459047619049</v>
      </c>
      <c r="O48" s="26">
        <f t="shared" si="31"/>
        <v>28.099882571428573</v>
      </c>
      <c r="P48" s="26">
        <f t="shared" si="31"/>
        <v>2.6280465714285715</v>
      </c>
      <c r="Q48" s="26">
        <f t="shared" si="31"/>
        <v>1.4824878095238097</v>
      </c>
      <c r="R48" s="26">
        <f t="shared" si="31"/>
        <v>14.555334857142858</v>
      </c>
      <c r="S48" s="26">
        <f t="shared" si="31"/>
        <v>1.3477161904761905</v>
      </c>
      <c r="T48" s="26">
        <f t="shared" si="31"/>
        <v>0.26954323809523811</v>
      </c>
      <c r="U48" s="26">
        <f t="shared" si="31"/>
        <v>12.062059904761906</v>
      </c>
      <c r="V48" s="26">
        <f t="shared" si="31"/>
        <v>0.33692904761904763</v>
      </c>
      <c r="W48" s="26">
        <f t="shared" si="31"/>
        <v>0.40431485714285714</v>
      </c>
      <c r="X48" s="26">
        <f t="shared" si="31"/>
        <v>5.4582505714285716</v>
      </c>
      <c r="Y48" s="26">
        <f t="shared" si="31"/>
        <v>0.80862971428571429</v>
      </c>
      <c r="Z48" s="27">
        <f t="shared" si="31"/>
        <v>0.13477161904761906</v>
      </c>
    </row>
    <row r="49" spans="3:26" x14ac:dyDescent="0.25">
      <c r="C49">
        <v>6</v>
      </c>
      <c r="D49">
        <v>745936.10772833717</v>
      </c>
      <c r="E49">
        <v>3090816.3715846995</v>
      </c>
      <c r="F49">
        <v>7334428.1748633878</v>
      </c>
      <c r="H49" s="42">
        <v>2080</v>
      </c>
      <c r="I49" s="25">
        <f t="shared" ref="I49:Z49" si="32">I21</f>
        <v>13.95675142857143</v>
      </c>
      <c r="J49" s="26">
        <f t="shared" si="32"/>
        <v>2.6551868571428572</v>
      </c>
      <c r="K49" s="26">
        <f t="shared" si="32"/>
        <v>0.7488988571428572</v>
      </c>
      <c r="L49" s="26">
        <f t="shared" si="32"/>
        <v>27.777339428571427</v>
      </c>
      <c r="M49" s="26">
        <f t="shared" si="32"/>
        <v>3.6083308571428572</v>
      </c>
      <c r="N49" s="26">
        <f t="shared" si="32"/>
        <v>2.1786148571428572</v>
      </c>
      <c r="O49" s="26">
        <f t="shared" si="32"/>
        <v>28.390074857142857</v>
      </c>
      <c r="P49" s="26">
        <f t="shared" si="32"/>
        <v>2.6551868571428572</v>
      </c>
      <c r="Q49" s="26">
        <f t="shared" si="32"/>
        <v>1.4977977142857144</v>
      </c>
      <c r="R49" s="26">
        <f t="shared" si="32"/>
        <v>14.705650285714286</v>
      </c>
      <c r="S49" s="26">
        <f t="shared" si="32"/>
        <v>1.3616342857142856</v>
      </c>
      <c r="T49" s="26">
        <f t="shared" si="32"/>
        <v>0.27232685714285715</v>
      </c>
      <c r="U49" s="26">
        <f t="shared" si="32"/>
        <v>12.186626857142857</v>
      </c>
      <c r="V49" s="26">
        <f t="shared" si="32"/>
        <v>0.34040857142857139</v>
      </c>
      <c r="W49" s="26">
        <f t="shared" si="32"/>
        <v>0.40849028571428569</v>
      </c>
      <c r="X49" s="26">
        <f t="shared" si="32"/>
        <v>5.5146188571428576</v>
      </c>
      <c r="Y49" s="26">
        <f t="shared" si="32"/>
        <v>0.81698057142857139</v>
      </c>
      <c r="Z49" s="27">
        <f t="shared" si="32"/>
        <v>0.13616342857142857</v>
      </c>
    </row>
    <row r="50" spans="3:26" x14ac:dyDescent="0.25">
      <c r="H50" s="42">
        <v>2090</v>
      </c>
      <c r="I50" s="25">
        <f t="shared" ref="I50:Z50" si="33">I22</f>
        <v>13.899331904761905</v>
      </c>
      <c r="J50" s="26">
        <f t="shared" si="33"/>
        <v>2.6442631428571426</v>
      </c>
      <c r="K50" s="26">
        <f t="shared" si="33"/>
        <v>0.74581780952380949</v>
      </c>
      <c r="L50" s="26">
        <f t="shared" si="33"/>
        <v>27.663060571428566</v>
      </c>
      <c r="M50" s="26">
        <f t="shared" si="33"/>
        <v>3.5934858095238091</v>
      </c>
      <c r="N50" s="26">
        <f t="shared" si="33"/>
        <v>2.1696518095238093</v>
      </c>
      <c r="O50" s="26">
        <f t="shared" si="33"/>
        <v>28.273275142857141</v>
      </c>
      <c r="P50" s="26">
        <f t="shared" si="33"/>
        <v>2.6442631428571426</v>
      </c>
      <c r="Q50" s="26">
        <f t="shared" si="33"/>
        <v>1.491635619047619</v>
      </c>
      <c r="R50" s="26">
        <f t="shared" si="33"/>
        <v>14.645149714285713</v>
      </c>
      <c r="S50" s="26">
        <f t="shared" si="33"/>
        <v>1.3560323809523807</v>
      </c>
      <c r="T50" s="26">
        <f t="shared" si="33"/>
        <v>0.27120647619047616</v>
      </c>
      <c r="U50" s="26">
        <f t="shared" si="33"/>
        <v>12.136489809523807</v>
      </c>
      <c r="V50" s="26">
        <f t="shared" si="33"/>
        <v>0.33900809523809516</v>
      </c>
      <c r="W50" s="26">
        <f t="shared" si="33"/>
        <v>0.40680971428571422</v>
      </c>
      <c r="X50" s="26">
        <f t="shared" si="33"/>
        <v>5.4919311428571422</v>
      </c>
      <c r="Y50" s="26">
        <f t="shared" si="33"/>
        <v>0.81361942857142844</v>
      </c>
      <c r="Z50" s="27">
        <f t="shared" si="33"/>
        <v>0.13560323809523808</v>
      </c>
    </row>
    <row r="51" spans="3:26" x14ac:dyDescent="0.25">
      <c r="H51" s="42">
        <v>2100</v>
      </c>
      <c r="I51" s="25">
        <f t="shared" ref="I51:Z51" si="34">I23</f>
        <v>13.811552857142857</v>
      </c>
      <c r="J51" s="26">
        <f t="shared" si="34"/>
        <v>2.6275637142857144</v>
      </c>
      <c r="K51" s="26">
        <f t="shared" si="34"/>
        <v>0.74110771428571431</v>
      </c>
      <c r="L51" s="26">
        <f t="shared" si="34"/>
        <v>27.488358857142853</v>
      </c>
      <c r="M51" s="26">
        <f t="shared" si="34"/>
        <v>3.570791714285714</v>
      </c>
      <c r="N51" s="26">
        <f t="shared" si="34"/>
        <v>2.1559497142857142</v>
      </c>
      <c r="O51" s="26">
        <f t="shared" si="34"/>
        <v>28.094719714285713</v>
      </c>
      <c r="P51" s="26">
        <f t="shared" si="34"/>
        <v>2.6275637142857144</v>
      </c>
      <c r="Q51" s="26">
        <f t="shared" si="34"/>
        <v>1.4822154285714286</v>
      </c>
      <c r="R51" s="26">
        <f t="shared" si="34"/>
        <v>14.552660571428572</v>
      </c>
      <c r="S51" s="26">
        <f t="shared" si="34"/>
        <v>1.3474685714285712</v>
      </c>
      <c r="T51" s="26">
        <f t="shared" si="34"/>
        <v>0.26949371428571428</v>
      </c>
      <c r="U51" s="26">
        <f t="shared" si="34"/>
        <v>12.059843714285714</v>
      </c>
      <c r="V51" s="26">
        <f t="shared" si="34"/>
        <v>0.33686714285714281</v>
      </c>
      <c r="W51" s="26">
        <f t="shared" si="34"/>
        <v>0.40424057142857139</v>
      </c>
      <c r="X51" s="26">
        <f t="shared" si="34"/>
        <v>5.4572477142857139</v>
      </c>
      <c r="Y51" s="26">
        <f t="shared" si="34"/>
        <v>0.80848114285714279</v>
      </c>
      <c r="Z51" s="27">
        <f t="shared" si="34"/>
        <v>0.13474685714285714</v>
      </c>
    </row>
    <row r="52" spans="3:26" x14ac:dyDescent="0.25">
      <c r="H52" s="42">
        <v>2110</v>
      </c>
      <c r="I52" s="25">
        <f t="shared" ref="I52:Z52" si="35">I24</f>
        <v>13.743707619047619</v>
      </c>
      <c r="J52" s="26">
        <f t="shared" si="35"/>
        <v>2.6146565714285712</v>
      </c>
      <c r="K52" s="26">
        <f t="shared" si="35"/>
        <v>0.73746723809523806</v>
      </c>
      <c r="L52" s="26">
        <f t="shared" si="35"/>
        <v>27.353330285714282</v>
      </c>
      <c r="M52" s="26">
        <f t="shared" si="35"/>
        <v>3.5532512380952377</v>
      </c>
      <c r="N52" s="26">
        <f t="shared" si="35"/>
        <v>2.1453592380952378</v>
      </c>
      <c r="O52" s="26">
        <f t="shared" si="35"/>
        <v>27.956712571428572</v>
      </c>
      <c r="P52" s="26">
        <f t="shared" si="35"/>
        <v>2.6146565714285712</v>
      </c>
      <c r="Q52" s="26">
        <f t="shared" si="35"/>
        <v>1.4749344761904761</v>
      </c>
      <c r="R52" s="26">
        <f t="shared" si="35"/>
        <v>14.481174857142857</v>
      </c>
      <c r="S52" s="26">
        <f t="shared" si="35"/>
        <v>1.3408495238095237</v>
      </c>
      <c r="T52" s="26">
        <f t="shared" si="35"/>
        <v>0.26816990476190472</v>
      </c>
      <c r="U52" s="26">
        <f t="shared" si="35"/>
        <v>12.000603238095238</v>
      </c>
      <c r="V52" s="26">
        <f t="shared" si="35"/>
        <v>0.33521238095238093</v>
      </c>
      <c r="W52" s="26">
        <f t="shared" si="35"/>
        <v>0.40225485714285708</v>
      </c>
      <c r="X52" s="26">
        <f t="shared" si="35"/>
        <v>5.4304405714285711</v>
      </c>
      <c r="Y52" s="26">
        <f t="shared" si="35"/>
        <v>0.80450971428571416</v>
      </c>
      <c r="Z52" s="27">
        <f t="shared" si="35"/>
        <v>0.13408495238095236</v>
      </c>
    </row>
    <row r="53" spans="3:26" x14ac:dyDescent="0.25">
      <c r="H53" s="42">
        <v>2120</v>
      </c>
      <c r="I53" s="25">
        <f t="shared" ref="I53:Z53" si="36">I25</f>
        <v>13.69567904761905</v>
      </c>
      <c r="J53" s="26">
        <f t="shared" si="36"/>
        <v>2.6055194285714287</v>
      </c>
      <c r="K53" s="26">
        <f t="shared" si="36"/>
        <v>0.73489009523809534</v>
      </c>
      <c r="L53" s="26">
        <f t="shared" si="36"/>
        <v>27.257741714285714</v>
      </c>
      <c r="M53" s="26">
        <f t="shared" si="36"/>
        <v>3.5408340952380954</v>
      </c>
      <c r="N53" s="26">
        <f t="shared" si="36"/>
        <v>2.1378620952380953</v>
      </c>
      <c r="O53" s="26">
        <f t="shared" si="36"/>
        <v>27.859015428571432</v>
      </c>
      <c r="P53" s="26">
        <f t="shared" si="36"/>
        <v>2.6055194285714287</v>
      </c>
      <c r="Q53" s="26">
        <f t="shared" si="36"/>
        <v>1.4697801904761907</v>
      </c>
      <c r="R53" s="26">
        <f t="shared" si="36"/>
        <v>14.430569142857145</v>
      </c>
      <c r="S53" s="26">
        <f t="shared" si="36"/>
        <v>1.3361638095238095</v>
      </c>
      <c r="T53" s="26">
        <f t="shared" si="36"/>
        <v>0.26723276190476192</v>
      </c>
      <c r="U53" s="26">
        <f t="shared" si="36"/>
        <v>11.958666095238096</v>
      </c>
      <c r="V53" s="26">
        <f t="shared" si="36"/>
        <v>0.33404095238095238</v>
      </c>
      <c r="W53" s="26">
        <f t="shared" si="36"/>
        <v>0.40084914285714285</v>
      </c>
      <c r="X53" s="26">
        <f t="shared" si="36"/>
        <v>5.4114634285714294</v>
      </c>
      <c r="Y53" s="26">
        <f t="shared" si="36"/>
        <v>0.8016982857142857</v>
      </c>
      <c r="Z53" s="27">
        <f t="shared" si="36"/>
        <v>0.13361638095238096</v>
      </c>
    </row>
    <row r="54" spans="3:26" x14ac:dyDescent="0.25">
      <c r="H54" s="42">
        <v>2130</v>
      </c>
      <c r="I54" s="25">
        <f t="shared" ref="I54:Z54" si="37">I26</f>
        <v>13.683730476190478</v>
      </c>
      <c r="J54" s="26">
        <f t="shared" si="37"/>
        <v>2.603246285714286</v>
      </c>
      <c r="K54" s="26">
        <f t="shared" si="37"/>
        <v>0.73424895238095245</v>
      </c>
      <c r="L54" s="26">
        <f t="shared" si="37"/>
        <v>27.23396114285714</v>
      </c>
      <c r="M54" s="26">
        <f t="shared" si="37"/>
        <v>3.5377449523809523</v>
      </c>
      <c r="N54" s="26">
        <f t="shared" si="37"/>
        <v>2.1359969523809523</v>
      </c>
      <c r="O54" s="26">
        <f t="shared" si="37"/>
        <v>27.834710285714287</v>
      </c>
      <c r="P54" s="26">
        <f t="shared" si="37"/>
        <v>2.603246285714286</v>
      </c>
      <c r="Q54" s="26">
        <f t="shared" si="37"/>
        <v>1.4684979047619049</v>
      </c>
      <c r="R54" s="26">
        <f t="shared" si="37"/>
        <v>14.41797942857143</v>
      </c>
      <c r="S54" s="26">
        <f t="shared" si="37"/>
        <v>1.3349980952380951</v>
      </c>
      <c r="T54" s="26">
        <f t="shared" si="37"/>
        <v>0.26699961904761904</v>
      </c>
      <c r="U54" s="26">
        <f t="shared" si="37"/>
        <v>11.948232952380952</v>
      </c>
      <c r="V54" s="26">
        <f t="shared" si="37"/>
        <v>0.33374952380952377</v>
      </c>
      <c r="W54" s="26">
        <f t="shared" si="37"/>
        <v>0.40049942857142856</v>
      </c>
      <c r="X54" s="26">
        <f t="shared" si="37"/>
        <v>5.4067422857142855</v>
      </c>
      <c r="Y54" s="26">
        <f t="shared" si="37"/>
        <v>0.80099885714285712</v>
      </c>
      <c r="Z54" s="27">
        <f t="shared" si="37"/>
        <v>0.13349980952380952</v>
      </c>
    </row>
    <row r="55" spans="3:26" x14ac:dyDescent="0.25">
      <c r="H55" s="42">
        <v>2140</v>
      </c>
      <c r="I55" s="25">
        <f t="shared" ref="I55:Z55" si="38">I27</f>
        <v>13.968797619047622</v>
      </c>
      <c r="J55" s="26">
        <f t="shared" si="38"/>
        <v>2.6574785714285718</v>
      </c>
      <c r="K55" s="26">
        <f t="shared" si="38"/>
        <v>0.74954523809523821</v>
      </c>
      <c r="L55" s="26">
        <f t="shared" si="38"/>
        <v>27.801314285714287</v>
      </c>
      <c r="M55" s="26">
        <f t="shared" si="38"/>
        <v>3.6114452380952384</v>
      </c>
      <c r="N55" s="26">
        <f t="shared" si="38"/>
        <v>2.1804952380952383</v>
      </c>
      <c r="O55" s="26">
        <f t="shared" si="38"/>
        <v>28.414578571428574</v>
      </c>
      <c r="P55" s="26">
        <f t="shared" si="38"/>
        <v>2.6574785714285718</v>
      </c>
      <c r="Q55" s="26">
        <f t="shared" si="38"/>
        <v>1.4990904761904764</v>
      </c>
      <c r="R55" s="26">
        <f t="shared" si="38"/>
        <v>14.71834285714286</v>
      </c>
      <c r="S55" s="26">
        <f t="shared" si="38"/>
        <v>1.3628095238095239</v>
      </c>
      <c r="T55" s="26">
        <f t="shared" si="38"/>
        <v>0.27256190476190478</v>
      </c>
      <c r="U55" s="26">
        <f t="shared" si="38"/>
        <v>12.197145238095239</v>
      </c>
      <c r="V55" s="26">
        <f t="shared" si="38"/>
        <v>0.34070238095238098</v>
      </c>
      <c r="W55" s="26">
        <f t="shared" si="38"/>
        <v>0.40884285714285717</v>
      </c>
      <c r="X55" s="26">
        <f t="shared" si="38"/>
        <v>5.5193785714285726</v>
      </c>
      <c r="Y55" s="26">
        <f t="shared" si="38"/>
        <v>0.81768571428571435</v>
      </c>
      <c r="Z55" s="27">
        <f t="shared" si="38"/>
        <v>0.13628095238095239</v>
      </c>
    </row>
    <row r="56" spans="3:26" ht="15.75" thickBot="1" x14ac:dyDescent="0.3">
      <c r="H56" s="16">
        <v>2150</v>
      </c>
      <c r="I56" s="28">
        <f t="shared" ref="I56:Z56" si="39">I28</f>
        <v>14.265637619047622</v>
      </c>
      <c r="J56" s="29">
        <f t="shared" si="39"/>
        <v>2.7139505714285717</v>
      </c>
      <c r="K56" s="29">
        <f t="shared" si="39"/>
        <v>0.76547323809523826</v>
      </c>
      <c r="L56" s="29">
        <f t="shared" si="39"/>
        <v>28.392098285714287</v>
      </c>
      <c r="M56" s="29">
        <f t="shared" si="39"/>
        <v>3.6881892380952386</v>
      </c>
      <c r="N56" s="29">
        <f t="shared" si="39"/>
        <v>2.2268312380952384</v>
      </c>
      <c r="O56" s="29">
        <f t="shared" si="39"/>
        <v>29.018394571428576</v>
      </c>
      <c r="P56" s="29">
        <f t="shared" si="39"/>
        <v>2.7139505714285717</v>
      </c>
      <c r="Q56" s="29">
        <f t="shared" si="39"/>
        <v>1.5309464761904765</v>
      </c>
      <c r="R56" s="29">
        <f t="shared" si="39"/>
        <v>15.03111085714286</v>
      </c>
      <c r="S56" s="29">
        <f t="shared" si="39"/>
        <v>1.3917695238095238</v>
      </c>
      <c r="T56" s="29">
        <f t="shared" si="39"/>
        <v>0.2783539047619048</v>
      </c>
      <c r="U56" s="29">
        <f t="shared" si="39"/>
        <v>12.456337238095239</v>
      </c>
      <c r="V56" s="29">
        <f t="shared" si="39"/>
        <v>0.34794238095238095</v>
      </c>
      <c r="W56" s="29">
        <f t="shared" si="39"/>
        <v>0.41753085714285715</v>
      </c>
      <c r="X56" s="29">
        <f t="shared" si="39"/>
        <v>5.636666571428572</v>
      </c>
      <c r="Y56" s="29">
        <f t="shared" si="39"/>
        <v>0.8350617142857143</v>
      </c>
      <c r="Z56" s="30">
        <f t="shared" si="39"/>
        <v>0.1391769523809524</v>
      </c>
    </row>
    <row r="58" spans="3:26" x14ac:dyDescent="0.25">
      <c r="I58" s="26">
        <f>(I34*0.01+J34*0.1+K34*1)/100</f>
        <v>8.0714285714285714E-3</v>
      </c>
      <c r="J58" s="26"/>
      <c r="K58" s="26"/>
      <c r="L58" s="26">
        <f t="shared" ref="L58:X58" si="40">(L34*0.01+M34*0.1+N34*1)/100</f>
        <v>1.9704761904761905E-2</v>
      </c>
      <c r="M58" s="26"/>
      <c r="N58" s="26"/>
      <c r="O58" s="26">
        <f t="shared" si="40"/>
        <v>1.431904761904762E-2</v>
      </c>
      <c r="P58" s="26"/>
      <c r="Q58" s="26"/>
      <c r="R58" s="26">
        <f t="shared" si="40"/>
        <v>3.8857142857142857E-3</v>
      </c>
      <c r="S58" s="26"/>
      <c r="T58" s="26"/>
      <c r="U58" s="26">
        <f t="shared" si="40"/>
        <v>3.9476190476190479E-3</v>
      </c>
      <c r="V58" s="26"/>
      <c r="W58" s="26"/>
      <c r="X58" s="26">
        <f t="shared" si="40"/>
        <v>1.9095238095238095E-3</v>
      </c>
    </row>
    <row r="60" spans="3:26" ht="15.75" thickBot="1" x14ac:dyDescent="0.3">
      <c r="F60" t="s">
        <v>77</v>
      </c>
      <c r="Q60" t="s">
        <v>76</v>
      </c>
    </row>
    <row r="61" spans="3:26" ht="15.75" thickBot="1" x14ac:dyDescent="0.3">
      <c r="H61" s="49" t="s">
        <v>79</v>
      </c>
      <c r="I61" s="50">
        <v>1</v>
      </c>
      <c r="J61" s="50">
        <v>2</v>
      </c>
      <c r="K61" s="50">
        <v>3</v>
      </c>
      <c r="L61" s="50">
        <v>4</v>
      </c>
      <c r="M61" s="50">
        <v>5</v>
      </c>
      <c r="N61" s="51">
        <v>6</v>
      </c>
      <c r="O61" s="54" t="s">
        <v>79</v>
      </c>
      <c r="Q61" s="49" t="s">
        <v>75</v>
      </c>
      <c r="R61" s="50">
        <v>1</v>
      </c>
      <c r="S61" s="50">
        <v>2</v>
      </c>
      <c r="T61" s="50">
        <v>3</v>
      </c>
      <c r="U61" s="50">
        <v>4</v>
      </c>
      <c r="V61" s="50">
        <v>5</v>
      </c>
      <c r="W61" s="51">
        <v>6</v>
      </c>
    </row>
    <row r="62" spans="3:26" x14ac:dyDescent="0.25">
      <c r="H62" s="47">
        <v>2020</v>
      </c>
      <c r="I62" s="37">
        <f>SUMPRODUCT($D$44:$F$44,I34:K34)/1000000</f>
        <v>75.83808141530055</v>
      </c>
      <c r="J62" s="37">
        <f>SUMPRODUCT($D$45:$F$45,L34:N34)/1000000</f>
        <v>721.96383182703244</v>
      </c>
      <c r="K62" s="37">
        <f>SUMPRODUCT($D$46:$F$46,O34:Q34)/1000000</f>
        <v>146.85973051046429</v>
      </c>
      <c r="L62" s="37">
        <f>SUMPRODUCT($D$47:$F$47,R34:T34)/1000000</f>
        <v>33.073649540611868</v>
      </c>
      <c r="M62" s="37">
        <f>SUMPRODUCT($D$48:$F$48,U34:W34)/1000000</f>
        <v>40.366681730790674</v>
      </c>
      <c r="N62" s="44">
        <f>SUMPRODUCT($D$49:$F$49,X34:Z34)/1000000</f>
        <v>5.3418798826065936</v>
      </c>
      <c r="O62" s="52">
        <f>SUM(I62:N62)</f>
        <v>1023.4438549068063</v>
      </c>
      <c r="Q62" s="47">
        <v>2020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3:26" x14ac:dyDescent="0.25">
      <c r="H63" s="47">
        <v>2021</v>
      </c>
      <c r="I63" s="37">
        <f t="shared" ref="I63:I84" si="41">SUMPRODUCT($D$44:$F$44,I35:K35)/1000000</f>
        <v>76.758467538972909</v>
      </c>
      <c r="J63" s="37">
        <f t="shared" ref="J63:J84" si="42">SUMPRODUCT($D$45:$F$45,L35:N35)/1000000</f>
        <v>730.72572928285172</v>
      </c>
      <c r="K63" s="37">
        <f t="shared" ref="K63:K84" si="43">SUMPRODUCT($D$46:$F$46,O35:Q35)/1000000</f>
        <v>148.64204957188539</v>
      </c>
      <c r="L63" s="37">
        <f t="shared" ref="L63:L84" si="44">SUMPRODUCT($D$47:$F$47,R35:T35)/1000000</f>
        <v>33.475037966166646</v>
      </c>
      <c r="M63" s="37">
        <f t="shared" ref="M63:M84" si="45">SUMPRODUCT($D$48:$F$48,U35:W35)/1000000</f>
        <v>40.856579853611905</v>
      </c>
      <c r="N63" s="44">
        <f t="shared" ref="N63:N84" si="46">SUMPRODUCT($D$49:$F$49,X35:Z35)/1000000</f>
        <v>5.4067100052378851</v>
      </c>
      <c r="O63" s="52">
        <f t="shared" ref="O63:O84" si="47">SUM(I63:N63)</f>
        <v>1035.8645742187266</v>
      </c>
      <c r="Q63" s="47">
        <v>2021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3:26" x14ac:dyDescent="0.25">
      <c r="H64" s="47">
        <v>2022</v>
      </c>
      <c r="I64" s="37">
        <f t="shared" si="41"/>
        <v>77.678853662645281</v>
      </c>
      <c r="J64" s="37">
        <f t="shared" si="42"/>
        <v>739.48762673867077</v>
      </c>
      <c r="K64" s="37">
        <f t="shared" si="43"/>
        <v>150.42436863330647</v>
      </c>
      <c r="L64" s="37">
        <f t="shared" si="44"/>
        <v>33.876426391721417</v>
      </c>
      <c r="M64" s="37">
        <f t="shared" si="45"/>
        <v>41.346477976433121</v>
      </c>
      <c r="N64" s="44">
        <f t="shared" si="46"/>
        <v>5.4715401278691749</v>
      </c>
      <c r="O64" s="52">
        <f t="shared" si="47"/>
        <v>1048.2852935306464</v>
      </c>
      <c r="Q64" s="47">
        <v>2022</v>
      </c>
      <c r="R64">
        <v>1.0931266780711029</v>
      </c>
      <c r="S64">
        <v>0.89697796754964476</v>
      </c>
      <c r="T64">
        <v>1</v>
      </c>
      <c r="U64">
        <v>1</v>
      </c>
      <c r="V64">
        <v>1</v>
      </c>
      <c r="W64">
        <v>1</v>
      </c>
    </row>
    <row r="65" spans="8:23" x14ac:dyDescent="0.25">
      <c r="H65" s="47">
        <v>2023</v>
      </c>
      <c r="I65" s="37">
        <f t="shared" si="41"/>
        <v>78.599239786317668</v>
      </c>
      <c r="J65" s="37">
        <f t="shared" si="42"/>
        <v>748.24952419449016</v>
      </c>
      <c r="K65" s="37">
        <f t="shared" si="43"/>
        <v>152.20668769472761</v>
      </c>
      <c r="L65" s="37">
        <f t="shared" si="44"/>
        <v>34.277814817276195</v>
      </c>
      <c r="M65" s="37">
        <f t="shared" si="45"/>
        <v>41.836376099254338</v>
      </c>
      <c r="N65" s="44">
        <f t="shared" si="46"/>
        <v>5.5363702505004646</v>
      </c>
      <c r="O65" s="52">
        <f t="shared" si="47"/>
        <v>1060.7060128425665</v>
      </c>
      <c r="Q65" s="47">
        <v>2023</v>
      </c>
      <c r="R65">
        <v>1.186253356142206</v>
      </c>
      <c r="S65">
        <v>0.79395593509928941</v>
      </c>
      <c r="T65">
        <v>1</v>
      </c>
      <c r="U65">
        <v>1</v>
      </c>
      <c r="V65">
        <v>1</v>
      </c>
      <c r="W65">
        <v>1</v>
      </c>
    </row>
    <row r="66" spans="8:23" x14ac:dyDescent="0.25">
      <c r="H66" s="47">
        <v>2024</v>
      </c>
      <c r="I66" s="37">
        <f t="shared" si="41"/>
        <v>79.519625909990026</v>
      </c>
      <c r="J66" s="37">
        <f t="shared" si="42"/>
        <v>757.01142165030933</v>
      </c>
      <c r="K66" s="37">
        <f t="shared" si="43"/>
        <v>153.98900675614868</v>
      </c>
      <c r="L66" s="37">
        <f t="shared" si="44"/>
        <v>34.679203242830972</v>
      </c>
      <c r="M66" s="37">
        <f t="shared" si="45"/>
        <v>42.326274222075561</v>
      </c>
      <c r="N66" s="44">
        <f t="shared" si="46"/>
        <v>5.6012003731317535</v>
      </c>
      <c r="O66" s="52">
        <f t="shared" si="47"/>
        <v>1073.1267321544865</v>
      </c>
      <c r="Q66" s="47">
        <v>2024</v>
      </c>
      <c r="R66">
        <v>1.2793800342133088</v>
      </c>
      <c r="S66">
        <v>0.70282106023935975</v>
      </c>
      <c r="T66">
        <v>1</v>
      </c>
      <c r="U66">
        <v>1</v>
      </c>
      <c r="V66">
        <v>0.9470518468315825</v>
      </c>
      <c r="W66">
        <v>1</v>
      </c>
    </row>
    <row r="67" spans="8:23" x14ac:dyDescent="0.25">
      <c r="H67" s="47">
        <v>2025</v>
      </c>
      <c r="I67" s="37">
        <f t="shared" si="41"/>
        <v>80.440012033662413</v>
      </c>
      <c r="J67" s="37">
        <f t="shared" si="42"/>
        <v>765.77331910612872</v>
      </c>
      <c r="K67" s="37">
        <f t="shared" si="43"/>
        <v>155.77132581756976</v>
      </c>
      <c r="L67" s="37">
        <f t="shared" si="44"/>
        <v>35.080591668385736</v>
      </c>
      <c r="M67" s="37">
        <f t="shared" si="45"/>
        <v>42.816172344896778</v>
      </c>
      <c r="N67" s="44">
        <f t="shared" si="46"/>
        <v>5.6660304957630441</v>
      </c>
      <c r="O67" s="52">
        <f t="shared" si="47"/>
        <v>1085.5474514664065</v>
      </c>
      <c r="Q67" s="47">
        <v>2025</v>
      </c>
      <c r="R67">
        <v>1.3180000257889262</v>
      </c>
      <c r="S67">
        <v>0.61168618537943009</v>
      </c>
      <c r="T67">
        <v>1.05396070391623</v>
      </c>
      <c r="U67">
        <v>1</v>
      </c>
      <c r="V67">
        <v>0.894103693663165</v>
      </c>
      <c r="W67">
        <v>1.2420062001771479</v>
      </c>
    </row>
    <row r="68" spans="8:23" x14ac:dyDescent="0.25">
      <c r="H68" s="47">
        <v>2026</v>
      </c>
      <c r="I68" s="37">
        <f t="shared" si="41"/>
        <v>81.360398157334771</v>
      </c>
      <c r="J68" s="37">
        <f t="shared" si="42"/>
        <v>774.53521656194778</v>
      </c>
      <c r="K68" s="37">
        <f t="shared" si="43"/>
        <v>157.55364487899087</v>
      </c>
      <c r="L68" s="37">
        <f t="shared" si="44"/>
        <v>35.481980093940514</v>
      </c>
      <c r="M68" s="37">
        <f t="shared" si="45"/>
        <v>43.306070467718008</v>
      </c>
      <c r="N68" s="44">
        <f t="shared" si="46"/>
        <v>5.7308606183943347</v>
      </c>
      <c r="O68" s="52">
        <f t="shared" si="47"/>
        <v>1097.9681707783263</v>
      </c>
      <c r="Q68" s="47">
        <v>2026</v>
      </c>
      <c r="R68">
        <v>1.3180000257889262</v>
      </c>
      <c r="S68">
        <v>0.53243846810992612</v>
      </c>
      <c r="T68">
        <v>1.1714729161469011</v>
      </c>
      <c r="U68">
        <v>1</v>
      </c>
      <c r="V68">
        <v>0.78820738732633011</v>
      </c>
      <c r="W68">
        <v>1.2420062001771479</v>
      </c>
    </row>
    <row r="69" spans="8:23" x14ac:dyDescent="0.25">
      <c r="H69" s="47">
        <v>2027</v>
      </c>
      <c r="I69" s="37">
        <f t="shared" si="41"/>
        <v>82.280784281007158</v>
      </c>
      <c r="J69" s="37">
        <f t="shared" si="42"/>
        <v>783.29711401776694</v>
      </c>
      <c r="K69" s="37">
        <f t="shared" si="43"/>
        <v>159.33596394041197</v>
      </c>
      <c r="L69" s="37">
        <f t="shared" si="44"/>
        <v>35.883368519495292</v>
      </c>
      <c r="M69" s="37">
        <f t="shared" si="45"/>
        <v>43.795968590539225</v>
      </c>
      <c r="N69" s="44">
        <f t="shared" si="46"/>
        <v>5.7956907410256244</v>
      </c>
      <c r="O69" s="52">
        <f t="shared" si="47"/>
        <v>1110.3888900902462</v>
      </c>
      <c r="Q69" s="47">
        <v>2027</v>
      </c>
      <c r="R69">
        <v>1.3180000257889262</v>
      </c>
      <c r="S69">
        <v>0.48488983774822364</v>
      </c>
      <c r="T69">
        <v>1.2889851283775722</v>
      </c>
      <c r="U69">
        <v>0.83888768054649299</v>
      </c>
      <c r="V69">
        <v>0.68231108098949511</v>
      </c>
      <c r="W69">
        <v>1.2420062001771479</v>
      </c>
    </row>
    <row r="70" spans="8:23" x14ac:dyDescent="0.25">
      <c r="H70" s="47">
        <v>2028</v>
      </c>
      <c r="I70" s="37">
        <f t="shared" si="41"/>
        <v>83.201170404679502</v>
      </c>
      <c r="J70" s="37">
        <f t="shared" si="42"/>
        <v>792.05901147358634</v>
      </c>
      <c r="K70" s="37">
        <f t="shared" si="43"/>
        <v>161.11828300183308</v>
      </c>
      <c r="L70" s="37">
        <f t="shared" si="44"/>
        <v>36.284756945050063</v>
      </c>
      <c r="M70" s="37">
        <f t="shared" si="45"/>
        <v>44.285866713360441</v>
      </c>
      <c r="N70" s="44">
        <f t="shared" si="46"/>
        <v>5.860520863656915</v>
      </c>
      <c r="O70" s="52">
        <f t="shared" si="47"/>
        <v>1122.8096094021662</v>
      </c>
      <c r="Q70" s="47">
        <v>2028</v>
      </c>
      <c r="R70">
        <v>1.3180000257889262</v>
      </c>
      <c r="S70">
        <v>0.44999984150456546</v>
      </c>
      <c r="T70">
        <v>1.395417746875079</v>
      </c>
      <c r="U70">
        <v>0.75</v>
      </c>
      <c r="V70">
        <v>0.5</v>
      </c>
      <c r="W70">
        <v>1.2420062001771479</v>
      </c>
    </row>
    <row r="71" spans="8:23" x14ac:dyDescent="0.25">
      <c r="H71" s="47">
        <v>2029</v>
      </c>
      <c r="I71" s="37">
        <f t="shared" si="41"/>
        <v>84.121556528351874</v>
      </c>
      <c r="J71" s="37">
        <f t="shared" si="42"/>
        <v>800.82090892940562</v>
      </c>
      <c r="K71" s="37">
        <f t="shared" si="43"/>
        <v>162.90060206325415</v>
      </c>
      <c r="L71" s="37">
        <f t="shared" si="44"/>
        <v>36.686145370604834</v>
      </c>
      <c r="M71" s="37">
        <f t="shared" si="45"/>
        <v>44.775764836181672</v>
      </c>
      <c r="N71" s="44">
        <f t="shared" si="46"/>
        <v>5.9253509862882048</v>
      </c>
      <c r="O71" s="52">
        <f t="shared" si="47"/>
        <v>1135.2303287140862</v>
      </c>
      <c r="Q71" s="47">
        <v>2029</v>
      </c>
      <c r="R71">
        <v>1.3180000257889262</v>
      </c>
      <c r="S71">
        <v>0.44999984150456546</v>
      </c>
      <c r="T71">
        <v>1.395417746875079</v>
      </c>
      <c r="U71">
        <v>0.75</v>
      </c>
      <c r="V71">
        <v>0.5</v>
      </c>
      <c r="W71">
        <v>1.2420062001771479</v>
      </c>
    </row>
    <row r="72" spans="8:23" x14ac:dyDescent="0.25">
      <c r="H72" s="47">
        <v>2030</v>
      </c>
      <c r="I72" s="37">
        <f t="shared" si="41"/>
        <v>85.041942652024233</v>
      </c>
      <c r="J72" s="37">
        <f t="shared" si="42"/>
        <v>809.58280638522479</v>
      </c>
      <c r="K72" s="37">
        <f t="shared" si="43"/>
        <v>164.68292112467523</v>
      </c>
      <c r="L72" s="37">
        <f t="shared" si="44"/>
        <v>37.087533796159612</v>
      </c>
      <c r="M72" s="37">
        <f t="shared" si="45"/>
        <v>45.265662959002881</v>
      </c>
      <c r="N72" s="44">
        <f t="shared" si="46"/>
        <v>5.9901811089194945</v>
      </c>
      <c r="O72" s="52">
        <f t="shared" si="47"/>
        <v>1147.651048026006</v>
      </c>
      <c r="Q72" s="47">
        <v>2030</v>
      </c>
      <c r="R72">
        <v>1.3180000257889262</v>
      </c>
      <c r="S72">
        <v>0.44999984150456546</v>
      </c>
      <c r="T72">
        <v>1.395417746875079</v>
      </c>
      <c r="U72">
        <v>0.75</v>
      </c>
      <c r="V72">
        <v>0.5</v>
      </c>
      <c r="W72">
        <v>1.2420062001771479</v>
      </c>
    </row>
    <row r="73" spans="8:23" x14ac:dyDescent="0.25">
      <c r="H73" s="47">
        <v>2040</v>
      </c>
      <c r="I73" s="37">
        <f t="shared" si="41"/>
        <v>93.242011043135065</v>
      </c>
      <c r="J73" s="37">
        <f t="shared" si="42"/>
        <v>887.64586766535444</v>
      </c>
      <c r="K73" s="37">
        <f t="shared" si="43"/>
        <v>180.56227634584974</v>
      </c>
      <c r="L73" s="37">
        <f t="shared" si="44"/>
        <v>40.66365522638781</v>
      </c>
      <c r="M73" s="37">
        <f t="shared" si="45"/>
        <v>49.630350787826373</v>
      </c>
      <c r="N73" s="44">
        <f t="shared" si="46"/>
        <v>6.5677772131062158</v>
      </c>
      <c r="O73" s="52">
        <f t="shared" si="47"/>
        <v>1258.3119382816596</v>
      </c>
      <c r="Q73" s="47">
        <v>2040</v>
      </c>
      <c r="R73">
        <v>1.3180000257889262</v>
      </c>
      <c r="S73">
        <v>0.44999984150456546</v>
      </c>
      <c r="T73">
        <v>1.395417746875079</v>
      </c>
      <c r="U73">
        <v>0.75</v>
      </c>
      <c r="V73">
        <v>0.5</v>
      </c>
      <c r="W73">
        <v>1.2420062001771479</v>
      </c>
    </row>
    <row r="74" spans="8:23" x14ac:dyDescent="0.25">
      <c r="H74" s="47">
        <v>2050</v>
      </c>
      <c r="I74" s="37">
        <f t="shared" si="41"/>
        <v>99.624240622721075</v>
      </c>
      <c r="J74" s="37">
        <f t="shared" si="42"/>
        <v>948.40345589659023</v>
      </c>
      <c r="K74" s="37">
        <f t="shared" si="43"/>
        <v>192.92140382668836</v>
      </c>
      <c r="L74" s="37">
        <f t="shared" si="44"/>
        <v>43.447001277127548</v>
      </c>
      <c r="M74" s="37">
        <f t="shared" si="45"/>
        <v>53.027449255562779</v>
      </c>
      <c r="N74" s="44">
        <f t="shared" si="46"/>
        <v>7.0173284565068563</v>
      </c>
      <c r="O74" s="52">
        <f t="shared" si="47"/>
        <v>1344.440879335197</v>
      </c>
      <c r="Q74" s="47">
        <v>2050</v>
      </c>
      <c r="R74">
        <v>1.3180000257889262</v>
      </c>
      <c r="S74">
        <v>0.44999984150456546</v>
      </c>
      <c r="T74">
        <v>1.395417746875079</v>
      </c>
      <c r="U74">
        <v>0.75</v>
      </c>
      <c r="V74">
        <v>0.5</v>
      </c>
      <c r="W74">
        <v>1.2420062001771479</v>
      </c>
    </row>
    <row r="75" spans="8:23" x14ac:dyDescent="0.25">
      <c r="H75" s="47">
        <v>2060</v>
      </c>
      <c r="I75" s="37">
        <f t="shared" si="41"/>
        <v>104.29677649488058</v>
      </c>
      <c r="J75" s="37">
        <f t="shared" si="42"/>
        <v>992.88509150311734</v>
      </c>
      <c r="K75" s="37">
        <f t="shared" si="43"/>
        <v>201.96972554289908</v>
      </c>
      <c r="L75" s="37">
        <f t="shared" si="44"/>
        <v>45.484734972623713</v>
      </c>
      <c r="M75" s="37">
        <f t="shared" si="45"/>
        <v>55.514521250360261</v>
      </c>
      <c r="N75" s="44">
        <f t="shared" si="46"/>
        <v>7.3464523598340152</v>
      </c>
      <c r="O75" s="52">
        <f t="shared" si="47"/>
        <v>1407.4973021237151</v>
      </c>
      <c r="Q75" s="47">
        <v>2060</v>
      </c>
      <c r="R75">
        <v>1.3180000257889262</v>
      </c>
      <c r="S75">
        <v>0.44999984150456546</v>
      </c>
      <c r="T75">
        <v>1.395417746875079</v>
      </c>
      <c r="U75">
        <v>0.75</v>
      </c>
      <c r="V75">
        <v>0.5</v>
      </c>
      <c r="W75">
        <v>1.2420062001771479</v>
      </c>
    </row>
    <row r="76" spans="8:23" x14ac:dyDescent="0.25">
      <c r="H76" s="47">
        <v>2070</v>
      </c>
      <c r="I76" s="37">
        <f t="shared" si="41"/>
        <v>107.31862068695465</v>
      </c>
      <c r="J76" s="37">
        <f t="shared" si="42"/>
        <v>1021.6524623460974</v>
      </c>
      <c r="K76" s="37">
        <f t="shared" si="43"/>
        <v>207.82149836481906</v>
      </c>
      <c r="L76" s="37">
        <f t="shared" si="44"/>
        <v>46.802587612218936</v>
      </c>
      <c r="M76" s="37">
        <f t="shared" si="45"/>
        <v>57.122972050605348</v>
      </c>
      <c r="N76" s="44">
        <f t="shared" si="46"/>
        <v>7.559304905636357</v>
      </c>
      <c r="O76" s="52">
        <f t="shared" si="47"/>
        <v>1448.2774459663317</v>
      </c>
      <c r="Q76" s="47">
        <v>2070</v>
      </c>
      <c r="R76">
        <v>1.3180000257889262</v>
      </c>
      <c r="S76">
        <v>0.44999984150456546</v>
      </c>
      <c r="T76">
        <v>1.395417746875079</v>
      </c>
      <c r="U76">
        <v>0.75</v>
      </c>
      <c r="V76">
        <v>0.5</v>
      </c>
      <c r="W76">
        <v>1.2420062001771479</v>
      </c>
    </row>
    <row r="77" spans="8:23" x14ac:dyDescent="0.25">
      <c r="H77" s="47">
        <v>2080</v>
      </c>
      <c r="I77" s="37">
        <f t="shared" si="41"/>
        <v>108.42691840875786</v>
      </c>
      <c r="J77" s="37">
        <f t="shared" si="42"/>
        <v>1032.2032417844177</v>
      </c>
      <c r="K77" s="37">
        <f t="shared" si="43"/>
        <v>209.96770646649898</v>
      </c>
      <c r="L77" s="37">
        <f t="shared" si="44"/>
        <v>47.285925926605444</v>
      </c>
      <c r="M77" s="37">
        <f t="shared" si="45"/>
        <v>57.712890737419116</v>
      </c>
      <c r="N77" s="44">
        <f t="shared" si="46"/>
        <v>7.6373711382407707</v>
      </c>
      <c r="O77" s="52">
        <f t="shared" si="47"/>
        <v>1463.2340544619401</v>
      </c>
      <c r="Q77" s="47">
        <v>2080</v>
      </c>
      <c r="R77">
        <v>1.3180000257889262</v>
      </c>
      <c r="S77">
        <v>0.44999984150456546</v>
      </c>
      <c r="T77">
        <v>1.395417746875079</v>
      </c>
      <c r="U77">
        <v>0.75</v>
      </c>
      <c r="V77">
        <v>0.5</v>
      </c>
      <c r="W77">
        <v>1.2420062001771479</v>
      </c>
    </row>
    <row r="78" spans="8:23" x14ac:dyDescent="0.25">
      <c r="H78" s="47">
        <v>2090</v>
      </c>
      <c r="I78" s="37">
        <f t="shared" si="41"/>
        <v>107.98083881387302</v>
      </c>
      <c r="J78" s="37">
        <f t="shared" si="42"/>
        <v>1027.9566505256109</v>
      </c>
      <c r="K78" s="37">
        <f t="shared" si="43"/>
        <v>209.10387753163641</v>
      </c>
      <c r="L78" s="37">
        <f t="shared" si="44"/>
        <v>47.091386720007556</v>
      </c>
      <c r="M78" s="37">
        <f t="shared" si="45"/>
        <v>57.475453915478603</v>
      </c>
      <c r="N78" s="44">
        <f t="shared" si="46"/>
        <v>7.6059502007712769</v>
      </c>
      <c r="O78" s="52">
        <f t="shared" si="47"/>
        <v>1457.2141577073778</v>
      </c>
      <c r="Q78" s="47">
        <v>2090</v>
      </c>
      <c r="R78">
        <v>1.3180000257889262</v>
      </c>
      <c r="S78">
        <v>0.44999984150456546</v>
      </c>
      <c r="T78">
        <v>1.395417746875079</v>
      </c>
      <c r="U78">
        <v>0.75</v>
      </c>
      <c r="V78">
        <v>0.5</v>
      </c>
      <c r="W78">
        <v>1.2420062001771479</v>
      </c>
    </row>
    <row r="79" spans="8:23" x14ac:dyDescent="0.25">
      <c r="H79" s="47">
        <v>2100</v>
      </c>
      <c r="I79" s="37">
        <f t="shared" si="41"/>
        <v>107.29890278578665</v>
      </c>
      <c r="J79" s="37">
        <f t="shared" si="42"/>
        <v>1021.4647517498223</v>
      </c>
      <c r="K79" s="37">
        <f t="shared" si="43"/>
        <v>207.78331483488631</v>
      </c>
      <c r="L79" s="37">
        <f t="shared" si="44"/>
        <v>46.79398846333838</v>
      </c>
      <c r="M79" s="37">
        <f t="shared" si="45"/>
        <v>57.112476713355335</v>
      </c>
      <c r="N79" s="44">
        <f t="shared" si="46"/>
        <v>7.5579160168668782</v>
      </c>
      <c r="O79" s="52">
        <f t="shared" si="47"/>
        <v>1448.0113505640559</v>
      </c>
      <c r="Q79" s="47">
        <v>2100</v>
      </c>
      <c r="R79">
        <v>1.3180000257889262</v>
      </c>
      <c r="S79">
        <v>0.44999984150456546</v>
      </c>
      <c r="T79">
        <v>1.395417746875079</v>
      </c>
      <c r="U79">
        <v>0.75</v>
      </c>
      <c r="V79">
        <v>0.5</v>
      </c>
      <c r="W79">
        <v>1.2420062001771479</v>
      </c>
    </row>
    <row r="80" spans="8:23" x14ac:dyDescent="0.25">
      <c r="H80" s="47">
        <v>2110</v>
      </c>
      <c r="I80" s="37">
        <f t="shared" si="41"/>
        <v>106.77182811995031</v>
      </c>
      <c r="J80" s="37">
        <f t="shared" si="42"/>
        <v>1016.4471031186243</v>
      </c>
      <c r="K80" s="37">
        <f t="shared" si="43"/>
        <v>206.76263970783859</v>
      </c>
      <c r="L80" s="37">
        <f t="shared" si="44"/>
        <v>46.56412659903112</v>
      </c>
      <c r="M80" s="37">
        <f t="shared" si="45"/>
        <v>56.831928275326341</v>
      </c>
      <c r="N80" s="44">
        <f t="shared" si="46"/>
        <v>7.5207899516827625</v>
      </c>
      <c r="O80" s="52">
        <f t="shared" si="47"/>
        <v>1440.8984157724535</v>
      </c>
      <c r="Q80" s="47">
        <v>2110</v>
      </c>
      <c r="R80">
        <v>1.3180000257889262</v>
      </c>
      <c r="S80">
        <v>0.44999984150456546</v>
      </c>
      <c r="T80">
        <v>1.395417746875079</v>
      </c>
      <c r="U80">
        <v>0.75</v>
      </c>
      <c r="V80">
        <v>0.5</v>
      </c>
      <c r="W80">
        <v>1.2420062001771479</v>
      </c>
    </row>
    <row r="81" spans="6:23" x14ac:dyDescent="0.25">
      <c r="H81" s="47">
        <v>2120</v>
      </c>
      <c r="I81" s="37">
        <f t="shared" si="41"/>
        <v>106.39870475938704</v>
      </c>
      <c r="J81" s="37">
        <f t="shared" si="42"/>
        <v>1012.8950410660356</v>
      </c>
      <c r="K81" s="37">
        <f t="shared" si="43"/>
        <v>206.04008983372711</v>
      </c>
      <c r="L81" s="37">
        <f t="shared" si="44"/>
        <v>46.401404243291317</v>
      </c>
      <c r="M81" s="37">
        <f t="shared" si="45"/>
        <v>56.633324201210854</v>
      </c>
      <c r="N81" s="44">
        <f t="shared" si="46"/>
        <v>7.4945079026603389</v>
      </c>
      <c r="O81" s="52">
        <f t="shared" si="47"/>
        <v>1435.8630720063122</v>
      </c>
      <c r="Q81" s="47">
        <v>2120</v>
      </c>
      <c r="R81">
        <v>1.3180000257889262</v>
      </c>
      <c r="S81">
        <v>0.44999984150456546</v>
      </c>
      <c r="T81">
        <v>1.395417746875079</v>
      </c>
      <c r="U81">
        <v>0.75</v>
      </c>
      <c r="V81">
        <v>0.5</v>
      </c>
      <c r="W81">
        <v>1.2420062001771479</v>
      </c>
    </row>
    <row r="82" spans="6:23" x14ac:dyDescent="0.25">
      <c r="H82" s="47">
        <v>2130</v>
      </c>
      <c r="I82" s="37">
        <f t="shared" si="41"/>
        <v>106.30587894773471</v>
      </c>
      <c r="J82" s="37">
        <f t="shared" si="42"/>
        <v>1012.0113573358791</v>
      </c>
      <c r="K82" s="37">
        <f t="shared" si="43"/>
        <v>205.86033352358234</v>
      </c>
      <c r="L82" s="37">
        <f t="shared" si="44"/>
        <v>46.36092209625361</v>
      </c>
      <c r="M82" s="37">
        <f t="shared" si="45"/>
        <v>56.583915382772368</v>
      </c>
      <c r="N82" s="44">
        <f t="shared" si="46"/>
        <v>7.4879694416840286</v>
      </c>
      <c r="O82" s="52">
        <f t="shared" si="47"/>
        <v>1434.6103767279062</v>
      </c>
      <c r="Q82" s="47">
        <v>2130</v>
      </c>
      <c r="R82">
        <v>1.3180000257889262</v>
      </c>
      <c r="S82">
        <v>0.44999984150456546</v>
      </c>
      <c r="T82">
        <v>1.395417746875079</v>
      </c>
      <c r="U82">
        <v>0.75</v>
      </c>
      <c r="V82">
        <v>0.5</v>
      </c>
      <c r="W82">
        <v>1.2420062001771479</v>
      </c>
    </row>
    <row r="83" spans="6:23" x14ac:dyDescent="0.25">
      <c r="H83" s="47">
        <v>2140</v>
      </c>
      <c r="I83" s="37">
        <f t="shared" si="41"/>
        <v>108.52050260122434</v>
      </c>
      <c r="J83" s="37">
        <f t="shared" si="42"/>
        <v>1033.0941451528922</v>
      </c>
      <c r="K83" s="37">
        <f t="shared" si="43"/>
        <v>210.14893137394893</v>
      </c>
      <c r="L83" s="37">
        <f t="shared" si="44"/>
        <v>47.326738810138565</v>
      </c>
      <c r="M83" s="37">
        <f t="shared" si="45"/>
        <v>57.762703222674922</v>
      </c>
      <c r="N83" s="44">
        <f t="shared" si="46"/>
        <v>7.6439630180159073</v>
      </c>
      <c r="O83" s="52">
        <f t="shared" si="47"/>
        <v>1464.4969841788948</v>
      </c>
      <c r="Q83" s="47">
        <v>2140</v>
      </c>
      <c r="R83">
        <v>1.3180000257889262</v>
      </c>
      <c r="S83">
        <v>0.44999984150456546</v>
      </c>
      <c r="T83">
        <v>1.395417746875079</v>
      </c>
      <c r="U83">
        <v>0.75</v>
      </c>
      <c r="V83">
        <v>0.5</v>
      </c>
      <c r="W83">
        <v>1.2420062001771479</v>
      </c>
    </row>
    <row r="84" spans="6:23" ht="15.75" thickBot="1" x14ac:dyDescent="0.3">
      <c r="H84" s="48">
        <v>2150</v>
      </c>
      <c r="I84" s="45">
        <f t="shared" si="41"/>
        <v>110.8265869809008</v>
      </c>
      <c r="J84" s="45">
        <f t="shared" si="42"/>
        <v>1055.0476213510885</v>
      </c>
      <c r="K84" s="45">
        <f t="shared" si="43"/>
        <v>214.61464205931108</v>
      </c>
      <c r="L84" s="45">
        <f t="shared" si="44"/>
        <v>48.332442345369486</v>
      </c>
      <c r="M84" s="45">
        <f t="shared" si="45"/>
        <v>58.990173280744806</v>
      </c>
      <c r="N84" s="46">
        <f t="shared" si="46"/>
        <v>7.806398901486209</v>
      </c>
      <c r="O84" s="53">
        <f t="shared" si="47"/>
        <v>1495.617864918901</v>
      </c>
      <c r="Q84" s="48">
        <v>2150</v>
      </c>
      <c r="R84">
        <v>1.3180000257889262</v>
      </c>
      <c r="S84">
        <v>0.44999984150456546</v>
      </c>
      <c r="T84">
        <v>1.395417746875079</v>
      </c>
      <c r="U84">
        <v>0.75</v>
      </c>
      <c r="V84">
        <v>0.5</v>
      </c>
      <c r="W84">
        <v>1.2420062001771479</v>
      </c>
    </row>
    <row r="86" spans="6:23" ht="15.75" thickBot="1" x14ac:dyDescent="0.3">
      <c r="F86" t="s">
        <v>77</v>
      </c>
    </row>
    <row r="87" spans="6:23" ht="15.75" thickBot="1" x14ac:dyDescent="0.3">
      <c r="H87" s="49" t="s">
        <v>81</v>
      </c>
      <c r="I87" s="50">
        <v>1</v>
      </c>
      <c r="J87" s="50">
        <v>2</v>
      </c>
      <c r="K87" s="50">
        <v>3</v>
      </c>
      <c r="L87" s="50">
        <v>4</v>
      </c>
      <c r="M87" s="50">
        <v>5</v>
      </c>
      <c r="N87" s="51">
        <v>6</v>
      </c>
      <c r="O87" s="54" t="s">
        <v>81</v>
      </c>
    </row>
    <row r="88" spans="6:23" x14ac:dyDescent="0.25">
      <c r="H88" s="47">
        <v>2020</v>
      </c>
      <c r="I88">
        <f>I62*R62</f>
        <v>75.83808141530055</v>
      </c>
      <c r="J88">
        <f t="shared" ref="J88:N88" si="48">J62*S62</f>
        <v>721.96383182703244</v>
      </c>
      <c r="K88">
        <f t="shared" si="48"/>
        <v>146.85973051046429</v>
      </c>
      <c r="L88">
        <f t="shared" si="48"/>
        <v>33.073649540611868</v>
      </c>
      <c r="M88">
        <f t="shared" si="48"/>
        <v>40.366681730790674</v>
      </c>
      <c r="N88" s="43">
        <f t="shared" si="48"/>
        <v>5.3418798826065936</v>
      </c>
      <c r="O88" s="52">
        <f>SUM(I88:N88)</f>
        <v>1023.4438549068063</v>
      </c>
    </row>
    <row r="89" spans="6:23" x14ac:dyDescent="0.25">
      <c r="H89" s="47">
        <v>2021</v>
      </c>
      <c r="I89">
        <f t="shared" ref="I89:I110" si="49">I63*R63</f>
        <v>76.758467538972909</v>
      </c>
      <c r="J89">
        <f t="shared" ref="J89:J110" si="50">J63*S63</f>
        <v>730.72572928285172</v>
      </c>
      <c r="K89">
        <f t="shared" ref="K89:K110" si="51">K63*T63</f>
        <v>148.64204957188539</v>
      </c>
      <c r="L89">
        <f t="shared" ref="L89:L110" si="52">L63*U63</f>
        <v>33.475037966166646</v>
      </c>
      <c r="M89">
        <f t="shared" ref="M89:M110" si="53">M63*V63</f>
        <v>40.856579853611905</v>
      </c>
      <c r="N89" s="43">
        <f t="shared" ref="N89:N110" si="54">N63*W63</f>
        <v>5.4067100052378851</v>
      </c>
      <c r="O89" s="52">
        <f t="shared" ref="O89:O110" si="55">SUM(I89:N89)</f>
        <v>1035.8645742187266</v>
      </c>
    </row>
    <row r="90" spans="6:23" x14ac:dyDescent="0.25">
      <c r="H90" s="47">
        <v>2022</v>
      </c>
      <c r="I90">
        <f t="shared" si="49"/>
        <v>84.912827260618755</v>
      </c>
      <c r="J90">
        <f t="shared" si="50"/>
        <v>663.30410846016321</v>
      </c>
      <c r="K90">
        <f t="shared" si="51"/>
        <v>150.42436863330647</v>
      </c>
      <c r="L90">
        <f>L64*U64</f>
        <v>33.876426391721417</v>
      </c>
      <c r="M90">
        <f t="shared" si="53"/>
        <v>41.346477976433121</v>
      </c>
      <c r="N90" s="43">
        <f t="shared" si="54"/>
        <v>5.4715401278691749</v>
      </c>
      <c r="O90" s="52">
        <f t="shared" si="55"/>
        <v>979.33574885011217</v>
      </c>
    </row>
    <row r="91" spans="6:23" x14ac:dyDescent="0.25">
      <c r="H91" s="47">
        <v>2023</v>
      </c>
      <c r="I91">
        <f t="shared" si="49"/>
        <v>93.23861198674534</v>
      </c>
      <c r="J91">
        <f t="shared" si="50"/>
        <v>594.07715066943479</v>
      </c>
      <c r="K91">
        <f t="shared" si="51"/>
        <v>152.20668769472761</v>
      </c>
      <c r="L91">
        <f t="shared" si="52"/>
        <v>34.277814817276195</v>
      </c>
      <c r="M91">
        <f t="shared" si="53"/>
        <v>41.836376099254338</v>
      </c>
      <c r="N91" s="43">
        <f t="shared" si="54"/>
        <v>5.5363702505004646</v>
      </c>
      <c r="O91" s="52">
        <f t="shared" si="55"/>
        <v>921.17301151793879</v>
      </c>
    </row>
    <row r="92" spans="6:23" x14ac:dyDescent="0.25">
      <c r="H92" s="47">
        <v>2024</v>
      </c>
      <c r="I92">
        <f t="shared" si="49"/>
        <v>101.73582171735256</v>
      </c>
      <c r="J92">
        <f t="shared" si="50"/>
        <v>532.04356997757543</v>
      </c>
      <c r="K92">
        <f t="shared" si="51"/>
        <v>153.98900675614868</v>
      </c>
      <c r="L92">
        <f t="shared" si="52"/>
        <v>34.679203242830972</v>
      </c>
      <c r="M92">
        <f t="shared" si="53"/>
        <v>40.085176171516665</v>
      </c>
      <c r="N92" s="43">
        <f t="shared" si="54"/>
        <v>5.6012003731317535</v>
      </c>
      <c r="O92" s="52">
        <f t="shared" si="55"/>
        <v>868.1339782385561</v>
      </c>
    </row>
    <row r="93" spans="6:23" x14ac:dyDescent="0.25">
      <c r="H93" s="47">
        <v>2025</v>
      </c>
      <c r="I93">
        <f t="shared" si="49"/>
        <v>106.01993793482859</v>
      </c>
      <c r="J93">
        <f t="shared" si="50"/>
        <v>468.41296042937296</v>
      </c>
      <c r="K93">
        <f t="shared" si="51"/>
        <v>164.17685620865024</v>
      </c>
      <c r="L93">
        <f t="shared" si="52"/>
        <v>35.080591668385736</v>
      </c>
      <c r="M93">
        <f t="shared" si="53"/>
        <v>38.282097842090863</v>
      </c>
      <c r="N93" s="43">
        <f t="shared" si="54"/>
        <v>7.0372450061305001</v>
      </c>
      <c r="O93" s="52">
        <f t="shared" si="55"/>
        <v>819.00968908945879</v>
      </c>
    </row>
    <row r="94" spans="6:23" x14ac:dyDescent="0.25">
      <c r="H94" s="47">
        <v>2026</v>
      </c>
      <c r="I94">
        <f t="shared" si="49"/>
        <v>107.23300686956453</v>
      </c>
      <c r="J94">
        <f t="shared" si="50"/>
        <v>412.39234420343337</v>
      </c>
      <c r="K94">
        <f t="shared" si="51"/>
        <v>184.56982781596469</v>
      </c>
      <c r="L94">
        <f t="shared" si="52"/>
        <v>35.481980093940514</v>
      </c>
      <c r="M94">
        <f t="shared" si="53"/>
        <v>34.134164658729951</v>
      </c>
      <c r="N94" s="43">
        <f t="shared" si="54"/>
        <v>7.1177644203968073</v>
      </c>
      <c r="O94" s="52">
        <f t="shared" si="55"/>
        <v>780.92908806202979</v>
      </c>
    </row>
    <row r="95" spans="6:23" x14ac:dyDescent="0.25">
      <c r="H95" s="47">
        <v>2027</v>
      </c>
      <c r="I95">
        <f t="shared" si="49"/>
        <v>108.44607580430051</v>
      </c>
      <c r="J95">
        <f t="shared" si="50"/>
        <v>379.81281052472684</v>
      </c>
      <c r="K95">
        <f t="shared" si="51"/>
        <v>205.38168793489615</v>
      </c>
      <c r="L95">
        <f t="shared" si="52"/>
        <v>30.10211578751445</v>
      </c>
      <c r="M95">
        <f t="shared" si="53"/>
        <v>29.882474671992792</v>
      </c>
      <c r="N95" s="43">
        <f t="shared" si="54"/>
        <v>7.1982838346631146</v>
      </c>
      <c r="O95" s="52">
        <f t="shared" si="55"/>
        <v>760.8234485580939</v>
      </c>
    </row>
    <row r="96" spans="6:23" x14ac:dyDescent="0.25">
      <c r="H96" s="47">
        <v>2028</v>
      </c>
      <c r="I96">
        <f t="shared" si="49"/>
        <v>109.65914473903642</v>
      </c>
      <c r="J96">
        <f t="shared" si="50"/>
        <v>356.42642962537667</v>
      </c>
      <c r="K96">
        <f t="shared" si="51"/>
        <v>224.82731144679926</v>
      </c>
      <c r="L96">
        <f t="shared" si="52"/>
        <v>27.213567708787547</v>
      </c>
      <c r="M96">
        <f t="shared" si="53"/>
        <v>22.142933356680221</v>
      </c>
      <c r="N96" s="43">
        <f t="shared" si="54"/>
        <v>7.2788032489294219</v>
      </c>
      <c r="O96" s="52">
        <f t="shared" si="55"/>
        <v>747.54819012560961</v>
      </c>
    </row>
    <row r="97" spans="8:15" x14ac:dyDescent="0.25">
      <c r="H97" s="47">
        <v>2029</v>
      </c>
      <c r="I97">
        <f t="shared" si="49"/>
        <v>110.87221367377238</v>
      </c>
      <c r="J97">
        <f t="shared" si="50"/>
        <v>360.36928209177455</v>
      </c>
      <c r="K97">
        <f t="shared" si="51"/>
        <v>227.31439109569996</v>
      </c>
      <c r="L97">
        <f t="shared" si="52"/>
        <v>27.514609027953625</v>
      </c>
      <c r="M97">
        <f t="shared" si="53"/>
        <v>22.387882418090836</v>
      </c>
      <c r="N97" s="43">
        <f t="shared" si="54"/>
        <v>7.3593226631957291</v>
      </c>
      <c r="O97" s="52">
        <f t="shared" si="55"/>
        <v>755.81770097048707</v>
      </c>
    </row>
    <row r="98" spans="8:15" x14ac:dyDescent="0.25">
      <c r="H98" s="47">
        <v>2030</v>
      </c>
      <c r="I98">
        <f t="shared" si="49"/>
        <v>112.08528260850832</v>
      </c>
      <c r="J98">
        <f t="shared" si="50"/>
        <v>364.31213455817243</v>
      </c>
      <c r="K98">
        <f t="shared" si="51"/>
        <v>229.80147074460066</v>
      </c>
      <c r="L98">
        <f t="shared" si="52"/>
        <v>27.815650347119707</v>
      </c>
      <c r="M98">
        <f t="shared" si="53"/>
        <v>22.632831479501441</v>
      </c>
      <c r="N98" s="43">
        <f t="shared" si="54"/>
        <v>7.4398420774620355</v>
      </c>
      <c r="O98" s="52">
        <f t="shared" si="55"/>
        <v>764.08721181536453</v>
      </c>
    </row>
    <row r="99" spans="8:15" x14ac:dyDescent="0.25">
      <c r="H99" s="47">
        <v>2040</v>
      </c>
      <c r="I99">
        <f t="shared" si="49"/>
        <v>122.89297295946335</v>
      </c>
      <c r="J99">
        <f t="shared" si="50"/>
        <v>399.44049976159198</v>
      </c>
      <c r="K99">
        <f t="shared" si="51"/>
        <v>251.95980482916102</v>
      </c>
      <c r="L99">
        <f t="shared" si="52"/>
        <v>30.497741419790856</v>
      </c>
      <c r="M99">
        <f t="shared" si="53"/>
        <v>24.815175393913186</v>
      </c>
      <c r="N99" s="43">
        <f t="shared" si="54"/>
        <v>8.1572200200601088</v>
      </c>
      <c r="O99" s="52">
        <f t="shared" si="55"/>
        <v>837.76341438398049</v>
      </c>
    </row>
    <row r="100" spans="8:15" x14ac:dyDescent="0.25">
      <c r="H100" s="47">
        <v>2050</v>
      </c>
      <c r="I100">
        <f t="shared" si="49"/>
        <v>131.30475170994856</v>
      </c>
      <c r="J100">
        <f t="shared" si="50"/>
        <v>426.78140483584775</v>
      </c>
      <c r="K100">
        <f t="shared" si="51"/>
        <v>269.2059506518147</v>
      </c>
      <c r="L100">
        <f t="shared" si="52"/>
        <v>32.585250957845659</v>
      </c>
      <c r="M100">
        <f t="shared" si="53"/>
        <v>26.513724627781389</v>
      </c>
      <c r="N100" s="43">
        <f t="shared" si="54"/>
        <v>8.7155654516610515</v>
      </c>
      <c r="O100" s="52">
        <f t="shared" si="55"/>
        <v>895.10664823489901</v>
      </c>
    </row>
    <row r="101" spans="8:15" x14ac:dyDescent="0.25">
      <c r="H101" s="47">
        <v>2060</v>
      </c>
      <c r="I101">
        <f t="shared" si="49"/>
        <v>137.46315410995447</v>
      </c>
      <c r="J101">
        <f t="shared" si="50"/>
        <v>446.7981338086488</v>
      </c>
      <c r="K101">
        <f t="shared" si="51"/>
        <v>281.83213935405035</v>
      </c>
      <c r="L101">
        <f t="shared" si="52"/>
        <v>34.113551229467788</v>
      </c>
      <c r="M101">
        <f t="shared" si="53"/>
        <v>27.75726062518013</v>
      </c>
      <c r="N101" s="43">
        <f t="shared" si="54"/>
        <v>9.1243393802198867</v>
      </c>
      <c r="O101" s="52">
        <f t="shared" si="55"/>
        <v>937.08857850752156</v>
      </c>
    </row>
    <row r="102" spans="8:15" x14ac:dyDescent="0.25">
      <c r="H102" s="47">
        <v>2070</v>
      </c>
      <c r="I102">
        <f t="shared" si="49"/>
        <v>141.4459448330382</v>
      </c>
      <c r="J102">
        <f t="shared" si="50"/>
        <v>459.74344612849285</v>
      </c>
      <c r="K102">
        <f t="shared" si="51"/>
        <v>289.99780700043874</v>
      </c>
      <c r="L102">
        <f t="shared" si="52"/>
        <v>35.101940709164204</v>
      </c>
      <c r="M102">
        <f t="shared" si="53"/>
        <v>28.561486025302674</v>
      </c>
      <c r="N102" s="43">
        <f t="shared" si="54"/>
        <v>9.3887035618298853</v>
      </c>
      <c r="O102" s="52">
        <f t="shared" si="55"/>
        <v>964.23932825826648</v>
      </c>
    </row>
    <row r="103" spans="8:15" x14ac:dyDescent="0.25">
      <c r="H103" s="47">
        <v>2080</v>
      </c>
      <c r="I103">
        <f t="shared" si="49"/>
        <v>142.90668125895664</v>
      </c>
      <c r="J103">
        <f t="shared" si="50"/>
        <v>464.49129520348663</v>
      </c>
      <c r="K103">
        <f t="shared" si="51"/>
        <v>292.99266387400996</v>
      </c>
      <c r="L103">
        <f t="shared" si="52"/>
        <v>35.464444444954083</v>
      </c>
      <c r="M103">
        <f t="shared" si="53"/>
        <v>28.856445368709558</v>
      </c>
      <c r="N103" s="43">
        <f t="shared" si="54"/>
        <v>9.4856623067490382</v>
      </c>
      <c r="O103" s="52">
        <f t="shared" si="55"/>
        <v>974.19719245686599</v>
      </c>
    </row>
    <row r="104" spans="8:15" x14ac:dyDescent="0.25">
      <c r="H104" s="47">
        <v>2090</v>
      </c>
      <c r="I104">
        <f t="shared" si="49"/>
        <v>142.31874834139452</v>
      </c>
      <c r="J104">
        <f t="shared" si="50"/>
        <v>462.58032981008893</v>
      </c>
      <c r="K104">
        <f t="shared" si="51"/>
        <v>291.78726164803857</v>
      </c>
      <c r="L104">
        <f t="shared" si="52"/>
        <v>35.318540040005665</v>
      </c>
      <c r="M104">
        <f t="shared" si="53"/>
        <v>28.737726957739302</v>
      </c>
      <c r="N104" s="43">
        <f t="shared" si="54"/>
        <v>9.4466373075965482</v>
      </c>
      <c r="O104" s="52">
        <f t="shared" si="55"/>
        <v>970.18924410486352</v>
      </c>
    </row>
    <row r="105" spans="8:15" x14ac:dyDescent="0.25">
      <c r="H105" s="47">
        <v>2100</v>
      </c>
      <c r="I105">
        <f t="shared" si="49"/>
        <v>141.4199566387903</v>
      </c>
      <c r="J105">
        <f t="shared" si="50"/>
        <v>459.65897638992033</v>
      </c>
      <c r="K105">
        <f t="shared" si="51"/>
        <v>289.94452502513224</v>
      </c>
      <c r="L105">
        <f t="shared" si="52"/>
        <v>35.095491347503781</v>
      </c>
      <c r="M105">
        <f t="shared" si="53"/>
        <v>28.556238356677667</v>
      </c>
      <c r="N105" s="43">
        <f t="shared" si="54"/>
        <v>9.386978553366836</v>
      </c>
      <c r="O105" s="52">
        <f t="shared" si="55"/>
        <v>964.06216631139114</v>
      </c>
    </row>
    <row r="106" spans="8:15" x14ac:dyDescent="0.25">
      <c r="H106" s="47">
        <v>2110</v>
      </c>
      <c r="I106">
        <f t="shared" si="49"/>
        <v>140.7252722156253</v>
      </c>
      <c r="J106">
        <f t="shared" si="50"/>
        <v>457.40103530115567</v>
      </c>
      <c r="K106">
        <f t="shared" si="51"/>
        <v>288.52025683905589</v>
      </c>
      <c r="L106">
        <f t="shared" si="52"/>
        <v>34.923094949273342</v>
      </c>
      <c r="M106">
        <f t="shared" si="53"/>
        <v>28.41596413766317</v>
      </c>
      <c r="N106" s="43">
        <f t="shared" si="54"/>
        <v>9.3408677502199833</v>
      </c>
      <c r="O106" s="52">
        <f t="shared" si="55"/>
        <v>959.32649119299356</v>
      </c>
    </row>
    <row r="107" spans="8:15" x14ac:dyDescent="0.25">
      <c r="H107" s="47">
        <v>2120</v>
      </c>
      <c r="I107">
        <f t="shared" si="49"/>
        <v>140.23349561678046</v>
      </c>
      <c r="J107">
        <f t="shared" si="50"/>
        <v>455.80260794047632</v>
      </c>
      <c r="K107">
        <f t="shared" si="51"/>
        <v>287.51199792171838</v>
      </c>
      <c r="L107">
        <f t="shared" si="52"/>
        <v>34.801053182468486</v>
      </c>
      <c r="M107">
        <f t="shared" si="53"/>
        <v>28.316662100605427</v>
      </c>
      <c r="N107" s="43">
        <f t="shared" si="54"/>
        <v>9.3082252823807732</v>
      </c>
      <c r="O107" s="52">
        <f t="shared" si="55"/>
        <v>955.97404204442989</v>
      </c>
    </row>
    <row r="108" spans="8:15" x14ac:dyDescent="0.25">
      <c r="H108" s="47">
        <v>2130</v>
      </c>
      <c r="I108">
        <f t="shared" si="49"/>
        <v>140.1111511946288</v>
      </c>
      <c r="J108">
        <f t="shared" si="50"/>
        <v>455.40495040196578</v>
      </c>
      <c r="K108">
        <f t="shared" si="51"/>
        <v>287.26116277642956</v>
      </c>
      <c r="L108">
        <f t="shared" si="52"/>
        <v>34.770691572190209</v>
      </c>
      <c r="M108">
        <f t="shared" si="53"/>
        <v>28.291957691386184</v>
      </c>
      <c r="N108" s="43">
        <f t="shared" si="54"/>
        <v>9.3001044733085809</v>
      </c>
      <c r="O108" s="52">
        <f t="shared" si="55"/>
        <v>955.14001810990908</v>
      </c>
    </row>
    <row r="109" spans="8:15" x14ac:dyDescent="0.25">
      <c r="H109" s="47">
        <v>2140</v>
      </c>
      <c r="I109">
        <f t="shared" si="49"/>
        <v>143.03002522704091</v>
      </c>
      <c r="J109">
        <f t="shared" si="50"/>
        <v>464.89220157809604</v>
      </c>
      <c r="K109">
        <f t="shared" si="51"/>
        <v>293.24554832604139</v>
      </c>
      <c r="L109">
        <f t="shared" si="52"/>
        <v>35.49505410760392</v>
      </c>
      <c r="M109">
        <f t="shared" si="53"/>
        <v>28.881351611337461</v>
      </c>
      <c r="N109" s="43">
        <f t="shared" si="54"/>
        <v>9.4938494623005809</v>
      </c>
      <c r="O109" s="52">
        <f t="shared" si="55"/>
        <v>975.03803031242023</v>
      </c>
    </row>
    <row r="110" spans="8:15" ht="15.75" thickBot="1" x14ac:dyDescent="0.3">
      <c r="H110" s="48">
        <v>2150</v>
      </c>
      <c r="I110" s="7">
        <f t="shared" si="49"/>
        <v>146.06944449892592</v>
      </c>
      <c r="J110" s="7">
        <f t="shared" si="50"/>
        <v>474.77126238775861</v>
      </c>
      <c r="K110" s="7">
        <f t="shared" si="51"/>
        <v>299.47708026880542</v>
      </c>
      <c r="L110" s="7">
        <f t="shared" si="52"/>
        <v>36.249331759027115</v>
      </c>
      <c r="M110" s="7">
        <f t="shared" si="53"/>
        <v>29.495086640372403</v>
      </c>
      <c r="N110" s="17">
        <f t="shared" si="54"/>
        <v>9.6955958367019477</v>
      </c>
      <c r="O110" s="53">
        <f t="shared" si="55"/>
        <v>995.75780139159133</v>
      </c>
    </row>
    <row r="114" spans="8:14" x14ac:dyDescent="0.25">
      <c r="M114" t="s">
        <v>81</v>
      </c>
      <c r="N114" t="s">
        <v>79</v>
      </c>
    </row>
    <row r="115" spans="8:14" x14ac:dyDescent="0.25">
      <c r="I115" t="s">
        <v>80</v>
      </c>
      <c r="J115" t="s">
        <v>78</v>
      </c>
      <c r="L115">
        <v>2030</v>
      </c>
      <c r="M115" s="37">
        <f>O98</f>
        <v>764.08721181536453</v>
      </c>
      <c r="N115" s="37">
        <f>O72</f>
        <v>1147.651048026006</v>
      </c>
    </row>
    <row r="116" spans="8:14" x14ac:dyDescent="0.25">
      <c r="H116">
        <v>2020</v>
      </c>
      <c r="I116" s="37">
        <f>O88</f>
        <v>1023.4438549068063</v>
      </c>
      <c r="J116" s="37">
        <f>O62</f>
        <v>1023.4438549068063</v>
      </c>
      <c r="L116">
        <v>2040</v>
      </c>
      <c r="M116" s="37">
        <f t="shared" ref="M116:M127" si="56">O99</f>
        <v>837.76341438398049</v>
      </c>
      <c r="N116" s="37">
        <f t="shared" ref="N116:N127" si="57">O73</f>
        <v>1258.3119382816596</v>
      </c>
    </row>
    <row r="117" spans="8:14" x14ac:dyDescent="0.25">
      <c r="H117">
        <v>2021</v>
      </c>
      <c r="I117" s="37">
        <f t="shared" ref="I117:I126" si="58">O89</f>
        <v>1035.8645742187266</v>
      </c>
      <c r="J117" s="37">
        <f t="shared" ref="J117:J126" si="59">O63</f>
        <v>1035.8645742187266</v>
      </c>
      <c r="L117">
        <v>2050</v>
      </c>
      <c r="M117" s="37">
        <f t="shared" si="56"/>
        <v>895.10664823489901</v>
      </c>
      <c r="N117" s="37">
        <f t="shared" si="57"/>
        <v>1344.440879335197</v>
      </c>
    </row>
    <row r="118" spans="8:14" x14ac:dyDescent="0.25">
      <c r="H118">
        <v>2022</v>
      </c>
      <c r="I118" s="37">
        <f t="shared" si="58"/>
        <v>979.33574885011217</v>
      </c>
      <c r="J118" s="37">
        <f t="shared" si="59"/>
        <v>1048.2852935306464</v>
      </c>
      <c r="L118">
        <v>2060</v>
      </c>
      <c r="M118" s="37">
        <f t="shared" si="56"/>
        <v>937.08857850752156</v>
      </c>
      <c r="N118" s="37">
        <f t="shared" si="57"/>
        <v>1407.4973021237151</v>
      </c>
    </row>
    <row r="119" spans="8:14" x14ac:dyDescent="0.25">
      <c r="H119">
        <v>2023</v>
      </c>
      <c r="I119" s="37">
        <f t="shared" si="58"/>
        <v>921.17301151793879</v>
      </c>
      <c r="J119" s="37">
        <f t="shared" si="59"/>
        <v>1060.7060128425665</v>
      </c>
      <c r="L119">
        <v>2070</v>
      </c>
      <c r="M119" s="37">
        <f t="shared" si="56"/>
        <v>964.23932825826648</v>
      </c>
      <c r="N119" s="37">
        <f t="shared" si="57"/>
        <v>1448.2774459663317</v>
      </c>
    </row>
    <row r="120" spans="8:14" x14ac:dyDescent="0.25">
      <c r="H120">
        <v>2024</v>
      </c>
      <c r="I120" s="37">
        <f t="shared" si="58"/>
        <v>868.1339782385561</v>
      </c>
      <c r="J120" s="37">
        <f t="shared" si="59"/>
        <v>1073.1267321544865</v>
      </c>
      <c r="L120">
        <v>2080</v>
      </c>
      <c r="M120" s="37">
        <f t="shared" si="56"/>
        <v>974.19719245686599</v>
      </c>
      <c r="N120" s="37">
        <f t="shared" si="57"/>
        <v>1463.2340544619401</v>
      </c>
    </row>
    <row r="121" spans="8:14" x14ac:dyDescent="0.25">
      <c r="H121">
        <v>2025</v>
      </c>
      <c r="I121" s="37">
        <f t="shared" si="58"/>
        <v>819.00968908945879</v>
      </c>
      <c r="J121" s="37">
        <f t="shared" si="59"/>
        <v>1085.5474514664065</v>
      </c>
      <c r="L121">
        <v>2090</v>
      </c>
      <c r="M121" s="37">
        <f t="shared" si="56"/>
        <v>970.18924410486352</v>
      </c>
      <c r="N121" s="37">
        <f t="shared" si="57"/>
        <v>1457.2141577073778</v>
      </c>
    </row>
    <row r="122" spans="8:14" x14ac:dyDescent="0.25">
      <c r="H122">
        <v>2026</v>
      </c>
      <c r="I122" s="37">
        <f t="shared" si="58"/>
        <v>780.92908806202979</v>
      </c>
      <c r="J122" s="37">
        <f t="shared" si="59"/>
        <v>1097.9681707783263</v>
      </c>
      <c r="L122">
        <v>2100</v>
      </c>
      <c r="M122" s="37">
        <f t="shared" si="56"/>
        <v>964.06216631139114</v>
      </c>
      <c r="N122" s="37">
        <f t="shared" si="57"/>
        <v>1448.0113505640559</v>
      </c>
    </row>
    <row r="123" spans="8:14" x14ac:dyDescent="0.25">
      <c r="H123">
        <v>2027</v>
      </c>
      <c r="I123" s="37">
        <f t="shared" si="58"/>
        <v>760.8234485580939</v>
      </c>
      <c r="J123" s="37">
        <f t="shared" si="59"/>
        <v>1110.3888900902462</v>
      </c>
      <c r="L123">
        <v>2110</v>
      </c>
      <c r="M123" s="37">
        <f t="shared" si="56"/>
        <v>959.32649119299356</v>
      </c>
      <c r="N123" s="37">
        <f t="shared" si="57"/>
        <v>1440.8984157724535</v>
      </c>
    </row>
    <row r="124" spans="8:14" x14ac:dyDescent="0.25">
      <c r="H124">
        <v>2028</v>
      </c>
      <c r="I124" s="37">
        <f t="shared" si="58"/>
        <v>747.54819012560961</v>
      </c>
      <c r="J124" s="37">
        <f t="shared" si="59"/>
        <v>1122.8096094021662</v>
      </c>
      <c r="L124">
        <v>2120</v>
      </c>
      <c r="M124" s="37">
        <f t="shared" si="56"/>
        <v>955.97404204442989</v>
      </c>
      <c r="N124" s="37">
        <f t="shared" si="57"/>
        <v>1435.8630720063122</v>
      </c>
    </row>
    <row r="125" spans="8:14" x14ac:dyDescent="0.25">
      <c r="H125">
        <v>2029</v>
      </c>
      <c r="I125" s="37">
        <f t="shared" si="58"/>
        <v>755.81770097048707</v>
      </c>
      <c r="J125" s="37">
        <f t="shared" si="59"/>
        <v>1135.2303287140862</v>
      </c>
      <c r="L125">
        <v>2130</v>
      </c>
      <c r="M125" s="37">
        <f t="shared" si="56"/>
        <v>955.14001810990908</v>
      </c>
      <c r="N125" s="37">
        <f t="shared" si="57"/>
        <v>1434.6103767279062</v>
      </c>
    </row>
    <row r="126" spans="8:14" x14ac:dyDescent="0.25">
      <c r="H126">
        <v>2030</v>
      </c>
      <c r="I126" s="37">
        <f t="shared" si="58"/>
        <v>764.08721181536453</v>
      </c>
      <c r="J126" s="37">
        <f t="shared" si="59"/>
        <v>1147.651048026006</v>
      </c>
      <c r="L126">
        <v>2140</v>
      </c>
      <c r="M126" s="37">
        <f t="shared" si="56"/>
        <v>975.03803031242023</v>
      </c>
      <c r="N126" s="37">
        <f t="shared" si="57"/>
        <v>1464.4969841788948</v>
      </c>
    </row>
    <row r="127" spans="8:14" x14ac:dyDescent="0.25">
      <c r="L127">
        <v>2150</v>
      </c>
      <c r="M127" s="37">
        <f t="shared" si="56"/>
        <v>995.75780139159133</v>
      </c>
      <c r="N127" s="37">
        <f t="shared" si="57"/>
        <v>1495.617864918901</v>
      </c>
    </row>
    <row r="134" spans="8:13" x14ac:dyDescent="0.25">
      <c r="I134" t="s">
        <v>100</v>
      </c>
      <c r="J134" t="s">
        <v>101</v>
      </c>
      <c r="K134" t="s">
        <v>102</v>
      </c>
      <c r="L134" t="s">
        <v>103</v>
      </c>
      <c r="M134" t="s">
        <v>104</v>
      </c>
    </row>
    <row r="135" spans="8:13" x14ac:dyDescent="0.25">
      <c r="H135">
        <v>2020</v>
      </c>
      <c r="I135">
        <v>1023.4438549068062</v>
      </c>
      <c r="J135">
        <v>1023.4438549068063</v>
      </c>
      <c r="K135">
        <v>1023.4438549068063</v>
      </c>
      <c r="L135">
        <v>1023.4438549068063</v>
      </c>
      <c r="M135">
        <v>1023.4438549068063</v>
      </c>
    </row>
    <row r="136" spans="8:13" x14ac:dyDescent="0.25">
      <c r="H136">
        <v>2021</v>
      </c>
      <c r="I136">
        <v>1037.2043645691847</v>
      </c>
      <c r="J136">
        <v>1038.2461280690945</v>
      </c>
      <c r="K136">
        <v>1039.1615985973087</v>
      </c>
      <c r="L136">
        <v>1036.5022820847189</v>
      </c>
      <c r="M136">
        <v>1035.8645742187266</v>
      </c>
    </row>
    <row r="137" spans="8:13" x14ac:dyDescent="0.25">
      <c r="H137">
        <v>2022</v>
      </c>
      <c r="I137">
        <v>981.8390837614495</v>
      </c>
      <c r="J137">
        <v>983.7855695961839</v>
      </c>
      <c r="K137">
        <v>985.49608298568137</v>
      </c>
      <c r="L137">
        <v>980.52727584060517</v>
      </c>
      <c r="M137">
        <v>979.33574885011217</v>
      </c>
    </row>
    <row r="138" spans="8:13" x14ac:dyDescent="0.25">
      <c r="H138">
        <v>2023</v>
      </c>
      <c r="I138">
        <v>924.66364520057539</v>
      </c>
      <c r="J138">
        <v>927.37781220504871</v>
      </c>
      <c r="K138">
        <v>929.76294078889907</v>
      </c>
      <c r="L138">
        <v>922.83446889144</v>
      </c>
      <c r="M138">
        <v>921.17301151793879</v>
      </c>
    </row>
    <row r="139" spans="8:13" x14ac:dyDescent="0.25">
      <c r="H139">
        <v>2024</v>
      </c>
      <c r="I139">
        <v>872.4694122263536</v>
      </c>
      <c r="J139">
        <v>875.84045970643854</v>
      </c>
      <c r="K139">
        <v>878.80283515681265</v>
      </c>
      <c r="L139">
        <v>870.19754016491504</v>
      </c>
      <c r="M139">
        <v>868.1339782385561</v>
      </c>
    </row>
    <row r="140" spans="8:13" x14ac:dyDescent="0.25">
      <c r="H140">
        <v>2025</v>
      </c>
      <c r="I140">
        <v>824.06382687446205</v>
      </c>
      <c r="J140">
        <v>827.99370759507531</v>
      </c>
      <c r="K140">
        <v>831.4471689415617</v>
      </c>
      <c r="L140">
        <v>821.4153366746973</v>
      </c>
      <c r="M140">
        <v>819.00968908945879</v>
      </c>
    </row>
    <row r="141" spans="8:13" x14ac:dyDescent="0.25">
      <c r="H141">
        <v>2026</v>
      </c>
      <c r="I141">
        <v>786.64663772015615</v>
      </c>
      <c r="J141">
        <v>791.09235905313835</v>
      </c>
      <c r="K141">
        <v>794.99912566317107</v>
      </c>
      <c r="L141">
        <v>783.65050368496043</v>
      </c>
      <c r="M141">
        <v>780.92908806202979</v>
      </c>
    </row>
    <row r="142" spans="8:13" x14ac:dyDescent="0.25">
      <c r="H142">
        <v>2027</v>
      </c>
      <c r="I142">
        <v>767.24949214259414</v>
      </c>
      <c r="J142">
        <v>772.24610795854642</v>
      </c>
      <c r="K142">
        <v>776.63698412257929</v>
      </c>
      <c r="L142">
        <v>763.88209018784096</v>
      </c>
      <c r="M142">
        <v>760.8234485580939</v>
      </c>
    </row>
    <row r="143" spans="8:13" x14ac:dyDescent="0.25">
      <c r="H143">
        <v>2028</v>
      </c>
      <c r="I143">
        <v>754.6842733457471</v>
      </c>
      <c r="J143">
        <v>760.23298552188203</v>
      </c>
      <c r="K143">
        <v>765.10902741357324</v>
      </c>
      <c r="L143">
        <v>750.94479348247114</v>
      </c>
      <c r="M143">
        <v>747.54819012560961</v>
      </c>
    </row>
    <row r="144" spans="8:13" x14ac:dyDescent="0.25">
      <c r="H144">
        <v>2029</v>
      </c>
      <c r="I144">
        <v>763.84579459314182</v>
      </c>
      <c r="J144">
        <v>770.08809579129354</v>
      </c>
      <c r="K144">
        <v>775.57364291944634</v>
      </c>
      <c r="L144">
        <v>759.63887974695649</v>
      </c>
      <c r="M144">
        <v>755.81770097048707</v>
      </c>
    </row>
    <row r="145" spans="8:13" x14ac:dyDescent="0.25">
      <c r="H145">
        <v>2030</v>
      </c>
      <c r="I145">
        <v>773.00731584053665</v>
      </c>
      <c r="J145">
        <v>779.94320606070528</v>
      </c>
      <c r="K145">
        <v>786.03825842531933</v>
      </c>
      <c r="L145">
        <v>768.33296601144184</v>
      </c>
      <c r="M145">
        <v>764.08721181536453</v>
      </c>
    </row>
    <row r="150" spans="8:13" x14ac:dyDescent="0.25">
      <c r="I150" t="s">
        <v>100</v>
      </c>
      <c r="J150" t="s">
        <v>101</v>
      </c>
      <c r="K150" t="s">
        <v>102</v>
      </c>
      <c r="L150" t="s">
        <v>103</v>
      </c>
      <c r="M150" t="s">
        <v>104</v>
      </c>
    </row>
    <row r="151" spans="8:13" x14ac:dyDescent="0.25">
      <c r="H151">
        <v>2030</v>
      </c>
      <c r="I151">
        <v>773.00731584053665</v>
      </c>
      <c r="J151">
        <v>779.94320606070528</v>
      </c>
      <c r="K151">
        <v>786.03825842531933</v>
      </c>
      <c r="L151">
        <v>768.33296601144184</v>
      </c>
      <c r="M151">
        <v>764.08721181536453</v>
      </c>
    </row>
    <row r="152" spans="8:13" x14ac:dyDescent="0.25">
      <c r="H152">
        <v>2040</v>
      </c>
      <c r="I152">
        <v>867.70514619011522</v>
      </c>
      <c r="J152">
        <v>889.74545516561091</v>
      </c>
      <c r="K152">
        <v>913.58736486240775</v>
      </c>
      <c r="L152">
        <v>851.09416949424451</v>
      </c>
      <c r="M152">
        <v>837.76341438398049</v>
      </c>
    </row>
    <row r="153" spans="8:13" x14ac:dyDescent="0.25">
      <c r="H153">
        <v>2050</v>
      </c>
      <c r="I153">
        <v>960.3553932690769</v>
      </c>
      <c r="J153">
        <v>1008.626572655773</v>
      </c>
      <c r="K153">
        <v>1067.2215238005758</v>
      </c>
      <c r="L153">
        <v>921.90375548399697</v>
      </c>
      <c r="M153">
        <v>895.10664823489901</v>
      </c>
    </row>
    <row r="154" spans="8:13" x14ac:dyDescent="0.25">
      <c r="H154">
        <v>2060</v>
      </c>
      <c r="I154">
        <v>1054.0774701266344</v>
      </c>
      <c r="J154">
        <v>1144.6188086456764</v>
      </c>
      <c r="K154">
        <v>1260.5985585597034</v>
      </c>
      <c r="L154">
        <v>980.82918179893272</v>
      </c>
      <c r="M154">
        <v>937.08857850752156</v>
      </c>
    </row>
    <row r="155" spans="8:13" x14ac:dyDescent="0.25">
      <c r="H155">
        <v>2070</v>
      </c>
      <c r="I155">
        <v>1150.1483055644965</v>
      </c>
      <c r="J155">
        <v>1302.5573215008112</v>
      </c>
      <c r="K155">
        <v>1506.7589512140207</v>
      </c>
      <c r="L155">
        <v>1025.6947634530025</v>
      </c>
      <c r="M155">
        <v>964.23932825826648</v>
      </c>
    </row>
    <row r="156" spans="8:13" x14ac:dyDescent="0.25">
      <c r="H156">
        <v>2080</v>
      </c>
      <c r="I156">
        <v>1248.4111793988886</v>
      </c>
      <c r="J156">
        <v>1483.8076209963242</v>
      </c>
      <c r="K156">
        <v>1815.464325036357</v>
      </c>
      <c r="L156">
        <v>1052.9238732956346</v>
      </c>
      <c r="M156">
        <v>974.19719245686599</v>
      </c>
    </row>
    <row r="157" spans="8:13" x14ac:dyDescent="0.25">
      <c r="H157">
        <v>2090</v>
      </c>
      <c r="I157">
        <v>1351.8103869084584</v>
      </c>
      <c r="J157">
        <v>1690.2012891060638</v>
      </c>
      <c r="K157">
        <v>2187.4389998325914</v>
      </c>
      <c r="L157">
        <v>1066.0624758327494</v>
      </c>
      <c r="M157">
        <v>970.18924410486352</v>
      </c>
    </row>
    <row r="158" spans="8:13" x14ac:dyDescent="0.25">
      <c r="H158">
        <v>2100</v>
      </c>
      <c r="I158">
        <v>1465.8931412067132</v>
      </c>
      <c r="J158">
        <v>1922.0912869395743</v>
      </c>
      <c r="K158">
        <v>2613.2920296341254</v>
      </c>
      <c r="L158">
        <v>1075.8213735371655</v>
      </c>
      <c r="M158">
        <v>964.06216631139114</v>
      </c>
    </row>
    <row r="159" spans="8:13" x14ac:dyDescent="0.25">
      <c r="H159">
        <v>2110</v>
      </c>
      <c r="I159">
        <v>1593.7475113061096</v>
      </c>
      <c r="J159">
        <v>2180.2571270631079</v>
      </c>
      <c r="K159">
        <v>3089.4631407008683</v>
      </c>
      <c r="L159">
        <v>1087.1904007818373</v>
      </c>
      <c r="M159">
        <v>959.32649119299356</v>
      </c>
    </row>
    <row r="160" spans="8:13" x14ac:dyDescent="0.25">
      <c r="H160">
        <v>2120</v>
      </c>
      <c r="I160">
        <v>1735.3728158145452</v>
      </c>
      <c r="J160">
        <v>2464.6988094766634</v>
      </c>
      <c r="K160">
        <v>3615.9523330328202</v>
      </c>
      <c r="L160">
        <v>1100.1675133904537</v>
      </c>
      <c r="M160">
        <v>955.97404204442989</v>
      </c>
    </row>
    <row r="161" spans="8:13" x14ac:dyDescent="0.25">
      <c r="H161">
        <v>2130</v>
      </c>
      <c r="I161">
        <v>1891.335291569917</v>
      </c>
      <c r="J161">
        <v>2775.7951881897134</v>
      </c>
      <c r="K161">
        <v>4192.9483522426144</v>
      </c>
      <c r="L161">
        <v>1115.5083752056494</v>
      </c>
      <c r="M161">
        <v>955.14001810990908</v>
      </c>
    </row>
    <row r="162" spans="8:13" x14ac:dyDescent="0.25">
      <c r="H162">
        <v>2140</v>
      </c>
      <c r="I162">
        <v>2070.7410626416163</v>
      </c>
      <c r="J162">
        <v>3119.6133784906328</v>
      </c>
      <c r="K162">
        <v>4823.4827117981276</v>
      </c>
      <c r="L162">
        <v>1145.355393509416</v>
      </c>
      <c r="M162">
        <v>975.03803031242023</v>
      </c>
    </row>
    <row r="163" spans="8:13" x14ac:dyDescent="0.25">
      <c r="H163">
        <v>2150</v>
      </c>
      <c r="I163">
        <v>2263.6363531836637</v>
      </c>
      <c r="J163">
        <v>3489.5207096452532</v>
      </c>
      <c r="K163">
        <v>5504.2431646848954</v>
      </c>
      <c r="L163">
        <v>1176.4350501281729</v>
      </c>
      <c r="M163">
        <v>995.75780139159133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8B42-0091-40D6-A1AA-79FE01E44139}">
  <dimension ref="A1:I7"/>
  <sheetViews>
    <sheetView zoomScale="85" zoomScaleNormal="85" workbookViewId="0">
      <selection activeCell="A6" sqref="A6"/>
    </sheetView>
  </sheetViews>
  <sheetFormatPr defaultRowHeight="15" x14ac:dyDescent="0.25"/>
  <cols>
    <col min="1" max="1" width="25.5703125" bestFit="1" customWidth="1"/>
    <col min="2" max="8" width="9.28515625" bestFit="1" customWidth="1"/>
    <col min="9" max="9" width="13.7109375" bestFit="1" customWidth="1"/>
  </cols>
  <sheetData>
    <row r="1" spans="1:9" ht="15.75" thickBot="1" x14ac:dyDescent="0.3">
      <c r="A1" s="57"/>
      <c r="B1" s="50" t="s">
        <v>56</v>
      </c>
      <c r="C1" s="50" t="s">
        <v>57</v>
      </c>
      <c r="D1" s="50" t="s">
        <v>58</v>
      </c>
      <c r="E1" s="50" t="s">
        <v>59</v>
      </c>
      <c r="F1" s="50" t="s">
        <v>60</v>
      </c>
      <c r="G1" s="50" t="s">
        <v>61</v>
      </c>
      <c r="H1" s="51" t="s">
        <v>62</v>
      </c>
    </row>
    <row r="2" spans="1:9" x14ac:dyDescent="0.25">
      <c r="A2" s="42" t="s">
        <v>69</v>
      </c>
      <c r="B2" s="37">
        <v>129.69389219999999</v>
      </c>
      <c r="C2" s="37">
        <v>129.69389219999999</v>
      </c>
      <c r="D2" s="37">
        <v>129.69389219999999</v>
      </c>
      <c r="E2" s="37">
        <v>129.69389219999999</v>
      </c>
      <c r="F2" s="37">
        <v>129.69389219999999</v>
      </c>
      <c r="G2" s="37">
        <v>129.69389219999999</v>
      </c>
      <c r="H2" s="44">
        <v>129.69389219999999</v>
      </c>
      <c r="I2" s="31"/>
    </row>
    <row r="3" spans="1:9" x14ac:dyDescent="0.25">
      <c r="A3" s="42" t="s">
        <v>66</v>
      </c>
      <c r="B3" s="37">
        <f>Sheet1!B43/1000000</f>
        <v>5.1299588571428573E-6</v>
      </c>
      <c r="C3" s="37">
        <f>Sheet1!C43/1000000</f>
        <v>5.1299588571428573E-6</v>
      </c>
      <c r="D3" s="37">
        <f>Sheet1!D43/1000000</f>
        <v>5.1299588571428573E-6</v>
      </c>
      <c r="E3" s="37">
        <f>Sheet1!E43/1000000</f>
        <v>5.1299588571428573E-6</v>
      </c>
      <c r="F3" s="37">
        <f>Sheet1!F43/1000000</f>
        <v>5.1299588571428573E-6</v>
      </c>
      <c r="G3" s="37">
        <f>Sheet1!G43/1000000</f>
        <v>5.1299588571428573E-6</v>
      </c>
      <c r="H3" s="44">
        <f>Sheet1!H43/1000000</f>
        <v>5.1299588571428573E-6</v>
      </c>
    </row>
    <row r="4" spans="1:9" x14ac:dyDescent="0.25">
      <c r="A4" s="42" t="s">
        <v>67</v>
      </c>
      <c r="B4" s="37">
        <f>Sheet1!B44/1000000</f>
        <v>1.0006893000000003E-4</v>
      </c>
      <c r="C4" s="37">
        <f>Sheet1!C44/1000000</f>
        <v>1.0006893000000003E-4</v>
      </c>
      <c r="D4" s="37">
        <f>Sheet1!D44/1000000</f>
        <v>9.6173460000000034E-5</v>
      </c>
      <c r="E4" s="37">
        <f>Sheet1!E44/1000000</f>
        <v>9.6173460000000034E-5</v>
      </c>
      <c r="F4" s="37">
        <f>Sheet1!F44/1000000</f>
        <v>9.2277990000000026E-5</v>
      </c>
      <c r="G4" s="37">
        <f>Sheet1!G44/1000000</f>
        <v>8.0471406000000013E-5</v>
      </c>
      <c r="H4" s="44">
        <f>Sheet1!H44/1000000</f>
        <v>7.0707247143900003E-5</v>
      </c>
    </row>
    <row r="5" spans="1:9" x14ac:dyDescent="0.25">
      <c r="A5" s="42" t="s">
        <v>65</v>
      </c>
      <c r="B5" s="37">
        <f>Sheet1!B46/1000000</f>
        <v>1.0667599250290524E-5</v>
      </c>
      <c r="C5" s="37">
        <f>Sheet1!C46/1000000</f>
        <v>1.0663681941355096E-5</v>
      </c>
      <c r="D5" s="37">
        <f>Sheet1!D46/1000000</f>
        <v>1.0270883263568813E-5</v>
      </c>
      <c r="E5" s="37">
        <f>Sheet1!E46/1000000</f>
        <v>1.0268348300823598E-5</v>
      </c>
      <c r="F5" s="37">
        <f>Sheet1!F46/1000000</f>
        <v>9.87844338482217E-6</v>
      </c>
      <c r="G5" s="37">
        <f>Sheet1!G46/1000000</f>
        <v>8.6991986986470262E-6</v>
      </c>
      <c r="H5" s="44">
        <f>Sheet1!H46/1000000</f>
        <v>7.7245222297568794E-6</v>
      </c>
    </row>
    <row r="6" spans="1:9" ht="15.75" thickBot="1" x14ac:dyDescent="0.3">
      <c r="A6" s="58" t="s">
        <v>68</v>
      </c>
      <c r="B6" s="41">
        <f>B2-SUM(B3:B5)</f>
        <v>129.69377633351189</v>
      </c>
      <c r="C6" s="41">
        <f t="shared" ref="C6:H6" si="0">C2-SUM(C3:C5)</f>
        <v>129.6937763374292</v>
      </c>
      <c r="D6" s="41">
        <f t="shared" si="0"/>
        <v>129.69378062569788</v>
      </c>
      <c r="E6" s="41">
        <f t="shared" si="0"/>
        <v>129.69378062823284</v>
      </c>
      <c r="F6" s="41">
        <f t="shared" si="0"/>
        <v>129.69378491360774</v>
      </c>
      <c r="G6" s="41">
        <f t="shared" si="0"/>
        <v>129.69379789943645</v>
      </c>
      <c r="H6" s="59">
        <f t="shared" si="0"/>
        <v>129.69380863827178</v>
      </c>
    </row>
    <row r="7" spans="1:9" ht="15.75" thickBot="1" x14ac:dyDescent="0.3">
      <c r="A7" s="16" t="s">
        <v>111</v>
      </c>
      <c r="B7" s="29">
        <f>_xlfn.NORM.DIST(B2,SUM(B3:B5),10,TRUE)</f>
        <v>1</v>
      </c>
      <c r="C7" s="29">
        <f t="shared" ref="C7:H7" si="1">_xlfn.NORM.DIST(C2,SUM(C3:C5),10,TRUE)</f>
        <v>1</v>
      </c>
      <c r="D7" s="29">
        <f t="shared" si="1"/>
        <v>1</v>
      </c>
      <c r="E7" s="29">
        <f t="shared" si="1"/>
        <v>1</v>
      </c>
      <c r="F7" s="29">
        <f t="shared" si="1"/>
        <v>1</v>
      </c>
      <c r="G7" s="29">
        <f t="shared" si="1"/>
        <v>1</v>
      </c>
      <c r="H7" s="30">
        <f t="shared" si="1"/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2023-03-21T05:37:16Z</dcterms:created>
  <dcterms:modified xsi:type="dcterms:W3CDTF">2023-03-24T14:23:14Z</dcterms:modified>
</cp:coreProperties>
</file>