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drawings/drawing5.xml" ContentType="application/vnd.openxmlformats-officedocument.drawingml.chartshapes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4.xml" ContentType="application/vnd.openxmlformats-officedocument.drawingml.chartshapes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chart12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1.xml" ContentType="application/vnd.openxmlformats-officedocument.drawingml.chartshapes+xml"/>
  <Override PartName="/xl/charts/style1.xml" ContentType="application/vnd.ms-office.chartstyle+xml"/>
  <Override PartName="/xl/charts/style2.xml" ContentType="application/vnd.ms-office.chartstyle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9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4.xml" ContentType="application/vnd.openxmlformats-officedocument.drawingml.chart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harts/colors1.xml" ContentType="application/vnd.ms-office.chartcolorstyl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10.xml" ContentType="application/vnd.openxmlformats-officedocument.drawingml.chartshapes+xml"/>
  <Override PartName="/xl/drawings/drawing13.xml" ContentType="application/vnd.openxmlformats-officedocument.drawingml.chartshapes+xml"/>
  <Override PartName="/xl/drawings/drawing12.xml" ContentType="application/vnd.openxmlformats-officedocument.drawingml.chartshapes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310391_ad_unsw_edu_au/Documents/ACTL4001 Group Project/Final Work/"/>
    </mc:Choice>
  </mc:AlternateContent>
  <xr:revisionPtr revIDLastSave="136" documentId="13_ncr:1_{1B320872-5219-434E-AE96-7855DD90CD03}" xr6:coauthVersionLast="47" xr6:coauthVersionMax="47" xr10:uidLastSave="{63E802CF-94E4-4D21-9B72-0F22C7D0889C}"/>
  <bookViews>
    <workbookView xWindow="-80" yWindow="-80" windowWidth="22720" windowHeight="14480" xr2:uid="{00000000-000D-0000-FFFF-FFFF00000000}"/>
  </bookViews>
  <sheets>
    <sheet name="T20" sheetId="1" r:id="rId1"/>
    <sheet name="SPWL" sheetId="2" r:id="rId2"/>
    <sheet name="Table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G4" i="1"/>
  <c r="AF4" i="1"/>
  <c r="AE4" i="1"/>
  <c r="AC4" i="1"/>
  <c r="Y4" i="1"/>
  <c r="X4" i="1"/>
  <c r="T4" i="2"/>
  <c r="U4" i="2"/>
  <c r="V4" i="2"/>
  <c r="W4" i="2"/>
  <c r="X4" i="2"/>
  <c r="Y4" i="2"/>
  <c r="Z4" i="2"/>
  <c r="AA4" i="2"/>
  <c r="T6" i="2"/>
  <c r="U6" i="2"/>
  <c r="V6" i="2"/>
  <c r="W6" i="2"/>
  <c r="X6" i="2"/>
  <c r="Y6" i="2"/>
  <c r="Z6" i="2"/>
  <c r="AA6" i="2"/>
  <c r="T7" i="2"/>
  <c r="U7" i="2"/>
  <c r="V7" i="2"/>
  <c r="W7" i="2"/>
  <c r="X7" i="2"/>
  <c r="Y7" i="2"/>
  <c r="Z7" i="2"/>
  <c r="AA7" i="2"/>
  <c r="T8" i="2"/>
  <c r="U8" i="2"/>
  <c r="V8" i="2"/>
  <c r="W8" i="2"/>
  <c r="X8" i="2"/>
  <c r="Y8" i="2"/>
  <c r="Z8" i="2"/>
  <c r="AA8" i="2"/>
  <c r="T9" i="2"/>
  <c r="U9" i="2"/>
  <c r="V9" i="2"/>
  <c r="W9" i="2"/>
  <c r="X9" i="2"/>
  <c r="Y9" i="2"/>
  <c r="Z9" i="2"/>
  <c r="AA9" i="2"/>
  <c r="T10" i="2"/>
  <c r="U10" i="2"/>
  <c r="V10" i="2"/>
  <c r="W10" i="2"/>
  <c r="X10" i="2"/>
  <c r="Y10" i="2"/>
  <c r="Z10" i="2"/>
  <c r="AA10" i="2"/>
  <c r="T11" i="2"/>
  <c r="U11" i="2"/>
  <c r="V11" i="2"/>
  <c r="W11" i="2"/>
  <c r="X11" i="2"/>
  <c r="Y11" i="2"/>
  <c r="Z11" i="2"/>
  <c r="AA11" i="2"/>
  <c r="T12" i="2"/>
  <c r="U12" i="2"/>
  <c r="V12" i="2"/>
  <c r="W12" i="2"/>
  <c r="X12" i="2"/>
  <c r="Y12" i="2"/>
  <c r="Z12" i="2"/>
  <c r="AA12" i="2"/>
  <c r="T13" i="2"/>
  <c r="U13" i="2"/>
  <c r="V13" i="2"/>
  <c r="W13" i="2"/>
  <c r="X13" i="2"/>
  <c r="Y13" i="2"/>
  <c r="Z13" i="2"/>
  <c r="AA13" i="2"/>
  <c r="T14" i="2"/>
  <c r="U14" i="2"/>
  <c r="V14" i="2"/>
  <c r="W14" i="2"/>
  <c r="X14" i="2"/>
  <c r="Y14" i="2"/>
  <c r="Z14" i="2"/>
  <c r="AA14" i="2"/>
  <c r="T15" i="2"/>
  <c r="U15" i="2"/>
  <c r="V15" i="2"/>
  <c r="W15" i="2"/>
  <c r="X15" i="2"/>
  <c r="Y15" i="2"/>
  <c r="Z15" i="2"/>
  <c r="AA15" i="2"/>
  <c r="T16" i="2"/>
  <c r="U16" i="2"/>
  <c r="V16" i="2"/>
  <c r="W16" i="2"/>
  <c r="X16" i="2"/>
  <c r="Y16" i="2"/>
  <c r="Z16" i="2"/>
  <c r="AA16" i="2"/>
  <c r="T17" i="2"/>
  <c r="U17" i="2"/>
  <c r="V17" i="2"/>
  <c r="W17" i="2"/>
  <c r="X17" i="2"/>
  <c r="Y17" i="2"/>
  <c r="Z17" i="2"/>
  <c r="AA17" i="2"/>
  <c r="T18" i="2"/>
  <c r="U18" i="2"/>
  <c r="V18" i="2"/>
  <c r="W18" i="2"/>
  <c r="X18" i="2"/>
  <c r="Y18" i="2"/>
  <c r="Z18" i="2"/>
  <c r="AA18" i="2"/>
  <c r="T19" i="2"/>
  <c r="U19" i="2"/>
  <c r="V19" i="2"/>
  <c r="W19" i="2"/>
  <c r="X19" i="2"/>
  <c r="Y19" i="2"/>
  <c r="Z19" i="2"/>
  <c r="AA19" i="2"/>
  <c r="T20" i="2"/>
  <c r="U20" i="2"/>
  <c r="V20" i="2"/>
  <c r="W20" i="2"/>
  <c r="X20" i="2"/>
  <c r="Y20" i="2"/>
  <c r="Z20" i="2"/>
  <c r="AA20" i="2"/>
  <c r="P34" i="1"/>
  <c r="O34" i="1"/>
  <c r="L34" i="1"/>
  <c r="K34" i="1"/>
  <c r="N34" i="1" s="1"/>
  <c r="O33" i="1"/>
  <c r="L33" i="1"/>
  <c r="K33" i="1"/>
  <c r="Q33" i="1" s="1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42" i="2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D46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C35" i="1"/>
  <c r="AC37" i="1"/>
  <c r="AC44" i="1"/>
  <c r="AC45" i="1"/>
  <c r="AB36" i="1"/>
  <c r="AB37" i="1"/>
  <c r="AB39" i="1"/>
  <c r="AB43" i="1"/>
  <c r="AB46" i="1"/>
  <c r="Y36" i="1"/>
  <c r="Y37" i="1"/>
  <c r="Y42" i="1"/>
  <c r="Y43" i="1"/>
  <c r="Y44" i="1"/>
  <c r="Y45" i="1"/>
  <c r="X38" i="1"/>
  <c r="X39" i="1"/>
  <c r="X40" i="1"/>
  <c r="X47" i="1"/>
  <c r="X48" i="1"/>
  <c r="P48" i="1"/>
  <c r="O48" i="1"/>
  <c r="AB48" i="1" s="1"/>
  <c r="L48" i="1"/>
  <c r="Y48" i="1" s="1"/>
  <c r="K48" i="1"/>
  <c r="Q48" i="1" s="1"/>
  <c r="AD48" i="1" s="1"/>
  <c r="P47" i="1"/>
  <c r="AC47" i="1" s="1"/>
  <c r="O47" i="1"/>
  <c r="AB47" i="1" s="1"/>
  <c r="L47" i="1"/>
  <c r="K47" i="1"/>
  <c r="P46" i="1"/>
  <c r="AC46" i="1" s="1"/>
  <c r="O46" i="1"/>
  <c r="L46" i="1"/>
  <c r="Y46" i="1" s="1"/>
  <c r="K46" i="1"/>
  <c r="Q46" i="1" s="1"/>
  <c r="P45" i="1"/>
  <c r="O45" i="1"/>
  <c r="AB45" i="1" s="1"/>
  <c r="L45" i="1"/>
  <c r="K45" i="1"/>
  <c r="P44" i="1"/>
  <c r="O44" i="1"/>
  <c r="AB44" i="1" s="1"/>
  <c r="L44" i="1"/>
  <c r="K44" i="1"/>
  <c r="Q44" i="1" s="1"/>
  <c r="AD44" i="1" s="1"/>
  <c r="P43" i="1"/>
  <c r="AC43" i="1" s="1"/>
  <c r="O43" i="1"/>
  <c r="L43" i="1"/>
  <c r="K43" i="1"/>
  <c r="P42" i="1"/>
  <c r="AC42" i="1" s="1"/>
  <c r="O42" i="1"/>
  <c r="AB42" i="1" s="1"/>
  <c r="M42" i="1"/>
  <c r="L42" i="1"/>
  <c r="K42" i="1"/>
  <c r="P41" i="1"/>
  <c r="O41" i="1"/>
  <c r="AB41" i="1" s="1"/>
  <c r="L41" i="1"/>
  <c r="Y41" i="1" s="1"/>
  <c r="K41" i="1"/>
  <c r="Q41" i="1" s="1"/>
  <c r="AD41" i="1" s="1"/>
  <c r="P40" i="1"/>
  <c r="AC40" i="1" s="1"/>
  <c r="O40" i="1"/>
  <c r="AB40" i="1" s="1"/>
  <c r="L40" i="1"/>
  <c r="K40" i="1"/>
  <c r="P39" i="1"/>
  <c r="AC39" i="1" s="1"/>
  <c r="O39" i="1"/>
  <c r="L39" i="1"/>
  <c r="Y39" i="1" s="1"/>
  <c r="K39" i="1"/>
  <c r="Q39" i="1" s="1"/>
  <c r="AD39" i="1" s="1"/>
  <c r="P38" i="1"/>
  <c r="AC38" i="1" s="1"/>
  <c r="O38" i="1"/>
  <c r="AB38" i="1" s="1"/>
  <c r="L38" i="1"/>
  <c r="Y38" i="1" s="1"/>
  <c r="K38" i="1"/>
  <c r="M38" i="1" s="1"/>
  <c r="P37" i="1"/>
  <c r="O37" i="1"/>
  <c r="L37" i="1"/>
  <c r="K37" i="1"/>
  <c r="Q37" i="1" s="1"/>
  <c r="AD37" i="1" s="1"/>
  <c r="P36" i="1"/>
  <c r="AC36" i="1" s="1"/>
  <c r="O36" i="1"/>
  <c r="L36" i="1"/>
  <c r="K36" i="1"/>
  <c r="P35" i="1"/>
  <c r="O35" i="1"/>
  <c r="AB35" i="1" s="1"/>
  <c r="L35" i="1"/>
  <c r="N35" i="1" s="1"/>
  <c r="K35" i="1"/>
  <c r="M35" i="1" s="1"/>
  <c r="K24" i="1"/>
  <c r="K23" i="1"/>
  <c r="K26" i="1" s="1"/>
  <c r="AJ54" i="4"/>
  <c r="AJ56" i="4"/>
  <c r="N13" i="4"/>
  <c r="T19" i="4" s="1"/>
  <c r="N12" i="4"/>
  <c r="T18" i="4" s="1"/>
  <c r="M13" i="4"/>
  <c r="S19" i="4" s="1"/>
  <c r="M12" i="4"/>
  <c r="S18" i="4" s="1"/>
  <c r="H10" i="4"/>
  <c r="R17" i="4" s="1"/>
  <c r="P20" i="1"/>
  <c r="AC20" i="1" s="1"/>
  <c r="O20" i="1"/>
  <c r="K20" i="1"/>
  <c r="N20" i="1" s="1"/>
  <c r="Q19" i="1"/>
  <c r="AD19" i="1" s="1"/>
  <c r="P19" i="1"/>
  <c r="O19" i="1"/>
  <c r="K19" i="1"/>
  <c r="Y19" i="1"/>
  <c r="AB19" i="1"/>
  <c r="AC19" i="1"/>
  <c r="AE19" i="1"/>
  <c r="AF19" i="1"/>
  <c r="AG19" i="1"/>
  <c r="AH19" i="1"/>
  <c r="AB20" i="1"/>
  <c r="AE20" i="1"/>
  <c r="AF20" i="1"/>
  <c r="AG20" i="1"/>
  <c r="AH20" i="1"/>
  <c r="N19" i="1"/>
  <c r="M19" i="1"/>
  <c r="M20" i="1"/>
  <c r="L20" i="1"/>
  <c r="Y20" i="1" s="1"/>
  <c r="L19" i="1"/>
  <c r="L4" i="1"/>
  <c r="AB6" i="1"/>
  <c r="AC6" i="1"/>
  <c r="AC8" i="1"/>
  <c r="AB10" i="1"/>
  <c r="AC10" i="1"/>
  <c r="AC14" i="1"/>
  <c r="AB16" i="1"/>
  <c r="AC16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Y47" i="1" s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O17" i="1"/>
  <c r="AB17" i="1" s="1"/>
  <c r="P17" i="1"/>
  <c r="AC17" i="1" s="1"/>
  <c r="O18" i="1"/>
  <c r="AB18" i="1" s="1"/>
  <c r="P18" i="1"/>
  <c r="AC18" i="1" s="1"/>
  <c r="O16" i="1"/>
  <c r="P16" i="1"/>
  <c r="P15" i="1"/>
  <c r="AC15" i="1" s="1"/>
  <c r="O15" i="1"/>
  <c r="AB15" i="1" s="1"/>
  <c r="K15" i="1"/>
  <c r="N15" i="1" s="1"/>
  <c r="O12" i="1"/>
  <c r="AB12" i="1" s="1"/>
  <c r="P12" i="1"/>
  <c r="AC12" i="1" s="1"/>
  <c r="O14" i="1"/>
  <c r="AB14" i="1" s="1"/>
  <c r="K14" i="1"/>
  <c r="M14" i="1" s="1"/>
  <c r="P14" i="1"/>
  <c r="O13" i="1"/>
  <c r="AB13" i="1" s="1"/>
  <c r="P13" i="1"/>
  <c r="AC13" i="1" s="1"/>
  <c r="O11" i="1"/>
  <c r="AB11" i="1" s="1"/>
  <c r="K11" i="1"/>
  <c r="N11" i="1" s="1"/>
  <c r="P11" i="1"/>
  <c r="AC11" i="1" s="1"/>
  <c r="O9" i="1"/>
  <c r="AB9" i="1" s="1"/>
  <c r="P9" i="1"/>
  <c r="AC9" i="1" s="1"/>
  <c r="P10" i="1"/>
  <c r="O10" i="1"/>
  <c r="K10" i="1"/>
  <c r="M10" i="1" s="1"/>
  <c r="P8" i="1"/>
  <c r="O8" i="1"/>
  <c r="AB8" i="1" s="1"/>
  <c r="O7" i="1"/>
  <c r="AB7" i="1" s="1"/>
  <c r="P7" i="1"/>
  <c r="AC7" i="1" s="1"/>
  <c r="O6" i="1"/>
  <c r="P6" i="1"/>
  <c r="O5" i="1"/>
  <c r="P5" i="1"/>
  <c r="AC48" i="1" s="1"/>
  <c r="K5" i="1"/>
  <c r="X45" i="1" s="1"/>
  <c r="O4" i="1"/>
  <c r="AB4" i="1" s="1"/>
  <c r="K18" i="1"/>
  <c r="M18" i="1" s="1"/>
  <c r="K17" i="1"/>
  <c r="M17" i="1" s="1"/>
  <c r="K16" i="1"/>
  <c r="K13" i="1"/>
  <c r="K12" i="1"/>
  <c r="K9" i="1"/>
  <c r="AH6" i="1"/>
  <c r="AG6" i="1"/>
  <c r="AF6" i="1"/>
  <c r="AE6" i="1"/>
  <c r="K8" i="1"/>
  <c r="K7" i="1"/>
  <c r="K6" i="1"/>
  <c r="K4" i="1"/>
  <c r="C6" i="2"/>
  <c r="B6" i="2"/>
  <c r="G6" i="1"/>
  <c r="C6" i="1"/>
  <c r="B6" i="1"/>
  <c r="Z38" i="1" l="1"/>
  <c r="Z35" i="1"/>
  <c r="Z42" i="1"/>
  <c r="Y35" i="1"/>
  <c r="Q43" i="1"/>
  <c r="AD43" i="1" s="1"/>
  <c r="X37" i="1"/>
  <c r="AA19" i="1"/>
  <c r="X20" i="1"/>
  <c r="Q20" i="1"/>
  <c r="AD20" i="1" s="1"/>
  <c r="K28" i="1"/>
  <c r="Q36" i="1"/>
  <c r="AD36" i="1" s="1"/>
  <c r="M48" i="1"/>
  <c r="X44" i="1"/>
  <c r="X36" i="1"/>
  <c r="AC41" i="1"/>
  <c r="Q45" i="1"/>
  <c r="AD45" i="1" s="1"/>
  <c r="X8" i="1"/>
  <c r="X16" i="1"/>
  <c r="N42" i="1"/>
  <c r="M45" i="1"/>
  <c r="X35" i="1"/>
  <c r="X41" i="1"/>
  <c r="X46" i="1"/>
  <c r="N48" i="1"/>
  <c r="X19" i="1"/>
  <c r="K29" i="1"/>
  <c r="Q38" i="1"/>
  <c r="AD38" i="1" s="1"/>
  <c r="M43" i="1"/>
  <c r="X43" i="1"/>
  <c r="Y40" i="1"/>
  <c r="X13" i="1"/>
  <c r="N36" i="1"/>
  <c r="AA36" i="1" s="1"/>
  <c r="Q40" i="1"/>
  <c r="AD40" i="1" s="1"/>
  <c r="Q42" i="1"/>
  <c r="AD42" i="1" s="1"/>
  <c r="N43" i="1"/>
  <c r="Q47" i="1"/>
  <c r="AD47" i="1" s="1"/>
  <c r="X42" i="1"/>
  <c r="M33" i="1"/>
  <c r="N33" i="1"/>
  <c r="M34" i="1"/>
  <c r="M47" i="1"/>
  <c r="Z47" i="1" s="1"/>
  <c r="N47" i="1"/>
  <c r="AA47" i="1" s="1"/>
  <c r="M46" i="1"/>
  <c r="N46" i="1"/>
  <c r="N45" i="1"/>
  <c r="AA45" i="1" s="1"/>
  <c r="N44" i="1"/>
  <c r="AA44" i="1" s="1"/>
  <c r="M44" i="1"/>
  <c r="Z44" i="1" s="1"/>
  <c r="M41" i="1"/>
  <c r="N41" i="1"/>
  <c r="AA41" i="1" s="1"/>
  <c r="M40" i="1"/>
  <c r="N40" i="1"/>
  <c r="M39" i="1"/>
  <c r="N39" i="1"/>
  <c r="AA39" i="1" s="1"/>
  <c r="N38" i="1"/>
  <c r="AA38" i="1" s="1"/>
  <c r="N37" i="1"/>
  <c r="AA37" i="1" s="1"/>
  <c r="M37" i="1"/>
  <c r="Q35" i="1"/>
  <c r="AD35" i="1" s="1"/>
  <c r="M36" i="1"/>
  <c r="N4" i="1"/>
  <c r="N16" i="1"/>
  <c r="AA16" i="1" s="1"/>
  <c r="Y14" i="1"/>
  <c r="X7" i="1"/>
  <c r="X12" i="1"/>
  <c r="M11" i="1"/>
  <c r="M4" i="1"/>
  <c r="N8" i="1"/>
  <c r="AA8" i="1" s="1"/>
  <c r="N5" i="1"/>
  <c r="AA20" i="1" s="1"/>
  <c r="N17" i="1"/>
  <c r="AA17" i="1" s="1"/>
  <c r="M12" i="1"/>
  <c r="Y18" i="1"/>
  <c r="N6" i="1"/>
  <c r="AA6" i="1" s="1"/>
  <c r="X9" i="1"/>
  <c r="X15" i="1"/>
  <c r="X17" i="1"/>
  <c r="M16" i="1"/>
  <c r="X18" i="1"/>
  <c r="N12" i="1"/>
  <c r="AA12" i="1" s="1"/>
  <c r="M15" i="1"/>
  <c r="Z15" i="1" s="1"/>
  <c r="M7" i="1"/>
  <c r="Z7" i="1" s="1"/>
  <c r="Y12" i="1"/>
  <c r="M9" i="1"/>
  <c r="Z9" i="1" s="1"/>
  <c r="M8" i="1"/>
  <c r="Q15" i="1"/>
  <c r="AD15" i="1" s="1"/>
  <c r="X11" i="1"/>
  <c r="M6" i="1"/>
  <c r="N10" i="1"/>
  <c r="AA10" i="1" s="1"/>
  <c r="Q14" i="1"/>
  <c r="AD14" i="1" s="1"/>
  <c r="N9" i="1"/>
  <c r="AA9" i="1" s="1"/>
  <c r="M13" i="1"/>
  <c r="Z13" i="1" s="1"/>
  <c r="M5" i="1"/>
  <c r="Z19" i="1" s="1"/>
  <c r="N18" i="1"/>
  <c r="AA18" i="1" s="1"/>
  <c r="Y15" i="1"/>
  <c r="Q11" i="1"/>
  <c r="AD11" i="1" s="1"/>
  <c r="Y9" i="1"/>
  <c r="Y17" i="1"/>
  <c r="N7" i="1"/>
  <c r="AA7" i="1" s="1"/>
  <c r="Y13" i="1"/>
  <c r="Y6" i="1"/>
  <c r="Y16" i="1"/>
  <c r="Y10" i="1"/>
  <c r="N14" i="1"/>
  <c r="AA14" i="1" s="1"/>
  <c r="Y7" i="1"/>
  <c r="Y8" i="1"/>
  <c r="Q10" i="1"/>
  <c r="AD10" i="1" s="1"/>
  <c r="Y11" i="1"/>
  <c r="N13" i="1"/>
  <c r="AA13" i="1" s="1"/>
  <c r="X14" i="1"/>
  <c r="X10" i="1"/>
  <c r="Q4" i="1"/>
  <c r="X6" i="1"/>
  <c r="Q6" i="1"/>
  <c r="AD6" i="1" s="1"/>
  <c r="Q17" i="1"/>
  <c r="AD17" i="1" s="1"/>
  <c r="Q9" i="1"/>
  <c r="AD9" i="1" s="1"/>
  <c r="Q8" i="1"/>
  <c r="AD8" i="1" s="1"/>
  <c r="Q12" i="1"/>
  <c r="AD12" i="1" s="1"/>
  <c r="Q13" i="1"/>
  <c r="AD13" i="1" s="1"/>
  <c r="Q16" i="1"/>
  <c r="AD16" i="1" s="1"/>
  <c r="Q18" i="1"/>
  <c r="AD18" i="1" s="1"/>
  <c r="Q7" i="1"/>
  <c r="AD7" i="1" s="1"/>
  <c r="Z4" i="1" l="1"/>
  <c r="I9" i="4"/>
  <c r="S16" i="4" s="1"/>
  <c r="Z11" i="1"/>
  <c r="Z37" i="1"/>
  <c r="Z41" i="1"/>
  <c r="AA48" i="1"/>
  <c r="Z18" i="1"/>
  <c r="AD4" i="1"/>
  <c r="H9" i="4"/>
  <c r="R16" i="4" s="1"/>
  <c r="Z6" i="1"/>
  <c r="Z12" i="1"/>
  <c r="Z39" i="1"/>
  <c r="AA46" i="1"/>
  <c r="Z43" i="1"/>
  <c r="Z45" i="1"/>
  <c r="Z48" i="1"/>
  <c r="Z17" i="1"/>
  <c r="Z16" i="1"/>
  <c r="AA11" i="1"/>
  <c r="AA15" i="1"/>
  <c r="J10" i="4"/>
  <c r="T17" i="4" s="1"/>
  <c r="AA4" i="1"/>
  <c r="J9" i="4"/>
  <c r="T16" i="4" s="1"/>
  <c r="AA40" i="1"/>
  <c r="Z46" i="1"/>
  <c r="AA43" i="1"/>
  <c r="AA42" i="1"/>
  <c r="AA35" i="1"/>
  <c r="Z14" i="1"/>
  <c r="I10" i="4"/>
  <c r="S17" i="4" s="1"/>
  <c r="Z8" i="1"/>
  <c r="Z36" i="1"/>
  <c r="Z40" i="1"/>
  <c r="K31" i="1"/>
  <c r="Z20" i="1"/>
  <c r="Z10" i="1"/>
</calcChain>
</file>

<file path=xl/sharedStrings.xml><?xml version="1.0" encoding="utf-8"?>
<sst xmlns="http://schemas.openxmlformats.org/spreadsheetml/2006/main" count="403" uniqueCount="125">
  <si>
    <t>Discount</t>
  </si>
  <si>
    <t>Asset Earning Rate</t>
  </si>
  <si>
    <t>Moratlity</t>
  </si>
  <si>
    <t>Program Costs</t>
  </si>
  <si>
    <t xml:space="preserve">Lapse </t>
  </si>
  <si>
    <t>Acquisition Expense</t>
  </si>
  <si>
    <t>Renewal Expense</t>
  </si>
  <si>
    <t>VIF ($b)</t>
  </si>
  <si>
    <t>VNB ($b)</t>
  </si>
  <si>
    <t>Embedded Value ($m)</t>
  </si>
  <si>
    <t>Appraisal Value ($b)</t>
  </si>
  <si>
    <t>Expected Claims</t>
  </si>
  <si>
    <t>IRR (%)</t>
  </si>
  <si>
    <t>Loss Ratio</t>
  </si>
  <si>
    <t>Expense Ratio</t>
  </si>
  <si>
    <t>Combined Ratio</t>
  </si>
  <si>
    <t>Profit Margin</t>
  </si>
  <si>
    <t>IRR</t>
  </si>
  <si>
    <t>Without program</t>
  </si>
  <si>
    <t>NA</t>
  </si>
  <si>
    <t>Base Case With Program</t>
  </si>
  <si>
    <t>middle_case</t>
  </si>
  <si>
    <t>Sens 1 (Worst case)</t>
  </si>
  <si>
    <t>worst_case</t>
  </si>
  <si>
    <t>best_case</t>
  </si>
  <si>
    <t>Sens 2 (Best case)</t>
  </si>
  <si>
    <t>Sens 3 (Interest 6%)</t>
  </si>
  <si>
    <t>Sens 4 (Interest 2%)</t>
  </si>
  <si>
    <t>Sens 5 (Interest 9%)</t>
  </si>
  <si>
    <t>Sens 6 (Interest 1%)</t>
  </si>
  <si>
    <t>Sens 7 (Asset Earning Rate 8%)</t>
  </si>
  <si>
    <t>Sens 8 (Asset Earning Rate 4%)</t>
  </si>
  <si>
    <t>Sens 9 (Asset Earning Rate 14%)</t>
  </si>
  <si>
    <t>Sens 10 (Asset Earning Rate 1%)</t>
  </si>
  <si>
    <t>Sens 11 (Acquisition Expense 300%)</t>
  </si>
  <si>
    <t>Sens 12 (Renewal Expense $250)</t>
  </si>
  <si>
    <t>Sens 13 (Acquistion 300%, Renewal Expense $250)</t>
  </si>
  <si>
    <t>Sens 14 (Acquisition Expense 150%)</t>
  </si>
  <si>
    <t>Sens 15 (Acquisition Expense 100%)</t>
  </si>
  <si>
    <t>VIF</t>
  </si>
  <si>
    <t>PVExpectedClaims</t>
  </si>
  <si>
    <t>PVProgramCosts</t>
  </si>
  <si>
    <t>LossRatio</t>
  </si>
  <si>
    <t>ExpenseRatio</t>
  </si>
  <si>
    <t>CommissionRatio</t>
  </si>
  <si>
    <t>CombinedRatio</t>
  </si>
  <si>
    <t>ProfitMargin</t>
  </si>
  <si>
    <t>`</t>
  </si>
  <si>
    <t>WithoutProgram</t>
  </si>
  <si>
    <t>Sens 10 (Interest 1%)</t>
  </si>
  <si>
    <t>Sens 5 (Asset Earning Rate 8%)</t>
  </si>
  <si>
    <t>Sens 6 (Asset Earning Rate 4%)</t>
  </si>
  <si>
    <t>Sens 13 (Assest Earning 14%)</t>
  </si>
  <si>
    <t>Sens 12 (Assest Earning 1%)</t>
  </si>
  <si>
    <t>Sens 11 (Acquisition Expense 30%)</t>
  </si>
  <si>
    <t>Sens 7 (Acquisition Expense 30%)</t>
  </si>
  <si>
    <t>Sens 12 (Renewal Expense $200)</t>
  </si>
  <si>
    <t>Sens 8 (Renewal Expense $200)</t>
  </si>
  <si>
    <t>Sens 13 (Acquistion 30%, Renewal Expense $200)</t>
  </si>
  <si>
    <t>Sens 9 (Acquistion 30%, Renewal Expense $200)</t>
  </si>
  <si>
    <t>Sens 14 (Acquisition Expense 15%)</t>
  </si>
  <si>
    <t>Sens 14 (Acq 15%)</t>
  </si>
  <si>
    <t>Sens 15 (Acquisition Expense 10%)</t>
  </si>
  <si>
    <t>Sens 15 (Acq 10%)</t>
  </si>
  <si>
    <t>Product</t>
  </si>
  <si>
    <t>Expected Claims Without Program ($b)</t>
  </si>
  <si>
    <t>Expected Claims With Program ($b)</t>
  </si>
  <si>
    <t>Savings ($b)</t>
  </si>
  <si>
    <t>T20</t>
  </si>
  <si>
    <t>SPWL</t>
  </si>
  <si>
    <t>Total</t>
  </si>
  <si>
    <t>EV ($ b)</t>
  </si>
  <si>
    <t>Before Program</t>
  </si>
  <si>
    <t>After Program</t>
  </si>
  <si>
    <t>Economic Value Metrics</t>
  </si>
  <si>
    <t>Embedded Value ($ b)</t>
  </si>
  <si>
    <t>-</t>
  </si>
  <si>
    <t>Expenses</t>
  </si>
  <si>
    <t>Acquisition</t>
  </si>
  <si>
    <t>Renewal</t>
  </si>
  <si>
    <t>Commission Clawback</t>
  </si>
  <si>
    <t>Refund Amount</t>
  </si>
  <si>
    <t>Probability (From Lapses)</t>
  </si>
  <si>
    <t>1 yr</t>
  </si>
  <si>
    <t>2 yrs</t>
  </si>
  <si>
    <t>3+ yrs</t>
  </si>
  <si>
    <t>T20 % of premium</t>
  </si>
  <si>
    <t>Initial Commissions</t>
  </si>
  <si>
    <t>Agent</t>
  </si>
  <si>
    <t>Online</t>
  </si>
  <si>
    <t>Telemarketer</t>
  </si>
  <si>
    <t>SPWL % of premium</t>
  </si>
  <si>
    <t>Renewal Commissions</t>
  </si>
  <si>
    <t>Risk Margin</t>
  </si>
  <si>
    <t>% of Exp Claims</t>
  </si>
  <si>
    <t>very low risk</t>
  </si>
  <si>
    <t>low risk</t>
  </si>
  <si>
    <t>moderate risk</t>
  </si>
  <si>
    <t>high risk</t>
  </si>
  <si>
    <t>Proportion of Population</t>
  </si>
  <si>
    <t>Proportion of Deaths</t>
  </si>
  <si>
    <t>Smoker (S)</t>
  </si>
  <si>
    <t>Non-Smoker (NS)</t>
  </si>
  <si>
    <t>VNB</t>
  </si>
  <si>
    <t>SPWL Sensitivities</t>
  </si>
  <si>
    <t>Deltas</t>
  </si>
  <si>
    <t>VIF ($ billion)</t>
  </si>
  <si>
    <t>VNB ($ billion)</t>
  </si>
  <si>
    <t>PVExpectedClaims ($ billion)</t>
  </si>
  <si>
    <t>PVProgramCosts ($ billion)</t>
  </si>
  <si>
    <t>LossRatio (%)</t>
  </si>
  <si>
    <t>ExpenseRatio (%)</t>
  </si>
  <si>
    <t>CombinedRatio (%)</t>
  </si>
  <si>
    <t>ProfitMargin (%)</t>
  </si>
  <si>
    <t>T20 Sensitivities</t>
  </si>
  <si>
    <t>VIF ($billion)</t>
  </si>
  <si>
    <t>VNB ($billion)</t>
  </si>
  <si>
    <t>Embedded Value ($billion)</t>
  </si>
  <si>
    <t>Appraisal Value ($billion)</t>
  </si>
  <si>
    <t>Expected Claims ($billion)</t>
  </si>
  <si>
    <t>Program Costs ($billion)</t>
  </si>
  <si>
    <t>Loss Ratio (%)</t>
  </si>
  <si>
    <t>Expense Ratio (%)</t>
  </si>
  <si>
    <t>Combined Ratio (%)</t>
  </si>
  <si>
    <t>Profit Margin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</si>
</sst>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$&quot;0.0,,&quot;m&quot;"/>
    <numFmt numFmtId="166" formatCode="#,##0.0"/>
    <numFmt numFmtId="167" formatCode="&quot;$&quot;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ptos Narrow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B9"/>
        <bgColor indexed="64"/>
      </patternFill>
    </fill>
    <fill>
      <patternFill patternType="solid">
        <fgColor rgb="FFE7F2F3"/>
        <bgColor indexed="64"/>
      </patternFill>
    </fill>
    <fill>
      <patternFill patternType="solid">
        <fgColor rgb="FFCBE4E6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3" fillId="4" borderId="2" xfId="0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7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3" fontId="3" fillId="4" borderId="2" xfId="1" applyNumberFormat="1" applyFont="1" applyFill="1" applyBorder="1" applyAlignment="1">
      <alignment horizontal="center" vertical="center"/>
    </xf>
    <xf numFmtId="10" fontId="3" fillId="3" borderId="2" xfId="1" applyNumberFormat="1" applyFont="1" applyFill="1" applyBorder="1" applyAlignment="1">
      <alignment horizontal="center" vertical="center"/>
    </xf>
    <xf numFmtId="10" fontId="3" fillId="4" borderId="2" xfId="1" applyNumberFormat="1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9" fontId="3" fillId="4" borderId="2" xfId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0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3" fillId="3" borderId="2" xfId="1" applyNumberFormat="1" applyFont="1" applyFill="1" applyBorder="1" applyAlignment="1">
      <alignment horizontal="center" vertical="center"/>
    </xf>
    <xf numFmtId="166" fontId="3" fillId="4" borderId="2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6" fontId="6" fillId="4" borderId="6" xfId="1" applyNumberFormat="1" applyFont="1" applyFill="1" applyBorder="1" applyAlignment="1">
      <alignment horizontal="center" vertical="center"/>
    </xf>
    <xf numFmtId="166" fontId="6" fillId="4" borderId="7" xfId="1" applyNumberFormat="1" applyFont="1" applyFill="1" applyBorder="1" applyAlignment="1">
      <alignment horizontal="center" vertical="center"/>
    </xf>
    <xf numFmtId="166" fontId="6" fillId="4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 Change in VIF Compared to Middle</a:t>
            </a:r>
            <a:r>
              <a:rPr lang="en-GB" baseline="0"/>
              <a:t> Case with Program:</a:t>
            </a:r>
          </a:p>
          <a:p>
            <a:pPr>
              <a:defRPr/>
            </a:pPr>
            <a:r>
              <a:rPr lang="en-GB"/>
              <a:t>[Mortality, Lapse, &amp; Program</a:t>
            </a:r>
            <a:r>
              <a:rPr lang="en-GB" baseline="0"/>
              <a:t> Cost</a:t>
            </a:r>
            <a:r>
              <a:rPr lang="en-GB"/>
              <a:t> Sensitivity]</a:t>
            </a:r>
          </a:p>
        </c:rich>
      </c:tx>
      <c:layout>
        <c:manualLayout>
          <c:xMode val="edge"/>
          <c:yMode val="edge"/>
          <c:x val="0.19065958364793442"/>
          <c:y val="7.0739549839228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5417440065646E-2"/>
          <c:y val="0.24495176848874603"/>
          <c:w val="0.88936929720013291"/>
          <c:h val="0.68071296554168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87E-2D47-8824-AF2D29B19E14}"/>
              </c:ext>
            </c:extLst>
          </c:dPt>
          <c:cat>
            <c:strRef>
              <c:f>'T20'!$W$35:$W$36</c:f>
              <c:strCache>
                <c:ptCount val="2"/>
                <c:pt idx="0">
                  <c:v>Sens 1 (Worst case)</c:v>
                </c:pt>
                <c:pt idx="1">
                  <c:v>Sens 2 (Best case)</c:v>
                </c:pt>
              </c:strCache>
            </c:strRef>
          </c:cat>
          <c:val>
            <c:numRef>
              <c:f>'T20'!$Z$35:$Z$36</c:f>
              <c:numCache>
                <c:formatCode>0.00</c:formatCode>
                <c:ptCount val="2"/>
                <c:pt idx="0">
                  <c:v>-0.22712842100000064</c:v>
                </c:pt>
                <c:pt idx="1">
                  <c:v>0.10209682699999956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9-F243-AB14-A7C8DF12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88"/>
        <c:axId val="1937063951"/>
        <c:axId val="947840127"/>
      </c:barChart>
      <c:catAx>
        <c:axId val="193706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40127"/>
        <c:crosses val="autoZero"/>
        <c:auto val="1"/>
        <c:lblAlgn val="ctr"/>
        <c:lblOffset val="100"/>
        <c:noMultiLvlLbl val="0"/>
      </c:catAx>
      <c:valAx>
        <c:axId val="9478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6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Change in </a:t>
            </a:r>
            <a:r>
              <a:rPr lang="en-GB" baseline="0"/>
              <a:t> VIF</a:t>
            </a:r>
            <a:r>
              <a:rPr lang="en-GB"/>
              <a:t> Compared to Middle</a:t>
            </a:r>
            <a:r>
              <a:rPr lang="en-GB" baseline="0"/>
              <a:t> Case with Program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[Asset Earning Rate Sensitivity]</a:t>
            </a:r>
            <a:endParaRPr lang="en-GB"/>
          </a:p>
        </c:rich>
      </c:tx>
      <c:layout>
        <c:manualLayout>
          <c:xMode val="edge"/>
          <c:yMode val="edge"/>
          <c:x val="0.24335263108974783"/>
          <c:y val="5.905078612746222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004256224728676E-2"/>
          <c:y val="0.22398026315789474"/>
          <c:w val="0.87796023236356957"/>
          <c:h val="0.69997280356402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BDF-984D-93EF-154F19872D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DF-984D-93EF-154F19872DE4}"/>
              </c:ext>
            </c:extLst>
          </c:dPt>
          <c:cat>
            <c:strRef>
              <c:f>'T20'!$W$41:$W$44</c:f>
              <c:strCache>
                <c:ptCount val="4"/>
                <c:pt idx="0">
                  <c:v>Sens 10 (Asset Earning Rate 1%)</c:v>
                </c:pt>
                <c:pt idx="1">
                  <c:v>Sens 8 (Asset Earning Rate 4%)</c:v>
                </c:pt>
                <c:pt idx="2">
                  <c:v>Sens 7 (Asset Earning Rate 8%)</c:v>
                </c:pt>
                <c:pt idx="3">
                  <c:v>Sens 9 (Asset Earning Rate 14%)</c:v>
                </c:pt>
              </c:strCache>
            </c:strRef>
          </c:cat>
          <c:val>
            <c:numRef>
              <c:f>SPWL!$B$48:$B$51</c:f>
              <c:numCache>
                <c:formatCode>0.00</c:formatCode>
                <c:ptCount val="4"/>
                <c:pt idx="0">
                  <c:v>-111.56041302</c:v>
                </c:pt>
                <c:pt idx="1">
                  <c:v>-44.624165208000008</c:v>
                </c:pt>
                <c:pt idx="2">
                  <c:v>44.624165208999997</c:v>
                </c:pt>
                <c:pt idx="3">
                  <c:v>178.49666083299999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DF-984D-93EF-154F1987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4"/>
        <c:axId val="1033846991"/>
        <c:axId val="1033848703"/>
      </c:barChart>
      <c:catAx>
        <c:axId val="10338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8703"/>
        <c:crosses val="autoZero"/>
        <c:auto val="1"/>
        <c:lblAlgn val="ctr"/>
        <c:lblOffset val="100"/>
        <c:noMultiLvlLbl val="0"/>
      </c:catAx>
      <c:valAx>
        <c:axId val="10338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$ (billions)</a:t>
                </a:r>
              </a:p>
            </c:rich>
          </c:tx>
          <c:layout>
            <c:manualLayout>
              <c:xMode val="edge"/>
              <c:yMode val="edge"/>
              <c:x val="1.3702115228851033E-2"/>
              <c:y val="0.46200876589455436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Profit Margin For Different Sensitivities Compared with Middle</a:t>
            </a:r>
            <a:r>
              <a:rPr lang="en-GB" sz="2000" baseline="0"/>
              <a:t> Case with Program</a:t>
            </a:r>
            <a:endParaRPr lang="en-GB" sz="2000"/>
          </a:p>
        </c:rich>
      </c:tx>
      <c:layout>
        <c:manualLayout>
          <c:xMode val="edge"/>
          <c:yMode val="edge"/>
          <c:x val="0.18332679097154073"/>
          <c:y val="3.24675324675324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215905666355003E-2"/>
          <c:y val="0.13293298564952108"/>
          <c:w val="0.9559891973758432"/>
          <c:h val="0.60027081842042485"/>
        </c:manualLayout>
      </c:layout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614-AE4F-9945-294C8F6A6484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614-AE4F-9945-294C8F6A6484}"/>
              </c:ext>
            </c:extLst>
          </c:dPt>
          <c:cat>
            <c:strRef>
              <c:f>SPWL!$I$4:$I$20</c:f>
              <c:strCache>
                <c:ptCount val="17"/>
                <c:pt idx="0">
                  <c:v>WithoutProgram</c:v>
                </c:pt>
                <c:pt idx="1">
                  <c:v>Base Case With Program</c:v>
                </c:pt>
                <c:pt idx="2">
                  <c:v>Sens 1 (Worst case)</c:v>
                </c:pt>
                <c:pt idx="3">
                  <c:v>Sens 2 (Best case)</c:v>
                </c:pt>
                <c:pt idx="4">
                  <c:v>Sens 3 (Interest 6%)</c:v>
                </c:pt>
                <c:pt idx="5">
                  <c:v>Sens 4 (Interest 2%)</c:v>
                </c:pt>
                <c:pt idx="6">
                  <c:v>Sens 5 (Interest 9%)</c:v>
                </c:pt>
                <c:pt idx="7">
                  <c:v>Sens 10 (Interest 1%)</c:v>
                </c:pt>
                <c:pt idx="8">
                  <c:v>Sens 5 (Asset Earning Rate 8%)</c:v>
                </c:pt>
                <c:pt idx="9">
                  <c:v>Sens 6 (Asset Earning Rate 4%)</c:v>
                </c:pt>
                <c:pt idx="10">
                  <c:v>Sens 13 (Assest Earning 14%)</c:v>
                </c:pt>
                <c:pt idx="11">
                  <c:v>Sens 12 (Assest Earning 1%)</c:v>
                </c:pt>
                <c:pt idx="12">
                  <c:v>Sens 7 (Acquisition Expense 30%)</c:v>
                </c:pt>
                <c:pt idx="13">
                  <c:v>Sens 8 (Renewal Expense $200)</c:v>
                </c:pt>
                <c:pt idx="14">
                  <c:v>Sens 9 (Acquistion 30%, Renewal Expense $200)</c:v>
                </c:pt>
                <c:pt idx="15">
                  <c:v>Sens 14 (Acq 15%)</c:v>
                </c:pt>
                <c:pt idx="16">
                  <c:v>Sens 15 (Acq 10%)</c:v>
                </c:pt>
              </c:strCache>
            </c:strRef>
          </c:cat>
          <c:val>
            <c:numRef>
              <c:f>SPWL!$Q$4:$Q$20</c:f>
              <c:numCache>
                <c:formatCode>0.00%</c:formatCode>
                <c:ptCount val="17"/>
                <c:pt idx="0">
                  <c:v>0.35420852983226198</c:v>
                </c:pt>
                <c:pt idx="1">
                  <c:v>0.37139339999999998</c:v>
                </c:pt>
                <c:pt idx="2">
                  <c:v>0.36074699999999998</c:v>
                </c:pt>
                <c:pt idx="3">
                  <c:v>0.38774399999999998</c:v>
                </c:pt>
                <c:pt idx="4">
                  <c:v>0.33301540000000002</c:v>
                </c:pt>
                <c:pt idx="5">
                  <c:v>0.45531739999999998</c:v>
                </c:pt>
                <c:pt idx="6">
                  <c:v>0.3123821</c:v>
                </c:pt>
                <c:pt idx="7">
                  <c:v>0.52917890000000001</c:v>
                </c:pt>
                <c:pt idx="8">
                  <c:v>0.60387429999999997</c:v>
                </c:pt>
                <c:pt idx="9">
                  <c:v>0.13891239999999999</c:v>
                </c:pt>
                <c:pt idx="10">
                  <c:v>1.3013170000000001</c:v>
                </c:pt>
                <c:pt idx="11">
                  <c:v>0.209809</c:v>
                </c:pt>
                <c:pt idx="12">
                  <c:v>0.27139340000000001</c:v>
                </c:pt>
                <c:pt idx="13">
                  <c:v>0.3692763</c:v>
                </c:pt>
                <c:pt idx="14">
                  <c:v>0.26927630000000002</c:v>
                </c:pt>
                <c:pt idx="15">
                  <c:v>0.42139339999999997</c:v>
                </c:pt>
                <c:pt idx="16">
                  <c:v>0.47139340000000002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4-AE4F-9945-294C8F6A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387968"/>
        <c:axId val="393389680"/>
      </c:lineChart>
      <c:catAx>
        <c:axId val="3933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9680"/>
        <c:crosses val="autoZero"/>
        <c:auto val="1"/>
        <c:lblAlgn val="ctr"/>
        <c:lblOffset val="100"/>
        <c:noMultiLvlLbl val="0"/>
      </c:catAx>
      <c:valAx>
        <c:axId val="3933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7968"/>
        <c:crosses val="autoZero"/>
        <c:crossBetween val="between"/>
      </c:valAx>
    </c:plotArea>
    <c:plotVisOnly val="1"/>
    <c:dispBlanksAs val="gap"/>
    <c:showDLblsOverMax val="0"/>
    <c:extLst/>
  </c:chart>
  <c:txPr>
    <a:bodyPr rot="192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Change in VIF</a:t>
            </a:r>
            <a:r>
              <a:rPr lang="en-GB" baseline="0"/>
              <a:t> </a:t>
            </a:r>
            <a:r>
              <a:rPr lang="en-GB"/>
              <a:t>Compared to Middle</a:t>
            </a:r>
            <a:r>
              <a:rPr lang="en-GB" baseline="0"/>
              <a:t> Case with Program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[Expense Sensitivity]</a:t>
            </a:r>
            <a:endParaRPr lang="en-GB"/>
          </a:p>
        </c:rich>
      </c:tx>
      <c:layout>
        <c:manualLayout>
          <c:xMode val="edge"/>
          <c:yMode val="edge"/>
          <c:x val="0.26404999823452563"/>
          <c:y val="5.25782942180771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004256224728676E-2"/>
          <c:y val="0.17544779629818996"/>
          <c:w val="0.87796023236356957"/>
          <c:h val="0.655816954698844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85C-BD49-A78A-34324F8E08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85C-BD49-A78A-34324F8E08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85C-BD49-A78A-34324F8E0841}"/>
              </c:ext>
            </c:extLst>
          </c:dPt>
          <c:cat>
            <c:strRef>
              <c:f>SPWL!$A$52:$A$56</c:f>
              <c:strCache>
                <c:ptCount val="5"/>
                <c:pt idx="0">
                  <c:v>Sens 15 (Acquisition Expense 10%)</c:v>
                </c:pt>
                <c:pt idx="1">
                  <c:v>Sens 14 (Acquisition Expense 15%)</c:v>
                </c:pt>
                <c:pt idx="2">
                  <c:v>Sens 11 (Acquisition Expense 30%)</c:v>
                </c:pt>
                <c:pt idx="3">
                  <c:v>Sens 13 (Acquistion 30%, Renewal Expense $200)</c:v>
                </c:pt>
                <c:pt idx="4">
                  <c:v>Sens 12 (Renewal Expense $200)</c:v>
                </c:pt>
              </c:strCache>
            </c:strRef>
          </c:cat>
          <c:val>
            <c:numRef>
              <c:f>SPWL!$B$52:$B$56</c:f>
              <c:numCache>
                <c:formatCode>0.00</c:formatCode>
                <c:ptCount val="5"/>
                <c:pt idx="0">
                  <c:v>19.194761885999995</c:v>
                </c:pt>
                <c:pt idx="1">
                  <c:v>9.5973809429999903</c:v>
                </c:pt>
                <c:pt idx="2">
                  <c:v>-19.194761885000005</c:v>
                </c:pt>
                <c:pt idx="3">
                  <c:v>-19.601139693000007</c:v>
                </c:pt>
                <c:pt idx="4">
                  <c:v>-0.40637780800000201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5C-BD49-A78A-34324F8E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4"/>
        <c:axId val="1033846991"/>
        <c:axId val="1033848703"/>
      </c:barChart>
      <c:catAx>
        <c:axId val="10338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8703"/>
        <c:crosses val="autoZero"/>
        <c:auto val="1"/>
        <c:lblAlgn val="ctr"/>
        <c:lblOffset val="100"/>
        <c:noMultiLvlLbl val="0"/>
      </c:catAx>
      <c:valAx>
        <c:axId val="10338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$ (billions)</a:t>
                </a:r>
              </a:p>
            </c:rich>
          </c:tx>
          <c:layout>
            <c:manualLayout>
              <c:xMode val="edge"/>
              <c:yMode val="edge"/>
              <c:x val="1.3702115228851033E-2"/>
              <c:y val="0.46200876589455436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$</a:t>
            </a:r>
            <a:r>
              <a:rPr lang="en-GB" baseline="0"/>
              <a:t> </a:t>
            </a:r>
            <a:r>
              <a:rPr lang="en-GB"/>
              <a:t>Change in VIF and Program</a:t>
            </a:r>
            <a:r>
              <a:rPr lang="en-GB" baseline="0"/>
              <a:t> Costs</a:t>
            </a:r>
            <a:r>
              <a:rPr lang="en-GB"/>
              <a:t> Compared to Middle</a:t>
            </a:r>
            <a:r>
              <a:rPr lang="en-GB" baseline="0"/>
              <a:t> Case with Program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[Interest Rate Sensitivity]</a:t>
            </a:r>
            <a:endParaRPr lang="en-GB"/>
          </a:p>
        </c:rich>
      </c:tx>
      <c:layout>
        <c:manualLayout>
          <c:xMode val="edge"/>
          <c:yMode val="edge"/>
          <c:x val="0.18726124099352448"/>
          <c:y val="5.25782942180771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004256224728676E-2"/>
          <c:y val="0.22398026315789474"/>
          <c:w val="0.7649233069679402"/>
          <c:h val="0.69997280356402813"/>
        </c:manualLayout>
      </c:layout>
      <c:barChart>
        <c:barDir val="col"/>
        <c:grouping val="clustered"/>
        <c:varyColors val="0"/>
        <c:ser>
          <c:idx val="1"/>
          <c:order val="0"/>
          <c:tx>
            <c:v>Expected Claims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'T20'!$W$37:$W$40</c:f>
              <c:strCache>
                <c:ptCount val="4"/>
                <c:pt idx="0">
                  <c:v>Sens 6 (Interest 1%)</c:v>
                </c:pt>
                <c:pt idx="1">
                  <c:v>Sens 4 (Interest 2%)</c:v>
                </c:pt>
                <c:pt idx="2">
                  <c:v>Sens 3 (Interest 6%)</c:v>
                </c:pt>
                <c:pt idx="3">
                  <c:v>Sens 5 (Interest 9%)</c:v>
                </c:pt>
              </c:strCache>
            </c:strRef>
          </c:cat>
          <c:val>
            <c:numRef>
              <c:f>'T20'!$AB$37:$AB$40</c:f>
              <c:numCache>
                <c:formatCode>0.00</c:formatCode>
                <c:ptCount val="4"/>
                <c:pt idx="0">
                  <c:v>2.151762613999999</c:v>
                </c:pt>
                <c:pt idx="1">
                  <c:v>1.3530748629999998</c:v>
                </c:pt>
                <c:pt idx="2">
                  <c:v>-1.0926310070000014</c:v>
                </c:pt>
                <c:pt idx="3">
                  <c:v>-2.3701421479999993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0-1047-AD07-965447669495}"/>
            </c:ext>
          </c:extLst>
        </c:ser>
        <c:ser>
          <c:idx val="0"/>
          <c:order val="1"/>
          <c:tx>
            <c:v>Value In-Force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'T20'!$W$37:$W$40</c:f>
              <c:strCache>
                <c:ptCount val="4"/>
                <c:pt idx="0">
                  <c:v>Sens 6 (Interest 1%)</c:v>
                </c:pt>
                <c:pt idx="1">
                  <c:v>Sens 4 (Interest 2%)</c:v>
                </c:pt>
                <c:pt idx="2">
                  <c:v>Sens 3 (Interest 6%)</c:v>
                </c:pt>
                <c:pt idx="3">
                  <c:v>Sens 5 (Interest 9%)</c:v>
                </c:pt>
              </c:strCache>
            </c:strRef>
          </c:cat>
          <c:val>
            <c:numRef>
              <c:f>'T20'!$Z$37:$Z$40</c:f>
              <c:numCache>
                <c:formatCode>0.00</c:formatCode>
                <c:ptCount val="4"/>
                <c:pt idx="0">
                  <c:v>-0.41962466599999981</c:v>
                </c:pt>
                <c:pt idx="1">
                  <c:v>-0.25478022900000052</c:v>
                </c:pt>
                <c:pt idx="2">
                  <c:v>0.17923155300000015</c:v>
                </c:pt>
                <c:pt idx="3">
                  <c:v>0.35161878200000007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0-1047-AD07-96544766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4"/>
        <c:axId val="1033846991"/>
        <c:axId val="1033848703"/>
      </c:barChart>
      <c:catAx>
        <c:axId val="10338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8703"/>
        <c:crosses val="autoZero"/>
        <c:auto val="1"/>
        <c:lblAlgn val="ctr"/>
        <c:lblOffset val="100"/>
        <c:noMultiLvlLbl val="0"/>
      </c:catAx>
      <c:valAx>
        <c:axId val="10338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$ (billion)</a:t>
                </a:r>
              </a:p>
            </c:rich>
          </c:tx>
          <c:layout>
            <c:manualLayout>
              <c:xMode val="edge"/>
              <c:yMode val="edge"/>
              <c:x val="1.2015840125247505E-2"/>
              <c:y val="0.46848125780393957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699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Change in IRR Compared to Middle</a:t>
            </a:r>
            <a:r>
              <a:rPr lang="en-GB" baseline="0"/>
              <a:t> Case with Program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[Interest Rate Sensitivity]</a:t>
            </a:r>
            <a:endParaRPr lang="en-GB"/>
          </a:p>
        </c:rich>
      </c:tx>
      <c:layout>
        <c:manualLayout>
          <c:xMode val="edge"/>
          <c:yMode val="edge"/>
          <c:x val="0.25852969685703286"/>
          <c:y val="4.6105802308691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004256224728676E-2"/>
          <c:y val="0.22398026315789474"/>
          <c:w val="0.87796023236356957"/>
          <c:h val="0.69997280356402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961-8C41-BCC5-CF8D96BA59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F961-8C41-BCC5-CF8D96BA5974}"/>
              </c:ext>
            </c:extLst>
          </c:dPt>
          <c:cat>
            <c:strRef>
              <c:f>'T20'!$W$37:$W$40</c:f>
              <c:strCache>
                <c:ptCount val="4"/>
                <c:pt idx="0">
                  <c:v>Sens 6 (Interest 1%)</c:v>
                </c:pt>
                <c:pt idx="1">
                  <c:v>Sens 4 (Interest 2%)</c:v>
                </c:pt>
                <c:pt idx="2">
                  <c:v>Sens 3 (Interest 6%)</c:v>
                </c:pt>
                <c:pt idx="3">
                  <c:v>Sens 5 (Interest 9%)</c:v>
                </c:pt>
              </c:strCache>
            </c:strRef>
          </c:cat>
          <c:val>
            <c:numRef>
              <c:f>'T20'!$AC$37:$AC$40</c:f>
              <c:numCache>
                <c:formatCode>0.00</c:formatCode>
                <c:ptCount val="4"/>
                <c:pt idx="0">
                  <c:v>0.13998434600000031</c:v>
                </c:pt>
                <c:pt idx="1">
                  <c:v>8.8679713000000326E-2</c:v>
                </c:pt>
                <c:pt idx="2">
                  <c:v>-7.3509912000000011E-2</c:v>
                </c:pt>
                <c:pt idx="3">
                  <c:v>-0.16210421399999975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1-8C41-BCC5-CF8D96BA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4"/>
        <c:axId val="1033846991"/>
        <c:axId val="1033848703"/>
      </c:barChart>
      <c:catAx>
        <c:axId val="10338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8703"/>
        <c:crosses val="autoZero"/>
        <c:auto val="1"/>
        <c:lblAlgn val="ctr"/>
        <c:lblOffset val="100"/>
        <c:noMultiLvlLbl val="0"/>
      </c:catAx>
      <c:valAx>
        <c:axId val="10338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1.3702115228851029E-2"/>
              <c:y val="0.54615116071656089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Change in Appraisal</a:t>
            </a:r>
            <a:r>
              <a:rPr lang="en-GB" baseline="0"/>
              <a:t> Value</a:t>
            </a:r>
            <a:r>
              <a:rPr lang="en-GB"/>
              <a:t> Compared to Middle</a:t>
            </a:r>
            <a:r>
              <a:rPr lang="en-GB" baseline="0"/>
              <a:t> Case with Program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[Asset Earning Rate Sensitivity]</a:t>
            </a:r>
            <a:endParaRPr lang="en-GB"/>
          </a:p>
        </c:rich>
      </c:tx>
      <c:layout>
        <c:manualLayout>
          <c:xMode val="edge"/>
          <c:yMode val="edge"/>
          <c:x val="0.19107607122465509"/>
          <c:y val="5.25782942180771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004256224728676E-2"/>
          <c:y val="0.22398026315789474"/>
          <c:w val="0.87796023236356957"/>
          <c:h val="0.69997280356402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5253-0648-9C54-6147735EA1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5253-0648-9C54-6147735EA169}"/>
              </c:ext>
            </c:extLst>
          </c:dPt>
          <c:cat>
            <c:strRef>
              <c:f>'T20'!$W$41:$W$44</c:f>
              <c:strCache>
                <c:ptCount val="4"/>
                <c:pt idx="0">
                  <c:v>Sens 10 (Asset Earning Rate 1%)</c:v>
                </c:pt>
                <c:pt idx="1">
                  <c:v>Sens 8 (Asset Earning Rate 4%)</c:v>
                </c:pt>
                <c:pt idx="2">
                  <c:v>Sens 7 (Asset Earning Rate 8%)</c:v>
                </c:pt>
                <c:pt idx="3">
                  <c:v>Sens 9 (Asset Earning Rate 14%)</c:v>
                </c:pt>
              </c:strCache>
            </c:strRef>
          </c:cat>
          <c:val>
            <c:numRef>
              <c:f>'T20'!$Z$41:$Z$44</c:f>
              <c:numCache>
                <c:formatCode>0.00</c:formatCode>
                <c:ptCount val="4"/>
                <c:pt idx="0">
                  <c:v>-1.6286241600000002</c:v>
                </c:pt>
                <c:pt idx="1">
                  <c:v>-0.65144966400000026</c:v>
                </c:pt>
                <c:pt idx="2">
                  <c:v>0.65144966399999937</c:v>
                </c:pt>
                <c:pt idx="3">
                  <c:v>2.6057986570000002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3-0648-9C54-6147735E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4"/>
        <c:axId val="1033846991"/>
        <c:axId val="1033848703"/>
      </c:barChart>
      <c:catAx>
        <c:axId val="10338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8703"/>
        <c:crosses val="autoZero"/>
        <c:auto val="1"/>
        <c:lblAlgn val="ctr"/>
        <c:lblOffset val="100"/>
        <c:noMultiLvlLbl val="0"/>
      </c:catAx>
      <c:valAx>
        <c:axId val="10338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$ (billions)</a:t>
                </a:r>
              </a:p>
            </c:rich>
          </c:tx>
          <c:layout>
            <c:manualLayout>
              <c:xMode val="edge"/>
              <c:yMode val="edge"/>
              <c:x val="1.3702115228851033E-2"/>
              <c:y val="0.46200876589455436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Profit Margin For Different Sensitivities Compared with Middle</a:t>
            </a:r>
            <a:r>
              <a:rPr lang="en-GB" sz="2000" baseline="0"/>
              <a:t> Case with Program</a:t>
            </a:r>
            <a:endParaRPr lang="en-GB" sz="2000"/>
          </a:p>
        </c:rich>
      </c:tx>
      <c:layout>
        <c:manualLayout>
          <c:xMode val="edge"/>
          <c:yMode val="edge"/>
          <c:x val="0.18332679097154073"/>
          <c:y val="3.24675324675324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215905666355003E-2"/>
          <c:y val="0.13293298564952108"/>
          <c:w val="0.9559891973758432"/>
          <c:h val="0.60027081842042485"/>
        </c:manualLayout>
      </c:layout>
      <c:lineChart>
        <c:grouping val="standard"/>
        <c:varyColors val="0"/>
        <c:ser>
          <c:idx val="0"/>
          <c:order val="0"/>
          <c:marker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C63-B144-984B-931B5A0AEE24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63-B144-984B-931B5A0AEE24}"/>
              </c:ext>
            </c:extLst>
          </c:dPt>
          <c:cat>
            <c:strRef>
              <c:f>'T20'!$J$33:$J$48</c:f>
              <c:strCache>
                <c:ptCount val="16"/>
                <c:pt idx="0">
                  <c:v>Without program</c:v>
                </c:pt>
                <c:pt idx="1">
                  <c:v>Base Case With Program</c:v>
                </c:pt>
                <c:pt idx="2">
                  <c:v>Sens 1 (Worst case)</c:v>
                </c:pt>
                <c:pt idx="3">
                  <c:v>Sens 2 (Best case)</c:v>
                </c:pt>
                <c:pt idx="4">
                  <c:v>Sens 6 (Interest 1%)</c:v>
                </c:pt>
                <c:pt idx="5">
                  <c:v>Sens 4 (Interest 2%)</c:v>
                </c:pt>
                <c:pt idx="6">
                  <c:v>Sens 3 (Interest 6%)</c:v>
                </c:pt>
                <c:pt idx="7">
                  <c:v>Sens 5 (Interest 9%)</c:v>
                </c:pt>
                <c:pt idx="8">
                  <c:v>Sens 10 (Asset Earning Rate 1%)</c:v>
                </c:pt>
                <c:pt idx="9">
                  <c:v>Sens 8 (Asset Earning Rate 4%)</c:v>
                </c:pt>
                <c:pt idx="10">
                  <c:v>Sens 7 (Asset Earning Rate 8%)</c:v>
                </c:pt>
                <c:pt idx="11">
                  <c:v>Sens 9 (Asset Earning Rate 14%)</c:v>
                </c:pt>
                <c:pt idx="12">
                  <c:v>Sens 15 (Acquisition Expense 100%)</c:v>
                </c:pt>
                <c:pt idx="13">
                  <c:v>Sens 14 (Acquisition Expense 150%)</c:v>
                </c:pt>
                <c:pt idx="14">
                  <c:v>Sens 12 (Renewal Expense $250)</c:v>
                </c:pt>
                <c:pt idx="15">
                  <c:v>Sens 13 (Acquistion 300%, Renewal Expense $250)</c:v>
                </c:pt>
              </c:strCache>
            </c:strRef>
          </c:cat>
          <c:val>
            <c:numRef>
              <c:f>'T20'!$U$33:$U$48</c:f>
              <c:numCache>
                <c:formatCode>0.0%</c:formatCode>
                <c:ptCount val="16"/>
                <c:pt idx="0">
                  <c:v>0.17608860000000001</c:v>
                </c:pt>
                <c:pt idx="1">
                  <c:v>0.19182060000000001</c:v>
                </c:pt>
                <c:pt idx="2">
                  <c:v>0.18540200000000001</c:v>
                </c:pt>
                <c:pt idx="3">
                  <c:v>0.19470580000000001</c:v>
                </c:pt>
                <c:pt idx="4">
                  <c:v>0.17996210000000001</c:v>
                </c:pt>
                <c:pt idx="5">
                  <c:v>0.18462049999999999</c:v>
                </c:pt>
                <c:pt idx="6">
                  <c:v>0.19688559999999999</c:v>
                </c:pt>
                <c:pt idx="7">
                  <c:v>0.2017573</c:v>
                </c:pt>
                <c:pt idx="8">
                  <c:v>0.14579600000000001</c:v>
                </c:pt>
                <c:pt idx="9">
                  <c:v>0.1734107</c:v>
                </c:pt>
                <c:pt idx="10">
                  <c:v>0.21023040000000001</c:v>
                </c:pt>
                <c:pt idx="11">
                  <c:v>0.26545999999999997</c:v>
                </c:pt>
                <c:pt idx="12">
                  <c:v>0.26610980000000001</c:v>
                </c:pt>
                <c:pt idx="13">
                  <c:v>0.23073399999999999</c:v>
                </c:pt>
                <c:pt idx="14">
                  <c:v>0.1730633</c:v>
                </c:pt>
                <c:pt idx="15">
                  <c:v>0.1058492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3-B144-984B-931B5A0A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387968"/>
        <c:axId val="393389680"/>
      </c:lineChart>
      <c:catAx>
        <c:axId val="3933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9680"/>
        <c:crosses val="autoZero"/>
        <c:auto val="1"/>
        <c:lblAlgn val="ctr"/>
        <c:lblOffset val="100"/>
        <c:noMultiLvlLbl val="0"/>
      </c:catAx>
      <c:valAx>
        <c:axId val="3933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7968"/>
        <c:crosses val="autoZero"/>
        <c:crossBetween val="between"/>
      </c:valAx>
    </c:plotArea>
    <c:plotVisOnly val="1"/>
    <c:dispBlanksAs val="gap"/>
    <c:showDLblsOverMax val="0"/>
    <c:extLst/>
  </c:chart>
  <c:txPr>
    <a:bodyPr rot="192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Change in Appraisal</a:t>
            </a:r>
            <a:r>
              <a:rPr lang="en-GB" baseline="0"/>
              <a:t> </a:t>
            </a:r>
            <a:r>
              <a:rPr lang="en-GB"/>
              <a:t>Compared to Middle</a:t>
            </a:r>
            <a:r>
              <a:rPr lang="en-GB" baseline="0"/>
              <a:t> Case with Program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[Expense Sensitivity]</a:t>
            </a:r>
            <a:endParaRPr lang="en-GB"/>
          </a:p>
        </c:rich>
      </c:tx>
      <c:layout>
        <c:manualLayout>
          <c:xMode val="edge"/>
          <c:yMode val="edge"/>
          <c:x val="0.26404999823452563"/>
          <c:y val="5.25782942180771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004256224728676E-2"/>
          <c:y val="0.17544779629818996"/>
          <c:w val="0.87796023236356957"/>
          <c:h val="0.655816954698844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551-2B4B-9716-3A2AC9005B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D551-2B4B-9716-3A2AC9005B40}"/>
              </c:ext>
            </c:extLst>
          </c:dPt>
          <c:cat>
            <c:strRef>
              <c:f>'T20'!$W$45:$W$48</c:f>
              <c:strCache>
                <c:ptCount val="4"/>
                <c:pt idx="0">
                  <c:v>Sens 15 (Acquisition Expense 100%)</c:v>
                </c:pt>
                <c:pt idx="1">
                  <c:v>Sens 14 (Acquisition Expense 150%)</c:v>
                </c:pt>
                <c:pt idx="2">
                  <c:v>Sens 12 (Renewal Expense $250)</c:v>
                </c:pt>
                <c:pt idx="3">
                  <c:v>Sens 13 (Acquistion 300%, Renewal Expense $250)</c:v>
                </c:pt>
              </c:strCache>
            </c:strRef>
          </c:cat>
          <c:val>
            <c:numRef>
              <c:f>'T20'!$AA$45:$AA$48</c:f>
              <c:numCache>
                <c:formatCode>0.00</c:formatCode>
                <c:ptCount val="4"/>
                <c:pt idx="0">
                  <c:v>2.7488858509999989</c:v>
                </c:pt>
                <c:pt idx="1">
                  <c:v>1.4398925889999994</c:v>
                </c:pt>
                <c:pt idx="2">
                  <c:v>-0.6969622900000001</c:v>
                </c:pt>
                <c:pt idx="3">
                  <c:v>-3.184049489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1-2B4B-9716-3A2AC900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4"/>
        <c:axId val="1033846991"/>
        <c:axId val="1033848703"/>
      </c:barChart>
      <c:catAx>
        <c:axId val="10338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8703"/>
        <c:crosses val="autoZero"/>
        <c:auto val="1"/>
        <c:lblAlgn val="ctr"/>
        <c:lblOffset val="100"/>
        <c:noMultiLvlLbl val="0"/>
      </c:catAx>
      <c:valAx>
        <c:axId val="10338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$ (billions)</a:t>
                </a:r>
              </a:p>
            </c:rich>
          </c:tx>
          <c:layout>
            <c:manualLayout>
              <c:xMode val="edge"/>
              <c:yMode val="edge"/>
              <c:x val="1.3702115228851033E-2"/>
              <c:y val="0.46200876589455436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 Change in VIF Compared to Middle</a:t>
            </a:r>
            <a:r>
              <a:rPr lang="en-GB" baseline="0"/>
              <a:t> Case with Program:</a:t>
            </a:r>
          </a:p>
          <a:p>
            <a:pPr>
              <a:defRPr/>
            </a:pPr>
            <a:r>
              <a:rPr lang="en-GB"/>
              <a:t>[Mortality, Lapse, &amp; Program</a:t>
            </a:r>
            <a:r>
              <a:rPr lang="en-GB" baseline="0"/>
              <a:t> Cost</a:t>
            </a:r>
            <a:r>
              <a:rPr lang="en-GB"/>
              <a:t> Sensitivity]</a:t>
            </a:r>
          </a:p>
        </c:rich>
      </c:tx>
      <c:layout>
        <c:manualLayout>
          <c:xMode val="edge"/>
          <c:yMode val="edge"/>
          <c:x val="0.19065958364793442"/>
          <c:y val="7.0739549839228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8069607737389"/>
          <c:y val="0.24495176848874603"/>
          <c:w val="0.84142415417250926"/>
          <c:h val="0.68071296554168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36-EA49-A3FD-812100474768}"/>
              </c:ext>
            </c:extLst>
          </c:dPt>
          <c:cat>
            <c:strRef>
              <c:f>'T20'!$W$35:$W$36</c:f>
              <c:strCache>
                <c:ptCount val="2"/>
                <c:pt idx="0">
                  <c:v>Sens 1 (Worst case)</c:v>
                </c:pt>
                <c:pt idx="1">
                  <c:v>Sens 2 (Best case)</c:v>
                </c:pt>
              </c:strCache>
            </c:strRef>
          </c:cat>
          <c:val>
            <c:numRef>
              <c:f>SPWL!$B$42:$B$43</c:f>
              <c:numCache>
                <c:formatCode>0.00</c:formatCode>
                <c:ptCount val="2"/>
                <c:pt idx="0">
                  <c:v>-2.0435391070000009</c:v>
                </c:pt>
                <c:pt idx="1">
                  <c:v>3.1384705139999909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6-EA49-A3FD-812100474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88"/>
        <c:axId val="1937063951"/>
        <c:axId val="947840127"/>
      </c:barChart>
      <c:catAx>
        <c:axId val="193706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40127"/>
        <c:crosses val="autoZero"/>
        <c:auto val="1"/>
        <c:lblAlgn val="ctr"/>
        <c:lblOffset val="100"/>
        <c:noMultiLvlLbl val="0"/>
      </c:catAx>
      <c:valAx>
        <c:axId val="9478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$ (billiona)</a:t>
                </a:r>
              </a:p>
            </c:rich>
          </c:tx>
          <c:layout>
            <c:manualLayout>
              <c:xMode val="edge"/>
              <c:yMode val="edge"/>
              <c:x val="2.9022219825261569E-2"/>
              <c:y val="0.45961693293161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6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$</a:t>
            </a:r>
            <a:r>
              <a:rPr lang="en-GB" baseline="0"/>
              <a:t> </a:t>
            </a:r>
            <a:r>
              <a:rPr lang="en-GB"/>
              <a:t>Change in VIF and Program</a:t>
            </a:r>
            <a:r>
              <a:rPr lang="en-GB" baseline="0"/>
              <a:t> Costs</a:t>
            </a:r>
            <a:r>
              <a:rPr lang="en-GB"/>
              <a:t> Compared to Middle</a:t>
            </a:r>
            <a:r>
              <a:rPr lang="en-GB" baseline="0"/>
              <a:t> Case with Program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[Interest Rate Sensitivity]</a:t>
            </a:r>
            <a:endParaRPr lang="en-GB"/>
          </a:p>
        </c:rich>
      </c:tx>
      <c:layout>
        <c:manualLayout>
          <c:xMode val="edge"/>
          <c:yMode val="edge"/>
          <c:x val="0.18726124099352448"/>
          <c:y val="5.25782942180771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004256224728676E-2"/>
          <c:y val="0.22398026315789474"/>
          <c:w val="0.7649233069679402"/>
          <c:h val="0.69997280356402813"/>
        </c:manualLayout>
      </c:layout>
      <c:barChart>
        <c:barDir val="col"/>
        <c:grouping val="clustered"/>
        <c:varyColors val="0"/>
        <c:ser>
          <c:idx val="1"/>
          <c:order val="0"/>
          <c:tx>
            <c:v>Expected Claims</c:v>
          </c:tx>
          <c:invertIfNegative val="0"/>
          <c:cat>
            <c:strRef>
              <c:f>'T20'!$W$37:$W$40</c:f>
              <c:strCache>
                <c:ptCount val="4"/>
                <c:pt idx="0">
                  <c:v>Sens 6 (Interest 1%)</c:v>
                </c:pt>
                <c:pt idx="1">
                  <c:v>Sens 4 (Interest 2%)</c:v>
                </c:pt>
                <c:pt idx="2">
                  <c:v>Sens 3 (Interest 6%)</c:v>
                </c:pt>
                <c:pt idx="3">
                  <c:v>Sens 5 (Interest 9%)</c:v>
                </c:pt>
              </c:strCache>
            </c:strRef>
          </c:cat>
          <c:val>
            <c:numRef>
              <c:f>SPWL!$C$44:$C$47</c:f>
              <c:numCache>
                <c:formatCode>0.00</c:formatCode>
                <c:ptCount val="4"/>
                <c:pt idx="0">
                  <c:v>89.785647909999994</c:v>
                </c:pt>
                <c:pt idx="1">
                  <c:v>49.964532235000007</c:v>
                </c:pt>
                <c:pt idx="2">
                  <c:v>-27.898520023999993</c:v>
                </c:pt>
                <c:pt idx="3">
                  <c:v>-50.287369630999997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9-AE45-A6CA-552BA930C542}"/>
            </c:ext>
          </c:extLst>
        </c:ser>
        <c:ser>
          <c:idx val="0"/>
          <c:order val="1"/>
          <c:tx>
            <c:v>Value In-Force</c:v>
          </c:tx>
          <c:invertIfNegative val="0"/>
          <c:cat>
            <c:strRef>
              <c:f>'T20'!$W$37:$W$40</c:f>
              <c:strCache>
                <c:ptCount val="4"/>
                <c:pt idx="0">
                  <c:v>Sens 6 (Interest 1%)</c:v>
                </c:pt>
                <c:pt idx="1">
                  <c:v>Sens 4 (Interest 2%)</c:v>
                </c:pt>
                <c:pt idx="2">
                  <c:v>Sens 3 (Interest 6%)</c:v>
                </c:pt>
                <c:pt idx="3">
                  <c:v>Sens 5 (Interest 9%)</c:v>
                </c:pt>
              </c:strCache>
            </c:strRef>
          </c:cat>
          <c:val>
            <c:numRef>
              <c:f>SPWL!$B$44:$B$47</c:f>
              <c:numCache>
                <c:formatCode>0.00</c:formatCode>
                <c:ptCount val="4"/>
                <c:pt idx="0">
                  <c:v>30.286561820999992</c:v>
                </c:pt>
                <c:pt idx="1">
                  <c:v>16.109007884999997</c:v>
                </c:pt>
                <c:pt idx="2">
                  <c:v>-7.3665551790000094</c:v>
                </c:pt>
                <c:pt idx="3">
                  <c:v>-11.327083626000004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9-AE45-A6CA-552BA930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4"/>
        <c:axId val="1033846991"/>
        <c:axId val="1033848703"/>
      </c:barChart>
      <c:catAx>
        <c:axId val="10338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8703"/>
        <c:crosses val="autoZero"/>
        <c:auto val="1"/>
        <c:lblAlgn val="ctr"/>
        <c:lblOffset val="100"/>
        <c:noMultiLvlLbl val="0"/>
      </c:catAx>
      <c:valAx>
        <c:axId val="10338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$ (billion)</a:t>
                </a:r>
              </a:p>
            </c:rich>
          </c:tx>
          <c:layout>
            <c:manualLayout>
              <c:xMode val="edge"/>
              <c:yMode val="edge"/>
              <c:x val="1.2015840125247505E-2"/>
              <c:y val="0.46848125780393957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699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Change in Loss Ratio Compared to Middle</a:t>
            </a:r>
            <a:r>
              <a:rPr lang="en-GB" baseline="0"/>
              <a:t> Case with Program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[Interest Rate Sensitivity]</a:t>
            </a:r>
            <a:endParaRPr lang="en-GB"/>
          </a:p>
        </c:rich>
      </c:tx>
      <c:layout>
        <c:manualLayout>
          <c:xMode val="edge"/>
          <c:yMode val="edge"/>
          <c:x val="0.24166629044893839"/>
          <c:y val="4.93420482633845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004256224728676E-2"/>
          <c:y val="0.22398026315789474"/>
          <c:w val="0.87796023236356957"/>
          <c:h val="0.69997280356402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141-364C-B1BF-6E348A7DF8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141-364C-B1BF-6E348A7DF82E}"/>
              </c:ext>
            </c:extLst>
          </c:dPt>
          <c:cat>
            <c:strRef>
              <c:f>'T20'!$W$37:$W$40</c:f>
              <c:strCache>
                <c:ptCount val="4"/>
                <c:pt idx="0">
                  <c:v>Sens 6 (Interest 1%)</c:v>
                </c:pt>
                <c:pt idx="1">
                  <c:v>Sens 4 (Interest 2%)</c:v>
                </c:pt>
                <c:pt idx="2">
                  <c:v>Sens 3 (Interest 6%)</c:v>
                </c:pt>
                <c:pt idx="3">
                  <c:v>Sens 5 (Interest 9%)</c:v>
                </c:pt>
              </c:strCache>
            </c:strRef>
          </c:cat>
          <c:val>
            <c:numRef>
              <c:f>SPWL!$E$44:$E$47</c:f>
              <c:numCache>
                <c:formatCode>0.00%</c:formatCode>
                <c:ptCount val="4"/>
                <c:pt idx="0">
                  <c:v>0.46776118999999994</c:v>
                </c:pt>
                <c:pt idx="1">
                  <c:v>0.26030294999999992</c:v>
                </c:pt>
                <c:pt idx="2">
                  <c:v>-0.14534445000000001</c:v>
                </c:pt>
                <c:pt idx="3">
                  <c:v>-0.26198486000000004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1-364C-B1BF-6E348A7D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4"/>
        <c:axId val="1033846991"/>
        <c:axId val="1033848703"/>
      </c:barChart>
      <c:catAx>
        <c:axId val="10338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8703"/>
        <c:crosses val="autoZero"/>
        <c:auto val="1"/>
        <c:lblAlgn val="ctr"/>
        <c:lblOffset val="100"/>
        <c:noMultiLvlLbl val="0"/>
      </c:catAx>
      <c:valAx>
        <c:axId val="10338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1.3702115228851029E-2"/>
              <c:y val="0.54615116071656089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469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1562100</xdr:colOff>
      <xdr:row>54</xdr:row>
      <xdr:rowOff>38100</xdr:rowOff>
    </xdr:from>
    <xdr:to>
      <xdr:col>14</xdr:col>
      <xdr:colOff>63500</xdr:colOff>
      <xdr:row>74</xdr:row>
      <xdr:rowOff>177800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9114898-812D-98A7-951F-6A5A0946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54</xdr:row>
      <xdr:rowOff>63500</xdr:rowOff>
    </xdr:from>
    <xdr:to>
      <xdr:col>22</xdr:col>
      <xdr:colOff>1041400</xdr:colOff>
      <xdr:row>74</xdr:row>
      <xdr:rowOff>177800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F4D6D74-0CDE-D8DC-A439-250CBE1D6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1244600</xdr:colOff>
      <xdr:row>54</xdr:row>
      <xdr:rowOff>88900</xdr:rowOff>
    </xdr:from>
    <xdr:to>
      <xdr:col>28</xdr:col>
      <xdr:colOff>825500</xdr:colOff>
      <xdr:row>75</xdr:row>
      <xdr:rowOff>12700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ED75544F-C21B-B24E-B6DC-4DF68D313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1231900</xdr:colOff>
      <xdr:row>75</xdr:row>
      <xdr:rowOff>127000</xdr:rowOff>
    </xdr:from>
    <xdr:to>
      <xdr:col>28</xdr:col>
      <xdr:colOff>812800</xdr:colOff>
      <xdr:row>96</xdr:row>
      <xdr:rowOff>50800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D241992D-D061-9547-A765-070FA3C55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2057400</xdr:colOff>
      <xdr:row>75</xdr:row>
      <xdr:rowOff>139700</xdr:rowOff>
    </xdr:from>
    <xdr:to>
      <xdr:col>22</xdr:col>
      <xdr:colOff>1028700</xdr:colOff>
      <xdr:row>109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55E48E-9866-55A4-8EBC-80BB7E51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1206500</xdr:colOff>
      <xdr:row>96</xdr:row>
      <xdr:rowOff>177800</xdr:rowOff>
    </xdr:from>
    <xdr:to>
      <xdr:col>28</xdr:col>
      <xdr:colOff>889000</xdr:colOff>
      <xdr:row>122</xdr:row>
      <xdr:rowOff>114300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7D05688F-F25C-034B-8731-1AE6C36C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0.00603</cdr:x>
      <cdr:y>0.01294</cdr:y>
    </cdr:from>
    <cdr:to>
      <cdr:x>0.09947</cdr:x>
      <cdr:y>0.12298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6F88970-0A0F-FF93-13A7-FF3F2602517A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787375" cy="431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SPWL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0.00675</cdr:x>
      <cdr:y>0.01294</cdr:y>
    </cdr:from>
    <cdr:to>
      <cdr:x>0.1113</cdr:x>
      <cdr:y>0.12298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F88970-0A0F-FF93-13A7-FF3F2602517A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787375" cy="431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SPWL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0.00675</cdr:x>
      <cdr:y>0.01294</cdr:y>
    </cdr:from>
    <cdr:to>
      <cdr:x>0.1113</cdr:x>
      <cdr:y>0.12298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F88970-0A0F-FF93-13A7-FF3F2602517A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787375" cy="431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SPWL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0.00373</cdr:x>
      <cdr:y>0.0082</cdr:y>
    </cdr:from>
    <cdr:to>
      <cdr:x>0.06151</cdr:x>
      <cdr:y>0.07787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F88970-0A0F-FF93-13A7-FF3F2602517A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787375" cy="431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SPWL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0.00666</cdr:x>
      <cdr:y>0.01039</cdr:y>
    </cdr:from>
    <cdr:to>
      <cdr:x>0.10981</cdr:x>
      <cdr:y>0.09871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F88970-0A0F-FF93-13A7-FF3F2602517A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787375" cy="431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SPWL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0.01142</cdr:x>
      <cdr:y>0.01286</cdr:y>
    </cdr:from>
    <cdr:to>
      <cdr:x>0.10502</cdr:x>
      <cdr:y>0.12219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1DA33B-8CA3-B1DF-7A06-E09AF0C366FC}"/>
            </a:ext>
          </a:extLst>
        </cdr:cNvPr>
        <cdr:cNvSpPr txBox="1"/>
      </cdr:nvSpPr>
      <cdr:spPr>
        <a:xfrm xmlns:a="http://schemas.openxmlformats.org/drawingml/2006/main">
          <a:off x="63500" y="50800"/>
          <a:ext cx="520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T20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0.00603</cdr:x>
      <cdr:y>0.01294</cdr:y>
    </cdr:from>
    <cdr:to>
      <cdr:x>0.06782</cdr:x>
      <cdr:y>0.12298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589EA8-9610-6BA4-ECEF-D2C5564C3E8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20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T20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0.00675</cdr:x>
      <cdr:y>0.01294</cdr:y>
    </cdr:from>
    <cdr:to>
      <cdr:x>0.07589</cdr:x>
      <cdr:y>0.12298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589EA8-9610-6BA4-ECEF-D2C5564C3E8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20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T20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0.00675</cdr:x>
      <cdr:y>0.01294</cdr:y>
    </cdr:from>
    <cdr:to>
      <cdr:x>0.07589</cdr:x>
      <cdr:y>0.12298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589EA8-9610-6BA4-ECEF-D2C5564C3E8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20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T20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0.00373</cdr:x>
      <cdr:y>0.0082</cdr:y>
    </cdr:from>
    <cdr:to>
      <cdr:x>0.04194</cdr:x>
      <cdr:y>0.07787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954A1B-D938-2AFA-4F85-2D5008E2C4A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20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T20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0.00598</cdr:x>
      <cdr:y>0.01294</cdr:y>
    </cdr:from>
    <cdr:to>
      <cdr:x>0.08153</cdr:x>
      <cdr:y>0.12298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589EA8-9610-6BA4-ECEF-D2C5564C3E87}"/>
            </a:ext>
          </a:extLst>
        </cdr:cNvPr>
        <cdr:cNvSpPr txBox="1"/>
      </cdr:nvSpPr>
      <cdr:spPr>
        <a:xfrm xmlns:a="http://schemas.openxmlformats.org/drawingml/2006/main">
          <a:off x="45636" y="63294"/>
          <a:ext cx="576664" cy="538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T20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334211</xdr:colOff>
      <xdr:row>64</xdr:row>
      <xdr:rowOff>26737</xdr:rowOff>
    </xdr:from>
    <xdr:to>
      <xdr:col>6</xdr:col>
      <xdr:colOff>918411</xdr:colOff>
      <xdr:row>84</xdr:row>
      <xdr:rowOff>166437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F0D5F-51B8-7245-AA2E-4F7F54BDB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64</xdr:row>
      <xdr:rowOff>38100</xdr:rowOff>
    </xdr:from>
    <xdr:to>
      <xdr:col>13</xdr:col>
      <xdr:colOff>863600</xdr:colOff>
      <xdr:row>84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EE650-BF11-9E4C-9887-00540D36E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64</xdr:row>
      <xdr:rowOff>63500</xdr:rowOff>
    </xdr:from>
    <xdr:to>
      <xdr:col>21</xdr:col>
      <xdr:colOff>596900</xdr:colOff>
      <xdr:row>84</xdr:row>
      <xdr:rowOff>177800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79401D-0DE8-3545-B1AD-2289448C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177800</xdr:colOff>
      <xdr:row>85</xdr:row>
      <xdr:rowOff>101600</xdr:rowOff>
    </xdr:from>
    <xdr:to>
      <xdr:col>21</xdr:col>
      <xdr:colOff>584200</xdr:colOff>
      <xdr:row>106</xdr:row>
      <xdr:rowOff>25400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C6F36928-450A-2041-B4A2-256178248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863600</xdr:colOff>
      <xdr:row>85</xdr:row>
      <xdr:rowOff>114300</xdr:rowOff>
    </xdr:from>
    <xdr:to>
      <xdr:col>13</xdr:col>
      <xdr:colOff>850900</xdr:colOff>
      <xdr:row>118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8356C2-F953-BB4A-8D02-63DAEAE60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106</xdr:row>
      <xdr:rowOff>152400</xdr:rowOff>
    </xdr:from>
    <xdr:to>
      <xdr:col>21</xdr:col>
      <xdr:colOff>660400</xdr:colOff>
      <xdr:row>132</xdr:row>
      <xdr:rowOff>88900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5D43AC3-6C58-D64A-BAB0-CD59B51C5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0.01142</cdr:x>
      <cdr:y>0.01286</cdr:y>
    </cdr:from>
    <cdr:to>
      <cdr:x>0.15297</cdr:x>
      <cdr:y>0.12219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1DA33B-8CA3-B1DF-7A06-E09AF0C366FC}"/>
            </a:ext>
          </a:extLst>
        </cdr:cNvPr>
        <cdr:cNvSpPr txBox="1"/>
      </cdr:nvSpPr>
      <cdr:spPr>
        <a:xfrm xmlns:a="http://schemas.openxmlformats.org/drawingml/2006/main">
          <a:off x="63525" y="50793"/>
          <a:ext cx="787375" cy="431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ysClr val="windowText" lastClr="000000"/>
              </a:solidFill>
            </a:rPr>
            <a:t>SPWL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H48"/>
  <sheetViews>
    <sheetView tabSelected="1" topLeftCell="H1" zoomScale="55" zoomScaleNormal="140" workbookViewId="0">
      <selection activeCell="AC17" sqref="AC17"/>
    </sheetView>
  </sheetViews>
  <sheetFormatPr defaultColWidth="8.81640625" defaultRowHeight="14.5" x14ac:dyDescent="0.35"/>
  <cols>
    <col min="1" max="1" width="38.6328125" bestFit="1" customWidth="1"/>
    <col min="3" max="3" width="14.453125" bestFit="1" customWidth="1"/>
    <col min="4" max="6" width="14.453125" customWidth="1"/>
    <col min="7" max="7" width="15.81640625" bestFit="1" customWidth="1"/>
    <col min="8" max="9" width="14.453125" customWidth="1"/>
    <col min="10" max="10" width="38.6328125" bestFit="1" customWidth="1"/>
    <col min="11" max="11" width="11.453125" bestFit="1" customWidth="1"/>
    <col min="13" max="13" width="17.81640625" bestFit="1" customWidth="1"/>
    <col min="14" max="14" width="15.81640625" bestFit="1" customWidth="1"/>
    <col min="15" max="15" width="13.36328125" bestFit="1" customWidth="1"/>
    <col min="16" max="16" width="12" bestFit="1" customWidth="1"/>
    <col min="19" max="20" width="13" bestFit="1" customWidth="1"/>
    <col min="21" max="22" width="10.1796875" bestFit="1" customWidth="1"/>
    <col min="23" max="23" width="43.6328125" bestFit="1" customWidth="1"/>
    <col min="24" max="24" width="10.6328125" customWidth="1"/>
    <col min="25" max="25" width="11.08984375" bestFit="1" customWidth="1"/>
    <col min="26" max="26" width="21" bestFit="1" customWidth="1"/>
    <col min="27" max="27" width="19.90625" bestFit="1" customWidth="1"/>
    <col min="28" max="28" width="20.7265625" bestFit="1" customWidth="1"/>
    <col min="29" max="29" width="19.08984375" bestFit="1" customWidth="1"/>
    <col min="30" max="30" width="10.6328125" customWidth="1"/>
    <col min="31" max="31" width="11.1796875" bestFit="1" customWidth="1"/>
    <col min="32" max="32" width="14.26953125" bestFit="1" customWidth="1"/>
    <col min="33" max="33" width="15.81640625" bestFit="1" customWidth="1"/>
    <col min="34" max="34" width="13.36328125" bestFit="1" customWidth="1"/>
  </cols>
  <sheetData>
    <row r="3" spans="1:34" ht="15" thickBot="1" x14ac:dyDescent="0.4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3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W3" s="5" t="s">
        <v>114</v>
      </c>
      <c r="X3" s="5" t="s">
        <v>115</v>
      </c>
      <c r="Y3" s="5" t="s">
        <v>116</v>
      </c>
      <c r="Z3" s="5" t="s">
        <v>117</v>
      </c>
      <c r="AA3" s="5" t="s">
        <v>118</v>
      </c>
      <c r="AB3" s="5" t="s">
        <v>119</v>
      </c>
      <c r="AC3" s="5" t="s">
        <v>120</v>
      </c>
      <c r="AD3" s="5" t="s">
        <v>12</v>
      </c>
      <c r="AE3" s="5" t="s">
        <v>121</v>
      </c>
      <c r="AF3" s="5" t="s">
        <v>122</v>
      </c>
      <c r="AG3" s="5" t="s">
        <v>123</v>
      </c>
      <c r="AH3" s="5" t="s">
        <v>124</v>
      </c>
    </row>
    <row r="4" spans="1:34" ht="15" thickBot="1" x14ac:dyDescent="0.4">
      <c r="A4" t="s">
        <v>18</v>
      </c>
      <c r="B4" s="1">
        <v>0.04</v>
      </c>
      <c r="C4" s="1">
        <v>0.06</v>
      </c>
      <c r="D4" t="s">
        <v>19</v>
      </c>
      <c r="E4" t="s">
        <v>19</v>
      </c>
      <c r="F4" t="s">
        <v>19</v>
      </c>
      <c r="G4" s="2">
        <v>2.0499999999999998</v>
      </c>
      <c r="H4">
        <v>170</v>
      </c>
      <c r="J4" t="s">
        <v>18</v>
      </c>
      <c r="K4" s="3">
        <f>6231058790/10^9</f>
        <v>6.2310587899999996</v>
      </c>
      <c r="L4" s="3">
        <f>44120150/10^9</f>
        <v>4.4120149999999997E-2</v>
      </c>
      <c r="M4" s="3">
        <f>K4</f>
        <v>6.2310587899999996</v>
      </c>
      <c r="N4" s="3">
        <f>SUM(K4:L4)</f>
        <v>6.27517894</v>
      </c>
      <c r="O4" s="3">
        <f>20330854382/10^9</f>
        <v>20.330854381999998</v>
      </c>
      <c r="P4">
        <v>0</v>
      </c>
      <c r="Q4" s="4">
        <f>K4/$K$5*$Q$5</f>
        <v>0.27337619904779853</v>
      </c>
      <c r="R4" s="4">
        <v>0.57454622</v>
      </c>
      <c r="S4" s="4">
        <v>0.18456661999999999</v>
      </c>
      <c r="T4" s="4">
        <v>0.88934210999999996</v>
      </c>
      <c r="U4" s="4">
        <v>0.17608860000000001</v>
      </c>
      <c r="W4" s="32" t="s">
        <v>20</v>
      </c>
      <c r="X4" s="30">
        <f>K4</f>
        <v>6.2310587899999996</v>
      </c>
      <c r="Y4" s="30">
        <f>L4</f>
        <v>4.4120149999999997E-2</v>
      </c>
      <c r="Z4" s="30">
        <f>M4</f>
        <v>6.2310587899999996</v>
      </c>
      <c r="AA4" s="30">
        <f>N4</f>
        <v>6.27517894</v>
      </c>
      <c r="AB4" s="30">
        <f>O4</f>
        <v>20.330854381999998</v>
      </c>
      <c r="AC4" s="30">
        <f>P4</f>
        <v>0</v>
      </c>
      <c r="AD4" s="13">
        <f>Q4</f>
        <v>0.27337619904779853</v>
      </c>
      <c r="AE4" s="13">
        <f>R4</f>
        <v>0.57454622</v>
      </c>
      <c r="AF4" s="13">
        <f>S4</f>
        <v>0.18456661999999999</v>
      </c>
      <c r="AG4" s="13">
        <f>T4</f>
        <v>0.88934210999999996</v>
      </c>
      <c r="AH4" s="13">
        <f>U4</f>
        <v>0.17608860000000001</v>
      </c>
    </row>
    <row r="5" spans="1:34" ht="15" thickBot="1" x14ac:dyDescent="0.4">
      <c r="A5" t="s">
        <v>20</v>
      </c>
      <c r="B5" s="1">
        <v>0.04</v>
      </c>
      <c r="C5" s="1">
        <v>0.06</v>
      </c>
      <c r="D5" t="s">
        <v>21</v>
      </c>
      <c r="E5" t="s">
        <v>21</v>
      </c>
      <c r="F5" t="s">
        <v>21</v>
      </c>
      <c r="G5" s="2">
        <v>2.0499999999999998</v>
      </c>
      <c r="H5">
        <v>170</v>
      </c>
      <c r="J5" t="s">
        <v>20</v>
      </c>
      <c r="K5" s="3">
        <f>6787750046/10^9</f>
        <v>6.7877500460000002</v>
      </c>
      <c r="L5" s="3">
        <f>81082585/10^9</f>
        <v>8.1082584999999999E-2</v>
      </c>
      <c r="M5" s="3">
        <f t="shared" ref="M5:M18" si="0">K5</f>
        <v>6.7877500460000002</v>
      </c>
      <c r="N5" s="3">
        <f t="shared" ref="N5:N18" si="1">SUM(K5:L5)</f>
        <v>6.8688326310000001</v>
      </c>
      <c r="O5" s="3">
        <f>18005900595/10^9</f>
        <v>18.005900595</v>
      </c>
      <c r="P5" s="3">
        <f>2256616887/10^9</f>
        <v>2.2566168869999998</v>
      </c>
      <c r="Q5" s="4">
        <v>0.29780000000000001</v>
      </c>
      <c r="R5" s="4">
        <v>0.50884344999999997</v>
      </c>
      <c r="S5" s="4">
        <v>0.24867176999999999</v>
      </c>
      <c r="T5" s="4">
        <v>0.88774450000000005</v>
      </c>
      <c r="U5" s="4">
        <v>0.19182060000000001</v>
      </c>
      <c r="W5" s="33" t="s">
        <v>105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5"/>
    </row>
    <row r="6" spans="1:34" ht="15" thickBot="1" x14ac:dyDescent="0.4">
      <c r="A6" t="s">
        <v>22</v>
      </c>
      <c r="B6" s="1">
        <f>B5</f>
        <v>0.04</v>
      </c>
      <c r="C6" s="1">
        <f>C5</f>
        <v>0.06</v>
      </c>
      <c r="D6" t="s">
        <v>23</v>
      </c>
      <c r="E6" t="s">
        <v>24</v>
      </c>
      <c r="F6" t="s">
        <v>23</v>
      </c>
      <c r="G6" s="2">
        <f>G5</f>
        <v>2.0499999999999998</v>
      </c>
      <c r="H6">
        <v>170</v>
      </c>
      <c r="J6" t="s">
        <v>22</v>
      </c>
      <c r="K6" s="3">
        <f>6560621625/10^9</f>
        <v>6.5606216249999996</v>
      </c>
      <c r="L6" s="3">
        <f>61194175/10^9</f>
        <v>6.1194175000000003E-2</v>
      </c>
      <c r="M6" s="3">
        <f t="shared" si="0"/>
        <v>6.5606216249999996</v>
      </c>
      <c r="N6" s="3">
        <f t="shared" si="1"/>
        <v>6.6218157999999994</v>
      </c>
      <c r="O6" s="3">
        <f>19589032742/10^9</f>
        <v>19.589032742000001</v>
      </c>
      <c r="P6" s="3">
        <f>534322981/10^9</f>
        <v>0.53432298099999997</v>
      </c>
      <c r="Q6" s="4">
        <f t="shared" ref="Q6:Q18" si="2">K6/$K$5*$Q$5</f>
        <v>0.28783515991080733</v>
      </c>
      <c r="R6" s="4">
        <v>0.55358247999999999</v>
      </c>
      <c r="S6" s="4">
        <v>0.19974891</v>
      </c>
      <c r="T6" s="4">
        <v>0.88356066</v>
      </c>
      <c r="U6" s="4">
        <v>0.18540200000000001</v>
      </c>
      <c r="W6" s="32" t="s">
        <v>22</v>
      </c>
      <c r="X6" s="30">
        <f>K6-K$5</f>
        <v>-0.22712842100000064</v>
      </c>
      <c r="Y6" s="30">
        <f>L6-L$5</f>
        <v>-1.9888409999999995E-2</v>
      </c>
      <c r="Z6" s="30">
        <f>M6-M$5</f>
        <v>-0.22712842100000064</v>
      </c>
      <c r="AA6" s="30">
        <f>N6-N$5</f>
        <v>-0.24701683100000071</v>
      </c>
      <c r="AB6" s="30">
        <f>O6-O$5</f>
        <v>1.5831321470000006</v>
      </c>
      <c r="AC6" s="30">
        <f>P6-P$5</f>
        <v>-1.722293906</v>
      </c>
      <c r="AD6" s="13">
        <f>Q6-Q$5</f>
        <v>-9.9648400891926836E-3</v>
      </c>
      <c r="AE6" s="13">
        <f>R6-R$5</f>
        <v>4.4739030000000013E-2</v>
      </c>
      <c r="AF6" s="13">
        <f>S6-S$5</f>
        <v>-4.8922859999999985E-2</v>
      </c>
      <c r="AG6" s="13">
        <f>T6-T$5</f>
        <v>-4.1838400000000497E-3</v>
      </c>
      <c r="AH6" s="13">
        <f>U6-U$5</f>
        <v>-6.4185999999999965E-3</v>
      </c>
    </row>
    <row r="7" spans="1:34" ht="15" thickBot="1" x14ac:dyDescent="0.4">
      <c r="A7" t="s">
        <v>25</v>
      </c>
      <c r="B7" s="1">
        <v>0.04</v>
      </c>
      <c r="C7" s="1">
        <v>0.06</v>
      </c>
      <c r="D7" t="s">
        <v>24</v>
      </c>
      <c r="E7" t="s">
        <v>23</v>
      </c>
      <c r="F7" t="s">
        <v>24</v>
      </c>
      <c r="G7" s="2">
        <v>2.0499999999999998</v>
      </c>
      <c r="H7">
        <v>170</v>
      </c>
      <c r="J7" t="s">
        <v>25</v>
      </c>
      <c r="K7" s="3">
        <f>6889846873/10^9</f>
        <v>6.8898468729999998</v>
      </c>
      <c r="L7" s="3">
        <f>104263399/10^9</f>
        <v>0.10426339900000001</v>
      </c>
      <c r="M7" s="3">
        <f t="shared" si="0"/>
        <v>6.8898468729999998</v>
      </c>
      <c r="N7" s="3">
        <f t="shared" si="1"/>
        <v>6.9941102719999995</v>
      </c>
      <c r="O7" s="3">
        <f>15546703419/10^9</f>
        <v>15.546703419</v>
      </c>
      <c r="P7" s="3">
        <f>5158716151/10^9</f>
        <v>5.1587161510000001</v>
      </c>
      <c r="Q7" s="4">
        <f t="shared" si="2"/>
        <v>0.30227930976752998</v>
      </c>
      <c r="R7" s="4">
        <v>0.43934699999999999</v>
      </c>
      <c r="S7" s="4">
        <v>0.33102930000000003</v>
      </c>
      <c r="T7" s="4">
        <v>0.90060560000000001</v>
      </c>
      <c r="U7" s="4">
        <v>0.19470580000000001</v>
      </c>
      <c r="W7" s="32" t="s">
        <v>25</v>
      </c>
      <c r="X7" s="31">
        <f>K7-K$5</f>
        <v>0.10209682699999956</v>
      </c>
      <c r="Y7" s="31">
        <f>L7-L$5</f>
        <v>2.3180814000000008E-2</v>
      </c>
      <c r="Z7" s="31">
        <f>M7-M$5</f>
        <v>0.10209682699999956</v>
      </c>
      <c r="AA7" s="31">
        <f>N7-N$5</f>
        <v>0.12527764099999938</v>
      </c>
      <c r="AB7" s="31">
        <f>O7-O$5</f>
        <v>-2.459197176</v>
      </c>
      <c r="AC7" s="31">
        <f>P7-P$5</f>
        <v>2.9020992640000003</v>
      </c>
      <c r="AD7" s="14">
        <f>Q7-Q$5</f>
        <v>4.4793097675299709E-3</v>
      </c>
      <c r="AE7" s="14">
        <f>R7-R$5</f>
        <v>-6.9496449999999987E-2</v>
      </c>
      <c r="AF7" s="14">
        <f>S7-S$5</f>
        <v>8.235753000000004E-2</v>
      </c>
      <c r="AG7" s="14">
        <f t="shared" ref="AG7:AG18" si="3">T7-T$5</f>
        <v>1.2861099999999959E-2</v>
      </c>
      <c r="AH7" s="14">
        <f t="shared" ref="AH7:AH18" si="4">U7-U$5</f>
        <v>2.8852000000000044E-3</v>
      </c>
    </row>
    <row r="8" spans="1:34" ht="15" thickBot="1" x14ac:dyDescent="0.4">
      <c r="A8" t="s">
        <v>26</v>
      </c>
      <c r="B8" s="1">
        <v>0.06</v>
      </c>
      <c r="C8" s="1">
        <v>0.06</v>
      </c>
      <c r="D8" t="s">
        <v>21</v>
      </c>
      <c r="E8" t="s">
        <v>21</v>
      </c>
      <c r="F8" t="s">
        <v>21</v>
      </c>
      <c r="G8" s="2">
        <v>2.0499999999999998</v>
      </c>
      <c r="H8">
        <v>170</v>
      </c>
      <c r="J8" t="s">
        <v>26</v>
      </c>
      <c r="K8" s="3">
        <f>6966981599/10^9</f>
        <v>6.9669815990000004</v>
      </c>
      <c r="L8" s="3">
        <f>83949497/10^9</f>
        <v>8.3949496999999998E-2</v>
      </c>
      <c r="M8" s="3">
        <f t="shared" si="0"/>
        <v>6.9669815990000004</v>
      </c>
      <c r="N8" s="3">
        <f t="shared" si="1"/>
        <v>7.0509310960000002</v>
      </c>
      <c r="O8" s="3">
        <f>16913269588/10^9</f>
        <v>16.913269587999999</v>
      </c>
      <c r="P8" s="3">
        <f>2183106975/10^9</f>
        <v>2.1831069749999998</v>
      </c>
      <c r="Q8" s="4">
        <f t="shared" si="2"/>
        <v>0.30566345344505635</v>
      </c>
      <c r="R8" s="4">
        <v>0.4779659</v>
      </c>
      <c r="S8" s="4">
        <v>0.24504306000000001</v>
      </c>
      <c r="T8" s="4">
        <v>0.85323824000000004</v>
      </c>
      <c r="U8" s="4">
        <v>0.19688559999999999</v>
      </c>
      <c r="W8" s="32" t="s">
        <v>26</v>
      </c>
      <c r="X8" s="30">
        <f>K8-K$5</f>
        <v>0.17923155300000015</v>
      </c>
      <c r="Y8" s="30">
        <f>L8-L$5</f>
        <v>2.8669119999999992E-3</v>
      </c>
      <c r="Z8" s="30">
        <f>M8-M$5</f>
        <v>0.17923155300000015</v>
      </c>
      <c r="AA8" s="30">
        <f>N8-N$5</f>
        <v>0.18209846500000015</v>
      </c>
      <c r="AB8" s="30">
        <f>O8-O$5</f>
        <v>-1.0926310070000014</v>
      </c>
      <c r="AC8" s="30">
        <f>P8-P$5</f>
        <v>-7.3509912000000011E-2</v>
      </c>
      <c r="AD8" s="13">
        <f>Q8-Q$5</f>
        <v>7.8634534450563454E-3</v>
      </c>
      <c r="AE8" s="13">
        <f>R8-R$5</f>
        <v>-3.0877549999999976E-2</v>
      </c>
      <c r="AF8" s="13">
        <f>S8-S$5</f>
        <v>-3.6287099999999795E-3</v>
      </c>
      <c r="AG8" s="13">
        <f t="shared" si="3"/>
        <v>-3.4506260000000011E-2</v>
      </c>
      <c r="AH8" s="13">
        <f t="shared" si="4"/>
        <v>5.0649999999999862E-3</v>
      </c>
    </row>
    <row r="9" spans="1:34" ht="15" thickBot="1" x14ac:dyDescent="0.4">
      <c r="A9" t="s">
        <v>27</v>
      </c>
      <c r="B9" s="1">
        <v>0.02</v>
      </c>
      <c r="C9" s="1">
        <v>0.06</v>
      </c>
      <c r="D9" t="s">
        <v>21</v>
      </c>
      <c r="E9" t="s">
        <v>21</v>
      </c>
      <c r="F9" t="s">
        <v>21</v>
      </c>
      <c r="G9" s="2">
        <v>2.0499999999999998</v>
      </c>
      <c r="H9">
        <v>170</v>
      </c>
      <c r="J9" t="s">
        <v>27</v>
      </c>
      <c r="K9" s="3">
        <f>6532969817/10^9</f>
        <v>6.5329698169999997</v>
      </c>
      <c r="L9" s="3">
        <f>66395243/10^9</f>
        <v>6.6395243000000007E-2</v>
      </c>
      <c r="M9" s="3">
        <f t="shared" si="0"/>
        <v>6.5329698169999997</v>
      </c>
      <c r="N9" s="3">
        <f t="shared" si="1"/>
        <v>6.5993650599999993</v>
      </c>
      <c r="O9" s="3">
        <f>19358975458/10^9</f>
        <v>19.358975458</v>
      </c>
      <c r="P9" s="3">
        <f>2345296600/10^9</f>
        <v>2.3452966000000002</v>
      </c>
      <c r="Q9" s="4">
        <f t="shared" si="2"/>
        <v>0.28662198789259891</v>
      </c>
      <c r="R9" s="4">
        <v>0.54708109999999999</v>
      </c>
      <c r="S9" s="4">
        <v>0.25305434999999998</v>
      </c>
      <c r="T9" s="4">
        <v>0.93036472999999997</v>
      </c>
      <c r="U9" s="4">
        <v>0.18462049999999999</v>
      </c>
      <c r="W9" s="32" t="s">
        <v>27</v>
      </c>
      <c r="X9" s="31">
        <f>K9-K$5</f>
        <v>-0.25478022900000052</v>
      </c>
      <c r="Y9" s="31">
        <f>L9-L$5</f>
        <v>-1.4687341999999992E-2</v>
      </c>
      <c r="Z9" s="31">
        <f>M9-M$5</f>
        <v>-0.25478022900000052</v>
      </c>
      <c r="AA9" s="31">
        <f>N9-N$5</f>
        <v>-0.26946757100000074</v>
      </c>
      <c r="AB9" s="31">
        <f>O9-O$5</f>
        <v>1.3530748629999998</v>
      </c>
      <c r="AC9" s="31">
        <f>P9-P$5</f>
        <v>8.8679713000000326E-2</v>
      </c>
      <c r="AD9" s="14">
        <f>Q9-Q$5</f>
        <v>-1.1178012107401103E-2</v>
      </c>
      <c r="AE9" s="14">
        <f>R9-R$5</f>
        <v>3.8237650000000012E-2</v>
      </c>
      <c r="AF9" s="14">
        <f>S9-S$5</f>
        <v>4.382579999999997E-3</v>
      </c>
      <c r="AG9" s="14">
        <f t="shared" si="3"/>
        <v>4.2620229999999926E-2</v>
      </c>
      <c r="AH9" s="14">
        <f t="shared" si="4"/>
        <v>-7.2001000000000148E-3</v>
      </c>
    </row>
    <row r="10" spans="1:34" ht="15" thickBot="1" x14ac:dyDescent="0.4">
      <c r="A10" t="s">
        <v>28</v>
      </c>
      <c r="B10" s="1">
        <v>0.09</v>
      </c>
      <c r="C10" s="1">
        <v>0.06</v>
      </c>
      <c r="D10" t="s">
        <v>21</v>
      </c>
      <c r="E10" t="s">
        <v>21</v>
      </c>
      <c r="F10" t="s">
        <v>21</v>
      </c>
      <c r="G10" s="2">
        <v>2.0499999999999998</v>
      </c>
      <c r="H10">
        <v>170</v>
      </c>
      <c r="J10" t="s">
        <v>28</v>
      </c>
      <c r="K10" s="3">
        <f>7139368828/10^9</f>
        <v>7.1393688280000003</v>
      </c>
      <c r="L10" s="3">
        <f>75975622/10^9</f>
        <v>7.5975622000000007E-2</v>
      </c>
      <c r="M10" s="3">
        <f t="shared" si="0"/>
        <v>7.1393688280000003</v>
      </c>
      <c r="N10" s="3">
        <f t="shared" si="1"/>
        <v>7.2153444499999999</v>
      </c>
      <c r="O10" s="3">
        <f>15635758447/10^9</f>
        <v>15.635758447000001</v>
      </c>
      <c r="P10" s="3">
        <f>2094512673/10^9</f>
        <v>2.0945126730000001</v>
      </c>
      <c r="Q10" s="4">
        <f t="shared" si="2"/>
        <v>0.31322662481234215</v>
      </c>
      <c r="R10" s="4">
        <v>0.44186366999999999</v>
      </c>
      <c r="S10" s="4">
        <v>0.24067567000000001</v>
      </c>
      <c r="T10" s="4">
        <v>0.81276861</v>
      </c>
      <c r="U10" s="4">
        <v>0.2017573</v>
      </c>
      <c r="W10" s="32" t="s">
        <v>28</v>
      </c>
      <c r="X10" s="30">
        <f>K10-K$5</f>
        <v>0.35161878200000007</v>
      </c>
      <c r="Y10" s="30">
        <f>L10-L$5</f>
        <v>-5.1069629999999921E-3</v>
      </c>
      <c r="Z10" s="30">
        <f>M10-M$5</f>
        <v>0.35161878200000007</v>
      </c>
      <c r="AA10" s="30">
        <f>N10-N$5</f>
        <v>0.34651181899999983</v>
      </c>
      <c r="AB10" s="30">
        <f>O10-O$5</f>
        <v>-2.3701421479999993</v>
      </c>
      <c r="AC10" s="30">
        <f>P10-P$5</f>
        <v>-0.16210421399999975</v>
      </c>
      <c r="AD10" s="13">
        <f>Q10-Q$5</f>
        <v>1.5426624812342138E-2</v>
      </c>
      <c r="AE10" s="13">
        <f>R10-R$5</f>
        <v>-6.6979779999999989E-2</v>
      </c>
      <c r="AF10" s="13">
        <f>S10-S$5</f>
        <v>-7.9960999999999782E-3</v>
      </c>
      <c r="AG10" s="13">
        <f t="shared" si="3"/>
        <v>-7.4975890000000045E-2</v>
      </c>
      <c r="AH10" s="13">
        <f t="shared" si="4"/>
        <v>9.9366999999999928E-3</v>
      </c>
    </row>
    <row r="11" spans="1:34" ht="15" thickBot="1" x14ac:dyDescent="0.4">
      <c r="A11" t="s">
        <v>29</v>
      </c>
      <c r="B11" s="1">
        <v>0.01</v>
      </c>
      <c r="C11" s="1">
        <v>0.06</v>
      </c>
      <c r="D11" t="s">
        <v>21</v>
      </c>
      <c r="E11" t="s">
        <v>21</v>
      </c>
      <c r="F11" t="s">
        <v>21</v>
      </c>
      <c r="G11" s="2">
        <v>2.0499999999999998</v>
      </c>
      <c r="H11">
        <v>170</v>
      </c>
      <c r="J11" t="s">
        <v>29</v>
      </c>
      <c r="K11" s="3">
        <f>6368125380/10^9</f>
        <v>6.3681253800000004</v>
      </c>
      <c r="L11" s="3">
        <f>52418581/10^9</f>
        <v>5.2418580999999999E-2</v>
      </c>
      <c r="M11" s="3">
        <f t="shared" si="0"/>
        <v>6.3681253800000004</v>
      </c>
      <c r="N11" s="3">
        <f t="shared" si="1"/>
        <v>6.4205439610000008</v>
      </c>
      <c r="O11" s="3">
        <f>20157663209/10^9</f>
        <v>20.157663208999999</v>
      </c>
      <c r="P11" s="3">
        <f>2396601233/10^9</f>
        <v>2.3966012330000002</v>
      </c>
      <c r="Q11" s="4">
        <f>K11/$K$5*$Q$5</f>
        <v>0.2793897425968947</v>
      </c>
      <c r="R11" s="4">
        <v>0.56965186999999995</v>
      </c>
      <c r="S11" s="4">
        <v>0.25559206000000001</v>
      </c>
      <c r="T11" s="4">
        <v>0.95547320000000002</v>
      </c>
      <c r="U11" s="4">
        <v>0.17996210000000001</v>
      </c>
      <c r="W11" s="32" t="s">
        <v>29</v>
      </c>
      <c r="X11" s="31">
        <f>K11-K$5</f>
        <v>-0.41962466599999981</v>
      </c>
      <c r="Y11" s="31">
        <f>L11-L$5</f>
        <v>-2.8664004E-2</v>
      </c>
      <c r="Z11" s="31">
        <f>M11-M$5</f>
        <v>-0.41962466599999981</v>
      </c>
      <c r="AA11" s="31">
        <f>N11-N$5</f>
        <v>-0.44828866999999928</v>
      </c>
      <c r="AB11" s="31">
        <f>O11-O$5</f>
        <v>2.151762613999999</v>
      </c>
      <c r="AC11" s="31">
        <f>P11-P$5</f>
        <v>0.13998434600000031</v>
      </c>
      <c r="AD11" s="14">
        <f>Q11-Q$5</f>
        <v>-1.8410257403105312E-2</v>
      </c>
      <c r="AE11" s="14">
        <f>R11-R$5</f>
        <v>6.0808419999999974E-2</v>
      </c>
      <c r="AF11" s="14">
        <f>S11-S$5</f>
        <v>6.9202900000000234E-3</v>
      </c>
      <c r="AG11" s="14">
        <f t="shared" si="3"/>
        <v>6.7728699999999975E-2</v>
      </c>
      <c r="AH11" s="14">
        <f t="shared" si="4"/>
        <v>-1.1858499999999994E-2</v>
      </c>
    </row>
    <row r="12" spans="1:34" ht="15" thickBot="1" x14ac:dyDescent="0.4">
      <c r="A12" t="s">
        <v>30</v>
      </c>
      <c r="B12" s="1">
        <v>0.04</v>
      </c>
      <c r="C12" s="1">
        <v>0.08</v>
      </c>
      <c r="D12" t="s">
        <v>21</v>
      </c>
      <c r="E12" t="s">
        <v>21</v>
      </c>
      <c r="F12" t="s">
        <v>21</v>
      </c>
      <c r="G12" s="2">
        <v>2.0499999999999998</v>
      </c>
      <c r="H12">
        <v>170</v>
      </c>
      <c r="J12" t="s">
        <v>30</v>
      </c>
      <c r="K12" s="3">
        <f>7439199710/10^9</f>
        <v>7.4391997099999996</v>
      </c>
      <c r="L12" s="3">
        <f>107013533/10^9</f>
        <v>0.10701353299999999</v>
      </c>
      <c r="M12" s="3">
        <f t="shared" si="0"/>
        <v>7.4391997099999996</v>
      </c>
      <c r="N12" s="3">
        <f t="shared" si="1"/>
        <v>7.5462132429999995</v>
      </c>
      <c r="O12" s="3">
        <f t="shared" ref="O12:O18" si="5">18005900595/10^9</f>
        <v>18.005900595</v>
      </c>
      <c r="P12" s="3">
        <f t="shared" ref="P12:P18" si="6">2256616887/10^9</f>
        <v>2.2566168869999998</v>
      </c>
      <c r="Q12" s="4">
        <f t="shared" si="2"/>
        <v>0.32638115113615951</v>
      </c>
      <c r="R12" s="4">
        <v>0.50884344999999997</v>
      </c>
      <c r="S12" s="4">
        <v>0.24867176999999999</v>
      </c>
      <c r="T12" s="4">
        <v>0.88774450000000005</v>
      </c>
      <c r="U12" s="4">
        <v>0.21023040000000001</v>
      </c>
      <c r="W12" s="32" t="s">
        <v>30</v>
      </c>
      <c r="X12" s="30">
        <f>K12-K$5</f>
        <v>0.65144966399999937</v>
      </c>
      <c r="Y12" s="30">
        <f>L12-L$5</f>
        <v>2.5930947999999995E-2</v>
      </c>
      <c r="Z12" s="30">
        <f>M12-M$5</f>
        <v>0.65144966399999937</v>
      </c>
      <c r="AA12" s="30">
        <f>N12-N$5</f>
        <v>0.67738061199999944</v>
      </c>
      <c r="AB12" s="30">
        <f>O12-O$5</f>
        <v>0</v>
      </c>
      <c r="AC12" s="30">
        <f>P12-P$5</f>
        <v>0</v>
      </c>
      <c r="AD12" s="13">
        <f>Q12-Q$5</f>
        <v>2.8581151136159499E-2</v>
      </c>
      <c r="AE12" s="13">
        <f>R12-R$5</f>
        <v>0</v>
      </c>
      <c r="AF12" s="13">
        <f>S12-S$5</f>
        <v>0</v>
      </c>
      <c r="AG12" s="13">
        <f t="shared" si="3"/>
        <v>0</v>
      </c>
      <c r="AH12" s="13">
        <f t="shared" si="4"/>
        <v>1.8409800000000004E-2</v>
      </c>
    </row>
    <row r="13" spans="1:34" ht="15" thickBot="1" x14ac:dyDescent="0.4">
      <c r="A13" t="s">
        <v>31</v>
      </c>
      <c r="B13" s="1">
        <v>0.04</v>
      </c>
      <c r="C13" s="1">
        <v>0.04</v>
      </c>
      <c r="D13" t="s">
        <v>21</v>
      </c>
      <c r="E13" t="s">
        <v>21</v>
      </c>
      <c r="F13" t="s">
        <v>21</v>
      </c>
      <c r="G13" s="2">
        <v>2.0499999999999998</v>
      </c>
      <c r="H13">
        <v>170</v>
      </c>
      <c r="J13" t="s">
        <v>31</v>
      </c>
      <c r="K13" s="3">
        <f>6136300382/10^9</f>
        <v>6.1363003819999999</v>
      </c>
      <c r="L13" s="3">
        <f>55151636/10^9</f>
        <v>5.5151635999999997E-2</v>
      </c>
      <c r="M13" s="3">
        <f t="shared" si="0"/>
        <v>6.1363003819999999</v>
      </c>
      <c r="N13" s="3">
        <f t="shared" si="1"/>
        <v>6.1914520179999997</v>
      </c>
      <c r="O13" s="3">
        <f t="shared" si="5"/>
        <v>18.005900595</v>
      </c>
      <c r="P13" s="3">
        <f t="shared" si="6"/>
        <v>2.2566168869999998</v>
      </c>
      <c r="Q13" s="4">
        <f t="shared" si="2"/>
        <v>0.26921884886384045</v>
      </c>
      <c r="R13" s="4">
        <v>0.50884344999999997</v>
      </c>
      <c r="S13" s="4">
        <v>0.24867176999999999</v>
      </c>
      <c r="T13" s="4">
        <v>0.88774450000000005</v>
      </c>
      <c r="U13" s="4">
        <v>0.1734107</v>
      </c>
      <c r="W13" s="32" t="s">
        <v>31</v>
      </c>
      <c r="X13" s="31">
        <f>K13-K$5</f>
        <v>-0.65144966400000026</v>
      </c>
      <c r="Y13" s="31">
        <f>L13-L$5</f>
        <v>-2.5930949000000002E-2</v>
      </c>
      <c r="Z13" s="31">
        <f>M13-M$5</f>
        <v>-0.65144966400000026</v>
      </c>
      <c r="AA13" s="31">
        <f>N13-N$5</f>
        <v>-0.67738061300000041</v>
      </c>
      <c r="AB13" s="31">
        <f>O13-O$5</f>
        <v>0</v>
      </c>
      <c r="AC13" s="31">
        <f>P13-P$5</f>
        <v>0</v>
      </c>
      <c r="AD13" s="14">
        <f>Q13-Q$5</f>
        <v>-2.8581151136159555E-2</v>
      </c>
      <c r="AE13" s="14">
        <f>R13-R$5</f>
        <v>0</v>
      </c>
      <c r="AF13" s="14">
        <f>S13-S$5</f>
        <v>0</v>
      </c>
      <c r="AG13" s="14">
        <f t="shared" si="3"/>
        <v>0</v>
      </c>
      <c r="AH13" s="14">
        <f t="shared" si="4"/>
        <v>-1.8409900000000007E-2</v>
      </c>
    </row>
    <row r="14" spans="1:34" ht="15" thickBot="1" x14ac:dyDescent="0.4">
      <c r="A14" t="s">
        <v>32</v>
      </c>
      <c r="B14" s="1">
        <v>0.04</v>
      </c>
      <c r="C14" s="1">
        <v>0.14000000000000001</v>
      </c>
      <c r="D14" t="s">
        <v>21</v>
      </c>
      <c r="E14" t="s">
        <v>21</v>
      </c>
      <c r="F14" t="s">
        <v>21</v>
      </c>
      <c r="G14" s="2">
        <v>2.0499999999999998</v>
      </c>
      <c r="H14">
        <v>170</v>
      </c>
      <c r="J14" t="s">
        <v>32</v>
      </c>
      <c r="K14" s="3">
        <f>9393548703/10^9</f>
        <v>9.3935487030000004</v>
      </c>
      <c r="L14" s="3">
        <f>184806378/10^9</f>
        <v>0.18480637799999999</v>
      </c>
      <c r="M14" s="3">
        <f t="shared" si="0"/>
        <v>9.3935487030000004</v>
      </c>
      <c r="N14" s="3">
        <f t="shared" si="1"/>
        <v>9.5783550809999998</v>
      </c>
      <c r="O14" s="3">
        <f t="shared" si="5"/>
        <v>18.005900595</v>
      </c>
      <c r="P14" s="3">
        <f t="shared" si="6"/>
        <v>2.2566168869999998</v>
      </c>
      <c r="Q14" s="4">
        <f t="shared" si="2"/>
        <v>0.41212460458851141</v>
      </c>
      <c r="R14" s="4">
        <v>0.50884344999999997</v>
      </c>
      <c r="S14" s="4">
        <v>0.24867176999999999</v>
      </c>
      <c r="T14" s="4">
        <v>0.88774450000000005</v>
      </c>
      <c r="U14" s="4">
        <v>0.26545999999999997</v>
      </c>
      <c r="W14" s="32" t="s">
        <v>32</v>
      </c>
      <c r="X14" s="30">
        <f>K14-K$5</f>
        <v>2.6057986570000002</v>
      </c>
      <c r="Y14" s="30">
        <f>L14-L$5</f>
        <v>0.10372379299999999</v>
      </c>
      <c r="Z14" s="30">
        <f>M14-M$5</f>
        <v>2.6057986570000002</v>
      </c>
      <c r="AA14" s="30">
        <f>N14-N$5</f>
        <v>2.7095224499999997</v>
      </c>
      <c r="AB14" s="30">
        <f>O14-O$5</f>
        <v>0</v>
      </c>
      <c r="AC14" s="30">
        <f>P14-P$5</f>
        <v>0</v>
      </c>
      <c r="AD14" s="13">
        <f>Q14-Q$5</f>
        <v>0.1143246045885114</v>
      </c>
      <c r="AE14" s="13">
        <f>R14-R$5</f>
        <v>0</v>
      </c>
      <c r="AF14" s="13">
        <f>S14-S$5</f>
        <v>0</v>
      </c>
      <c r="AG14" s="13">
        <f t="shared" si="3"/>
        <v>0</v>
      </c>
      <c r="AH14" s="13">
        <f t="shared" si="4"/>
        <v>7.3639399999999966E-2</v>
      </c>
    </row>
    <row r="15" spans="1:34" ht="15" thickBot="1" x14ac:dyDescent="0.4">
      <c r="A15" t="s">
        <v>33</v>
      </c>
      <c r="B15" s="1">
        <v>0.04</v>
      </c>
      <c r="C15" s="1">
        <v>0.01</v>
      </c>
      <c r="D15" t="s">
        <v>21</v>
      </c>
      <c r="E15" t="s">
        <v>21</v>
      </c>
      <c r="F15" t="s">
        <v>21</v>
      </c>
      <c r="G15" s="2">
        <v>2.0499999999999998</v>
      </c>
      <c r="H15">
        <v>170</v>
      </c>
      <c r="J15" t="s">
        <v>33</v>
      </c>
      <c r="K15" s="3">
        <f>5159125886/10^9</f>
        <v>5.159125886</v>
      </c>
      <c r="L15" s="3">
        <f>16255214/10^9</f>
        <v>1.6255214E-2</v>
      </c>
      <c r="M15" s="3">
        <f t="shared" si="0"/>
        <v>5.159125886</v>
      </c>
      <c r="N15" s="3">
        <f t="shared" si="1"/>
        <v>5.1753811000000001</v>
      </c>
      <c r="O15" s="3">
        <f t="shared" si="5"/>
        <v>18.005900595</v>
      </c>
      <c r="P15" s="3">
        <f t="shared" si="6"/>
        <v>2.2566168869999998</v>
      </c>
      <c r="Q15" s="4">
        <f t="shared" si="2"/>
        <v>0.22634712215960109</v>
      </c>
      <c r="R15" s="4">
        <v>0.50884344999999997</v>
      </c>
      <c r="S15" s="4">
        <v>0.24867176999999999</v>
      </c>
      <c r="T15" s="4">
        <v>0.88774450000000005</v>
      </c>
      <c r="U15" s="4">
        <v>0.14579600000000001</v>
      </c>
      <c r="W15" s="32" t="s">
        <v>33</v>
      </c>
      <c r="X15" s="31">
        <f>K15-K$5</f>
        <v>-1.6286241600000002</v>
      </c>
      <c r="Y15" s="31">
        <f>L15-L$5</f>
        <v>-6.4827370999999995E-2</v>
      </c>
      <c r="Z15" s="31">
        <f>M15-M$5</f>
        <v>-1.6286241600000002</v>
      </c>
      <c r="AA15" s="31">
        <f>N15-N$5</f>
        <v>-1.693451531</v>
      </c>
      <c r="AB15" s="31">
        <f>O15-O$5</f>
        <v>0</v>
      </c>
      <c r="AC15" s="31">
        <f>P15-P$5</f>
        <v>0</v>
      </c>
      <c r="AD15" s="14">
        <f>Q15-Q$5</f>
        <v>-7.1452877840398915E-2</v>
      </c>
      <c r="AE15" s="14">
        <f>R15-R$5</f>
        <v>0</v>
      </c>
      <c r="AF15" s="14">
        <f>S15-S$5</f>
        <v>0</v>
      </c>
      <c r="AG15" s="14">
        <f t="shared" si="3"/>
        <v>0</v>
      </c>
      <c r="AH15" s="14">
        <f t="shared" si="4"/>
        <v>-4.6024599999999999E-2</v>
      </c>
    </row>
    <row r="16" spans="1:34" ht="15" thickBot="1" x14ac:dyDescent="0.4">
      <c r="A16" t="s">
        <v>34</v>
      </c>
      <c r="B16" s="1">
        <v>0.04</v>
      </c>
      <c r="C16" s="1">
        <v>0.06</v>
      </c>
      <c r="D16" t="s">
        <v>21</v>
      </c>
      <c r="E16" t="s">
        <v>21</v>
      </c>
      <c r="F16" t="s">
        <v>21</v>
      </c>
      <c r="G16" s="2">
        <v>3</v>
      </c>
      <c r="H16">
        <v>170</v>
      </c>
      <c r="J16" t="s">
        <v>34</v>
      </c>
      <c r="K16" s="3">
        <f>4409316414/10^9</f>
        <v>4.4093164140000001</v>
      </c>
      <c r="L16" s="3">
        <f>-27570982/10^9</f>
        <v>-2.7570982000000001E-2</v>
      </c>
      <c r="M16" s="3">
        <f t="shared" si="0"/>
        <v>4.4093164140000001</v>
      </c>
      <c r="N16" s="3">
        <f t="shared" si="1"/>
        <v>4.3817454319999998</v>
      </c>
      <c r="O16" s="3">
        <f t="shared" si="5"/>
        <v>18.005900595</v>
      </c>
      <c r="P16" s="3">
        <f t="shared" si="6"/>
        <v>2.2566168869999998</v>
      </c>
      <c r="Q16" s="4">
        <f t="shared" si="2"/>
        <v>0.19345061606430283</v>
      </c>
      <c r="R16" s="4">
        <v>0.50884344999999997</v>
      </c>
      <c r="S16" s="4">
        <v>0.31588587000000001</v>
      </c>
      <c r="T16" s="4">
        <v>0.95495859999999999</v>
      </c>
      <c r="U16" s="4">
        <v>0.1246065</v>
      </c>
      <c r="W16" s="32" t="s">
        <v>34</v>
      </c>
      <c r="X16" s="30">
        <f>K16-K$5</f>
        <v>-2.3784336320000001</v>
      </c>
      <c r="Y16" s="30">
        <f>L16-L$5</f>
        <v>-0.10865356700000001</v>
      </c>
      <c r="Z16" s="30">
        <f>M16-M$5</f>
        <v>-2.3784336320000001</v>
      </c>
      <c r="AA16" s="30">
        <f>N16-N$5</f>
        <v>-2.4870871990000003</v>
      </c>
      <c r="AB16" s="30">
        <f>O16-O$5</f>
        <v>0</v>
      </c>
      <c r="AC16" s="30">
        <f>P16-P$5</f>
        <v>0</v>
      </c>
      <c r="AD16" s="13">
        <f>Q16-Q$5</f>
        <v>-0.10434938393569718</v>
      </c>
      <c r="AE16" s="13">
        <f>R16-R$5</f>
        <v>0</v>
      </c>
      <c r="AF16" s="13">
        <f>S16-S$5</f>
        <v>6.7214100000000027E-2</v>
      </c>
      <c r="AG16" s="13">
        <f t="shared" si="3"/>
        <v>6.7214099999999943E-2</v>
      </c>
      <c r="AH16" s="13">
        <f t="shared" si="4"/>
        <v>-6.7214100000000013E-2</v>
      </c>
    </row>
    <row r="17" spans="1:34" ht="15" thickBot="1" x14ac:dyDescent="0.4">
      <c r="A17" t="s">
        <v>35</v>
      </c>
      <c r="B17" s="1">
        <v>0.04</v>
      </c>
      <c r="C17" s="1">
        <v>0.06</v>
      </c>
      <c r="D17" t="s">
        <v>21</v>
      </c>
      <c r="E17" t="s">
        <v>21</v>
      </c>
      <c r="F17" t="s">
        <v>21</v>
      </c>
      <c r="G17" s="2">
        <v>2.0499999999999998</v>
      </c>
      <c r="H17">
        <v>250</v>
      </c>
      <c r="J17" t="s">
        <v>35</v>
      </c>
      <c r="K17" s="3">
        <f>6124005869/10^9</f>
        <v>6.1240058690000003</v>
      </c>
      <c r="L17" s="3">
        <f>47864472/10^9</f>
        <v>4.7864471999999998E-2</v>
      </c>
      <c r="M17" s="3">
        <f t="shared" si="0"/>
        <v>6.1240058690000003</v>
      </c>
      <c r="N17" s="3">
        <f t="shared" si="1"/>
        <v>6.171870341</v>
      </c>
      <c r="O17" s="3">
        <f t="shared" si="5"/>
        <v>18.005900595</v>
      </c>
      <c r="P17" s="3">
        <f t="shared" si="6"/>
        <v>2.2566168869999998</v>
      </c>
      <c r="Q17" s="4">
        <f t="shared" si="2"/>
        <v>0.2686794498072182</v>
      </c>
      <c r="R17" s="4">
        <v>0.50884344999999997</v>
      </c>
      <c r="S17" s="4">
        <v>0.26742906</v>
      </c>
      <c r="T17" s="4">
        <v>0.90650178999999997</v>
      </c>
      <c r="U17" s="4">
        <v>0.1730633</v>
      </c>
      <c r="W17" s="32" t="s">
        <v>35</v>
      </c>
      <c r="X17" s="31">
        <f>K17-K$5</f>
        <v>-0.66374417699999988</v>
      </c>
      <c r="Y17" s="31">
        <f>L17-L$5</f>
        <v>-3.3218113000000001E-2</v>
      </c>
      <c r="Z17" s="31">
        <f>M17-M$5</f>
        <v>-0.66374417699999988</v>
      </c>
      <c r="AA17" s="31">
        <f>N17-N$5</f>
        <v>-0.6969622900000001</v>
      </c>
      <c r="AB17" s="31">
        <f>O17-O$5</f>
        <v>0</v>
      </c>
      <c r="AC17" s="31">
        <f>P17-P$5</f>
        <v>0</v>
      </c>
      <c r="AD17" s="14">
        <f>Q17-Q$5</f>
        <v>-2.9120550192781813E-2</v>
      </c>
      <c r="AE17" s="14">
        <f>R17-R$5</f>
        <v>0</v>
      </c>
      <c r="AF17" s="14">
        <f>S17-S$5</f>
        <v>1.875729000000001E-2</v>
      </c>
      <c r="AG17" s="14">
        <f t="shared" si="3"/>
        <v>1.8757289999999927E-2</v>
      </c>
      <c r="AH17" s="14">
        <f t="shared" si="4"/>
        <v>-1.8757300000000005E-2</v>
      </c>
    </row>
    <row r="18" spans="1:34" ht="15" thickBot="1" x14ac:dyDescent="0.4">
      <c r="A18" t="s">
        <v>36</v>
      </c>
      <c r="B18" s="1">
        <v>0.04</v>
      </c>
      <c r="C18" s="1">
        <v>0.06</v>
      </c>
      <c r="D18" t="s">
        <v>21</v>
      </c>
      <c r="E18" t="s">
        <v>21</v>
      </c>
      <c r="F18" t="s">
        <v>21</v>
      </c>
      <c r="G18" s="2">
        <v>3</v>
      </c>
      <c r="H18">
        <v>250</v>
      </c>
      <c r="J18" t="s">
        <v>36</v>
      </c>
      <c r="K18" s="3">
        <f>3745572236/10^9</f>
        <v>3.7455722360000001</v>
      </c>
      <c r="L18" s="3">
        <f>-60789094/10^9</f>
        <v>-6.0789094000000002E-2</v>
      </c>
      <c r="M18" s="3">
        <f t="shared" si="0"/>
        <v>3.7455722360000001</v>
      </c>
      <c r="N18" s="3">
        <f t="shared" si="1"/>
        <v>3.6847831420000001</v>
      </c>
      <c r="O18" s="3">
        <f t="shared" si="5"/>
        <v>18.005900595</v>
      </c>
      <c r="P18" s="3">
        <f t="shared" si="6"/>
        <v>2.2566168869999998</v>
      </c>
      <c r="Q18" s="4">
        <f t="shared" si="2"/>
        <v>0.16433006582764789</v>
      </c>
      <c r="R18" s="4">
        <v>0.50884344999999997</v>
      </c>
      <c r="S18" s="4">
        <v>0.33464316</v>
      </c>
      <c r="T18" s="4">
        <v>0.97371587999999998</v>
      </c>
      <c r="U18" s="4">
        <v>0.1058492</v>
      </c>
      <c r="W18" s="32" t="s">
        <v>36</v>
      </c>
      <c r="X18" s="30">
        <f>K18-K$5</f>
        <v>-3.0421778100000001</v>
      </c>
      <c r="Y18" s="30">
        <f>L18-L$5</f>
        <v>-0.141871679</v>
      </c>
      <c r="Z18" s="30">
        <f>M18-M$5</f>
        <v>-3.0421778100000001</v>
      </c>
      <c r="AA18" s="30">
        <f>N18-N$5</f>
        <v>-3.184049489</v>
      </c>
      <c r="AB18" s="30">
        <f>O18-O$5</f>
        <v>0</v>
      </c>
      <c r="AC18" s="30">
        <f>P18-P$5</f>
        <v>0</v>
      </c>
      <c r="AD18" s="13">
        <f>Q18-Q$5</f>
        <v>-0.13346993417235212</v>
      </c>
      <c r="AE18" s="13">
        <f>R18-R$5</f>
        <v>0</v>
      </c>
      <c r="AF18" s="13">
        <f>S18-S$5</f>
        <v>8.5971390000000009E-2</v>
      </c>
      <c r="AG18" s="13">
        <f t="shared" si="3"/>
        <v>8.5971379999999931E-2</v>
      </c>
      <c r="AH18" s="13">
        <f t="shared" si="4"/>
        <v>-8.5971400000000003E-2</v>
      </c>
    </row>
    <row r="19" spans="1:34" ht="15" thickBot="1" x14ac:dyDescent="0.4">
      <c r="A19" t="s">
        <v>37</v>
      </c>
      <c r="B19" s="1">
        <v>0.04</v>
      </c>
      <c r="C19" s="1">
        <v>0.06</v>
      </c>
      <c r="D19" t="s">
        <v>21</v>
      </c>
      <c r="E19" t="s">
        <v>21</v>
      </c>
      <c r="F19" t="s">
        <v>21</v>
      </c>
      <c r="G19" s="2">
        <v>1.5</v>
      </c>
      <c r="H19">
        <v>170</v>
      </c>
      <c r="J19" t="s">
        <v>37</v>
      </c>
      <c r="K19" s="3">
        <f>8164737939/10^9</f>
        <v>8.1647379390000001</v>
      </c>
      <c r="L19" s="3">
        <f>143987281/10^9</f>
        <v>0.14398728099999999</v>
      </c>
      <c r="M19" s="3">
        <f>K19</f>
        <v>8.1647379390000001</v>
      </c>
      <c r="N19" s="3">
        <f>SUM(K19:L19)</f>
        <v>8.3087252199999995</v>
      </c>
      <c r="O19" s="3">
        <f>18005900595/10^9</f>
        <v>18.005900595</v>
      </c>
      <c r="P19" s="3">
        <f>2256616887/10^9</f>
        <v>2.2566168869999998</v>
      </c>
      <c r="Q19" s="4">
        <f>K19/$K$5*$Q$5</f>
        <v>0.35821280126056665</v>
      </c>
      <c r="R19" s="4">
        <v>0.50884344999999997</v>
      </c>
      <c r="S19" s="4">
        <v>0.20975833999999999</v>
      </c>
      <c r="T19" s="4">
        <v>0.84883107000000002</v>
      </c>
      <c r="U19" s="4">
        <v>0.23073399999999999</v>
      </c>
      <c r="W19" s="32" t="s">
        <v>37</v>
      </c>
      <c r="X19" s="31">
        <f>K19-K$5</f>
        <v>1.3769878929999999</v>
      </c>
      <c r="Y19" s="31">
        <f>L19-L$5</f>
        <v>6.2904695999999996E-2</v>
      </c>
      <c r="Z19" s="31">
        <f>M19-M$5</f>
        <v>1.3769878929999999</v>
      </c>
      <c r="AA19" s="31">
        <f>N19-N$5</f>
        <v>1.4398925889999994</v>
      </c>
      <c r="AB19" s="31">
        <f>O19-O$5</f>
        <v>0</v>
      </c>
      <c r="AC19" s="31">
        <f>P19-P$5</f>
        <v>0</v>
      </c>
      <c r="AD19" s="14">
        <f>Q19-Q$5</f>
        <v>6.041280126056664E-2</v>
      </c>
      <c r="AE19" s="14">
        <f>R19-R$5</f>
        <v>0</v>
      </c>
      <c r="AF19" s="14">
        <f>S19-S$5</f>
        <v>-3.8913429999999999E-2</v>
      </c>
      <c r="AG19" s="14">
        <f>T19-T$5</f>
        <v>-3.8913430000000027E-2</v>
      </c>
      <c r="AH19" s="14">
        <f>U19-U$5</f>
        <v>3.8913399999999987E-2</v>
      </c>
    </row>
    <row r="20" spans="1:34" ht="15" thickBot="1" x14ac:dyDescent="0.4">
      <c r="A20" t="s">
        <v>38</v>
      </c>
      <c r="B20" s="1">
        <v>0.04</v>
      </c>
      <c r="C20" s="1">
        <v>0.06</v>
      </c>
      <c r="D20" t="s">
        <v>21</v>
      </c>
      <c r="E20" t="s">
        <v>21</v>
      </c>
      <c r="F20" t="s">
        <v>21</v>
      </c>
      <c r="G20" s="2">
        <v>1</v>
      </c>
      <c r="H20">
        <v>170</v>
      </c>
      <c r="J20" t="s">
        <v>38</v>
      </c>
      <c r="K20" s="3">
        <f>9416545114/10^9</f>
        <v>9.4165451139999998</v>
      </c>
      <c r="L20" s="3">
        <f>201173368/10^9</f>
        <v>0.20117336799999999</v>
      </c>
      <c r="M20" s="3">
        <f>K20</f>
        <v>9.4165451139999998</v>
      </c>
      <c r="N20" s="3">
        <f>SUM(K20:L20)</f>
        <v>9.617718481999999</v>
      </c>
      <c r="O20" s="3">
        <f>18005900595/10^9</f>
        <v>18.005900595</v>
      </c>
      <c r="P20" s="3">
        <f>2256616887/10^9</f>
        <v>2.2566168869999998</v>
      </c>
      <c r="Q20" s="4">
        <f>K20/$K$5*$Q$5</f>
        <v>0.41313352965932126</v>
      </c>
      <c r="R20" s="4">
        <v>0.50884344999999997</v>
      </c>
      <c r="S20" s="4">
        <v>0.1743825</v>
      </c>
      <c r="T20" s="4">
        <v>0.81345522999999997</v>
      </c>
      <c r="U20" s="4">
        <v>0.26610980000000001</v>
      </c>
      <c r="W20" s="32" t="s">
        <v>38</v>
      </c>
      <c r="X20" s="30">
        <f>K20-K$5</f>
        <v>2.6287950679999996</v>
      </c>
      <c r="Y20" s="30">
        <f>L20-L$5</f>
        <v>0.12009078299999999</v>
      </c>
      <c r="Z20" s="30">
        <f>M20-M$5</f>
        <v>2.6287950679999996</v>
      </c>
      <c r="AA20" s="30">
        <f>N20-N$5</f>
        <v>2.7488858509999989</v>
      </c>
      <c r="AB20" s="30">
        <f>O20-O$5</f>
        <v>0</v>
      </c>
      <c r="AC20" s="30">
        <f>P20-P$5</f>
        <v>0</v>
      </c>
      <c r="AD20" s="13">
        <f>Q20-Q$5</f>
        <v>0.11533352965932125</v>
      </c>
      <c r="AE20" s="13">
        <f>R20-R$5</f>
        <v>0</v>
      </c>
      <c r="AF20" s="13">
        <f>S20-S$5</f>
        <v>-7.4289269999999991E-2</v>
      </c>
      <c r="AG20" s="13">
        <f>T20-T$5</f>
        <v>-7.4289270000000074E-2</v>
      </c>
      <c r="AH20" s="13">
        <f>U20-U$5</f>
        <v>7.42892E-2</v>
      </c>
    </row>
    <row r="23" spans="1:34" x14ac:dyDescent="0.35">
      <c r="J23">
        <v>0.04</v>
      </c>
      <c r="K23" s="3">
        <f>K13</f>
        <v>6.1363003819999999</v>
      </c>
    </row>
    <row r="24" spans="1:34" x14ac:dyDescent="0.35">
      <c r="J24">
        <v>0.08</v>
      </c>
      <c r="K24" s="3">
        <f>K12</f>
        <v>7.4391997099999996</v>
      </c>
    </row>
    <row r="26" spans="1:34" x14ac:dyDescent="0.35">
      <c r="K26">
        <f>_xlfn.FORECAST.LINEAR(K4,J23:J24,K23:K24)</f>
        <v>4.290915517303881E-2</v>
      </c>
    </row>
    <row r="28" spans="1:34" x14ac:dyDescent="0.35">
      <c r="J28">
        <v>0.01</v>
      </c>
      <c r="K28" s="3">
        <f>K11</f>
        <v>6.3681253800000004</v>
      </c>
    </row>
    <row r="29" spans="1:34" x14ac:dyDescent="0.35">
      <c r="J29">
        <v>0.09</v>
      </c>
      <c r="K29" s="3">
        <f>K10</f>
        <v>7.1393688280000003</v>
      </c>
    </row>
    <row r="31" spans="1:34" x14ac:dyDescent="0.35">
      <c r="K31">
        <f>_xlfn.FORECAST.LINEAR(0,K28:K29,J28:J29)</f>
        <v>6.2717199490000004</v>
      </c>
    </row>
    <row r="33" spans="10:34" x14ac:dyDescent="0.35">
      <c r="J33" t="s">
        <v>18</v>
      </c>
      <c r="K33" s="3">
        <f>6231058790/10^9</f>
        <v>6.2310587899999996</v>
      </c>
      <c r="L33" s="3">
        <f>44120150/10^9</f>
        <v>4.4120149999999997E-2</v>
      </c>
      <c r="M33" s="3">
        <f>K33</f>
        <v>6.2310587899999996</v>
      </c>
      <c r="N33" s="3">
        <f>SUM(K33:L33)</f>
        <v>6.27517894</v>
      </c>
      <c r="O33" s="3">
        <f>20330854382/10^9</f>
        <v>20.330854381999998</v>
      </c>
      <c r="P33">
        <v>0</v>
      </c>
      <c r="Q33" s="4">
        <f>K33/$K$5*$Q$5</f>
        <v>0.27337619904779853</v>
      </c>
      <c r="R33" s="4">
        <v>0.57454622</v>
      </c>
      <c r="S33" s="4">
        <v>0.18456661999999999</v>
      </c>
      <c r="T33" s="4">
        <v>0.88934210999999996</v>
      </c>
      <c r="U33" s="4">
        <v>0.17608860000000001</v>
      </c>
    </row>
    <row r="34" spans="10:34" x14ac:dyDescent="0.35">
      <c r="J34" t="s">
        <v>20</v>
      </c>
      <c r="K34" s="3">
        <f>6787750046/10^9</f>
        <v>6.7877500460000002</v>
      </c>
      <c r="L34" s="3">
        <f>81082585/10^9</f>
        <v>8.1082584999999999E-2</v>
      </c>
      <c r="M34" s="3">
        <f t="shared" ref="M34" si="7">K34</f>
        <v>6.7877500460000002</v>
      </c>
      <c r="N34" s="3">
        <f t="shared" ref="N34" si="8">SUM(K34:L34)</f>
        <v>6.8688326310000001</v>
      </c>
      <c r="O34" s="3">
        <f>18005900595/10^9</f>
        <v>18.005900595</v>
      </c>
      <c r="P34" s="3">
        <f>2256616887/10^9</f>
        <v>2.2566168869999998</v>
      </c>
      <c r="Q34" s="4">
        <v>0.29780000000000001</v>
      </c>
      <c r="R34" s="4">
        <v>0.50884344999999997</v>
      </c>
      <c r="S34" s="4">
        <v>0.24867176999999999</v>
      </c>
      <c r="T34" s="4">
        <v>0.88774450000000005</v>
      </c>
      <c r="U34" s="4">
        <v>0.19182060000000001</v>
      </c>
    </row>
    <row r="35" spans="10:34" x14ac:dyDescent="0.35">
      <c r="J35" t="s">
        <v>22</v>
      </c>
      <c r="K35" s="3">
        <f>6560621625/10^9</f>
        <v>6.5606216249999996</v>
      </c>
      <c r="L35" s="3">
        <f>61194175/10^9</f>
        <v>6.1194175000000003E-2</v>
      </c>
      <c r="M35" s="3">
        <f t="shared" ref="M35:M44" si="9">K35</f>
        <v>6.5606216249999996</v>
      </c>
      <c r="N35" s="3">
        <f t="shared" ref="N35:N44" si="10">SUM(K35:L35)</f>
        <v>6.6218157999999994</v>
      </c>
      <c r="O35" s="3">
        <f>19589032742/10^9</f>
        <v>19.589032742000001</v>
      </c>
      <c r="P35" s="3">
        <f>534322981/10^9</f>
        <v>0.53432298099999997</v>
      </c>
      <c r="Q35" s="4">
        <f>K35/$K$5*$Q$5</f>
        <v>0.28783515991080733</v>
      </c>
      <c r="R35" s="4">
        <v>0.55358247999999999</v>
      </c>
      <c r="S35" s="4">
        <v>0.19974891</v>
      </c>
      <c r="T35" s="4">
        <v>0.88356066</v>
      </c>
      <c r="U35" s="4">
        <v>0.18540200000000001</v>
      </c>
      <c r="W35" t="s">
        <v>22</v>
      </c>
      <c r="X35" s="3">
        <f>K35-K$5</f>
        <v>-0.22712842100000064</v>
      </c>
      <c r="Y35" s="3">
        <f>L35-L$5</f>
        <v>-1.9888409999999995E-2</v>
      </c>
      <c r="Z35" s="3">
        <f>M35-M$5</f>
        <v>-0.22712842100000064</v>
      </c>
      <c r="AA35" s="3">
        <f>N35-N$5</f>
        <v>-0.24701683100000071</v>
      </c>
      <c r="AB35" s="3">
        <f>O35-O$5</f>
        <v>1.5831321470000006</v>
      </c>
      <c r="AC35" s="3">
        <f>P35-P$5</f>
        <v>-1.722293906</v>
      </c>
      <c r="AD35" s="3">
        <f>Q35-Q$5</f>
        <v>-9.9648400891926836E-3</v>
      </c>
      <c r="AE35" s="17">
        <f>R35-R$5</f>
        <v>4.4739030000000013E-2</v>
      </c>
      <c r="AF35" s="17">
        <f>S35-S$5</f>
        <v>-4.8922859999999985E-2</v>
      </c>
      <c r="AG35" s="17">
        <f t="shared" ref="AG35:AG48" si="11">T35-T$5</f>
        <v>-4.1838400000000497E-3</v>
      </c>
      <c r="AH35" s="17">
        <f t="shared" ref="AH35:AH48" si="12">U35-U$5</f>
        <v>-6.4185999999999965E-3</v>
      </c>
    </row>
    <row r="36" spans="10:34" x14ac:dyDescent="0.35">
      <c r="J36" t="s">
        <v>25</v>
      </c>
      <c r="K36" s="3">
        <f>6889846873/10^9</f>
        <v>6.8898468729999998</v>
      </c>
      <c r="L36" s="3">
        <f>104263399/10^9</f>
        <v>0.10426339900000001</v>
      </c>
      <c r="M36" s="3">
        <f t="shared" si="9"/>
        <v>6.8898468729999998</v>
      </c>
      <c r="N36" s="3">
        <f t="shared" si="10"/>
        <v>6.9941102719999995</v>
      </c>
      <c r="O36" s="3">
        <f>15546703419/10^9</f>
        <v>15.546703419</v>
      </c>
      <c r="P36" s="3">
        <f>5158716151/10^9</f>
        <v>5.1587161510000001</v>
      </c>
      <c r="Q36" s="4">
        <f>K36/$K$5*$Q$5</f>
        <v>0.30227930976752998</v>
      </c>
      <c r="R36" s="4">
        <v>0.43934699999999999</v>
      </c>
      <c r="S36" s="4">
        <v>0.33102930000000003</v>
      </c>
      <c r="T36" s="4">
        <v>0.90060560000000001</v>
      </c>
      <c r="U36" s="4">
        <v>0.19470580000000001</v>
      </c>
      <c r="W36" t="s">
        <v>25</v>
      </c>
      <c r="X36" s="3">
        <f t="shared" ref="X36:Y48" si="13">K36-K$5</f>
        <v>0.10209682699999956</v>
      </c>
      <c r="Y36" s="3">
        <f t="shared" si="13"/>
        <v>2.3180814000000008E-2</v>
      </c>
      <c r="Z36" s="3">
        <f>M36-M$5</f>
        <v>0.10209682699999956</v>
      </c>
      <c r="AA36" s="3">
        <f>N36-N$5</f>
        <v>0.12527764099999938</v>
      </c>
      <c r="AB36" s="3">
        <f>O36-O$5</f>
        <v>-2.459197176</v>
      </c>
      <c r="AC36" s="3">
        <f>P36-P$5</f>
        <v>2.9020992640000003</v>
      </c>
      <c r="AD36" s="3">
        <f>Q36-Q$5</f>
        <v>4.4793097675299709E-3</v>
      </c>
      <c r="AE36" s="17">
        <f>R36-R$5</f>
        <v>-6.9496449999999987E-2</v>
      </c>
      <c r="AF36" s="17">
        <f>S36-S$5</f>
        <v>8.235753000000004E-2</v>
      </c>
      <c r="AG36" s="17">
        <f t="shared" si="11"/>
        <v>1.2861099999999959E-2</v>
      </c>
      <c r="AH36" s="17">
        <f t="shared" si="12"/>
        <v>2.8852000000000044E-3</v>
      </c>
    </row>
    <row r="37" spans="10:34" x14ac:dyDescent="0.35">
      <c r="J37" t="s">
        <v>29</v>
      </c>
      <c r="K37" s="3">
        <f>6368125380/10^9</f>
        <v>6.3681253800000004</v>
      </c>
      <c r="L37" s="3">
        <f>52418581/10^9</f>
        <v>5.2418580999999999E-2</v>
      </c>
      <c r="M37" s="3">
        <f t="shared" si="9"/>
        <v>6.3681253800000004</v>
      </c>
      <c r="N37" s="3">
        <f t="shared" si="10"/>
        <v>6.4205439610000008</v>
      </c>
      <c r="O37" s="3">
        <f>20157663209/10^9</f>
        <v>20.157663208999999</v>
      </c>
      <c r="P37" s="3">
        <f>2396601233/10^9</f>
        <v>2.3966012330000002</v>
      </c>
      <c r="Q37" s="4">
        <f>K37/$K$5*$Q$5</f>
        <v>0.2793897425968947</v>
      </c>
      <c r="R37" s="4">
        <v>0.56965186999999995</v>
      </c>
      <c r="S37" s="4">
        <v>0.25559206000000001</v>
      </c>
      <c r="T37" s="4">
        <v>0.95547320000000002</v>
      </c>
      <c r="U37" s="4">
        <v>0.17996210000000001</v>
      </c>
      <c r="W37" t="s">
        <v>29</v>
      </c>
      <c r="X37" s="3">
        <f t="shared" si="13"/>
        <v>-0.41962466599999981</v>
      </c>
      <c r="Y37" s="3">
        <f t="shared" si="13"/>
        <v>-2.8664004E-2</v>
      </c>
      <c r="Z37" s="3">
        <f>M37-M$5</f>
        <v>-0.41962466599999981</v>
      </c>
      <c r="AA37" s="3">
        <f>N37-N$5</f>
        <v>-0.44828866999999928</v>
      </c>
      <c r="AB37" s="3">
        <f>O37-O$5</f>
        <v>2.151762613999999</v>
      </c>
      <c r="AC37" s="3">
        <f>P37-P$5</f>
        <v>0.13998434600000031</v>
      </c>
      <c r="AD37" s="3">
        <f>Q37-Q$5</f>
        <v>-1.8410257403105312E-2</v>
      </c>
      <c r="AE37" s="17">
        <f>R37-R$5</f>
        <v>6.0808419999999974E-2</v>
      </c>
      <c r="AF37" s="17">
        <f>S37-S$5</f>
        <v>6.9202900000000234E-3</v>
      </c>
      <c r="AG37" s="17">
        <f t="shared" si="11"/>
        <v>6.7728699999999975E-2</v>
      </c>
      <c r="AH37" s="17">
        <f t="shared" si="12"/>
        <v>-1.1858499999999994E-2</v>
      </c>
    </row>
    <row r="38" spans="10:34" x14ac:dyDescent="0.35">
      <c r="J38" t="s">
        <v>27</v>
      </c>
      <c r="K38" s="3">
        <f>6532969817/10^9</f>
        <v>6.5329698169999997</v>
      </c>
      <c r="L38" s="3">
        <f>66395243/10^9</f>
        <v>6.6395243000000007E-2</v>
      </c>
      <c r="M38" s="3">
        <f t="shared" si="9"/>
        <v>6.5329698169999997</v>
      </c>
      <c r="N38" s="3">
        <f t="shared" si="10"/>
        <v>6.5993650599999993</v>
      </c>
      <c r="O38" s="3">
        <f>19358975458/10^9</f>
        <v>19.358975458</v>
      </c>
      <c r="P38" s="3">
        <f>2345296600/10^9</f>
        <v>2.3452966000000002</v>
      </c>
      <c r="Q38" s="4">
        <f t="shared" ref="Q38:Q44" si="14">K38/$K$5*$Q$5</f>
        <v>0.28662198789259891</v>
      </c>
      <c r="R38" s="4">
        <v>0.54708109999999999</v>
      </c>
      <c r="S38" s="4">
        <v>0.25305434999999998</v>
      </c>
      <c r="T38" s="4">
        <v>0.93036472999999997</v>
      </c>
      <c r="U38" s="4">
        <v>0.18462049999999999</v>
      </c>
      <c r="W38" t="s">
        <v>27</v>
      </c>
      <c r="X38" s="3">
        <f t="shared" si="13"/>
        <v>-0.25478022900000052</v>
      </c>
      <c r="Y38" s="3">
        <f t="shared" si="13"/>
        <v>-1.4687341999999992E-2</v>
      </c>
      <c r="Z38" s="3">
        <f>M38-M$5</f>
        <v>-0.25478022900000052</v>
      </c>
      <c r="AA38" s="3">
        <f>N38-N$5</f>
        <v>-0.26946757100000074</v>
      </c>
      <c r="AB38" s="3">
        <f>O38-O$5</f>
        <v>1.3530748629999998</v>
      </c>
      <c r="AC38" s="3">
        <f>P38-P$5</f>
        <v>8.8679713000000326E-2</v>
      </c>
      <c r="AD38" s="3">
        <f>Q38-Q$5</f>
        <v>-1.1178012107401103E-2</v>
      </c>
      <c r="AE38" s="17">
        <f>R38-R$5</f>
        <v>3.8237650000000012E-2</v>
      </c>
      <c r="AF38" s="17">
        <f>S38-S$5</f>
        <v>4.382579999999997E-3</v>
      </c>
      <c r="AG38" s="17">
        <f t="shared" si="11"/>
        <v>4.2620229999999926E-2</v>
      </c>
      <c r="AH38" s="17">
        <f t="shared" si="12"/>
        <v>-7.2001000000000148E-3</v>
      </c>
    </row>
    <row r="39" spans="10:34" x14ac:dyDescent="0.35">
      <c r="J39" t="s">
        <v>26</v>
      </c>
      <c r="K39" s="3">
        <f>6966981599/10^9</f>
        <v>6.9669815990000004</v>
      </c>
      <c r="L39" s="3">
        <f>83949497/10^9</f>
        <v>8.3949496999999998E-2</v>
      </c>
      <c r="M39" s="3">
        <f t="shared" si="9"/>
        <v>6.9669815990000004</v>
      </c>
      <c r="N39" s="3">
        <f t="shared" si="10"/>
        <v>7.0509310960000002</v>
      </c>
      <c r="O39" s="3">
        <f>16913269588/10^9</f>
        <v>16.913269587999999</v>
      </c>
      <c r="P39" s="3">
        <f>2183106975/10^9</f>
        <v>2.1831069749999998</v>
      </c>
      <c r="Q39" s="4">
        <f t="shared" si="14"/>
        <v>0.30566345344505635</v>
      </c>
      <c r="R39" s="4">
        <v>0.4779659</v>
      </c>
      <c r="S39" s="4">
        <v>0.24504306000000001</v>
      </c>
      <c r="T39" s="4">
        <v>0.85323824000000004</v>
      </c>
      <c r="U39" s="4">
        <v>0.19688559999999999</v>
      </c>
      <c r="W39" t="s">
        <v>26</v>
      </c>
      <c r="X39" s="3">
        <f t="shared" si="13"/>
        <v>0.17923155300000015</v>
      </c>
      <c r="Y39" s="3">
        <f t="shared" si="13"/>
        <v>2.8669119999999992E-3</v>
      </c>
      <c r="Z39" s="3">
        <f>M39-M$5</f>
        <v>0.17923155300000015</v>
      </c>
      <c r="AA39" s="3">
        <f>N39-N$5</f>
        <v>0.18209846500000015</v>
      </c>
      <c r="AB39" s="3">
        <f>O39-O$5</f>
        <v>-1.0926310070000014</v>
      </c>
      <c r="AC39" s="3">
        <f>P39-P$5</f>
        <v>-7.3509912000000011E-2</v>
      </c>
      <c r="AD39" s="3">
        <f>Q39-Q$5</f>
        <v>7.8634534450563454E-3</v>
      </c>
      <c r="AE39" s="17">
        <f>R39-R$5</f>
        <v>-3.0877549999999976E-2</v>
      </c>
      <c r="AF39" s="17">
        <f>S39-S$5</f>
        <v>-3.6287099999999795E-3</v>
      </c>
      <c r="AG39" s="17">
        <f t="shared" si="11"/>
        <v>-3.4506260000000011E-2</v>
      </c>
      <c r="AH39" s="17">
        <f t="shared" si="12"/>
        <v>5.0649999999999862E-3</v>
      </c>
    </row>
    <row r="40" spans="10:34" x14ac:dyDescent="0.35">
      <c r="J40" t="s">
        <v>28</v>
      </c>
      <c r="K40" s="3">
        <f>7139368828/10^9</f>
        <v>7.1393688280000003</v>
      </c>
      <c r="L40" s="3">
        <f>75975622/10^9</f>
        <v>7.5975622000000007E-2</v>
      </c>
      <c r="M40" s="3">
        <f t="shared" si="9"/>
        <v>7.1393688280000003</v>
      </c>
      <c r="N40" s="3">
        <f t="shared" si="10"/>
        <v>7.2153444499999999</v>
      </c>
      <c r="O40" s="3">
        <f>15635758447/10^9</f>
        <v>15.635758447000001</v>
      </c>
      <c r="P40" s="3">
        <f>2094512673/10^9</f>
        <v>2.0945126730000001</v>
      </c>
      <c r="Q40" s="4">
        <f t="shared" si="14"/>
        <v>0.31322662481234215</v>
      </c>
      <c r="R40" s="4">
        <v>0.44186366999999999</v>
      </c>
      <c r="S40" s="4">
        <v>0.24067567000000001</v>
      </c>
      <c r="T40" s="4">
        <v>0.81276861</v>
      </c>
      <c r="U40" s="4">
        <v>0.2017573</v>
      </c>
      <c r="W40" t="s">
        <v>28</v>
      </c>
      <c r="X40" s="3">
        <f t="shared" si="13"/>
        <v>0.35161878200000007</v>
      </c>
      <c r="Y40" s="3">
        <f t="shared" si="13"/>
        <v>-5.1069629999999921E-3</v>
      </c>
      <c r="Z40" s="3">
        <f>M40-M$5</f>
        <v>0.35161878200000007</v>
      </c>
      <c r="AA40" s="3">
        <f>N40-N$5</f>
        <v>0.34651181899999983</v>
      </c>
      <c r="AB40" s="3">
        <f>O40-O$5</f>
        <v>-2.3701421479999993</v>
      </c>
      <c r="AC40" s="3">
        <f>P40-P$5</f>
        <v>-0.16210421399999975</v>
      </c>
      <c r="AD40" s="3">
        <f>Q40-Q$5</f>
        <v>1.5426624812342138E-2</v>
      </c>
      <c r="AE40" s="17">
        <f>R40-R$5</f>
        <v>-6.6979779999999989E-2</v>
      </c>
      <c r="AF40" s="17">
        <f>S40-S$5</f>
        <v>-7.9960999999999782E-3</v>
      </c>
      <c r="AG40" s="17">
        <f t="shared" si="11"/>
        <v>-7.4975890000000045E-2</v>
      </c>
      <c r="AH40" s="17">
        <f t="shared" si="12"/>
        <v>9.9366999999999928E-3</v>
      </c>
    </row>
    <row r="41" spans="10:34" x14ac:dyDescent="0.35">
      <c r="J41" t="s">
        <v>33</v>
      </c>
      <c r="K41" s="3">
        <f>5159125886/10^9</f>
        <v>5.159125886</v>
      </c>
      <c r="L41" s="3">
        <f>16255214/10^9</f>
        <v>1.6255214E-2</v>
      </c>
      <c r="M41" s="3">
        <f t="shared" si="9"/>
        <v>5.159125886</v>
      </c>
      <c r="N41" s="3">
        <f t="shared" si="10"/>
        <v>5.1753811000000001</v>
      </c>
      <c r="O41" s="3">
        <f t="shared" ref="O41:O48" si="15">18005900595/10^9</f>
        <v>18.005900595</v>
      </c>
      <c r="P41" s="3">
        <f t="shared" ref="P41:P48" si="16">2256616887/10^9</f>
        <v>2.2566168869999998</v>
      </c>
      <c r="Q41" s="4">
        <f t="shared" si="14"/>
        <v>0.22634712215960109</v>
      </c>
      <c r="R41" s="4">
        <v>0.50884344999999997</v>
      </c>
      <c r="S41" s="4">
        <v>0.24867176999999999</v>
      </c>
      <c r="T41" s="4">
        <v>0.88774450000000005</v>
      </c>
      <c r="U41" s="4">
        <v>0.14579600000000001</v>
      </c>
      <c r="W41" t="s">
        <v>33</v>
      </c>
      <c r="X41" s="3">
        <f t="shared" si="13"/>
        <v>-1.6286241600000002</v>
      </c>
      <c r="Y41" s="3">
        <f t="shared" si="13"/>
        <v>-6.4827370999999995E-2</v>
      </c>
      <c r="Z41" s="3">
        <f>M41-M$5</f>
        <v>-1.6286241600000002</v>
      </c>
      <c r="AA41" s="3">
        <f>N41-N$5</f>
        <v>-1.693451531</v>
      </c>
      <c r="AB41" s="3">
        <f>O41-O$5</f>
        <v>0</v>
      </c>
      <c r="AC41" s="3">
        <f>P41-P$5</f>
        <v>0</v>
      </c>
      <c r="AD41" s="3">
        <f>Q41-Q$5</f>
        <v>-7.1452877840398915E-2</v>
      </c>
      <c r="AE41" s="17">
        <f>R41-R$5</f>
        <v>0</v>
      </c>
      <c r="AF41" s="17">
        <f>S41-S$5</f>
        <v>0</v>
      </c>
      <c r="AG41" s="17">
        <f t="shared" si="11"/>
        <v>0</v>
      </c>
      <c r="AH41" s="17">
        <f t="shared" si="12"/>
        <v>-4.6024599999999999E-2</v>
      </c>
    </row>
    <row r="42" spans="10:34" x14ac:dyDescent="0.35">
      <c r="J42" t="s">
        <v>31</v>
      </c>
      <c r="K42" s="3">
        <f>6136300382/10^9</f>
        <v>6.1363003819999999</v>
      </c>
      <c r="L42" s="3">
        <f>55151636/10^9</f>
        <v>5.5151635999999997E-2</v>
      </c>
      <c r="M42" s="3">
        <f t="shared" si="9"/>
        <v>6.1363003819999999</v>
      </c>
      <c r="N42" s="3">
        <f t="shared" si="10"/>
        <v>6.1914520179999997</v>
      </c>
      <c r="O42" s="3">
        <f t="shared" si="15"/>
        <v>18.005900595</v>
      </c>
      <c r="P42" s="3">
        <f t="shared" si="16"/>
        <v>2.2566168869999998</v>
      </c>
      <c r="Q42" s="4">
        <f t="shared" si="14"/>
        <v>0.26921884886384045</v>
      </c>
      <c r="R42" s="4">
        <v>0.50884344999999997</v>
      </c>
      <c r="S42" s="4">
        <v>0.24867176999999999</v>
      </c>
      <c r="T42" s="4">
        <v>0.88774450000000005</v>
      </c>
      <c r="U42" s="4">
        <v>0.1734107</v>
      </c>
      <c r="W42" t="s">
        <v>31</v>
      </c>
      <c r="X42" s="3">
        <f t="shared" si="13"/>
        <v>-0.65144966400000026</v>
      </c>
      <c r="Y42" s="3">
        <f t="shared" si="13"/>
        <v>-2.5930949000000002E-2</v>
      </c>
      <c r="Z42" s="3">
        <f>M42-M$5</f>
        <v>-0.65144966400000026</v>
      </c>
      <c r="AA42" s="3">
        <f>N42-N$5</f>
        <v>-0.67738061300000041</v>
      </c>
      <c r="AB42" s="3">
        <f>O42-O$5</f>
        <v>0</v>
      </c>
      <c r="AC42" s="3">
        <f>P42-P$5</f>
        <v>0</v>
      </c>
      <c r="AD42" s="3">
        <f>Q42-Q$5</f>
        <v>-2.8581151136159555E-2</v>
      </c>
      <c r="AE42" s="17">
        <f>R42-R$5</f>
        <v>0</v>
      </c>
      <c r="AF42" s="17">
        <f>S42-S$5</f>
        <v>0</v>
      </c>
      <c r="AG42" s="17">
        <f t="shared" si="11"/>
        <v>0</v>
      </c>
      <c r="AH42" s="17">
        <f t="shared" si="12"/>
        <v>-1.8409900000000007E-2</v>
      </c>
    </row>
    <row r="43" spans="10:34" x14ac:dyDescent="0.35">
      <c r="J43" t="s">
        <v>30</v>
      </c>
      <c r="K43" s="3">
        <f>7439199710/10^9</f>
        <v>7.4391997099999996</v>
      </c>
      <c r="L43" s="3">
        <f>107013533/10^9</f>
        <v>0.10701353299999999</v>
      </c>
      <c r="M43" s="3">
        <f t="shared" si="9"/>
        <v>7.4391997099999996</v>
      </c>
      <c r="N43" s="3">
        <f t="shared" si="10"/>
        <v>7.5462132429999995</v>
      </c>
      <c r="O43" s="3">
        <f t="shared" si="15"/>
        <v>18.005900595</v>
      </c>
      <c r="P43" s="3">
        <f t="shared" si="16"/>
        <v>2.2566168869999998</v>
      </c>
      <c r="Q43" s="4">
        <f t="shared" si="14"/>
        <v>0.32638115113615951</v>
      </c>
      <c r="R43" s="4">
        <v>0.50884344999999997</v>
      </c>
      <c r="S43" s="4">
        <v>0.24867176999999999</v>
      </c>
      <c r="T43" s="4">
        <v>0.88774450000000005</v>
      </c>
      <c r="U43" s="4">
        <v>0.21023040000000001</v>
      </c>
      <c r="W43" t="s">
        <v>30</v>
      </c>
      <c r="X43" s="3">
        <f t="shared" si="13"/>
        <v>0.65144966399999937</v>
      </c>
      <c r="Y43" s="3">
        <f t="shared" si="13"/>
        <v>2.5930947999999995E-2</v>
      </c>
      <c r="Z43" s="3">
        <f>M43-M$5</f>
        <v>0.65144966399999937</v>
      </c>
      <c r="AA43" s="3">
        <f>N43-N$5</f>
        <v>0.67738061199999944</v>
      </c>
      <c r="AB43" s="3">
        <f>O43-O$5</f>
        <v>0</v>
      </c>
      <c r="AC43" s="3">
        <f>P43-P$5</f>
        <v>0</v>
      </c>
      <c r="AD43" s="3">
        <f>Q43-Q$5</f>
        <v>2.8581151136159499E-2</v>
      </c>
      <c r="AE43" s="17">
        <f>R43-R$5</f>
        <v>0</v>
      </c>
      <c r="AF43" s="17">
        <f>S43-S$5</f>
        <v>0</v>
      </c>
      <c r="AG43" s="17">
        <f t="shared" si="11"/>
        <v>0</v>
      </c>
      <c r="AH43" s="17">
        <f t="shared" si="12"/>
        <v>1.8409800000000004E-2</v>
      </c>
    </row>
    <row r="44" spans="10:34" x14ac:dyDescent="0.35">
      <c r="J44" t="s">
        <v>32</v>
      </c>
      <c r="K44" s="3">
        <f>9393548703/10^9</f>
        <v>9.3935487030000004</v>
      </c>
      <c r="L44" s="3">
        <f>184806378/10^9</f>
        <v>0.18480637799999999</v>
      </c>
      <c r="M44" s="3">
        <f t="shared" si="9"/>
        <v>9.3935487030000004</v>
      </c>
      <c r="N44" s="3">
        <f t="shared" si="10"/>
        <v>9.5783550809999998</v>
      </c>
      <c r="O44" s="3">
        <f t="shared" si="15"/>
        <v>18.005900595</v>
      </c>
      <c r="P44" s="3">
        <f t="shared" si="16"/>
        <v>2.2566168869999998</v>
      </c>
      <c r="Q44" s="4">
        <f t="shared" si="14"/>
        <v>0.41212460458851141</v>
      </c>
      <c r="R44" s="4">
        <v>0.50884344999999997</v>
      </c>
      <c r="S44" s="4">
        <v>0.24867176999999999</v>
      </c>
      <c r="T44" s="4">
        <v>0.88774450000000005</v>
      </c>
      <c r="U44" s="4">
        <v>0.26545999999999997</v>
      </c>
      <c r="W44" t="s">
        <v>32</v>
      </c>
      <c r="X44" s="3">
        <f t="shared" si="13"/>
        <v>2.6057986570000002</v>
      </c>
      <c r="Y44" s="3">
        <f t="shared" si="13"/>
        <v>0.10372379299999999</v>
      </c>
      <c r="Z44" s="3">
        <f>M44-M$5</f>
        <v>2.6057986570000002</v>
      </c>
      <c r="AA44" s="3">
        <f>N44-N$5</f>
        <v>2.7095224499999997</v>
      </c>
      <c r="AB44" s="3">
        <f>O44-O$5</f>
        <v>0</v>
      </c>
      <c r="AC44" s="3">
        <f>P44-P$5</f>
        <v>0</v>
      </c>
      <c r="AD44" s="3">
        <f>Q44-Q$5</f>
        <v>0.1143246045885114</v>
      </c>
      <c r="AE44" s="17">
        <f>R44-R$5</f>
        <v>0</v>
      </c>
      <c r="AF44" s="17">
        <f>S44-S$5</f>
        <v>0</v>
      </c>
      <c r="AG44" s="17">
        <f t="shared" si="11"/>
        <v>0</v>
      </c>
      <c r="AH44" s="17">
        <f t="shared" si="12"/>
        <v>7.3639399999999966E-2</v>
      </c>
    </row>
    <row r="45" spans="10:34" x14ac:dyDescent="0.35">
      <c r="J45" t="s">
        <v>38</v>
      </c>
      <c r="K45" s="3">
        <f>9416545114/10^9</f>
        <v>9.4165451139999998</v>
      </c>
      <c r="L45" s="3">
        <f>201173368/10^9</f>
        <v>0.20117336799999999</v>
      </c>
      <c r="M45" s="3">
        <f>K45</f>
        <v>9.4165451139999998</v>
      </c>
      <c r="N45" s="3">
        <f>SUM(K45:L45)</f>
        <v>9.617718481999999</v>
      </c>
      <c r="O45" s="3">
        <f t="shared" si="15"/>
        <v>18.005900595</v>
      </c>
      <c r="P45" s="3">
        <f t="shared" si="16"/>
        <v>2.2566168869999998</v>
      </c>
      <c r="Q45" s="4">
        <f>K45/$K$5*$Q$5</f>
        <v>0.41313352965932126</v>
      </c>
      <c r="R45" s="4">
        <v>0.50884344999999997</v>
      </c>
      <c r="S45" s="4">
        <v>0.1743825</v>
      </c>
      <c r="T45" s="4">
        <v>0.81345522999999997</v>
      </c>
      <c r="U45" s="4">
        <v>0.26610980000000001</v>
      </c>
      <c r="W45" t="s">
        <v>38</v>
      </c>
      <c r="X45" s="3">
        <f t="shared" si="13"/>
        <v>2.6287950679999996</v>
      </c>
      <c r="Y45" s="3">
        <f t="shared" si="13"/>
        <v>0.12009078299999999</v>
      </c>
      <c r="Z45" s="3">
        <f>M45-M$5</f>
        <v>2.6287950679999996</v>
      </c>
      <c r="AA45" s="3">
        <f>N45-N$5</f>
        <v>2.7488858509999989</v>
      </c>
      <c r="AB45" s="3">
        <f>O45-O$5</f>
        <v>0</v>
      </c>
      <c r="AC45" s="3">
        <f>P45-P$5</f>
        <v>0</v>
      </c>
      <c r="AD45" s="3">
        <f>Q45-Q$5</f>
        <v>0.11533352965932125</v>
      </c>
      <c r="AE45" s="17">
        <f>R45-R$5</f>
        <v>0</v>
      </c>
      <c r="AF45" s="17">
        <f>S45-S$5</f>
        <v>-7.4289269999999991E-2</v>
      </c>
      <c r="AG45" s="17">
        <f t="shared" si="11"/>
        <v>-7.4289270000000074E-2</v>
      </c>
      <c r="AH45" s="17">
        <f t="shared" si="12"/>
        <v>7.42892E-2</v>
      </c>
    </row>
    <row r="46" spans="10:34" x14ac:dyDescent="0.35">
      <c r="J46" t="s">
        <v>37</v>
      </c>
      <c r="K46" s="3">
        <f>8164737939/10^9</f>
        <v>8.1647379390000001</v>
      </c>
      <c r="L46" s="3">
        <f>143987281/10^9</f>
        <v>0.14398728099999999</v>
      </c>
      <c r="M46" s="3">
        <f>K46</f>
        <v>8.1647379390000001</v>
      </c>
      <c r="N46" s="3">
        <f>SUM(K46:L46)</f>
        <v>8.3087252199999995</v>
      </c>
      <c r="O46" s="3">
        <f t="shared" si="15"/>
        <v>18.005900595</v>
      </c>
      <c r="P46" s="3">
        <f t="shared" si="16"/>
        <v>2.2566168869999998</v>
      </c>
      <c r="Q46" s="4">
        <f>K46/$K$5*$Q$5</f>
        <v>0.35821280126056665</v>
      </c>
      <c r="R46" s="4">
        <v>0.50884344999999997</v>
      </c>
      <c r="S46" s="4">
        <v>0.20975833999999999</v>
      </c>
      <c r="T46" s="4">
        <v>0.84883107000000002</v>
      </c>
      <c r="U46" s="4">
        <v>0.23073399999999999</v>
      </c>
      <c r="W46" t="s">
        <v>37</v>
      </c>
      <c r="X46" s="3">
        <f t="shared" si="13"/>
        <v>1.3769878929999999</v>
      </c>
      <c r="Y46" s="3">
        <f t="shared" si="13"/>
        <v>6.2904695999999996E-2</v>
      </c>
      <c r="Z46" s="3">
        <f>M46-M$5</f>
        <v>1.3769878929999999</v>
      </c>
      <c r="AA46" s="3">
        <f>N46-N$5</f>
        <v>1.4398925889999994</v>
      </c>
      <c r="AB46" s="3">
        <f>O46-O$5</f>
        <v>0</v>
      </c>
      <c r="AC46" s="3">
        <f>P46-P$5</f>
        <v>0</v>
      </c>
      <c r="AD46" s="3">
        <f>Q46-Q$5</f>
        <v>6.041280126056664E-2</v>
      </c>
      <c r="AE46" s="17">
        <f>R46-R$5</f>
        <v>0</v>
      </c>
      <c r="AF46" s="17">
        <f>S46-S$5</f>
        <v>-3.8913429999999999E-2</v>
      </c>
      <c r="AG46" s="17">
        <f t="shared" si="11"/>
        <v>-3.8913430000000027E-2</v>
      </c>
      <c r="AH46" s="17">
        <f t="shared" si="12"/>
        <v>3.8913399999999987E-2</v>
      </c>
    </row>
    <row r="47" spans="10:34" x14ac:dyDescent="0.35">
      <c r="J47" t="s">
        <v>35</v>
      </c>
      <c r="K47" s="3">
        <f>6124005869/10^9</f>
        <v>6.1240058690000003</v>
      </c>
      <c r="L47" s="3">
        <f>47864472/10^9</f>
        <v>4.7864471999999998E-2</v>
      </c>
      <c r="M47" s="3">
        <f>K47</f>
        <v>6.1240058690000003</v>
      </c>
      <c r="N47" s="3">
        <f>SUM(K47:L47)</f>
        <v>6.171870341</v>
      </c>
      <c r="O47" s="3">
        <f t="shared" si="15"/>
        <v>18.005900595</v>
      </c>
      <c r="P47" s="3">
        <f t="shared" si="16"/>
        <v>2.2566168869999998</v>
      </c>
      <c r="Q47" s="4">
        <f>K47/$K$5*$Q$5</f>
        <v>0.2686794498072182</v>
      </c>
      <c r="R47" s="4">
        <v>0.50884344999999997</v>
      </c>
      <c r="S47" s="4">
        <v>0.26742906</v>
      </c>
      <c r="T47" s="4">
        <v>0.90650178999999997</v>
      </c>
      <c r="U47" s="4">
        <v>0.1730633</v>
      </c>
      <c r="W47" t="s">
        <v>35</v>
      </c>
      <c r="X47" s="3">
        <f t="shared" si="13"/>
        <v>-0.66374417699999988</v>
      </c>
      <c r="Y47" s="3">
        <f t="shared" si="13"/>
        <v>-3.3218113000000001E-2</v>
      </c>
      <c r="Z47" s="3">
        <f>M47-M$5</f>
        <v>-0.66374417699999988</v>
      </c>
      <c r="AA47" s="3">
        <f>N47-N$5</f>
        <v>-0.6969622900000001</v>
      </c>
      <c r="AB47" s="3">
        <f>O47-O$5</f>
        <v>0</v>
      </c>
      <c r="AC47" s="3">
        <f>P47-P$5</f>
        <v>0</v>
      </c>
      <c r="AD47" s="3">
        <f>Q47-Q$5</f>
        <v>-2.9120550192781813E-2</v>
      </c>
      <c r="AE47" s="17">
        <f>R47-R$5</f>
        <v>0</v>
      </c>
      <c r="AF47" s="17">
        <f>S47-S$5</f>
        <v>1.875729000000001E-2</v>
      </c>
      <c r="AG47" s="17">
        <f t="shared" si="11"/>
        <v>1.8757289999999927E-2</v>
      </c>
      <c r="AH47" s="17">
        <f t="shared" si="12"/>
        <v>-1.8757300000000005E-2</v>
      </c>
    </row>
    <row r="48" spans="10:34" x14ac:dyDescent="0.35">
      <c r="J48" t="s">
        <v>36</v>
      </c>
      <c r="K48" s="3">
        <f>3745572236/10^9</f>
        <v>3.7455722360000001</v>
      </c>
      <c r="L48" s="3">
        <f>-60789094/10^9</f>
        <v>-6.0789094000000002E-2</v>
      </c>
      <c r="M48" s="3">
        <f>K48</f>
        <v>3.7455722360000001</v>
      </c>
      <c r="N48" s="3">
        <f>SUM(K48:L48)</f>
        <v>3.6847831420000001</v>
      </c>
      <c r="O48" s="3">
        <f t="shared" si="15"/>
        <v>18.005900595</v>
      </c>
      <c r="P48" s="3">
        <f t="shared" si="16"/>
        <v>2.2566168869999998</v>
      </c>
      <c r="Q48" s="4">
        <f>K48/$K$5*$Q$5</f>
        <v>0.16433006582764789</v>
      </c>
      <c r="R48" s="4">
        <v>0.50884344999999997</v>
      </c>
      <c r="S48" s="4">
        <v>0.33464316</v>
      </c>
      <c r="T48" s="4">
        <v>0.97371587999999998</v>
      </c>
      <c r="U48" s="4">
        <v>0.1058492</v>
      </c>
      <c r="W48" t="s">
        <v>36</v>
      </c>
      <c r="X48" s="3">
        <f t="shared" si="13"/>
        <v>-3.0421778100000001</v>
      </c>
      <c r="Y48" s="3">
        <f t="shared" si="13"/>
        <v>-0.141871679</v>
      </c>
      <c r="Z48" s="3">
        <f>M48-M$5</f>
        <v>-3.0421778100000001</v>
      </c>
      <c r="AA48" s="3">
        <f>N48-N$5</f>
        <v>-3.184049489</v>
      </c>
      <c r="AB48" s="3">
        <f>O48-O$5</f>
        <v>0</v>
      </c>
      <c r="AC48" s="3">
        <f>P48-P$5</f>
        <v>0</v>
      </c>
      <c r="AD48" s="3">
        <f>Q48-Q$5</f>
        <v>-0.13346993417235212</v>
      </c>
      <c r="AE48" s="17">
        <f>R48-R$5</f>
        <v>0</v>
      </c>
      <c r="AF48" s="17">
        <f>S48-S$5</f>
        <v>8.5971390000000009E-2</v>
      </c>
      <c r="AG48" s="17">
        <f t="shared" si="11"/>
        <v>8.5971379999999931E-2</v>
      </c>
      <c r="AH48" s="17">
        <f t="shared" si="12"/>
        <v>-8.5971400000000003E-2</v>
      </c>
    </row>
  </sheetData>
  <mergeCells count="1">
    <mergeCell ref="W5:AH5"/>
  </mergeCells>
  <conditionalFormatting sqref="X6:X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6:Y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:Z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:A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:AB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6:AC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6:AD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6:AE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:AF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6:AG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:AH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88A1-8294-3E43-AF73-A85036E34B94}">
  <dimension ref="A3:AA73"/>
  <sheetViews>
    <sheetView topLeftCell="A11" zoomScale="95" workbookViewId="0">
      <selection activeCell="A44" sqref="A44"/>
    </sheetView>
  </sheetViews>
  <sheetFormatPr defaultColWidth="11.453125" defaultRowHeight="14.5" x14ac:dyDescent="0.35"/>
  <cols>
    <col min="1" max="1" width="38.6328125" bestFit="1" customWidth="1"/>
    <col min="3" max="3" width="14.453125" bestFit="1" customWidth="1"/>
    <col min="5" max="5" width="12" bestFit="1" customWidth="1"/>
    <col min="6" max="6" width="15.81640625" bestFit="1" customWidth="1"/>
    <col min="7" max="7" width="13.81640625" bestFit="1" customWidth="1"/>
    <col min="9" max="9" width="38.6328125" bestFit="1" customWidth="1"/>
    <col min="12" max="12" width="13.36328125" bestFit="1" customWidth="1"/>
    <col min="13" max="13" width="13.36328125" customWidth="1"/>
    <col min="16" max="16" width="13" bestFit="1" customWidth="1"/>
    <col min="19" max="19" width="39.26953125" bestFit="1" customWidth="1"/>
    <col min="20" max="21" width="15.6328125" customWidth="1"/>
    <col min="22" max="22" width="23.81640625" bestFit="1" customWidth="1"/>
    <col min="23" max="23" width="21.90625" bestFit="1" customWidth="1"/>
    <col min="24" max="27" width="15.6328125" customWidth="1"/>
  </cols>
  <sheetData>
    <row r="3" spans="1:27" ht="15" thickBot="1" x14ac:dyDescent="0.4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6</v>
      </c>
      <c r="J3" t="s">
        <v>39</v>
      </c>
      <c r="K3" t="s">
        <v>103</v>
      </c>
      <c r="L3" t="s">
        <v>40</v>
      </c>
      <c r="M3" t="s">
        <v>41</v>
      </c>
      <c r="N3" t="s">
        <v>42</v>
      </c>
      <c r="O3" t="s">
        <v>43</v>
      </c>
      <c r="P3" t="s">
        <v>45</v>
      </c>
      <c r="Q3" t="s">
        <v>46</v>
      </c>
      <c r="S3" s="5" t="s">
        <v>104</v>
      </c>
      <c r="T3" s="5" t="s">
        <v>106</v>
      </c>
      <c r="U3" s="5" t="s">
        <v>107</v>
      </c>
      <c r="V3" s="5" t="s">
        <v>108</v>
      </c>
      <c r="W3" s="5" t="s">
        <v>109</v>
      </c>
      <c r="X3" s="5" t="s">
        <v>110</v>
      </c>
      <c r="Y3" s="5" t="s">
        <v>111</v>
      </c>
      <c r="Z3" s="5" t="s">
        <v>112</v>
      </c>
      <c r="AA3" s="5" t="s">
        <v>113</v>
      </c>
    </row>
    <row r="4" spans="1:27" ht="15" thickBot="1" x14ac:dyDescent="0.4">
      <c r="A4" t="s">
        <v>18</v>
      </c>
      <c r="B4" s="1">
        <v>0.04</v>
      </c>
      <c r="C4" s="1">
        <v>0.06</v>
      </c>
      <c r="D4" t="s">
        <v>19</v>
      </c>
      <c r="E4" t="s">
        <v>19</v>
      </c>
      <c r="F4" s="2">
        <v>0.2</v>
      </c>
      <c r="G4" t="s">
        <v>47</v>
      </c>
      <c r="I4" t="s">
        <v>48</v>
      </c>
      <c r="J4" s="3">
        <v>67.98948388006491</v>
      </c>
      <c r="K4" s="3">
        <v>5.2521436049999997</v>
      </c>
      <c r="L4" s="3">
        <v>103.995566426024</v>
      </c>
      <c r="M4" s="3">
        <v>0</v>
      </c>
      <c r="N4" s="16">
        <v>0.54179138582394604</v>
      </c>
      <c r="O4" s="17">
        <v>0.205489378575793</v>
      </c>
      <c r="P4" s="17">
        <v>0.91444424675496505</v>
      </c>
      <c r="Q4" s="17">
        <v>0.35420852983226198</v>
      </c>
      <c r="R4" s="4"/>
      <c r="S4" s="32" t="s">
        <v>20</v>
      </c>
      <c r="T4" s="30">
        <f>J4</f>
        <v>67.98948388006491</v>
      </c>
      <c r="U4" s="30">
        <f>K4</f>
        <v>5.2521436049999997</v>
      </c>
      <c r="V4" s="30">
        <f>L4</f>
        <v>103.995566426024</v>
      </c>
      <c r="W4" s="30">
        <f>M4</f>
        <v>0</v>
      </c>
      <c r="X4" s="13">
        <f>N4</f>
        <v>0.54179138582394604</v>
      </c>
      <c r="Y4" s="13">
        <f>O4</f>
        <v>0.205489378575793</v>
      </c>
      <c r="Z4" s="13">
        <f>P4</f>
        <v>0.91444424675496505</v>
      </c>
      <c r="AA4" s="13">
        <f>Q4</f>
        <v>0.35420852983226198</v>
      </c>
    </row>
    <row r="5" spans="1:27" ht="15" thickBot="1" x14ac:dyDescent="0.4">
      <c r="A5" t="s">
        <v>20</v>
      </c>
      <c r="B5" s="1">
        <v>0.04</v>
      </c>
      <c r="C5" s="1">
        <v>0.06</v>
      </c>
      <c r="D5" t="s">
        <v>21</v>
      </c>
      <c r="E5" t="s">
        <v>21</v>
      </c>
      <c r="F5" s="2">
        <v>0.2</v>
      </c>
      <c r="G5">
        <v>145</v>
      </c>
      <c r="I5" t="s">
        <v>20</v>
      </c>
      <c r="J5" s="3">
        <v>71.288076200000006</v>
      </c>
      <c r="K5" s="3">
        <v>5.5314104139999998</v>
      </c>
      <c r="L5" s="3">
        <v>100.606197552</v>
      </c>
      <c r="M5" s="3">
        <v>1.235475366</v>
      </c>
      <c r="N5" s="16">
        <v>0.52413361000000003</v>
      </c>
      <c r="O5" s="17">
        <v>0.21201803999999999</v>
      </c>
      <c r="P5" s="17">
        <v>0.90331512999999997</v>
      </c>
      <c r="Q5" s="17">
        <v>0.37139339999999998</v>
      </c>
      <c r="R5" s="4"/>
      <c r="S5" s="33" t="s">
        <v>105</v>
      </c>
      <c r="T5" s="34"/>
      <c r="U5" s="34"/>
      <c r="V5" s="34"/>
      <c r="W5" s="34"/>
      <c r="X5" s="34"/>
      <c r="Y5" s="34"/>
      <c r="Z5" s="34"/>
      <c r="AA5" s="35"/>
    </row>
    <row r="6" spans="1:27" ht="15" thickBot="1" x14ac:dyDescent="0.4">
      <c r="A6" t="s">
        <v>22</v>
      </c>
      <c r="B6" s="1">
        <f>B5</f>
        <v>0.04</v>
      </c>
      <c r="C6" s="1">
        <f>C5</f>
        <v>0.06</v>
      </c>
      <c r="D6" t="s">
        <v>23</v>
      </c>
      <c r="E6" t="s">
        <v>24</v>
      </c>
      <c r="F6" s="2">
        <v>0.2</v>
      </c>
      <c r="G6">
        <v>145</v>
      </c>
      <c r="I6" t="s">
        <v>22</v>
      </c>
      <c r="J6" s="3">
        <v>69.244537093000005</v>
      </c>
      <c r="K6" s="3">
        <v>5.3600700669999997</v>
      </c>
      <c r="L6" s="3">
        <v>102.825690728</v>
      </c>
      <c r="M6" s="3">
        <v>0.30797049999999998</v>
      </c>
      <c r="N6" s="16">
        <v>0.53569661999999996</v>
      </c>
      <c r="O6" s="17">
        <v>0.20712527</v>
      </c>
      <c r="P6" s="17">
        <v>0.90998537999999995</v>
      </c>
      <c r="Q6" s="17">
        <v>0.36074699999999998</v>
      </c>
      <c r="R6" s="4"/>
      <c r="S6" s="32" t="s">
        <v>22</v>
      </c>
      <c r="T6" s="30">
        <f>J6-J$4</f>
        <v>1.2550532129350955</v>
      </c>
      <c r="U6" s="30">
        <f>K6-K$4</f>
        <v>0.107926462</v>
      </c>
      <c r="V6" s="30">
        <f>L6-L$4</f>
        <v>-1.1698756980240006</v>
      </c>
      <c r="W6" s="30">
        <f>M6-M$4</f>
        <v>0.30797049999999998</v>
      </c>
      <c r="X6" s="13">
        <f>N6-N$4</f>
        <v>-6.09476582394608E-3</v>
      </c>
      <c r="Y6" s="13">
        <f>O6-O$4</f>
        <v>1.6358914242070033E-3</v>
      </c>
      <c r="Z6" s="13">
        <f t="shared" ref="Z6:Z20" si="0">P6-P$4</f>
        <v>-4.4588667549650962E-3</v>
      </c>
      <c r="AA6" s="13">
        <f t="shared" ref="AA6:AA20" si="1">Q6-Q$4</f>
        <v>6.5384701677380086E-3</v>
      </c>
    </row>
    <row r="7" spans="1:27" ht="15" thickBot="1" x14ac:dyDescent="0.4">
      <c r="A7" t="s">
        <v>25</v>
      </c>
      <c r="B7" s="1">
        <v>0.04</v>
      </c>
      <c r="C7" s="1">
        <v>0.06</v>
      </c>
      <c r="D7" t="s">
        <v>24</v>
      </c>
      <c r="E7" t="s">
        <v>23</v>
      </c>
      <c r="F7" s="2">
        <v>0.2</v>
      </c>
      <c r="G7">
        <v>145</v>
      </c>
      <c r="I7" t="s">
        <v>25</v>
      </c>
      <c r="J7" s="3">
        <v>74.426546713999997</v>
      </c>
      <c r="K7" s="3">
        <v>5.7876468140000004</v>
      </c>
      <c r="L7" s="3">
        <v>97.093736356999997</v>
      </c>
      <c r="M7" s="3">
        <v>2.8056064470000002</v>
      </c>
      <c r="N7" s="16">
        <v>0.50583454000000005</v>
      </c>
      <c r="O7" s="17">
        <v>0.22029452999999999</v>
      </c>
      <c r="P7" s="17">
        <v>0.89329256000000001</v>
      </c>
      <c r="Q7" s="17">
        <v>0.38774399999999998</v>
      </c>
      <c r="R7" s="4"/>
      <c r="S7" s="32" t="s">
        <v>25</v>
      </c>
      <c r="T7" s="31">
        <f t="shared" ref="T7:T20" si="2">J7-J$4</f>
        <v>6.4370628339350873</v>
      </c>
      <c r="U7" s="31">
        <f>K7-K$4</f>
        <v>0.5355032090000007</v>
      </c>
      <c r="V7" s="31">
        <f>L7-L$4</f>
        <v>-6.9018300690240011</v>
      </c>
      <c r="W7" s="31">
        <f>M7-M$4</f>
        <v>2.8056064470000002</v>
      </c>
      <c r="X7" s="14">
        <f>N7-N$4</f>
        <v>-3.5956845823945982E-2</v>
      </c>
      <c r="Y7" s="14">
        <f>O7-O$4</f>
        <v>1.4805151424206991E-2</v>
      </c>
      <c r="Z7" s="14">
        <f t="shared" si="0"/>
        <v>-2.1151686754965038E-2</v>
      </c>
      <c r="AA7" s="14">
        <f t="shared" si="1"/>
        <v>3.3535470167738002E-2</v>
      </c>
    </row>
    <row r="8" spans="1:27" ht="15" thickBot="1" x14ac:dyDescent="0.4">
      <c r="A8" t="s">
        <v>26</v>
      </c>
      <c r="B8" s="1">
        <v>0.06</v>
      </c>
      <c r="C8" s="1">
        <v>0.06</v>
      </c>
      <c r="D8" t="s">
        <v>21</v>
      </c>
      <c r="E8" t="s">
        <v>21</v>
      </c>
      <c r="F8" s="2">
        <v>0.2</v>
      </c>
      <c r="G8">
        <v>145</v>
      </c>
      <c r="I8" t="s">
        <v>26</v>
      </c>
      <c r="J8" s="3">
        <v>63.921521020999997</v>
      </c>
      <c r="K8" s="3">
        <v>5.2625630430000001</v>
      </c>
      <c r="L8" s="3">
        <v>72.707677528000005</v>
      </c>
      <c r="M8" s="3">
        <v>1.100893669</v>
      </c>
      <c r="N8" s="16">
        <v>0.37878916000000001</v>
      </c>
      <c r="O8" s="17">
        <v>0.21060718</v>
      </c>
      <c r="P8" s="17">
        <v>0.72960586999999999</v>
      </c>
      <c r="Q8" s="17">
        <v>0.33301540000000002</v>
      </c>
      <c r="R8" s="4"/>
      <c r="S8" s="32" t="s">
        <v>26</v>
      </c>
      <c r="T8" s="30">
        <f t="shared" si="2"/>
        <v>-4.0679628590649131</v>
      </c>
      <c r="U8" s="30">
        <f>K8-K$4</f>
        <v>1.0419438000000447E-2</v>
      </c>
      <c r="V8" s="30">
        <f>L8-L$4</f>
        <v>-31.287888898023994</v>
      </c>
      <c r="W8" s="30">
        <f>M8-M$4</f>
        <v>1.100893669</v>
      </c>
      <c r="X8" s="13">
        <f>N8-N$4</f>
        <v>-0.16300222582394602</v>
      </c>
      <c r="Y8" s="13">
        <f>O8-O$4</f>
        <v>5.117801424207008E-3</v>
      </c>
      <c r="Z8" s="13">
        <f t="shared" si="0"/>
        <v>-0.18483837675496506</v>
      </c>
      <c r="AA8" s="13">
        <f t="shared" si="1"/>
        <v>-2.1193129832261959E-2</v>
      </c>
    </row>
    <row r="9" spans="1:27" ht="15" thickBot="1" x14ac:dyDescent="0.4">
      <c r="A9" t="s">
        <v>27</v>
      </c>
      <c r="B9" s="1">
        <v>0.02</v>
      </c>
      <c r="C9" s="1">
        <v>0.06</v>
      </c>
      <c r="D9" t="s">
        <v>21</v>
      </c>
      <c r="E9" t="s">
        <v>21</v>
      </c>
      <c r="F9" s="2">
        <v>0.2</v>
      </c>
      <c r="G9">
        <v>145</v>
      </c>
      <c r="I9" t="s">
        <v>27</v>
      </c>
      <c r="J9" s="3">
        <v>87.397084085000003</v>
      </c>
      <c r="K9" s="3">
        <v>6.9400424689999998</v>
      </c>
      <c r="L9" s="3">
        <v>150.570729787</v>
      </c>
      <c r="M9" s="3">
        <v>1.4387832359999999</v>
      </c>
      <c r="N9" s="16">
        <v>0.78443655999999995</v>
      </c>
      <c r="O9" s="17">
        <v>0.2141564</v>
      </c>
      <c r="P9" s="17">
        <v>1.2184892199999999</v>
      </c>
      <c r="Q9" s="17">
        <v>0.45531739999999998</v>
      </c>
      <c r="R9" s="4"/>
      <c r="S9" s="32" t="s">
        <v>27</v>
      </c>
      <c r="T9" s="31">
        <f t="shared" si="2"/>
        <v>19.407600204935093</v>
      </c>
      <c r="U9" s="31">
        <f>K9-K$4</f>
        <v>1.6878988640000001</v>
      </c>
      <c r="V9" s="31">
        <f>L9-L$4</f>
        <v>46.575163360976006</v>
      </c>
      <c r="W9" s="31">
        <f>M9-M$4</f>
        <v>1.4387832359999999</v>
      </c>
      <c r="X9" s="14">
        <f>N9-N$4</f>
        <v>0.24264517417605391</v>
      </c>
      <c r="Y9" s="14">
        <f>O9-O$4</f>
        <v>8.6670214242069998E-3</v>
      </c>
      <c r="Z9" s="14">
        <f t="shared" si="0"/>
        <v>0.30404497324503488</v>
      </c>
      <c r="AA9" s="14">
        <f t="shared" si="1"/>
        <v>0.10110887016773801</v>
      </c>
    </row>
    <row r="10" spans="1:27" ht="15" thickBot="1" x14ac:dyDescent="0.4">
      <c r="A10" t="s">
        <v>28</v>
      </c>
      <c r="B10" s="1">
        <v>0.09</v>
      </c>
      <c r="C10" s="1">
        <v>0.06</v>
      </c>
      <c r="D10" t="s">
        <v>21</v>
      </c>
      <c r="E10" t="s">
        <v>21</v>
      </c>
      <c r="F10" s="2">
        <v>0.2</v>
      </c>
      <c r="G10">
        <v>145</v>
      </c>
      <c r="I10" t="s">
        <v>28</v>
      </c>
      <c r="J10" s="3">
        <v>59.960992574000002</v>
      </c>
      <c r="K10" s="3">
        <v>3.9410472560000001</v>
      </c>
      <c r="L10" s="3">
        <v>50.318827921</v>
      </c>
      <c r="M10" s="3">
        <v>0.97068731200000002</v>
      </c>
      <c r="N10" s="16">
        <v>0.26214874999999999</v>
      </c>
      <c r="O10" s="17">
        <v>0.20924718</v>
      </c>
      <c r="P10" s="17">
        <v>0.59077391000000001</v>
      </c>
      <c r="Q10" s="17">
        <v>0.3123821</v>
      </c>
      <c r="R10" s="4"/>
      <c r="S10" s="32" t="s">
        <v>28</v>
      </c>
      <c r="T10" s="30">
        <f t="shared" si="2"/>
        <v>-8.0284913060649075</v>
      </c>
      <c r="U10" s="30">
        <f>K10-K$4</f>
        <v>-1.3110963489999996</v>
      </c>
      <c r="V10" s="30">
        <f>L10-L$4</f>
        <v>-53.676738505023998</v>
      </c>
      <c r="W10" s="30">
        <f>M10-M$4</f>
        <v>0.97068731200000002</v>
      </c>
      <c r="X10" s="13">
        <f>N10-N$4</f>
        <v>-0.27964263582394605</v>
      </c>
      <c r="Y10" s="13">
        <f>O10-O$4</f>
        <v>3.7578014242070079E-3</v>
      </c>
      <c r="Z10" s="13">
        <f t="shared" si="0"/>
        <v>-0.32367033675496504</v>
      </c>
      <c r="AA10" s="13">
        <f t="shared" si="1"/>
        <v>-4.182642983226198E-2</v>
      </c>
    </row>
    <row r="11" spans="1:27" ht="15" thickBot="1" x14ac:dyDescent="0.4">
      <c r="A11" t="s">
        <v>29</v>
      </c>
      <c r="B11" s="1">
        <v>0.01</v>
      </c>
      <c r="C11" s="1">
        <v>0.06</v>
      </c>
      <c r="D11" t="s">
        <v>21</v>
      </c>
      <c r="E11" t="s">
        <v>21</v>
      </c>
      <c r="F11" s="2">
        <v>0.2</v>
      </c>
      <c r="G11">
        <v>145</v>
      </c>
      <c r="I11" t="s">
        <v>49</v>
      </c>
      <c r="J11" s="3">
        <v>101.574638021</v>
      </c>
      <c r="K11" s="3">
        <v>-4.0817967700000004</v>
      </c>
      <c r="L11" s="3">
        <v>190.39184546199999</v>
      </c>
      <c r="M11" s="3">
        <v>1.581334051</v>
      </c>
      <c r="N11" s="16">
        <v>0.99189479999999997</v>
      </c>
      <c r="O11" s="17">
        <v>0.21565944000000001</v>
      </c>
      <c r="P11" s="17">
        <v>1.47374765</v>
      </c>
      <c r="Q11" s="17">
        <v>0.52917890000000001</v>
      </c>
      <c r="R11" s="4"/>
      <c r="S11" s="32" t="s">
        <v>49</v>
      </c>
      <c r="T11" s="31">
        <f t="shared" si="2"/>
        <v>33.585154140935089</v>
      </c>
      <c r="U11" s="31">
        <f>K11-K$4</f>
        <v>-9.333940375000001</v>
      </c>
      <c r="V11" s="31">
        <f>L11-L$4</f>
        <v>86.396279035975994</v>
      </c>
      <c r="W11" s="31">
        <f>M11-M$4</f>
        <v>1.581334051</v>
      </c>
      <c r="X11" s="14">
        <f>N11-N$4</f>
        <v>0.45010341417605393</v>
      </c>
      <c r="Y11" s="14">
        <f>O11-O$4</f>
        <v>1.0170061424207011E-2</v>
      </c>
      <c r="Z11" s="14">
        <f t="shared" si="0"/>
        <v>0.55930340324503491</v>
      </c>
      <c r="AA11" s="14">
        <f t="shared" si="1"/>
        <v>0.17497037016773803</v>
      </c>
    </row>
    <row r="12" spans="1:27" ht="15" thickBot="1" x14ac:dyDescent="0.4">
      <c r="A12" t="s">
        <v>30</v>
      </c>
      <c r="B12" s="1">
        <v>0.04</v>
      </c>
      <c r="C12" s="1">
        <v>0.08</v>
      </c>
      <c r="D12" t="s">
        <v>21</v>
      </c>
      <c r="E12" t="s">
        <v>21</v>
      </c>
      <c r="F12" s="2">
        <v>0.2</v>
      </c>
      <c r="G12">
        <v>145</v>
      </c>
      <c r="I12" t="s">
        <v>50</v>
      </c>
      <c r="J12" s="3">
        <v>115.912241409</v>
      </c>
      <c r="K12" s="3">
        <v>5.5802909769999998</v>
      </c>
      <c r="L12" s="3">
        <v>100.606197552</v>
      </c>
      <c r="M12" s="3">
        <v>1.235475366</v>
      </c>
      <c r="N12" s="16">
        <v>0.52413361000000003</v>
      </c>
      <c r="O12" s="17">
        <v>0.21201803999999999</v>
      </c>
      <c r="P12" s="17">
        <v>0.90331512999999997</v>
      </c>
      <c r="Q12" s="17">
        <v>0.60387429999999997</v>
      </c>
      <c r="R12" s="4"/>
      <c r="S12" s="32" t="s">
        <v>50</v>
      </c>
      <c r="T12" s="30">
        <f t="shared" si="2"/>
        <v>47.922757528935094</v>
      </c>
      <c r="U12" s="30">
        <f>K12-K$4</f>
        <v>0.3281473720000001</v>
      </c>
      <c r="V12" s="30">
        <f>L12-L$4</f>
        <v>-3.3893688740240009</v>
      </c>
      <c r="W12" s="30">
        <f>M12-M$4</f>
        <v>1.235475366</v>
      </c>
      <c r="X12" s="13">
        <f>N12-N$4</f>
        <v>-1.7657775823946009E-2</v>
      </c>
      <c r="Y12" s="13">
        <f>O12-O$4</f>
        <v>6.528661424206994E-3</v>
      </c>
      <c r="Z12" s="13">
        <f t="shared" si="0"/>
        <v>-1.1129116754965085E-2</v>
      </c>
      <c r="AA12" s="13">
        <f t="shared" si="1"/>
        <v>0.249665770167738</v>
      </c>
    </row>
    <row r="13" spans="1:27" ht="15" thickBot="1" x14ac:dyDescent="0.4">
      <c r="A13" t="s">
        <v>31</v>
      </c>
      <c r="B13" s="1">
        <v>0.04</v>
      </c>
      <c r="C13" s="1">
        <v>0.04</v>
      </c>
      <c r="D13" t="s">
        <v>21</v>
      </c>
      <c r="E13" t="s">
        <v>21</v>
      </c>
      <c r="F13" s="2">
        <v>0.2</v>
      </c>
      <c r="G13">
        <v>145</v>
      </c>
      <c r="I13" t="s">
        <v>51</v>
      </c>
      <c r="J13" s="3">
        <v>26.663910992000002</v>
      </c>
      <c r="K13" s="3">
        <v>8.5543670059999997</v>
      </c>
      <c r="L13" s="3">
        <v>100.606197552</v>
      </c>
      <c r="M13" s="3">
        <v>1.235475366</v>
      </c>
      <c r="N13" s="16">
        <v>0.52413361000000003</v>
      </c>
      <c r="O13" s="17">
        <v>0.21201803999999999</v>
      </c>
      <c r="P13" s="17">
        <v>0.90331512999999997</v>
      </c>
      <c r="Q13" s="17">
        <v>0.13891239999999999</v>
      </c>
      <c r="R13" s="4"/>
      <c r="S13" s="32" t="s">
        <v>51</v>
      </c>
      <c r="T13" s="31">
        <f t="shared" si="2"/>
        <v>-41.325572888064912</v>
      </c>
      <c r="U13" s="31">
        <f>K13-K$4</f>
        <v>3.302223401</v>
      </c>
      <c r="V13" s="31">
        <f>L13-L$4</f>
        <v>-3.3893688740240009</v>
      </c>
      <c r="W13" s="31">
        <f>M13-M$4</f>
        <v>1.235475366</v>
      </c>
      <c r="X13" s="14">
        <f>N13-N$4</f>
        <v>-1.7657775823946009E-2</v>
      </c>
      <c r="Y13" s="14">
        <f>O13-O$4</f>
        <v>6.528661424206994E-3</v>
      </c>
      <c r="Z13" s="14">
        <f t="shared" si="0"/>
        <v>-1.1129116754965085E-2</v>
      </c>
      <c r="AA13" s="14">
        <f t="shared" si="1"/>
        <v>-0.21529612983226198</v>
      </c>
    </row>
    <row r="14" spans="1:27" ht="15" thickBot="1" x14ac:dyDescent="0.4">
      <c r="A14" t="s">
        <v>32</v>
      </c>
      <c r="B14" s="1">
        <v>0.04</v>
      </c>
      <c r="C14" s="1">
        <v>0.14000000000000001</v>
      </c>
      <c r="D14" t="s">
        <v>21</v>
      </c>
      <c r="E14" t="s">
        <v>21</v>
      </c>
      <c r="F14" s="2">
        <v>0.2</v>
      </c>
      <c r="G14">
        <v>145</v>
      </c>
      <c r="I14" t="s">
        <v>52</v>
      </c>
      <c r="J14" s="3">
        <v>249.784737033</v>
      </c>
      <c r="K14" s="3">
        <v>3.9049757839999999</v>
      </c>
      <c r="L14" s="3">
        <v>100.606197552</v>
      </c>
      <c r="M14" s="3">
        <v>1.235475366</v>
      </c>
      <c r="N14" s="16">
        <v>0.52413361000000003</v>
      </c>
      <c r="O14" s="17">
        <v>0.21201803999999999</v>
      </c>
      <c r="P14" s="17">
        <v>0.90331512999999997</v>
      </c>
      <c r="Q14" s="17">
        <v>1.3013170000000001</v>
      </c>
      <c r="R14" s="4"/>
      <c r="S14" s="32" t="s">
        <v>52</v>
      </c>
      <c r="T14" s="30">
        <f t="shared" si="2"/>
        <v>181.79525315293509</v>
      </c>
      <c r="U14" s="30">
        <f>K14-K$4</f>
        <v>-1.3471678209999998</v>
      </c>
      <c r="V14" s="30">
        <f>L14-L$4</f>
        <v>-3.3893688740240009</v>
      </c>
      <c r="W14" s="30">
        <f>M14-M$4</f>
        <v>1.235475366</v>
      </c>
      <c r="X14" s="13">
        <f>N14-N$4</f>
        <v>-1.7657775823946009E-2</v>
      </c>
      <c r="Y14" s="13">
        <f>O14-O$4</f>
        <v>6.528661424206994E-3</v>
      </c>
      <c r="Z14" s="13">
        <f t="shared" si="0"/>
        <v>-1.1129116754965085E-2</v>
      </c>
      <c r="AA14" s="13">
        <f t="shared" si="1"/>
        <v>0.94710847016773814</v>
      </c>
    </row>
    <row r="15" spans="1:27" ht="15" thickBot="1" x14ac:dyDescent="0.4">
      <c r="A15" t="s">
        <v>33</v>
      </c>
      <c r="B15" s="1">
        <v>0.04</v>
      </c>
      <c r="C15" s="1">
        <v>0.01</v>
      </c>
      <c r="D15" t="s">
        <v>21</v>
      </c>
      <c r="E15" t="s">
        <v>21</v>
      </c>
      <c r="F15" s="2">
        <v>0.2</v>
      </c>
      <c r="G15">
        <v>145</v>
      </c>
      <c r="I15" t="s">
        <v>53</v>
      </c>
      <c r="J15" s="3">
        <v>-40.27233682</v>
      </c>
      <c r="K15" s="3">
        <v>5.4953389420000001</v>
      </c>
      <c r="L15" s="3">
        <v>100.606197552</v>
      </c>
      <c r="M15" s="3">
        <v>1.235475366</v>
      </c>
      <c r="N15" s="16">
        <v>0.52413361000000003</v>
      </c>
      <c r="O15" s="17">
        <v>0.21201803999999999</v>
      </c>
      <c r="P15" s="17">
        <v>0.90331512999999997</v>
      </c>
      <c r="Q15" s="17">
        <v>0.209809</v>
      </c>
      <c r="R15" s="4"/>
      <c r="S15" s="32" t="s">
        <v>53</v>
      </c>
      <c r="T15" s="31">
        <f t="shared" si="2"/>
        <v>-108.2618207000649</v>
      </c>
      <c r="U15" s="31">
        <f>K15-K$4</f>
        <v>0.2431953370000004</v>
      </c>
      <c r="V15" s="31">
        <f>L15-L$4</f>
        <v>-3.3893688740240009</v>
      </c>
      <c r="W15" s="31">
        <f>M15-M$4</f>
        <v>1.235475366</v>
      </c>
      <c r="X15" s="14">
        <f>N15-N$4</f>
        <v>-1.7657775823946009E-2</v>
      </c>
      <c r="Y15" s="14">
        <f>O15-O$4</f>
        <v>6.528661424206994E-3</v>
      </c>
      <c r="Z15" s="14">
        <f t="shared" si="0"/>
        <v>-1.1129116754965085E-2</v>
      </c>
      <c r="AA15" s="14">
        <f t="shared" si="1"/>
        <v>-0.14439952983226198</v>
      </c>
    </row>
    <row r="16" spans="1:27" ht="15" thickBot="1" x14ac:dyDescent="0.4">
      <c r="A16" t="s">
        <v>54</v>
      </c>
      <c r="B16" s="1">
        <v>0.04</v>
      </c>
      <c r="C16" s="1">
        <v>0.06</v>
      </c>
      <c r="D16" t="s">
        <v>21</v>
      </c>
      <c r="E16" t="s">
        <v>21</v>
      </c>
      <c r="F16" s="2">
        <v>0.3</v>
      </c>
      <c r="G16">
        <v>145</v>
      </c>
      <c r="I16" t="s">
        <v>55</v>
      </c>
      <c r="J16" s="3">
        <v>52.093314315000001</v>
      </c>
      <c r="K16" s="3">
        <v>9.3766932880000002</v>
      </c>
      <c r="L16" s="3">
        <v>100.606197552</v>
      </c>
      <c r="M16" s="3">
        <v>1.235475366</v>
      </c>
      <c r="N16" s="16">
        <v>0.52413361000000003</v>
      </c>
      <c r="O16" s="17">
        <v>0.31201804</v>
      </c>
      <c r="P16" s="17">
        <v>1.0033151300000001</v>
      </c>
      <c r="Q16" s="17">
        <v>0.27139340000000001</v>
      </c>
      <c r="R16" s="4"/>
      <c r="S16" s="32" t="s">
        <v>55</v>
      </c>
      <c r="T16" s="30">
        <f t="shared" si="2"/>
        <v>-15.896169565064909</v>
      </c>
      <c r="U16" s="30">
        <f>K16-K$4</f>
        <v>4.1245496830000006</v>
      </c>
      <c r="V16" s="30">
        <f>L16-L$4</f>
        <v>-3.3893688740240009</v>
      </c>
      <c r="W16" s="30">
        <f>M16-M$4</f>
        <v>1.235475366</v>
      </c>
      <c r="X16" s="13">
        <f>N16-N$4</f>
        <v>-1.7657775823946009E-2</v>
      </c>
      <c r="Y16" s="13">
        <f>O16-O$4</f>
        <v>0.106528661424207</v>
      </c>
      <c r="Z16" s="13">
        <f t="shared" si="0"/>
        <v>8.8870883245035004E-2</v>
      </c>
      <c r="AA16" s="13">
        <f t="shared" si="1"/>
        <v>-8.2815129832261969E-2</v>
      </c>
    </row>
    <row r="17" spans="1:27" ht="15" thickBot="1" x14ac:dyDescent="0.4">
      <c r="A17" t="s">
        <v>56</v>
      </c>
      <c r="B17" s="1">
        <v>0.04</v>
      </c>
      <c r="C17" s="1">
        <v>0.06</v>
      </c>
      <c r="D17" t="s">
        <v>21</v>
      </c>
      <c r="E17" t="s">
        <v>21</v>
      </c>
      <c r="F17" s="2">
        <v>0.2</v>
      </c>
      <c r="G17">
        <v>200</v>
      </c>
      <c r="I17" t="s">
        <v>57</v>
      </c>
      <c r="J17" s="3">
        <v>70.881698392000004</v>
      </c>
      <c r="K17" s="3">
        <v>1.68612754</v>
      </c>
      <c r="L17" s="3">
        <v>100.606197552</v>
      </c>
      <c r="M17" s="3">
        <v>1.235475366</v>
      </c>
      <c r="N17" s="16">
        <v>0.52413361000000003</v>
      </c>
      <c r="O17" s="17">
        <v>0.21413517000000001</v>
      </c>
      <c r="P17" s="17">
        <v>0.90543225999999999</v>
      </c>
      <c r="Q17" s="17">
        <v>0.3692763</v>
      </c>
      <c r="R17" s="4"/>
      <c r="S17" s="32" t="s">
        <v>57</v>
      </c>
      <c r="T17" s="31">
        <f t="shared" si="2"/>
        <v>2.8922145119350944</v>
      </c>
      <c r="U17" s="31">
        <f>K17-K$4</f>
        <v>-3.5660160649999995</v>
      </c>
      <c r="V17" s="31">
        <f>L17-L$4</f>
        <v>-3.3893688740240009</v>
      </c>
      <c r="W17" s="31">
        <f>M17-M$4</f>
        <v>1.235475366</v>
      </c>
      <c r="X17" s="14">
        <f>N17-N$4</f>
        <v>-1.7657775823946009E-2</v>
      </c>
      <c r="Y17" s="14">
        <f>O17-O$4</f>
        <v>8.6457914242070166E-3</v>
      </c>
      <c r="Z17" s="14">
        <f t="shared" si="0"/>
        <v>-9.0119867549650623E-3</v>
      </c>
      <c r="AA17" s="14">
        <f t="shared" si="1"/>
        <v>1.5067770167738026E-2</v>
      </c>
    </row>
    <row r="18" spans="1:27" ht="15" thickBot="1" x14ac:dyDescent="0.4">
      <c r="A18" t="s">
        <v>58</v>
      </c>
      <c r="B18" s="1">
        <v>0.04</v>
      </c>
      <c r="C18" s="1">
        <v>0.06</v>
      </c>
      <c r="D18" t="s">
        <v>21</v>
      </c>
      <c r="E18" t="s">
        <v>21</v>
      </c>
      <c r="F18" s="2">
        <v>0.3</v>
      </c>
      <c r="G18">
        <v>200</v>
      </c>
      <c r="I18" t="s">
        <v>59</v>
      </c>
      <c r="J18" s="3">
        <v>51.686936506999999</v>
      </c>
      <c r="K18" s="3">
        <v>20.912541909000002</v>
      </c>
      <c r="L18" s="3">
        <v>100.606197552</v>
      </c>
      <c r="M18" s="3">
        <v>1.235475366</v>
      </c>
      <c r="N18" s="16">
        <v>0.52413361000000003</v>
      </c>
      <c r="O18" s="17">
        <v>0.31413517000000002</v>
      </c>
      <c r="P18" s="17">
        <v>1.0054322600000001</v>
      </c>
      <c r="Q18" s="17">
        <v>0.26927630000000002</v>
      </c>
      <c r="R18" s="4"/>
      <c r="S18" s="32" t="s">
        <v>59</v>
      </c>
      <c r="T18" s="30">
        <f t="shared" si="2"/>
        <v>-16.302547373064911</v>
      </c>
      <c r="U18" s="30">
        <f>K18-K$4</f>
        <v>15.660398304000001</v>
      </c>
      <c r="V18" s="30">
        <f>L18-L$4</f>
        <v>-3.3893688740240009</v>
      </c>
      <c r="W18" s="30">
        <f>M18-M$4</f>
        <v>1.235475366</v>
      </c>
      <c r="X18" s="13">
        <f>N18-N$4</f>
        <v>-1.7657775823946009E-2</v>
      </c>
      <c r="Y18" s="13">
        <f>O18-O$4</f>
        <v>0.10864579142420702</v>
      </c>
      <c r="Z18" s="13">
        <f t="shared" si="0"/>
        <v>9.0988013245035027E-2</v>
      </c>
      <c r="AA18" s="13">
        <f t="shared" si="1"/>
        <v>-8.4932229832261952E-2</v>
      </c>
    </row>
    <row r="19" spans="1:27" ht="15" thickBot="1" x14ac:dyDescent="0.4">
      <c r="A19" t="s">
        <v>60</v>
      </c>
      <c r="B19" s="1">
        <v>0.04</v>
      </c>
      <c r="C19" s="1">
        <v>0.06</v>
      </c>
      <c r="D19" t="s">
        <v>21</v>
      </c>
      <c r="E19" t="s">
        <v>21</v>
      </c>
      <c r="F19" s="2">
        <v>0.15</v>
      </c>
      <c r="G19">
        <v>145</v>
      </c>
      <c r="I19" t="s">
        <v>61</v>
      </c>
      <c r="J19" s="3">
        <v>80.885457142999996</v>
      </c>
      <c r="K19" s="3">
        <v>6.3265919930000001</v>
      </c>
      <c r="L19" s="3">
        <v>100.606197552</v>
      </c>
      <c r="M19" s="3">
        <v>1.235475366</v>
      </c>
      <c r="N19" s="16">
        <v>0.52413361000000003</v>
      </c>
      <c r="O19" s="17">
        <v>0.16201804</v>
      </c>
      <c r="P19" s="17">
        <v>0.90331512999999997</v>
      </c>
      <c r="Q19" s="17">
        <v>0.42139339999999997</v>
      </c>
      <c r="R19" s="4"/>
      <c r="S19" s="32" t="s">
        <v>61</v>
      </c>
      <c r="T19" s="31">
        <f t="shared" si="2"/>
        <v>12.895973262935087</v>
      </c>
      <c r="U19" s="31">
        <f>K19-K$4</f>
        <v>1.0744483880000004</v>
      </c>
      <c r="V19" s="31">
        <f>L19-L$4</f>
        <v>-3.3893688740240009</v>
      </c>
      <c r="W19" s="31">
        <f>M19-M$4</f>
        <v>1.235475366</v>
      </c>
      <c r="X19" s="14">
        <f>N19-N$4</f>
        <v>-1.7657775823946009E-2</v>
      </c>
      <c r="Y19" s="14">
        <f>O19-O$4</f>
        <v>-4.3471338575792995E-2</v>
      </c>
      <c r="Z19" s="14">
        <f t="shared" si="0"/>
        <v>-1.1129116754965085E-2</v>
      </c>
      <c r="AA19" s="14">
        <f t="shared" si="1"/>
        <v>6.7184870167737998E-2</v>
      </c>
    </row>
    <row r="20" spans="1:27" ht="15" thickBot="1" x14ac:dyDescent="0.4">
      <c r="A20" t="s">
        <v>62</v>
      </c>
      <c r="B20" s="1">
        <v>0.04</v>
      </c>
      <c r="C20" s="1">
        <v>0.06</v>
      </c>
      <c r="D20" t="s">
        <v>21</v>
      </c>
      <c r="E20" t="s">
        <v>21</v>
      </c>
      <c r="F20" s="2">
        <v>0.1</v>
      </c>
      <c r="G20">
        <v>145</v>
      </c>
      <c r="I20" t="s">
        <v>63</v>
      </c>
      <c r="J20" s="3">
        <v>90.482838086000001</v>
      </c>
      <c r="K20" s="3">
        <v>7.1217735720000004</v>
      </c>
      <c r="L20" s="3">
        <v>100.606197552</v>
      </c>
      <c r="M20" s="3">
        <v>1.235475366</v>
      </c>
      <c r="N20" s="16">
        <v>0.52413361000000003</v>
      </c>
      <c r="O20" s="17">
        <v>0.11201804</v>
      </c>
      <c r="P20" s="17">
        <v>0.90331512999999997</v>
      </c>
      <c r="Q20" s="17">
        <v>0.47139340000000002</v>
      </c>
      <c r="R20" s="4"/>
      <c r="S20" s="32" t="s">
        <v>63</v>
      </c>
      <c r="T20" s="30">
        <f t="shared" si="2"/>
        <v>22.493354205935091</v>
      </c>
      <c r="U20" s="30">
        <f>K20-K$4</f>
        <v>1.8696299670000007</v>
      </c>
      <c r="V20" s="30">
        <f>L20-L$4</f>
        <v>-3.3893688740240009</v>
      </c>
      <c r="W20" s="30">
        <f>M20-M$4</f>
        <v>1.235475366</v>
      </c>
      <c r="X20" s="13">
        <f>N20-N$4</f>
        <v>-1.7657775823946009E-2</v>
      </c>
      <c r="Y20" s="13">
        <f>O20-O$4</f>
        <v>-9.3471338575792998E-2</v>
      </c>
      <c r="Z20" s="13">
        <f t="shared" si="0"/>
        <v>-1.1129116754965085E-2</v>
      </c>
      <c r="AA20" s="13">
        <f t="shared" si="1"/>
        <v>0.11718487016773804</v>
      </c>
    </row>
    <row r="23" spans="1:27" x14ac:dyDescent="0.35">
      <c r="B23" t="s">
        <v>39</v>
      </c>
      <c r="C23" t="s">
        <v>40</v>
      </c>
      <c r="D23" t="s">
        <v>41</v>
      </c>
      <c r="E23" t="s">
        <v>42</v>
      </c>
      <c r="F23" t="s">
        <v>43</v>
      </c>
      <c r="G23" t="s">
        <v>44</v>
      </c>
      <c r="H23" t="s">
        <v>45</v>
      </c>
      <c r="I23" t="s">
        <v>46</v>
      </c>
    </row>
    <row r="24" spans="1:27" x14ac:dyDescent="0.35">
      <c r="A24" t="s">
        <v>22</v>
      </c>
      <c r="B24" s="3">
        <v>69.244537093000005</v>
      </c>
      <c r="C24" s="3">
        <v>102.825690728</v>
      </c>
      <c r="D24" s="3">
        <v>0.30797049999999998</v>
      </c>
      <c r="E24" s="16">
        <v>0.53569661999999996</v>
      </c>
      <c r="F24" s="17">
        <v>0.20712527</v>
      </c>
      <c r="G24" s="17">
        <v>0.16716348235522599</v>
      </c>
      <c r="H24" s="17">
        <v>0.90998537999999995</v>
      </c>
      <c r="I24" s="17">
        <v>0.36074699999999998</v>
      </c>
    </row>
    <row r="25" spans="1:27" x14ac:dyDescent="0.35">
      <c r="A25" t="s">
        <v>25</v>
      </c>
      <c r="B25" s="3">
        <v>74.426546713999997</v>
      </c>
      <c r="C25" s="3">
        <v>97.093736356999997</v>
      </c>
      <c r="D25" s="3">
        <v>2.8056064470000002</v>
      </c>
      <c r="E25" s="16">
        <v>0.50583454000000005</v>
      </c>
      <c r="F25" s="17">
        <v>0.22029452999999999</v>
      </c>
      <c r="G25" s="17">
        <v>0.16716348</v>
      </c>
      <c r="H25" s="17">
        <v>0.89329256000000001</v>
      </c>
      <c r="I25" s="17">
        <v>0.38774399999999998</v>
      </c>
    </row>
    <row r="26" spans="1:27" x14ac:dyDescent="0.35">
      <c r="A26" t="s">
        <v>29</v>
      </c>
      <c r="B26" s="3">
        <v>101.574638021</v>
      </c>
      <c r="C26" s="3">
        <v>190.39184546199999</v>
      </c>
      <c r="D26" s="3">
        <v>1.581334051</v>
      </c>
      <c r="E26" s="16">
        <v>0.99189479999999997</v>
      </c>
      <c r="F26" s="17">
        <v>0.21565944000000001</v>
      </c>
      <c r="G26" s="17">
        <v>0.26619341000000002</v>
      </c>
      <c r="H26" s="17">
        <v>1.47374765</v>
      </c>
      <c r="I26" s="17">
        <v>0.52917890000000001</v>
      </c>
    </row>
    <row r="27" spans="1:27" x14ac:dyDescent="0.35">
      <c r="A27" t="s">
        <v>27</v>
      </c>
      <c r="B27" s="3">
        <v>87.397084085000003</v>
      </c>
      <c r="C27" s="3">
        <v>150.570729787</v>
      </c>
      <c r="D27" s="3">
        <v>1.4387832359999999</v>
      </c>
      <c r="E27" s="16">
        <v>0.78443655999999995</v>
      </c>
      <c r="F27" s="17">
        <v>0.2141564</v>
      </c>
      <c r="G27" s="17">
        <v>0.21989626000000001</v>
      </c>
      <c r="H27" s="17">
        <v>1.2184892199999999</v>
      </c>
      <c r="I27" s="17">
        <v>0.45531739999999998</v>
      </c>
    </row>
    <row r="28" spans="1:27" x14ac:dyDescent="0.35">
      <c r="A28" t="s">
        <v>26</v>
      </c>
      <c r="B28" s="3">
        <v>63.921521020999997</v>
      </c>
      <c r="C28" s="3">
        <v>72.707677528000005</v>
      </c>
      <c r="D28" s="3">
        <v>1.100893669</v>
      </c>
      <c r="E28" s="16">
        <v>0.37878916000000001</v>
      </c>
      <c r="F28" s="17">
        <v>0.21060718</v>
      </c>
      <c r="G28" s="17">
        <v>0.14020953</v>
      </c>
      <c r="H28" s="25">
        <v>0.72960586999999999</v>
      </c>
      <c r="I28" s="17">
        <v>0.33301540000000002</v>
      </c>
    </row>
    <row r="29" spans="1:27" x14ac:dyDescent="0.35">
      <c r="A29" t="s">
        <v>28</v>
      </c>
      <c r="B29" s="3">
        <v>59.960992574000002</v>
      </c>
      <c r="C29" s="3">
        <v>50.318827921</v>
      </c>
      <c r="D29" s="3">
        <v>0.97068731200000002</v>
      </c>
      <c r="E29" s="16">
        <v>0.26214874999999999</v>
      </c>
      <c r="F29" s="17">
        <v>0.20924718</v>
      </c>
      <c r="G29" s="17">
        <v>0.11937797999999999</v>
      </c>
      <c r="H29" s="17">
        <v>0.59077391000000001</v>
      </c>
      <c r="I29" s="17">
        <v>0.3123821</v>
      </c>
    </row>
    <row r="30" spans="1:27" x14ac:dyDescent="0.35">
      <c r="A30" t="s">
        <v>33</v>
      </c>
      <c r="B30" s="3">
        <v>-40.27233682</v>
      </c>
      <c r="C30" s="3">
        <v>100.606197552</v>
      </c>
      <c r="D30" s="3">
        <v>1.235475366</v>
      </c>
      <c r="E30" s="16">
        <v>0.52413361000000003</v>
      </c>
      <c r="F30" s="17">
        <v>0.21201803999999999</v>
      </c>
      <c r="G30" s="17">
        <v>0.16716348</v>
      </c>
      <c r="H30" s="25">
        <v>0.90331512999999997</v>
      </c>
      <c r="I30" s="17">
        <v>0.209809</v>
      </c>
    </row>
    <row r="31" spans="1:27" x14ac:dyDescent="0.35">
      <c r="A31" t="s">
        <v>31</v>
      </c>
      <c r="B31" s="3">
        <v>26.663910992000002</v>
      </c>
      <c r="C31" s="3">
        <v>100.606197552</v>
      </c>
      <c r="D31" s="3">
        <v>1.235475366</v>
      </c>
      <c r="E31" s="16">
        <v>0.52413361000000003</v>
      </c>
      <c r="F31" s="17">
        <v>0.21201803999999999</v>
      </c>
      <c r="G31" s="17">
        <v>0.16716348</v>
      </c>
      <c r="H31" s="17">
        <v>0.90331512999999997</v>
      </c>
      <c r="I31" s="17">
        <v>0.13891239999999999</v>
      </c>
    </row>
    <row r="32" spans="1:27" x14ac:dyDescent="0.35">
      <c r="A32" t="s">
        <v>30</v>
      </c>
      <c r="B32" s="3">
        <v>115.912241409</v>
      </c>
      <c r="C32" s="26">
        <v>100.606197552</v>
      </c>
      <c r="D32" s="3">
        <v>1.235475366</v>
      </c>
      <c r="E32" s="16">
        <v>0.52413361000000003</v>
      </c>
      <c r="F32" s="17">
        <v>0.21201803999999999</v>
      </c>
      <c r="G32" s="17">
        <v>0.16716348</v>
      </c>
      <c r="H32" s="17">
        <v>0.90331512999999997</v>
      </c>
      <c r="I32" s="17">
        <v>0.60387429999999997</v>
      </c>
    </row>
    <row r="33" spans="1:9" x14ac:dyDescent="0.35">
      <c r="A33" t="s">
        <v>32</v>
      </c>
      <c r="B33" s="3">
        <v>249.784737033</v>
      </c>
      <c r="C33" s="3">
        <v>100.606197552</v>
      </c>
      <c r="D33" s="3">
        <v>1.235475366</v>
      </c>
      <c r="E33" s="16">
        <v>0.52413361000000003</v>
      </c>
      <c r="F33" s="17">
        <v>0.21201803999999999</v>
      </c>
      <c r="G33" s="17">
        <v>0.16716348</v>
      </c>
      <c r="H33" s="17">
        <v>0.90331512999999997</v>
      </c>
      <c r="I33" s="17">
        <v>1.3013170000000001</v>
      </c>
    </row>
    <row r="34" spans="1:9" x14ac:dyDescent="0.35">
      <c r="A34" t="s">
        <v>62</v>
      </c>
      <c r="B34" s="3">
        <v>90.482838086000001</v>
      </c>
      <c r="C34" s="3">
        <v>100.606197552</v>
      </c>
      <c r="D34" s="3">
        <v>1.235475366</v>
      </c>
      <c r="E34" s="16">
        <v>0.52413361000000003</v>
      </c>
      <c r="F34" s="17">
        <v>0.11201804</v>
      </c>
      <c r="G34" s="17">
        <v>0.16716348</v>
      </c>
      <c r="H34" s="25">
        <v>0.90331512999999997</v>
      </c>
      <c r="I34" s="17">
        <v>0.47139340000000002</v>
      </c>
    </row>
    <row r="35" spans="1:9" x14ac:dyDescent="0.35">
      <c r="A35" t="s">
        <v>60</v>
      </c>
      <c r="B35" s="3">
        <v>80.885457142999996</v>
      </c>
      <c r="C35" s="3">
        <v>100.606197552</v>
      </c>
      <c r="D35" s="3">
        <v>1.235475366</v>
      </c>
      <c r="E35" s="16">
        <v>0.52413361000000003</v>
      </c>
      <c r="F35" s="17">
        <v>0.16201804</v>
      </c>
      <c r="G35" s="25">
        <v>0.16716348</v>
      </c>
      <c r="H35" s="17">
        <v>0.90331512999999997</v>
      </c>
      <c r="I35" s="17">
        <v>0.42139339999999997</v>
      </c>
    </row>
    <row r="36" spans="1:9" x14ac:dyDescent="0.35">
      <c r="A36" t="s">
        <v>54</v>
      </c>
      <c r="B36" s="3">
        <v>52.093314315000001</v>
      </c>
      <c r="C36" s="3">
        <v>100.606197552</v>
      </c>
      <c r="D36" s="3">
        <v>1.235475366</v>
      </c>
      <c r="E36" s="16">
        <v>0.52413361000000003</v>
      </c>
      <c r="F36" s="17">
        <v>0.31201804</v>
      </c>
      <c r="G36" s="17">
        <v>0.16716348</v>
      </c>
      <c r="H36" s="17">
        <v>1.0033151300000001</v>
      </c>
      <c r="I36" s="17">
        <v>0.27139340000000001</v>
      </c>
    </row>
    <row r="37" spans="1:9" x14ac:dyDescent="0.35">
      <c r="A37" t="s">
        <v>58</v>
      </c>
      <c r="B37" s="3">
        <v>51.686936506999999</v>
      </c>
      <c r="C37" s="3">
        <v>100.606197552</v>
      </c>
      <c r="D37" s="3">
        <v>1.235475366</v>
      </c>
      <c r="E37" s="16">
        <v>0.52413361000000003</v>
      </c>
      <c r="F37" s="17">
        <v>0.31413517000000002</v>
      </c>
      <c r="G37" s="17">
        <v>0.16716348</v>
      </c>
      <c r="H37" s="17">
        <v>1.0054322600000001</v>
      </c>
      <c r="I37" s="17">
        <v>0.26927630000000002</v>
      </c>
    </row>
    <row r="38" spans="1:9" x14ac:dyDescent="0.35">
      <c r="A38" t="s">
        <v>56</v>
      </c>
      <c r="B38" s="3">
        <v>70.881698392000004</v>
      </c>
      <c r="C38" s="3">
        <v>100.606197552</v>
      </c>
      <c r="D38" s="3">
        <v>1.235475366</v>
      </c>
      <c r="E38" s="16">
        <v>0.52413361000000003</v>
      </c>
      <c r="F38" s="17">
        <v>0.21413517000000001</v>
      </c>
      <c r="G38" s="17">
        <v>0.16716348</v>
      </c>
      <c r="H38" s="17">
        <v>0.90543225999999999</v>
      </c>
      <c r="I38" s="17">
        <v>0.3692763</v>
      </c>
    </row>
    <row r="41" spans="1:9" x14ac:dyDescent="0.35">
      <c r="B41" t="s">
        <v>39</v>
      </c>
      <c r="C41" t="s">
        <v>40</v>
      </c>
      <c r="D41" t="s">
        <v>41</v>
      </c>
      <c r="E41" t="s">
        <v>42</v>
      </c>
      <c r="F41" t="s">
        <v>43</v>
      </c>
      <c r="G41" t="s">
        <v>44</v>
      </c>
      <c r="H41" t="s">
        <v>45</v>
      </c>
      <c r="I41" t="s">
        <v>46</v>
      </c>
    </row>
    <row r="42" spans="1:9" x14ac:dyDescent="0.35">
      <c r="A42" t="s">
        <v>22</v>
      </c>
      <c r="B42" s="3">
        <f>B24-J$5</f>
        <v>-2.0435391070000009</v>
      </c>
      <c r="C42" s="3">
        <f>C24-L$5</f>
        <v>2.2194931760000003</v>
      </c>
      <c r="D42" s="3">
        <f>D24-M$5</f>
        <v>-0.92750486600000004</v>
      </c>
      <c r="E42" s="17">
        <f>E24-N$5</f>
        <v>1.1563009999999929E-2</v>
      </c>
      <c r="F42" s="17">
        <f>F24-O$5</f>
        <v>-4.8927699999999907E-3</v>
      </c>
      <c r="G42" s="17" t="e">
        <f>G24-#REF!</f>
        <v>#REF!</v>
      </c>
      <c r="H42" s="17">
        <f>H24-P$5</f>
        <v>6.6702499999999887E-3</v>
      </c>
      <c r="I42" s="17">
        <f>I24-Q$5</f>
        <v>-1.06464E-2</v>
      </c>
    </row>
    <row r="43" spans="1:9" x14ac:dyDescent="0.35">
      <c r="A43" t="s">
        <v>25</v>
      </c>
      <c r="B43" s="3">
        <f t="shared" ref="B43:B56" si="3">B25-J$5</f>
        <v>3.1384705139999909</v>
      </c>
      <c r="C43" s="3">
        <f>C25-L$5</f>
        <v>-3.5124611950000002</v>
      </c>
      <c r="D43" s="3">
        <f>D25-M$5</f>
        <v>1.5701310810000002</v>
      </c>
      <c r="E43" s="17">
        <f>E25-N$5</f>
        <v>-1.8299069999999973E-2</v>
      </c>
      <c r="F43" s="17">
        <f>F25-O$5</f>
        <v>8.2764899999999975E-3</v>
      </c>
      <c r="G43" s="17" t="e">
        <f>G25-#REF!</f>
        <v>#REF!</v>
      </c>
      <c r="H43" s="17">
        <f>H25-P$5</f>
        <v>-1.0022569999999953E-2</v>
      </c>
      <c r="I43" s="17">
        <f>I25-Q$5</f>
        <v>1.6350599999999993E-2</v>
      </c>
    </row>
    <row r="44" spans="1:9" x14ac:dyDescent="0.35">
      <c r="A44" t="s">
        <v>29</v>
      </c>
      <c r="B44" s="3">
        <f t="shared" si="3"/>
        <v>30.286561820999992</v>
      </c>
      <c r="C44" s="3">
        <f>C26-L$5</f>
        <v>89.785647909999994</v>
      </c>
      <c r="D44" s="3">
        <f>D26-M$5</f>
        <v>0.34585868500000005</v>
      </c>
      <c r="E44" s="17">
        <f>E26-N$5</f>
        <v>0.46776118999999994</v>
      </c>
      <c r="F44" s="17">
        <f>F26-O$5</f>
        <v>3.6414000000000168E-3</v>
      </c>
      <c r="G44" s="17" t="e">
        <f>G26-#REF!</f>
        <v>#REF!</v>
      </c>
      <c r="H44" s="17">
        <f>H26-P$5</f>
        <v>0.57043252</v>
      </c>
      <c r="I44" s="17">
        <f>I26-Q$5</f>
        <v>0.15778550000000002</v>
      </c>
    </row>
    <row r="45" spans="1:9" x14ac:dyDescent="0.35">
      <c r="A45" t="s">
        <v>27</v>
      </c>
      <c r="B45" s="3">
        <f t="shared" si="3"/>
        <v>16.109007884999997</v>
      </c>
      <c r="C45" s="3">
        <f>C27-L$5</f>
        <v>49.964532235000007</v>
      </c>
      <c r="D45" s="3">
        <f>D27-M$5</f>
        <v>0.20330786999999995</v>
      </c>
      <c r="E45" s="17">
        <f>E27-N$5</f>
        <v>0.26030294999999992</v>
      </c>
      <c r="F45" s="17">
        <f>F27-O$5</f>
        <v>2.1383600000000058E-3</v>
      </c>
      <c r="G45" s="17" t="e">
        <f>G27-#REF!</f>
        <v>#REF!</v>
      </c>
      <c r="H45" s="17">
        <f>H27-P$5</f>
        <v>0.31517408999999996</v>
      </c>
      <c r="I45" s="17">
        <f>I27-Q$5</f>
        <v>8.3923999999999999E-2</v>
      </c>
    </row>
    <row r="46" spans="1:9" x14ac:dyDescent="0.35">
      <c r="A46" t="s">
        <v>26</v>
      </c>
      <c r="B46" s="3">
        <f t="shared" si="3"/>
        <v>-7.3665551790000094</v>
      </c>
      <c r="C46" s="3">
        <f>C28-L$5</f>
        <v>-27.898520023999993</v>
      </c>
      <c r="D46" s="3">
        <f>D28-M$5</f>
        <v>-0.134581697</v>
      </c>
      <c r="E46" s="17">
        <f>E28-N$5</f>
        <v>-0.14534445000000001</v>
      </c>
      <c r="F46" s="17">
        <f>F28-O$5</f>
        <v>-1.410859999999986E-3</v>
      </c>
      <c r="G46" s="17" t="e">
        <f>G28-#REF!</f>
        <v>#REF!</v>
      </c>
      <c r="H46" s="17">
        <f>H28-P$5</f>
        <v>-0.17370925999999998</v>
      </c>
      <c r="I46" s="17">
        <f>I28-Q$5</f>
        <v>-3.8377999999999968E-2</v>
      </c>
    </row>
    <row r="47" spans="1:9" x14ac:dyDescent="0.35">
      <c r="A47" t="s">
        <v>28</v>
      </c>
      <c r="B47" s="3">
        <f t="shared" si="3"/>
        <v>-11.327083626000004</v>
      </c>
      <c r="C47" s="3">
        <f>C29-L$5</f>
        <v>-50.287369630999997</v>
      </c>
      <c r="D47" s="3">
        <f>D29-M$5</f>
        <v>-0.26478805399999994</v>
      </c>
      <c r="E47" s="17">
        <f>E29-N$5</f>
        <v>-0.26198486000000004</v>
      </c>
      <c r="F47" s="17">
        <f>F29-O$5</f>
        <v>-2.7708599999999861E-3</v>
      </c>
      <c r="G47" s="17" t="e">
        <f>G29-#REF!</f>
        <v>#REF!</v>
      </c>
      <c r="H47" s="17">
        <f>H29-P$5</f>
        <v>-0.31254121999999995</v>
      </c>
      <c r="I47" s="17">
        <f>I29-Q$5</f>
        <v>-5.9011299999999989E-2</v>
      </c>
    </row>
    <row r="48" spans="1:9" x14ac:dyDescent="0.35">
      <c r="A48" t="s">
        <v>33</v>
      </c>
      <c r="B48" s="3">
        <f t="shared" si="3"/>
        <v>-111.56041302</v>
      </c>
      <c r="C48" s="3">
        <f>C30-L$5</f>
        <v>0</v>
      </c>
      <c r="D48" s="3">
        <f>D30-M$5</f>
        <v>0</v>
      </c>
      <c r="E48" s="17">
        <f>E30-N$5</f>
        <v>0</v>
      </c>
      <c r="F48" s="17">
        <f>F30-O$5</f>
        <v>0</v>
      </c>
      <c r="G48" s="17" t="e">
        <f>G30-#REF!</f>
        <v>#REF!</v>
      </c>
      <c r="H48" s="17">
        <f>H30-P$5</f>
        <v>0</v>
      </c>
      <c r="I48" s="17">
        <f>I30-Q$5</f>
        <v>-0.16158439999999999</v>
      </c>
    </row>
    <row r="49" spans="1:14" x14ac:dyDescent="0.35">
      <c r="A49" t="s">
        <v>31</v>
      </c>
      <c r="B49" s="3">
        <f t="shared" si="3"/>
        <v>-44.624165208000008</v>
      </c>
      <c r="C49" s="3">
        <f>C31-L$5</f>
        <v>0</v>
      </c>
      <c r="D49" s="3">
        <f>D31-M$5</f>
        <v>0</v>
      </c>
      <c r="E49" s="17">
        <f>E31-N$5</f>
        <v>0</v>
      </c>
      <c r="F49" s="17">
        <f>F31-O$5</f>
        <v>0</v>
      </c>
      <c r="G49" s="17" t="e">
        <f>G31-#REF!</f>
        <v>#REF!</v>
      </c>
      <c r="H49" s="17">
        <f>H31-P$5</f>
        <v>0</v>
      </c>
      <c r="I49" s="17">
        <f>I31-Q$5</f>
        <v>-0.23248099999999999</v>
      </c>
    </row>
    <row r="50" spans="1:14" x14ac:dyDescent="0.35">
      <c r="A50" t="s">
        <v>30</v>
      </c>
      <c r="B50" s="3">
        <f t="shared" si="3"/>
        <v>44.624165208999997</v>
      </c>
      <c r="C50" s="3">
        <f>C32-L$5</f>
        <v>0</v>
      </c>
      <c r="D50" s="3">
        <f>D32-M$5</f>
        <v>0</v>
      </c>
      <c r="E50" s="17">
        <f>E32-N$5</f>
        <v>0</v>
      </c>
      <c r="F50" s="17">
        <f>F32-O$5</f>
        <v>0</v>
      </c>
      <c r="G50" s="17" t="e">
        <f>G32-#REF!</f>
        <v>#REF!</v>
      </c>
      <c r="H50" s="17">
        <f>H32-P$5</f>
        <v>0</v>
      </c>
      <c r="I50" s="17">
        <f>I32-Q$5</f>
        <v>0.23248089999999999</v>
      </c>
    </row>
    <row r="51" spans="1:14" x14ac:dyDescent="0.35">
      <c r="A51" t="s">
        <v>32</v>
      </c>
      <c r="B51" s="3">
        <f t="shared" si="3"/>
        <v>178.49666083299999</v>
      </c>
      <c r="C51" s="3">
        <f>C33-L$5</f>
        <v>0</v>
      </c>
      <c r="D51" s="3">
        <f>D33-M$5</f>
        <v>0</v>
      </c>
      <c r="E51" s="17">
        <f>E33-N$5</f>
        <v>0</v>
      </c>
      <c r="F51" s="17">
        <f>F33-O$5</f>
        <v>0</v>
      </c>
      <c r="G51" s="17" t="e">
        <f>G33-#REF!</f>
        <v>#REF!</v>
      </c>
      <c r="H51" s="17">
        <f>H33-P$5</f>
        <v>0</v>
      </c>
      <c r="I51" s="17">
        <f>I33-Q$5</f>
        <v>0.92992360000000007</v>
      </c>
      <c r="N51" s="4"/>
    </row>
    <row r="52" spans="1:14" x14ac:dyDescent="0.35">
      <c r="A52" t="s">
        <v>62</v>
      </c>
      <c r="B52" s="3">
        <f t="shared" si="3"/>
        <v>19.194761885999995</v>
      </c>
      <c r="C52" s="3">
        <f>C34-L$5</f>
        <v>0</v>
      </c>
      <c r="D52" s="3">
        <f>D34-M$5</f>
        <v>0</v>
      </c>
      <c r="E52" s="17">
        <f>E34-N$5</f>
        <v>0</v>
      </c>
      <c r="F52" s="17">
        <f>F34-O$5</f>
        <v>-9.9999999999999992E-2</v>
      </c>
      <c r="G52" s="17" t="e">
        <f>G34-#REF!</f>
        <v>#REF!</v>
      </c>
      <c r="H52" s="17">
        <f>H34-P$5</f>
        <v>0</v>
      </c>
      <c r="I52" s="17">
        <f>I34-Q$5</f>
        <v>0.10000000000000003</v>
      </c>
    </row>
    <row r="53" spans="1:14" x14ac:dyDescent="0.35">
      <c r="A53" t="s">
        <v>60</v>
      </c>
      <c r="B53" s="3">
        <f t="shared" si="3"/>
        <v>9.5973809429999903</v>
      </c>
      <c r="C53" s="3">
        <f>C35-L$5</f>
        <v>0</v>
      </c>
      <c r="D53" s="3">
        <f>D35-M$5</f>
        <v>0</v>
      </c>
      <c r="E53" s="17">
        <f>E35-N$5</f>
        <v>0</v>
      </c>
      <c r="F53" s="17">
        <f>F35-O$5</f>
        <v>-4.9999999999999989E-2</v>
      </c>
      <c r="G53" s="17" t="e">
        <f>G35-#REF!</f>
        <v>#REF!</v>
      </c>
      <c r="H53" s="17">
        <f>H35-P$5</f>
        <v>0</v>
      </c>
      <c r="I53" s="17">
        <f>I35-Q$5</f>
        <v>4.9999999999999989E-2</v>
      </c>
    </row>
    <row r="54" spans="1:14" x14ac:dyDescent="0.35">
      <c r="A54" t="s">
        <v>54</v>
      </c>
      <c r="B54" s="3">
        <f t="shared" si="3"/>
        <v>-19.194761885000005</v>
      </c>
      <c r="C54" s="3">
        <f>C36-L$5</f>
        <v>0</v>
      </c>
      <c r="D54" s="3">
        <f>D36-M$5</f>
        <v>0</v>
      </c>
      <c r="E54" s="17">
        <f>E36-N$5</f>
        <v>0</v>
      </c>
      <c r="F54" s="17">
        <f>F36-O$5</f>
        <v>0.1</v>
      </c>
      <c r="G54" s="17" t="e">
        <f>G36-#REF!</f>
        <v>#REF!</v>
      </c>
      <c r="H54" s="17">
        <f>H36-P$5</f>
        <v>0.10000000000000009</v>
      </c>
      <c r="I54" s="17">
        <f>I36-Q$5</f>
        <v>-9.9999999999999978E-2</v>
      </c>
    </row>
    <row r="55" spans="1:14" x14ac:dyDescent="0.35">
      <c r="A55" t="s">
        <v>58</v>
      </c>
      <c r="B55" s="3">
        <f t="shared" si="3"/>
        <v>-19.601139693000007</v>
      </c>
      <c r="C55" s="3">
        <f>C37-L$5</f>
        <v>0</v>
      </c>
      <c r="D55" s="3">
        <f>D37-M$5</f>
        <v>0</v>
      </c>
      <c r="E55" s="17">
        <f>E37-N$5</f>
        <v>0</v>
      </c>
      <c r="F55" s="17">
        <f>F37-O$5</f>
        <v>0.10211713000000003</v>
      </c>
      <c r="G55" s="17" t="e">
        <f>G37-#REF!</f>
        <v>#REF!</v>
      </c>
      <c r="H55" s="17">
        <f>H37-P$5</f>
        <v>0.10211713000000011</v>
      </c>
      <c r="I55" s="17">
        <f>I37-Q$5</f>
        <v>-0.10211709999999996</v>
      </c>
    </row>
    <row r="56" spans="1:14" x14ac:dyDescent="0.35">
      <c r="A56" t="s">
        <v>56</v>
      </c>
      <c r="B56" s="3">
        <f t="shared" si="3"/>
        <v>-0.40637780800000201</v>
      </c>
      <c r="C56" s="3">
        <f>C38-L$5</f>
        <v>0</v>
      </c>
      <c r="D56" s="3">
        <f>D38-M$5</f>
        <v>0</v>
      </c>
      <c r="E56" s="17">
        <f>E38-N$5</f>
        <v>0</v>
      </c>
      <c r="F56" s="17">
        <f>F38-O$5</f>
        <v>2.1171300000000226E-3</v>
      </c>
      <c r="G56" s="17" t="e">
        <f>G38-#REF!</f>
        <v>#REF!</v>
      </c>
      <c r="H56" s="17">
        <f>H38-P$5</f>
        <v>2.1171300000000226E-3</v>
      </c>
      <c r="I56" s="17">
        <f>I38-Q$5</f>
        <v>-2.1170999999999829E-3</v>
      </c>
    </row>
    <row r="57" spans="1:14" x14ac:dyDescent="0.35">
      <c r="J57" s="15"/>
      <c r="K57" s="15"/>
      <c r="L57" s="15"/>
    </row>
    <row r="58" spans="1:14" x14ac:dyDescent="0.35">
      <c r="J58" s="15"/>
      <c r="K58" s="15"/>
      <c r="L58" s="15"/>
    </row>
    <row r="59" spans="1:14" x14ac:dyDescent="0.35">
      <c r="J59" s="15"/>
      <c r="K59" s="15"/>
      <c r="L59" s="15"/>
    </row>
    <row r="60" spans="1:14" x14ac:dyDescent="0.35">
      <c r="J60" s="15"/>
      <c r="K60" s="15"/>
      <c r="L60" s="15"/>
    </row>
    <row r="61" spans="1:14" x14ac:dyDescent="0.35">
      <c r="J61" s="15"/>
      <c r="K61" s="15"/>
      <c r="L61" s="15"/>
    </row>
    <row r="62" spans="1:14" x14ac:dyDescent="0.35">
      <c r="J62" s="15"/>
      <c r="K62" s="15"/>
      <c r="L62" s="15"/>
    </row>
    <row r="63" spans="1:14" x14ac:dyDescent="0.35">
      <c r="J63" s="15"/>
      <c r="K63" s="15"/>
      <c r="L63" s="15"/>
    </row>
    <row r="64" spans="1:14" x14ac:dyDescent="0.35">
      <c r="J64" s="15"/>
      <c r="K64" s="15"/>
    </row>
    <row r="65" spans="10:12" x14ac:dyDescent="0.35">
      <c r="J65" s="15"/>
      <c r="K65" s="15"/>
      <c r="L65" s="15"/>
    </row>
    <row r="66" spans="10:12" x14ac:dyDescent="0.35">
      <c r="J66" s="15"/>
      <c r="K66" s="15"/>
      <c r="L66" s="15"/>
    </row>
    <row r="67" spans="10:12" x14ac:dyDescent="0.35">
      <c r="J67" s="15"/>
      <c r="K67" s="15"/>
    </row>
    <row r="68" spans="10:12" x14ac:dyDescent="0.35">
      <c r="J68" s="15"/>
      <c r="K68" s="15"/>
      <c r="L68" s="15"/>
    </row>
    <row r="69" spans="10:12" x14ac:dyDescent="0.35">
      <c r="J69" s="15"/>
      <c r="K69" s="15"/>
      <c r="L69" s="15"/>
    </row>
    <row r="70" spans="10:12" x14ac:dyDescent="0.35">
      <c r="J70" s="15"/>
      <c r="K70" s="15"/>
      <c r="L70" s="15"/>
    </row>
    <row r="71" spans="10:12" x14ac:dyDescent="0.35">
      <c r="J71" s="15"/>
      <c r="K71" s="15"/>
      <c r="L71" s="15"/>
    </row>
    <row r="72" spans="10:12" x14ac:dyDescent="0.35">
      <c r="J72" s="15"/>
      <c r="K72" s="15"/>
    </row>
    <row r="73" spans="10:12" x14ac:dyDescent="0.35">
      <c r="J73" s="15"/>
      <c r="K73" s="15"/>
    </row>
  </sheetData>
  <mergeCells count="1">
    <mergeCell ref="S5:AA5"/>
  </mergeCells>
  <conditionalFormatting sqref="T6:T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:U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:V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:W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:X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6:Y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:Z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:AA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7487-027F-4A94-A5F0-AF6B40E135D7}">
  <dimension ref="B2:AR71"/>
  <sheetViews>
    <sheetView workbookViewId="0">
      <selection activeCell="AT74" sqref="AS73:AW77"/>
    </sheetView>
  </sheetViews>
  <sheetFormatPr defaultColWidth="8.81640625" defaultRowHeight="14.5" x14ac:dyDescent="0.35"/>
  <cols>
    <col min="3" max="3" width="20.36328125" customWidth="1"/>
    <col min="4" max="4" width="18.1796875" customWidth="1"/>
    <col min="5" max="5" width="11.1796875" customWidth="1"/>
    <col min="7" max="10" width="16.1796875" customWidth="1"/>
    <col min="12" max="14" width="16.1796875" customWidth="1"/>
    <col min="17" max="17" width="14.453125" bestFit="1" customWidth="1"/>
    <col min="18" max="18" width="8.6328125" bestFit="1" customWidth="1"/>
    <col min="19" max="19" width="20.36328125" bestFit="1" customWidth="1"/>
    <col min="20" max="20" width="18.453125" bestFit="1" customWidth="1"/>
    <col min="22" max="23" width="12.453125" customWidth="1"/>
    <col min="25" max="27" width="21.1796875" customWidth="1"/>
    <col min="29" max="29" width="15.453125" customWidth="1"/>
    <col min="30" max="30" width="18.453125" bestFit="1" customWidth="1"/>
    <col min="32" max="32" width="15.453125" customWidth="1"/>
    <col min="33" max="33" width="18.81640625" customWidth="1"/>
    <col min="35" max="36" width="15.453125" customWidth="1"/>
    <col min="38" max="39" width="15.453125" customWidth="1"/>
    <col min="41" max="41" width="15.6328125" customWidth="1"/>
    <col min="42" max="42" width="17.6328125" bestFit="1" customWidth="1"/>
    <col min="43" max="43" width="15" bestFit="1" customWidth="1"/>
  </cols>
  <sheetData>
    <row r="2" spans="2:20" ht="26" x14ac:dyDescent="0.35">
      <c r="B2" s="5" t="s">
        <v>64</v>
      </c>
      <c r="C2" s="6" t="s">
        <v>65</v>
      </c>
      <c r="D2" s="7" t="s">
        <v>66</v>
      </c>
      <c r="E2" s="8" t="s">
        <v>67</v>
      </c>
    </row>
    <row r="3" spans="2:20" x14ac:dyDescent="0.35">
      <c r="B3" s="9" t="s">
        <v>68</v>
      </c>
      <c r="C3" s="10">
        <v>20.3</v>
      </c>
      <c r="D3" s="10">
        <v>18</v>
      </c>
      <c r="E3" s="10">
        <v>2.3000000000000007</v>
      </c>
    </row>
    <row r="4" spans="2:20" x14ac:dyDescent="0.35">
      <c r="B4" s="11" t="s">
        <v>69</v>
      </c>
      <c r="C4" s="12">
        <v>104</v>
      </c>
      <c r="D4" s="12">
        <v>100.6</v>
      </c>
      <c r="E4" s="12">
        <v>3.4000000000000057</v>
      </c>
    </row>
    <row r="5" spans="2:20" x14ac:dyDescent="0.35">
      <c r="B5" s="9" t="s">
        <v>70</v>
      </c>
      <c r="C5" s="10">
        <v>124.3</v>
      </c>
      <c r="D5" s="10">
        <v>118.6</v>
      </c>
      <c r="E5" s="10">
        <v>5.7000000000000028</v>
      </c>
    </row>
    <row r="8" spans="2:20" x14ac:dyDescent="0.35">
      <c r="G8" s="5" t="s">
        <v>68</v>
      </c>
      <c r="H8" s="6" t="s">
        <v>17</v>
      </c>
      <c r="I8" s="7" t="s">
        <v>71</v>
      </c>
      <c r="J8" s="8" t="s">
        <v>10</v>
      </c>
    </row>
    <row r="9" spans="2:20" x14ac:dyDescent="0.35">
      <c r="G9" s="5" t="s">
        <v>72</v>
      </c>
      <c r="H9" s="13">
        <f>'T20'!Q4</f>
        <v>0.27337619904779853</v>
      </c>
      <c r="I9" s="10">
        <f>'T20'!M4</f>
        <v>6.2310587899999996</v>
      </c>
      <c r="J9" s="10">
        <f>'T20'!N4</f>
        <v>6.27517894</v>
      </c>
    </row>
    <row r="10" spans="2:20" x14ac:dyDescent="0.35">
      <c r="G10" s="5" t="s">
        <v>73</v>
      </c>
      <c r="H10" s="14">
        <f>'T20'!Q5</f>
        <v>0.29780000000000001</v>
      </c>
      <c r="I10" s="12">
        <f>'T20'!M5</f>
        <v>6.7877500460000002</v>
      </c>
      <c r="J10" s="12">
        <f>'T20'!N5</f>
        <v>6.8688326310000001</v>
      </c>
    </row>
    <row r="11" spans="2:20" x14ac:dyDescent="0.35">
      <c r="L11" s="5" t="s">
        <v>69</v>
      </c>
      <c r="M11" s="7" t="s">
        <v>71</v>
      </c>
      <c r="N11" s="8" t="s">
        <v>10</v>
      </c>
    </row>
    <row r="12" spans="2:20" x14ac:dyDescent="0.35">
      <c r="L12" s="5" t="s">
        <v>72</v>
      </c>
      <c r="M12" s="10">
        <f>SPWL!J4</f>
        <v>67.98948388006491</v>
      </c>
      <c r="N12" s="10">
        <f>SUM(SPWL!J4:L4)</f>
        <v>177.23719391108892</v>
      </c>
    </row>
    <row r="13" spans="2:20" x14ac:dyDescent="0.35">
      <c r="L13" s="5" t="s">
        <v>73</v>
      </c>
      <c r="M13" s="12">
        <f>SPWL!J5</f>
        <v>71.288076200000006</v>
      </c>
      <c r="N13" s="12">
        <f>SUM(SPWL!J5:L5)</f>
        <v>177.425684166</v>
      </c>
    </row>
    <row r="15" spans="2:20" x14ac:dyDescent="0.35">
      <c r="P15" s="29" t="s">
        <v>74</v>
      </c>
      <c r="Q15" s="29"/>
      <c r="R15" s="5" t="s">
        <v>17</v>
      </c>
      <c r="S15" s="7" t="s">
        <v>75</v>
      </c>
      <c r="T15" s="8" t="s">
        <v>10</v>
      </c>
    </row>
    <row r="16" spans="2:20" ht="14.5" customHeight="1" x14ac:dyDescent="0.35">
      <c r="P16" s="27" t="s">
        <v>68</v>
      </c>
      <c r="Q16" s="5" t="s">
        <v>72</v>
      </c>
      <c r="R16" s="13">
        <f t="shared" ref="R16:T17" si="0">H9</f>
        <v>0.27337619904779853</v>
      </c>
      <c r="S16" s="10">
        <f t="shared" si="0"/>
        <v>6.2310587899999996</v>
      </c>
      <c r="T16" s="10">
        <f t="shared" si="0"/>
        <v>6.27517894</v>
      </c>
    </row>
    <row r="17" spans="16:27" ht="14.5" customHeight="1" x14ac:dyDescent="0.35">
      <c r="P17" s="27"/>
      <c r="Q17" s="5" t="s">
        <v>73</v>
      </c>
      <c r="R17" s="14">
        <f t="shared" si="0"/>
        <v>0.29780000000000001</v>
      </c>
      <c r="S17" s="12">
        <f t="shared" si="0"/>
        <v>6.7877500460000002</v>
      </c>
      <c r="T17" s="12">
        <f t="shared" si="0"/>
        <v>6.8688326310000001</v>
      </c>
    </row>
    <row r="18" spans="16:27" ht="14.5" customHeight="1" x14ac:dyDescent="0.35">
      <c r="P18" s="28" t="s">
        <v>69</v>
      </c>
      <c r="Q18" s="5" t="s">
        <v>72</v>
      </c>
      <c r="R18" s="13" t="s">
        <v>76</v>
      </c>
      <c r="S18" s="10">
        <f>M12</f>
        <v>67.98948388006491</v>
      </c>
      <c r="T18" s="10">
        <f>N12</f>
        <v>177.23719391108892</v>
      </c>
    </row>
    <row r="19" spans="16:27" ht="14.5" customHeight="1" x14ac:dyDescent="0.35">
      <c r="P19" s="28"/>
      <c r="Q19" s="5" t="s">
        <v>73</v>
      </c>
      <c r="R19" s="14" t="s">
        <v>76</v>
      </c>
      <c r="S19" s="12">
        <f>M13</f>
        <v>71.288076200000006</v>
      </c>
      <c r="T19" s="12">
        <f>N13</f>
        <v>177.425684166</v>
      </c>
    </row>
    <row r="21" spans="16:27" x14ac:dyDescent="0.35">
      <c r="V21" s="5" t="s">
        <v>68</v>
      </c>
      <c r="W21" s="7" t="s">
        <v>77</v>
      </c>
    </row>
    <row r="22" spans="16:27" x14ac:dyDescent="0.35">
      <c r="V22" s="5" t="s">
        <v>78</v>
      </c>
      <c r="W22" s="13">
        <v>2.0499999999999998</v>
      </c>
    </row>
    <row r="23" spans="16:27" x14ac:dyDescent="0.35">
      <c r="V23" s="5" t="s">
        <v>79</v>
      </c>
      <c r="W23" s="18">
        <v>170</v>
      </c>
    </row>
    <row r="25" spans="16:27" x14ac:dyDescent="0.35">
      <c r="V25" s="5" t="s">
        <v>69</v>
      </c>
      <c r="W25" s="7" t="s">
        <v>77</v>
      </c>
    </row>
    <row r="26" spans="16:27" x14ac:dyDescent="0.35">
      <c r="V26" s="5" t="s">
        <v>78</v>
      </c>
      <c r="W26" s="13">
        <v>0.2</v>
      </c>
    </row>
    <row r="27" spans="16:27" x14ac:dyDescent="0.35">
      <c r="V27" s="5" t="s">
        <v>79</v>
      </c>
      <c r="W27" s="18">
        <v>145</v>
      </c>
    </row>
    <row r="29" spans="16:27" x14ac:dyDescent="0.35">
      <c r="Y29" s="5" t="s">
        <v>80</v>
      </c>
      <c r="Z29" s="5" t="s">
        <v>81</v>
      </c>
      <c r="AA29" s="5" t="s">
        <v>82</v>
      </c>
    </row>
    <row r="30" spans="16:27" x14ac:dyDescent="0.35">
      <c r="Y30" s="5" t="s">
        <v>83</v>
      </c>
      <c r="Z30" s="13">
        <v>1</v>
      </c>
      <c r="AA30" s="19">
        <v>9.857051348551988E-3</v>
      </c>
    </row>
    <row r="31" spans="16:27" x14ac:dyDescent="0.35">
      <c r="Y31" s="5" t="s">
        <v>84</v>
      </c>
      <c r="Z31" s="14">
        <v>0.5</v>
      </c>
      <c r="AA31" s="20">
        <v>9.8265028377938317E-3</v>
      </c>
    </row>
    <row r="32" spans="16:27" x14ac:dyDescent="0.35">
      <c r="Y32" s="5" t="s">
        <v>85</v>
      </c>
      <c r="Z32" s="13">
        <v>0</v>
      </c>
      <c r="AA32" s="13">
        <v>0.98041330615670297</v>
      </c>
    </row>
    <row r="33" spans="29:33" x14ac:dyDescent="0.35">
      <c r="AC33" s="5" t="s">
        <v>86</v>
      </c>
      <c r="AD33" s="5" t="s">
        <v>87</v>
      </c>
    </row>
    <row r="34" spans="29:33" x14ac:dyDescent="0.35">
      <c r="AC34" s="5" t="s">
        <v>88</v>
      </c>
      <c r="AD34" s="21">
        <v>0.8</v>
      </c>
    </row>
    <row r="35" spans="29:33" x14ac:dyDescent="0.35">
      <c r="AC35" s="5" t="s">
        <v>89</v>
      </c>
      <c r="AD35" s="22">
        <v>0.1</v>
      </c>
    </row>
    <row r="36" spans="29:33" x14ac:dyDescent="0.35">
      <c r="AC36" s="5" t="s">
        <v>90</v>
      </c>
      <c r="AD36" s="21">
        <v>0.75</v>
      </c>
    </row>
    <row r="38" spans="29:33" x14ac:dyDescent="0.35">
      <c r="AC38" s="5" t="s">
        <v>91</v>
      </c>
      <c r="AD38" s="5" t="s">
        <v>87</v>
      </c>
    </row>
    <row r="39" spans="29:33" x14ac:dyDescent="0.35">
      <c r="AC39" s="5" t="s">
        <v>88</v>
      </c>
      <c r="AD39" s="21">
        <v>0.08</v>
      </c>
    </row>
    <row r="40" spans="29:33" x14ac:dyDescent="0.35">
      <c r="AC40" s="5" t="s">
        <v>89</v>
      </c>
      <c r="AD40" s="22">
        <v>0.03</v>
      </c>
    </row>
    <row r="41" spans="29:33" x14ac:dyDescent="0.35">
      <c r="AC41" s="5" t="s">
        <v>90</v>
      </c>
      <c r="AD41" s="21">
        <v>0.06</v>
      </c>
    </row>
    <row r="43" spans="29:33" x14ac:dyDescent="0.35">
      <c r="AF43" s="5" t="s">
        <v>86</v>
      </c>
      <c r="AG43" s="5" t="s">
        <v>92</v>
      </c>
    </row>
    <row r="44" spans="29:33" x14ac:dyDescent="0.35">
      <c r="AF44" s="5" t="s">
        <v>88</v>
      </c>
      <c r="AG44" s="21">
        <v>0.1</v>
      </c>
    </row>
    <row r="45" spans="29:33" x14ac:dyDescent="0.35">
      <c r="AF45" s="5" t="s">
        <v>89</v>
      </c>
      <c r="AG45" s="22">
        <v>0</v>
      </c>
    </row>
    <row r="46" spans="29:33" x14ac:dyDescent="0.35">
      <c r="AF46" s="5" t="s">
        <v>90</v>
      </c>
      <c r="AG46" s="21">
        <v>0.15</v>
      </c>
    </row>
    <row r="48" spans="29:33" x14ac:dyDescent="0.35">
      <c r="AF48" s="5" t="s">
        <v>91</v>
      </c>
      <c r="AG48" s="5" t="s">
        <v>92</v>
      </c>
    </row>
    <row r="49" spans="32:39" x14ac:dyDescent="0.35">
      <c r="AF49" s="5" t="s">
        <v>88</v>
      </c>
      <c r="AG49" s="13">
        <v>5.0000000000000001E-3</v>
      </c>
    </row>
    <row r="50" spans="32:39" x14ac:dyDescent="0.35">
      <c r="AF50" s="5" t="s">
        <v>89</v>
      </c>
      <c r="AG50" s="22">
        <v>0</v>
      </c>
    </row>
    <row r="51" spans="32:39" x14ac:dyDescent="0.35">
      <c r="AF51" s="5" t="s">
        <v>90</v>
      </c>
      <c r="AG51" s="13">
        <v>2E-3</v>
      </c>
    </row>
    <row r="52" spans="32:39" x14ac:dyDescent="0.35">
      <c r="AI52" s="5" t="s">
        <v>93</v>
      </c>
      <c r="AJ52" s="5" t="s">
        <v>94</v>
      </c>
    </row>
    <row r="53" spans="32:39" x14ac:dyDescent="0.35">
      <c r="AI53" s="5" t="s">
        <v>95</v>
      </c>
      <c r="AJ53" s="21">
        <v>0</v>
      </c>
    </row>
    <row r="54" spans="32:39" x14ac:dyDescent="0.35">
      <c r="AI54" s="5" t="s">
        <v>96</v>
      </c>
      <c r="AJ54" s="22">
        <f>AJ53</f>
        <v>0</v>
      </c>
    </row>
    <row r="55" spans="32:39" x14ac:dyDescent="0.35">
      <c r="AI55" s="5" t="s">
        <v>97</v>
      </c>
      <c r="AJ55" s="21">
        <v>0.23</v>
      </c>
    </row>
    <row r="56" spans="32:39" x14ac:dyDescent="0.35">
      <c r="AI56" s="5" t="s">
        <v>98</v>
      </c>
      <c r="AJ56" s="22">
        <f>AJ55</f>
        <v>0.23</v>
      </c>
    </row>
    <row r="57" spans="32:39" x14ac:dyDescent="0.35">
      <c r="AL57" s="5" t="s">
        <v>68</v>
      </c>
      <c r="AM57" s="5" t="s">
        <v>16</v>
      </c>
    </row>
    <row r="58" spans="32:39" x14ac:dyDescent="0.35">
      <c r="AL58" s="5" t="s">
        <v>95</v>
      </c>
      <c r="AM58" s="13">
        <v>3.5000000000000003E-2</v>
      </c>
    </row>
    <row r="59" spans="32:39" x14ac:dyDescent="0.35">
      <c r="AL59" s="5" t="s">
        <v>96</v>
      </c>
      <c r="AM59" s="14">
        <v>4.4999999999999998E-2</v>
      </c>
    </row>
    <row r="60" spans="32:39" x14ac:dyDescent="0.35">
      <c r="AL60" s="5" t="s">
        <v>97</v>
      </c>
      <c r="AM60" s="13">
        <v>5.5E-2</v>
      </c>
    </row>
    <row r="61" spans="32:39" x14ac:dyDescent="0.35">
      <c r="AL61" s="5" t="s">
        <v>98</v>
      </c>
      <c r="AM61" s="14">
        <v>7.4999999999999997E-2</v>
      </c>
    </row>
    <row r="63" spans="32:39" x14ac:dyDescent="0.35">
      <c r="AL63" s="5" t="s">
        <v>69</v>
      </c>
      <c r="AM63" s="5" t="s">
        <v>16</v>
      </c>
    </row>
    <row r="64" spans="32:39" x14ac:dyDescent="0.35">
      <c r="AL64" s="5" t="s">
        <v>95</v>
      </c>
      <c r="AM64" s="21">
        <v>0.03</v>
      </c>
    </row>
    <row r="65" spans="38:44" x14ac:dyDescent="0.35">
      <c r="AL65" s="5" t="s">
        <v>96</v>
      </c>
      <c r="AM65" s="22">
        <v>0.04</v>
      </c>
    </row>
    <row r="66" spans="38:44" x14ac:dyDescent="0.35">
      <c r="AL66" s="5" t="s">
        <v>97</v>
      </c>
      <c r="AM66" s="21">
        <v>0.05</v>
      </c>
    </row>
    <row r="67" spans="38:44" x14ac:dyDescent="0.35">
      <c r="AL67" s="5" t="s">
        <v>98</v>
      </c>
      <c r="AM67" s="22">
        <v>7.0000000000000007E-2</v>
      </c>
    </row>
    <row r="69" spans="38:44" ht="15.5" customHeight="1" thickBot="1" x14ac:dyDescent="0.4">
      <c r="AO69" s="5"/>
      <c r="AP69" s="5" t="s">
        <v>99</v>
      </c>
      <c r="AQ69" s="5" t="s">
        <v>100</v>
      </c>
      <c r="AR69" s="23"/>
    </row>
    <row r="70" spans="38:44" ht="16" thickBot="1" x14ac:dyDescent="0.4">
      <c r="AO70" s="5" t="s">
        <v>101</v>
      </c>
      <c r="AP70" s="13">
        <v>4.4999999999999998E-2</v>
      </c>
      <c r="AQ70" s="13">
        <v>0.3543</v>
      </c>
      <c r="AR70" s="24"/>
    </row>
    <row r="71" spans="38:44" ht="16" thickBot="1" x14ac:dyDescent="0.4">
      <c r="AO71" s="5" t="s">
        <v>102</v>
      </c>
      <c r="AP71" s="14">
        <v>0.95499999999999996</v>
      </c>
      <c r="AQ71" s="14">
        <v>0.64570000000000005</v>
      </c>
      <c r="AR71" s="24"/>
    </row>
  </sheetData>
  <mergeCells count="3">
    <mergeCell ref="P16:P17"/>
    <mergeCell ref="P18:P19"/>
    <mergeCell ref="P15:Q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B474415A0DE4FB772525FBFC32645" ma:contentTypeVersion="4" ma:contentTypeDescription="Create a new document." ma:contentTypeScope="" ma:versionID="328a6027eda442fd61683ff812505463">
  <xsd:schema xmlns:xsd="http://www.w3.org/2001/XMLSchema" xmlns:xs="http://www.w3.org/2001/XMLSchema" xmlns:p="http://schemas.microsoft.com/office/2006/metadata/properties" xmlns:ns2="7c5b5cb6-f6b4-4d0c-bb78-0cf9f85fbe81" targetNamespace="http://schemas.microsoft.com/office/2006/metadata/properties" ma:root="true" ma:fieldsID="b35d60291c724948dff3802d1f03040f" ns2:_="">
    <xsd:import namespace="7c5b5cb6-f6b4-4d0c-bb78-0cf9f85fb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b5cb6-f6b4-4d0c-bb78-0cf9f85fb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28BC6D-5B57-4357-BAFE-87978A48ABC2}"/>
</file>

<file path=customXml/itemProps2.xml><?xml version="1.0" encoding="utf-8"?>
<ds:datastoreItem xmlns:ds="http://schemas.openxmlformats.org/officeDocument/2006/customXml" ds:itemID="{F23AA786-8D8B-42BE-834A-061D98C904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T20</vt:lpstr>
      <vt:lpstr>SPWL</vt:lpstr>
      <vt:lpstr>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Tahir Khawaja</cp:lastModifiedBy>
  <cp:revision/>
  <dcterms:created xsi:type="dcterms:W3CDTF">2024-03-20T07:10:58Z</dcterms:created>
  <dcterms:modified xsi:type="dcterms:W3CDTF">2024-03-22T17:14:16Z</dcterms:modified>
  <cp:category/>
  <cp:contentStatus/>
</cp:coreProperties>
</file>