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riqueMV\Desktop\Fes-Aragon\4to semestre\Emprendimiento 3\"/>
    </mc:Choice>
  </mc:AlternateContent>
  <xr:revisionPtr revIDLastSave="0" documentId="13_ncr:1_{56260ADD-B25C-4A0D-BF51-21DC4C5B32AF}" xr6:coauthVersionLast="47" xr6:coauthVersionMax="47" xr10:uidLastSave="{00000000-0000-0000-0000-000000000000}"/>
  <bookViews>
    <workbookView xWindow="-120" yWindow="-120" windowWidth="29040" windowHeight="15720" tabRatio="711" xr2:uid="{017D86DE-FE9C-4CBA-B1A3-17B505305D67}"/>
  </bookViews>
  <sheets>
    <sheet name="Cronograma de inversión" sheetId="1" r:id="rId1"/>
    <sheet name="Inversión inicial" sheetId="2" r:id="rId2"/>
    <sheet name="Determinación de costos" sheetId="3" r:id="rId3"/>
    <sheet name="Tablas de depreciación y amorti" sheetId="4" r:id="rId4"/>
    <sheet name="Capital de trabajo" sheetId="5" r:id="rId5"/>
    <sheet name="Estado de resultados" sheetId="6" r:id="rId6"/>
    <sheet name="Balance general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8" i="7" l="1"/>
  <c r="C31" i="7" l="1"/>
  <c r="H21" i="7"/>
  <c r="H12" i="7"/>
  <c r="C6" i="5"/>
  <c r="D7" i="7" l="1"/>
  <c r="D12" i="7" s="1"/>
  <c r="D21" i="7" s="1"/>
  <c r="H17" i="7"/>
  <c r="D19" i="7"/>
  <c r="D15" i="6"/>
  <c r="C5" i="6"/>
  <c r="C14" i="6" s="1"/>
  <c r="D11" i="2"/>
  <c r="G18" i="2"/>
  <c r="G8" i="2"/>
  <c r="G7" i="2"/>
  <c r="D18" i="6"/>
  <c r="E18" i="6"/>
  <c r="F18" i="6"/>
  <c r="G18" i="6"/>
  <c r="C18" i="6"/>
  <c r="D6" i="6"/>
  <c r="E6" i="6"/>
  <c r="F6" i="6"/>
  <c r="G6" i="6"/>
  <c r="C6" i="6"/>
  <c r="C24" i="6"/>
  <c r="D5" i="6" s="1"/>
  <c r="D14" i="6" s="1"/>
  <c r="E10" i="5"/>
  <c r="C10" i="5"/>
  <c r="C13" i="5" s="1"/>
  <c r="C12" i="5" l="1"/>
  <c r="C15" i="6"/>
  <c r="D8" i="6"/>
  <c r="D24" i="6"/>
  <c r="E5" i="6" s="1"/>
  <c r="C8" i="6"/>
  <c r="E8" i="6" l="1"/>
  <c r="E14" i="6"/>
  <c r="E15" i="6"/>
  <c r="E24" i="6"/>
  <c r="F5" i="6" s="1"/>
  <c r="F14" i="6" l="1"/>
  <c r="F15" i="6"/>
  <c r="F8" i="6"/>
  <c r="F24" i="6"/>
  <c r="G5" i="6" s="1"/>
  <c r="G14" i="6" l="1"/>
  <c r="G15" i="6"/>
  <c r="G8" i="6"/>
  <c r="F9" i="4" l="1"/>
  <c r="G9" i="4"/>
  <c r="H9" i="4"/>
  <c r="I9" i="4"/>
  <c r="J9" i="4"/>
  <c r="E9" i="4"/>
  <c r="C9" i="4"/>
  <c r="J7" i="4"/>
  <c r="J8" i="4"/>
  <c r="J6" i="4"/>
  <c r="F7" i="4"/>
  <c r="G7" i="4" s="1"/>
  <c r="H7" i="4" s="1"/>
  <c r="I7" i="4" s="1"/>
  <c r="F8" i="4"/>
  <c r="G8" i="4"/>
  <c r="H8" i="4" s="1"/>
  <c r="I8" i="4" s="1"/>
  <c r="G6" i="4"/>
  <c r="H6" i="4" s="1"/>
  <c r="I6" i="4" s="1"/>
  <c r="F6" i="4"/>
  <c r="E7" i="4"/>
  <c r="E8" i="4"/>
  <c r="E6" i="4"/>
  <c r="D18" i="2"/>
  <c r="C20" i="2" s="1"/>
  <c r="D13" i="2"/>
  <c r="D5" i="2"/>
  <c r="E26" i="3"/>
  <c r="F27" i="3"/>
  <c r="G27" i="3" s="1"/>
  <c r="H27" i="3" s="1"/>
  <c r="I27" i="3" s="1"/>
  <c r="F28" i="3"/>
  <c r="G28" i="3"/>
  <c r="H28" i="3" s="1"/>
  <c r="I28" i="3" s="1"/>
  <c r="F26" i="3"/>
  <c r="F29" i="3" s="1"/>
  <c r="D9" i="6" s="1"/>
  <c r="E29" i="3"/>
  <c r="C9" i="6" s="1"/>
  <c r="F13" i="3"/>
  <c r="G13" i="3"/>
  <c r="H13" i="3"/>
  <c r="I13" i="3"/>
  <c r="E13" i="3"/>
  <c r="F11" i="3"/>
  <c r="G11" i="3"/>
  <c r="H11" i="3"/>
  <c r="I11" i="3" s="1"/>
  <c r="F12" i="3"/>
  <c r="G12" i="3" s="1"/>
  <c r="H12" i="3" s="1"/>
  <c r="I12" i="3" s="1"/>
  <c r="E21" i="3"/>
  <c r="C10" i="6" s="1"/>
  <c r="E19" i="3"/>
  <c r="F19" i="3" s="1"/>
  <c r="G19" i="3" s="1"/>
  <c r="H19" i="3" s="1"/>
  <c r="I19" i="3" s="1"/>
  <c r="E20" i="3"/>
  <c r="F20" i="3" s="1"/>
  <c r="G20" i="3" s="1"/>
  <c r="H20" i="3" s="1"/>
  <c r="I20" i="3" s="1"/>
  <c r="E18" i="3"/>
  <c r="F18" i="3" s="1"/>
  <c r="G7" i="3"/>
  <c r="H7" i="3" s="1"/>
  <c r="I7" i="3" s="1"/>
  <c r="G8" i="3"/>
  <c r="H8" i="3"/>
  <c r="I8" i="3" s="1"/>
  <c r="F7" i="3"/>
  <c r="F8" i="3"/>
  <c r="F9" i="3"/>
  <c r="G9" i="3" s="1"/>
  <c r="H9" i="3" s="1"/>
  <c r="I9" i="3" s="1"/>
  <c r="F10" i="3"/>
  <c r="G10" i="3" s="1"/>
  <c r="H10" i="3" s="1"/>
  <c r="I10" i="3" s="1"/>
  <c r="F6" i="3"/>
  <c r="D17" i="2"/>
  <c r="D12" i="2"/>
  <c r="C13" i="6" l="1"/>
  <c r="G26" i="3"/>
  <c r="H26" i="3" s="1"/>
  <c r="I26" i="3" s="1"/>
  <c r="I29" i="3" s="1"/>
  <c r="G9" i="6" s="1"/>
  <c r="H29" i="3"/>
  <c r="F9" i="6" s="1"/>
  <c r="G29" i="3"/>
  <c r="E9" i="6" s="1"/>
  <c r="F21" i="3"/>
  <c r="D10" i="6" s="1"/>
  <c r="D13" i="6" s="1"/>
  <c r="G18" i="3"/>
  <c r="G6" i="3"/>
  <c r="D17" i="6" l="1"/>
  <c r="D20" i="6" s="1"/>
  <c r="C17" i="6"/>
  <c r="C20" i="6" s="1"/>
  <c r="H6" i="3"/>
  <c r="H18" i="3"/>
  <c r="G21" i="3"/>
  <c r="E10" i="6" s="1"/>
  <c r="E13" i="6" s="1"/>
  <c r="E17" i="6" l="1"/>
  <c r="E20" i="6" s="1"/>
  <c r="I6" i="3"/>
  <c r="I18" i="3"/>
  <c r="I21" i="3" s="1"/>
  <c r="G10" i="6" s="1"/>
  <c r="G13" i="6" s="1"/>
  <c r="H21" i="3"/>
  <c r="F10" i="6" s="1"/>
  <c r="F13" i="6" s="1"/>
  <c r="G17" i="6" l="1"/>
  <c r="G20" i="6" s="1"/>
  <c r="F17" i="6"/>
  <c r="F20" i="6" s="1"/>
</calcChain>
</file>

<file path=xl/sharedStrings.xml><?xml version="1.0" encoding="utf-8"?>
<sst xmlns="http://schemas.openxmlformats.org/spreadsheetml/2006/main" count="229" uniqueCount="134">
  <si>
    <t>T</t>
  </si>
  <si>
    <t>ACTIVIDAD</t>
  </si>
  <si>
    <t>SEMANA 1</t>
  </si>
  <si>
    <t>SEMANA 2</t>
  </si>
  <si>
    <t>SEMANA 3</t>
  </si>
  <si>
    <t>SEMANA 4</t>
  </si>
  <si>
    <t>SEMANA 5</t>
  </si>
  <si>
    <t>SEMANA 6</t>
  </si>
  <si>
    <t>SEMANA 7</t>
  </si>
  <si>
    <t>SEMANA 8</t>
  </si>
  <si>
    <t>SEMANA 9</t>
  </si>
  <si>
    <t>Registro de sociedad mercantil</t>
  </si>
  <si>
    <t>Registro de logo y marca</t>
  </si>
  <si>
    <t>Busqueda de un terreno para los invernaderos</t>
  </si>
  <si>
    <t>Renta del terreno</t>
  </si>
  <si>
    <t>Cotización de los insumos a ocupar</t>
  </si>
  <si>
    <t xml:space="preserve">Alistamiento de todos los ejemplares </t>
  </si>
  <si>
    <t>Cotización de la pagina web</t>
  </si>
  <si>
    <t>Cotización de los metodos de envio</t>
  </si>
  <si>
    <t>Alistamiento de la pagina web</t>
  </si>
  <si>
    <t>Alistamiento de los metodos de envio</t>
  </si>
  <si>
    <t>Cotización de los invernaderos</t>
  </si>
  <si>
    <t>Colocación de los invernaderos</t>
  </si>
  <si>
    <t>Adquisición de los insumos</t>
  </si>
  <si>
    <t>Apertura de la sucursal y la pagina web</t>
  </si>
  <si>
    <t>Inversión Inicial</t>
  </si>
  <si>
    <t>Activos Fijos</t>
  </si>
  <si>
    <t>Cantidad</t>
  </si>
  <si>
    <t>$</t>
  </si>
  <si>
    <t>Activos diferidos</t>
  </si>
  <si>
    <t>Insumos para el cultivo de cactaceas</t>
  </si>
  <si>
    <t>Tepojal pequeño de 1.5cm. – 2cm.</t>
  </si>
  <si>
    <t>Tepojal mediano/grande de 2.5cm. – 3.5cm.</t>
  </si>
  <si>
    <t>Tierra negra.</t>
  </si>
  <si>
    <t>Abono.</t>
  </si>
  <si>
    <t>Macetas de 1.5, 2.5, 3, 4, 6, 8 y 15 pulgadas</t>
  </si>
  <si>
    <t>Plantas madre para la producción de semillas.</t>
  </si>
  <si>
    <t>Plastico para invernadero.</t>
  </si>
  <si>
    <t>Malla sombra.</t>
  </si>
  <si>
    <t>Mesas para colocar los ejemplares</t>
  </si>
  <si>
    <t>5 costales</t>
  </si>
  <si>
    <t>10 Costales</t>
  </si>
  <si>
    <t>300 macetas</t>
  </si>
  <si>
    <t>2 juegos</t>
  </si>
  <si>
    <t>Soportes para invenadero.</t>
  </si>
  <si>
    <t>2 lonas</t>
  </si>
  <si>
    <t>Total de activos fijos</t>
  </si>
  <si>
    <t>Renta del predio</t>
  </si>
  <si>
    <t>1 año</t>
  </si>
  <si>
    <t>Total de activos diferidos</t>
  </si>
  <si>
    <t>Plantas madre</t>
  </si>
  <si>
    <t>Mobiliario para el invernadero</t>
  </si>
  <si>
    <t>Total de inversión inicial:</t>
  </si>
  <si>
    <t>Costos de producción</t>
  </si>
  <si>
    <t>Costos de ventas</t>
  </si>
  <si>
    <t>Costos administrativos</t>
  </si>
  <si>
    <t>Tipo</t>
  </si>
  <si>
    <t>Año 1</t>
  </si>
  <si>
    <t>Año 2</t>
  </si>
  <si>
    <t>Año 3</t>
  </si>
  <si>
    <t>Año 4</t>
  </si>
  <si>
    <t>Año 5</t>
  </si>
  <si>
    <t>Total de CTS. De producción</t>
  </si>
  <si>
    <t>Publicidad en Facebook</t>
  </si>
  <si>
    <t>Publicidad en Tiktok</t>
  </si>
  <si>
    <t>Publicidad en Instagram</t>
  </si>
  <si>
    <t>1 mes</t>
  </si>
  <si>
    <t>Total de CTS. De venta</t>
  </si>
  <si>
    <t xml:space="preserve">Cantidad </t>
  </si>
  <si>
    <t>Salarios</t>
  </si>
  <si>
    <t>Predio</t>
  </si>
  <si>
    <t>Servicio de internet</t>
  </si>
  <si>
    <t>Hosting de la pagina web</t>
  </si>
  <si>
    <t>Pago de agua</t>
  </si>
  <si>
    <t>Pago del agua</t>
  </si>
  <si>
    <t xml:space="preserve">Total de CTS. Administrativos </t>
  </si>
  <si>
    <t>Depreciación y amortización</t>
  </si>
  <si>
    <t>Activos</t>
  </si>
  <si>
    <t>%</t>
  </si>
  <si>
    <t>Valor de salvamento</t>
  </si>
  <si>
    <t>Total</t>
  </si>
  <si>
    <t>Capital de trabajo</t>
  </si>
  <si>
    <t>Activos circulantes</t>
  </si>
  <si>
    <t>Pasivos circulantes</t>
  </si>
  <si>
    <t>Caja</t>
  </si>
  <si>
    <t>Bancos</t>
  </si>
  <si>
    <t>Clientes</t>
  </si>
  <si>
    <t>Documentos por cobrar</t>
  </si>
  <si>
    <t>Proveedores</t>
  </si>
  <si>
    <t>Documentos por pagar</t>
  </si>
  <si>
    <t>Cantidad adicional para iniciar actividades</t>
  </si>
  <si>
    <t>6000 macetas</t>
  </si>
  <si>
    <t>Estado de resultados</t>
  </si>
  <si>
    <t>Ventas</t>
  </si>
  <si>
    <t>Utilidad marginal</t>
  </si>
  <si>
    <t>Costos de administración</t>
  </si>
  <si>
    <t>Costos financieros</t>
  </si>
  <si>
    <t>Utilidad bruta</t>
  </si>
  <si>
    <t>-</t>
  </si>
  <si>
    <t>Reparto de utilidades (3%)</t>
  </si>
  <si>
    <t>ISR</t>
  </si>
  <si>
    <t>Utilidad neta</t>
  </si>
  <si>
    <t>+</t>
  </si>
  <si>
    <t>depreciación y amortización</t>
  </si>
  <si>
    <t>Flujo neto de efectivo después de impuestos</t>
  </si>
  <si>
    <t>Total de ventas unitarias por mes</t>
  </si>
  <si>
    <t>Aumento de ventas unitarias mensuales al año</t>
  </si>
  <si>
    <t>Límite inferior</t>
  </si>
  <si>
    <t>Límite superior</t>
  </si>
  <si>
    <t>Cuota fija</t>
  </si>
  <si>
    <t>Por ciento para aplicarse sobre el excedente del límite inferior</t>
  </si>
  <si>
    <t>$ 42, 537.59</t>
  </si>
  <si>
    <t>En adelante</t>
  </si>
  <si>
    <t>% 35.00 </t>
  </si>
  <si>
    <t>Precio unitario por ejemplar</t>
  </si>
  <si>
    <t xml:space="preserve">Balance general </t>
  </si>
  <si>
    <t>Total de activos circulantes</t>
  </si>
  <si>
    <t>Pasivos</t>
  </si>
  <si>
    <t>Activos fijos</t>
  </si>
  <si>
    <t>Pasivo circulante</t>
  </si>
  <si>
    <t>Total de pasivos circulantes</t>
  </si>
  <si>
    <t>Capital</t>
  </si>
  <si>
    <t>Capital social</t>
  </si>
  <si>
    <t>Utilidad</t>
  </si>
  <si>
    <t>Total capital contable</t>
  </si>
  <si>
    <t>Total pasivo + capital</t>
  </si>
  <si>
    <t>Tabla de presupuesto - Capital Social</t>
  </si>
  <si>
    <t>Jair</t>
  </si>
  <si>
    <t>Ricardo</t>
  </si>
  <si>
    <t>Enrique</t>
  </si>
  <si>
    <t>Israel</t>
  </si>
  <si>
    <t>Melissa</t>
  </si>
  <si>
    <t>Santiago</t>
  </si>
  <si>
    <t>Presupuesto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</si>
</sst>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;[Red]\-&quot;$&quot;#,##0.00"/>
    <numFmt numFmtId="44" formatCode="_-&quot;$&quot;* #,##0.00_-;\-&quot;$&quot;* #,##0.00_-;_-&quot;$&quot;* &quot;-&quot;??_-;_-@_-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4"/>
      <color theme="1"/>
      <name val="Arial"/>
      <family val="2"/>
    </font>
    <font>
      <sz val="12"/>
      <color rgb="FF92D050"/>
      <name val="Arial"/>
      <family val="2"/>
    </font>
    <font>
      <b/>
      <sz val="12"/>
      <name val="Arial"/>
      <family val="2"/>
    </font>
    <font>
      <sz val="12"/>
      <color rgb="FF404040"/>
      <name val="Open Sans"/>
      <family val="2"/>
    </font>
    <font>
      <b/>
      <sz val="12"/>
      <color theme="1"/>
      <name val="Open Sans"/>
      <family val="2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AFAFA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00B19D"/>
      </left>
      <right style="thick">
        <color rgb="FF00B19D"/>
      </right>
      <top style="thick">
        <color rgb="FF00B19D"/>
      </top>
      <bottom style="thick">
        <color rgb="FF00B19D"/>
      </bottom>
      <diagonal/>
    </border>
    <border>
      <left/>
      <right/>
      <top/>
      <bottom style="thick">
        <color rgb="FF00B19D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1">
    <xf numFmtId="0" fontId="0" fillId="0" borderId="0" xfId="0"/>
    <xf numFmtId="0" fontId="0" fillId="0" borderId="1" xfId="0" applyBorder="1"/>
    <xf numFmtId="0" fontId="5" fillId="0" borderId="0" xfId="0" applyFont="1" applyAlignment="1">
      <alignment horizontal="left" vertical="center" indent="8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6" fillId="0" borderId="1" xfId="0" applyFont="1" applyBorder="1" applyAlignment="1">
      <alignment horizontal="left"/>
    </xf>
    <xf numFmtId="0" fontId="6" fillId="0" borderId="1" xfId="0" applyFont="1" applyBorder="1" applyAlignment="1">
      <alignment horizontal="center"/>
    </xf>
    <xf numFmtId="44" fontId="6" fillId="0" borderId="1" xfId="1" applyFont="1" applyBorder="1"/>
    <xf numFmtId="44" fontId="6" fillId="0" borderId="1" xfId="0" applyNumberFormat="1" applyFont="1" applyBorder="1"/>
    <xf numFmtId="0" fontId="7" fillId="6" borderId="2" xfId="0" applyFont="1" applyFill="1" applyBorder="1" applyAlignment="1">
      <alignment horizontal="center"/>
    </xf>
    <xf numFmtId="0" fontId="7" fillId="6" borderId="3" xfId="0" applyFont="1" applyFill="1" applyBorder="1" applyAlignment="1">
      <alignment horizontal="center"/>
    </xf>
    <xf numFmtId="0" fontId="7" fillId="6" borderId="4" xfId="0" applyFont="1" applyFill="1" applyBorder="1" applyAlignment="1">
      <alignment horizontal="center"/>
    </xf>
    <xf numFmtId="0" fontId="7" fillId="7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left"/>
    </xf>
    <xf numFmtId="0" fontId="6" fillId="0" borderId="1" xfId="0" applyFont="1" applyBorder="1"/>
    <xf numFmtId="0" fontId="5" fillId="3" borderId="1" xfId="0" applyFont="1" applyFill="1" applyBorder="1"/>
    <xf numFmtId="44" fontId="6" fillId="0" borderId="1" xfId="1" applyFont="1" applyBorder="1" applyAlignment="1">
      <alignment horizontal="center"/>
    </xf>
    <xf numFmtId="0" fontId="6" fillId="0" borderId="1" xfId="0" applyFont="1" applyBorder="1" applyAlignment="1">
      <alignment horizontal="right"/>
    </xf>
    <xf numFmtId="0" fontId="5" fillId="8" borderId="1" xfId="0" applyFont="1" applyFill="1" applyBorder="1"/>
    <xf numFmtId="0" fontId="6" fillId="8" borderId="1" xfId="0" applyFont="1" applyFill="1" applyBorder="1"/>
    <xf numFmtId="44" fontId="5" fillId="8" borderId="1" xfId="0" applyNumberFormat="1" applyFont="1" applyFill="1" applyBorder="1"/>
    <xf numFmtId="0" fontId="5" fillId="8" borderId="1" xfId="0" applyFont="1" applyFill="1" applyBorder="1" applyAlignment="1">
      <alignment horizontal="left"/>
    </xf>
    <xf numFmtId="0" fontId="6" fillId="0" borderId="0" xfId="0" applyFont="1"/>
    <xf numFmtId="0" fontId="5" fillId="9" borderId="1" xfId="0" applyFont="1" applyFill="1" applyBorder="1"/>
    <xf numFmtId="44" fontId="5" fillId="9" borderId="1" xfId="0" applyNumberFormat="1" applyFont="1" applyFill="1" applyBorder="1"/>
    <xf numFmtId="0" fontId="6" fillId="4" borderId="1" xfId="0" applyFont="1" applyFill="1" applyBorder="1"/>
    <xf numFmtId="0" fontId="8" fillId="5" borderId="1" xfId="0" applyFont="1" applyFill="1" applyBorder="1"/>
    <xf numFmtId="0" fontId="6" fillId="5" borderId="1" xfId="0" applyFont="1" applyFill="1" applyBorder="1"/>
    <xf numFmtId="0" fontId="4" fillId="0" borderId="1" xfId="0" applyFont="1" applyBorder="1"/>
    <xf numFmtId="0" fontId="4" fillId="5" borderId="1" xfId="0" applyFont="1" applyFill="1" applyBorder="1"/>
    <xf numFmtId="0" fontId="9" fillId="10" borderId="2" xfId="0" applyFont="1" applyFill="1" applyBorder="1" applyAlignment="1">
      <alignment horizontal="center"/>
    </xf>
    <xf numFmtId="0" fontId="9" fillId="10" borderId="3" xfId="0" applyFont="1" applyFill="1" applyBorder="1" applyAlignment="1">
      <alignment horizontal="center"/>
    </xf>
    <xf numFmtId="0" fontId="9" fillId="10" borderId="4" xfId="0" applyFont="1" applyFill="1" applyBorder="1" applyAlignment="1">
      <alignment horizontal="center"/>
    </xf>
    <xf numFmtId="0" fontId="9" fillId="10" borderId="1" xfId="0" applyFont="1" applyFill="1" applyBorder="1" applyAlignment="1">
      <alignment horizontal="center"/>
    </xf>
    <xf numFmtId="0" fontId="0" fillId="2" borderId="1" xfId="0" applyFill="1" applyBorder="1"/>
    <xf numFmtId="0" fontId="5" fillId="2" borderId="1" xfId="0" applyFont="1" applyFill="1" applyBorder="1"/>
    <xf numFmtId="44" fontId="5" fillId="2" borderId="1" xfId="0" applyNumberFormat="1" applyFont="1" applyFill="1" applyBorder="1"/>
    <xf numFmtId="0" fontId="6" fillId="2" borderId="1" xfId="0" applyFont="1" applyFill="1" applyBorder="1"/>
    <xf numFmtId="0" fontId="5" fillId="10" borderId="2" xfId="0" applyFont="1" applyFill="1" applyBorder="1" applyAlignment="1">
      <alignment horizontal="center"/>
    </xf>
    <xf numFmtId="0" fontId="5" fillId="10" borderId="3" xfId="0" applyFont="1" applyFill="1" applyBorder="1" applyAlignment="1">
      <alignment horizontal="center"/>
    </xf>
    <xf numFmtId="0" fontId="5" fillId="10" borderId="4" xfId="0" applyFont="1" applyFill="1" applyBorder="1" applyAlignment="1">
      <alignment horizontal="center"/>
    </xf>
    <xf numFmtId="0" fontId="5" fillId="10" borderId="1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left"/>
    </xf>
    <xf numFmtId="0" fontId="6" fillId="0" borderId="1" xfId="0" applyFont="1" applyFill="1" applyBorder="1" applyAlignment="1">
      <alignment horizontal="center"/>
    </xf>
    <xf numFmtId="44" fontId="6" fillId="0" borderId="1" xfId="1" applyFont="1" applyFill="1" applyBorder="1"/>
    <xf numFmtId="44" fontId="6" fillId="0" borderId="1" xfId="1" applyFont="1" applyBorder="1" applyAlignment="1">
      <alignment horizontal="center" vertical="center"/>
    </xf>
    <xf numFmtId="44" fontId="5" fillId="0" borderId="1" xfId="1" applyFont="1" applyBorder="1"/>
    <xf numFmtId="0" fontId="6" fillId="3" borderId="1" xfId="0" applyFont="1" applyFill="1" applyBorder="1" applyAlignment="1">
      <alignment horizontal="center"/>
    </xf>
    <xf numFmtId="44" fontId="5" fillId="3" borderId="0" xfId="0" applyNumberFormat="1" applyFont="1" applyFill="1"/>
    <xf numFmtId="44" fontId="5" fillId="3" borderId="1" xfId="1" applyFont="1" applyFill="1" applyBorder="1"/>
    <xf numFmtId="44" fontId="5" fillId="3" borderId="1" xfId="1" applyFont="1" applyFill="1" applyBorder="1" applyAlignment="1">
      <alignment horizontal="center"/>
    </xf>
    <xf numFmtId="9" fontId="0" fillId="0" borderId="0" xfId="0" applyNumberFormat="1"/>
    <xf numFmtId="9" fontId="6" fillId="0" borderId="1" xfId="0" applyNumberFormat="1" applyFont="1" applyBorder="1" applyAlignment="1">
      <alignment horizontal="center"/>
    </xf>
    <xf numFmtId="44" fontId="6" fillId="0" borderId="1" xfId="0" applyNumberFormat="1" applyFont="1" applyBorder="1" applyAlignment="1">
      <alignment horizontal="center"/>
    </xf>
    <xf numFmtId="0" fontId="5" fillId="0" borderId="1" xfId="0" applyFont="1" applyFill="1" applyBorder="1" applyAlignment="1">
      <alignment horizontal="left"/>
    </xf>
    <xf numFmtId="44" fontId="5" fillId="0" borderId="1" xfId="1" applyFont="1" applyFill="1" applyBorder="1" applyAlignment="1">
      <alignment horizontal="center"/>
    </xf>
    <xf numFmtId="44" fontId="6" fillId="0" borderId="1" xfId="1" applyFont="1" applyFill="1" applyBorder="1" applyAlignment="1">
      <alignment horizontal="center"/>
    </xf>
    <xf numFmtId="44" fontId="5" fillId="0" borderId="1" xfId="0" applyNumberFormat="1" applyFont="1" applyFill="1" applyBorder="1" applyAlignment="1">
      <alignment horizontal="center"/>
    </xf>
    <xf numFmtId="0" fontId="5" fillId="11" borderId="2" xfId="0" applyFont="1" applyFill="1" applyBorder="1" applyAlignment="1">
      <alignment horizontal="center"/>
    </xf>
    <xf numFmtId="0" fontId="5" fillId="11" borderId="3" xfId="0" applyFont="1" applyFill="1" applyBorder="1" applyAlignment="1">
      <alignment horizontal="center"/>
    </xf>
    <xf numFmtId="0" fontId="5" fillId="11" borderId="4" xfId="0" applyFont="1" applyFill="1" applyBorder="1" applyAlignment="1">
      <alignment horizontal="center"/>
    </xf>
    <xf numFmtId="0" fontId="5" fillId="11" borderId="1" xfId="0" applyFont="1" applyFill="1" applyBorder="1" applyAlignment="1">
      <alignment horizontal="center"/>
    </xf>
    <xf numFmtId="0" fontId="5" fillId="11" borderId="1" xfId="0" applyFont="1" applyFill="1" applyBorder="1"/>
    <xf numFmtId="0" fontId="5" fillId="12" borderId="1" xfId="0" applyFont="1" applyFill="1" applyBorder="1"/>
    <xf numFmtId="44" fontId="5" fillId="12" borderId="1" xfId="0" applyNumberFormat="1" applyFont="1" applyFill="1" applyBorder="1"/>
    <xf numFmtId="0" fontId="6" fillId="12" borderId="1" xfId="0" applyFont="1" applyFill="1" applyBorder="1"/>
    <xf numFmtId="0" fontId="5" fillId="12" borderId="2" xfId="0" applyFont="1" applyFill="1" applyBorder="1" applyAlignment="1">
      <alignment horizontal="center"/>
    </xf>
    <xf numFmtId="0" fontId="5" fillId="12" borderId="3" xfId="0" applyFont="1" applyFill="1" applyBorder="1" applyAlignment="1">
      <alignment horizontal="center"/>
    </xf>
    <xf numFmtId="0" fontId="5" fillId="12" borderId="4" xfId="0" applyFont="1" applyFill="1" applyBorder="1" applyAlignment="1">
      <alignment horizontal="center"/>
    </xf>
    <xf numFmtId="0" fontId="6" fillId="1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1" xfId="0" applyFont="1" applyFill="1" applyBorder="1" applyAlignment="1"/>
    <xf numFmtId="0" fontId="10" fillId="13" borderId="5" xfId="0" applyFont="1" applyFill="1" applyBorder="1" applyAlignment="1">
      <alignment vertical="center" wrapText="1"/>
    </xf>
    <xf numFmtId="10" fontId="10" fillId="13" borderId="5" xfId="0" applyNumberFormat="1" applyFont="1" applyFill="1" applyBorder="1" applyAlignment="1">
      <alignment horizontal="left" vertical="center" wrapText="1"/>
    </xf>
    <xf numFmtId="0" fontId="10" fillId="13" borderId="5" xfId="0" applyFont="1" applyFill="1" applyBorder="1" applyAlignment="1">
      <alignment horizontal="left" vertical="center" wrapText="1"/>
    </xf>
    <xf numFmtId="0" fontId="11" fillId="0" borderId="6" xfId="0" applyFont="1" applyBorder="1" applyAlignment="1">
      <alignment horizontal="center"/>
    </xf>
    <xf numFmtId="8" fontId="10" fillId="13" borderId="5" xfId="0" applyNumberFormat="1" applyFont="1" applyFill="1" applyBorder="1" applyAlignment="1">
      <alignment horizontal="center" vertical="center" wrapText="1"/>
    </xf>
    <xf numFmtId="0" fontId="10" fillId="13" borderId="5" xfId="0" applyFont="1" applyFill="1" applyBorder="1" applyAlignment="1">
      <alignment horizontal="center" vertical="center" wrapText="1"/>
    </xf>
    <xf numFmtId="0" fontId="5" fillId="12" borderId="1" xfId="0" applyFont="1" applyFill="1" applyBorder="1" applyAlignment="1">
      <alignment horizontal="center"/>
    </xf>
    <xf numFmtId="44" fontId="6" fillId="12" borderId="1" xfId="1" applyFont="1" applyFill="1" applyBorder="1" applyAlignment="1">
      <alignment horizontal="center"/>
    </xf>
    <xf numFmtId="44" fontId="5" fillId="3" borderId="1" xfId="1" applyFont="1" applyFill="1" applyBorder="1" applyAlignment="1">
      <alignment horizontal="center" vertical="center"/>
    </xf>
    <xf numFmtId="44" fontId="5" fillId="10" borderId="1" xfId="1" applyFont="1" applyFill="1" applyBorder="1" applyAlignment="1">
      <alignment horizontal="center"/>
    </xf>
    <xf numFmtId="44" fontId="5" fillId="12" borderId="1" xfId="1" applyFont="1" applyFill="1" applyBorder="1" applyAlignment="1">
      <alignment horizontal="center"/>
    </xf>
    <xf numFmtId="44" fontId="5" fillId="2" borderId="1" xfId="1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5" fillId="12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left"/>
    </xf>
    <xf numFmtId="0" fontId="5" fillId="10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left"/>
    </xf>
    <xf numFmtId="44" fontId="6" fillId="0" borderId="1" xfId="0" applyNumberFormat="1" applyFont="1" applyFill="1" applyBorder="1" applyAlignment="1">
      <alignment horizontal="center"/>
    </xf>
    <xf numFmtId="0" fontId="6" fillId="10" borderId="1" xfId="0" applyFont="1" applyFill="1" applyBorder="1" applyAlignment="1">
      <alignment horizontal="center"/>
    </xf>
    <xf numFmtId="44" fontId="5" fillId="2" borderId="1" xfId="1" applyFont="1" applyFill="1" applyBorder="1"/>
    <xf numFmtId="0" fontId="5" fillId="14" borderId="1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left"/>
    </xf>
    <xf numFmtId="44" fontId="5" fillId="6" borderId="1" xfId="1" applyFont="1" applyFill="1" applyBorder="1" applyAlignment="1">
      <alignment horizontal="center"/>
    </xf>
    <xf numFmtId="0" fontId="5" fillId="14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5" fillId="15" borderId="2" xfId="0" applyFont="1" applyFill="1" applyBorder="1" applyAlignment="1">
      <alignment horizontal="center"/>
    </xf>
    <xf numFmtId="0" fontId="5" fillId="15" borderId="4" xfId="0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FE670-7718-4541-B60D-FA76AE0B8661}">
  <dimension ref="B3:K17"/>
  <sheetViews>
    <sheetView tabSelected="1" zoomScale="115" zoomScaleNormal="115" workbookViewId="0">
      <selection activeCell="B30" sqref="B30"/>
    </sheetView>
  </sheetViews>
  <sheetFormatPr baseColWidth="10" defaultRowHeight="15" x14ac:dyDescent="0.25"/>
  <cols>
    <col min="2" max="2" width="42.5703125" bestFit="1" customWidth="1"/>
    <col min="3" max="11" width="13" bestFit="1" customWidth="1"/>
  </cols>
  <sheetData>
    <row r="3" spans="2:11" ht="15.75" x14ac:dyDescent="0.25">
      <c r="B3" s="16" t="s">
        <v>1</v>
      </c>
      <c r="C3" s="16" t="s">
        <v>2</v>
      </c>
      <c r="D3" s="16" t="s">
        <v>3</v>
      </c>
      <c r="E3" s="16" t="s">
        <v>4</v>
      </c>
      <c r="F3" s="16" t="s">
        <v>5</v>
      </c>
      <c r="G3" s="16" t="s">
        <v>6</v>
      </c>
      <c r="H3" s="16" t="s">
        <v>7</v>
      </c>
      <c r="I3" s="16" t="s">
        <v>8</v>
      </c>
      <c r="J3" s="16" t="s">
        <v>9</v>
      </c>
      <c r="K3" s="16" t="s">
        <v>10</v>
      </c>
    </row>
    <row r="4" spans="2:11" ht="15.75" x14ac:dyDescent="0.25">
      <c r="B4" s="26" t="s">
        <v>11</v>
      </c>
      <c r="C4" s="27"/>
      <c r="D4" s="28"/>
      <c r="E4" s="15"/>
      <c r="F4" s="15"/>
      <c r="G4" s="15"/>
      <c r="H4" s="15"/>
      <c r="I4" s="15"/>
      <c r="J4" s="15"/>
      <c r="K4" s="15"/>
    </row>
    <row r="5" spans="2:11" ht="15.75" x14ac:dyDescent="0.25">
      <c r="B5" s="26" t="s">
        <v>12</v>
      </c>
      <c r="C5" s="28"/>
      <c r="D5" s="28"/>
      <c r="E5" s="15"/>
      <c r="F5" s="15"/>
      <c r="G5" s="15"/>
      <c r="H5" s="15"/>
      <c r="I5" s="15"/>
      <c r="J5" s="15"/>
      <c r="K5" s="15"/>
    </row>
    <row r="6" spans="2:11" ht="15.75" x14ac:dyDescent="0.25">
      <c r="B6" s="26" t="s">
        <v>13</v>
      </c>
      <c r="C6" s="15"/>
      <c r="D6" s="15"/>
      <c r="E6" s="28"/>
      <c r="F6" s="28"/>
      <c r="G6" s="15"/>
      <c r="H6" s="15"/>
      <c r="I6" s="15"/>
      <c r="J6" s="15"/>
      <c r="K6" s="15"/>
    </row>
    <row r="7" spans="2:11" ht="15.75" x14ac:dyDescent="0.25">
      <c r="B7" s="26" t="s">
        <v>14</v>
      </c>
      <c r="C7" s="15"/>
      <c r="D7" s="15"/>
      <c r="E7" s="15"/>
      <c r="F7" s="15"/>
      <c r="G7" s="28"/>
      <c r="H7" s="15"/>
      <c r="I7" s="15"/>
      <c r="J7" s="15"/>
      <c r="K7" s="15"/>
    </row>
    <row r="8" spans="2:11" ht="15.75" x14ac:dyDescent="0.25">
      <c r="B8" s="26" t="s">
        <v>15</v>
      </c>
      <c r="C8" s="15"/>
      <c r="D8" s="15"/>
      <c r="E8" s="15"/>
      <c r="F8" s="15"/>
      <c r="G8" s="15"/>
      <c r="H8" s="28"/>
      <c r="I8" s="15"/>
      <c r="J8" s="15"/>
      <c r="K8" s="15"/>
    </row>
    <row r="9" spans="2:11" ht="15.75" x14ac:dyDescent="0.25">
      <c r="B9" s="26" t="s">
        <v>17</v>
      </c>
      <c r="C9" s="29"/>
      <c r="D9" s="29"/>
      <c r="E9" s="29"/>
      <c r="F9" s="29"/>
      <c r="G9" s="29"/>
      <c r="H9" s="30"/>
      <c r="I9" s="29"/>
      <c r="J9" s="29"/>
      <c r="K9" s="29"/>
    </row>
    <row r="10" spans="2:11" ht="15.75" x14ac:dyDescent="0.25">
      <c r="B10" s="26" t="s">
        <v>18</v>
      </c>
      <c r="C10" s="29"/>
      <c r="D10" s="29"/>
      <c r="E10" s="29"/>
      <c r="F10" s="29"/>
      <c r="G10" s="29"/>
      <c r="H10" s="30"/>
      <c r="I10" s="29"/>
      <c r="J10" s="29"/>
      <c r="K10" s="29"/>
    </row>
    <row r="11" spans="2:11" ht="15.75" x14ac:dyDescent="0.25">
      <c r="B11" s="26" t="s">
        <v>21</v>
      </c>
      <c r="C11" s="29"/>
      <c r="D11" s="29"/>
      <c r="E11" s="29"/>
      <c r="F11" s="29"/>
      <c r="G11" s="29"/>
      <c r="H11" s="30"/>
      <c r="I11" s="29"/>
      <c r="J11" s="29"/>
      <c r="K11" s="29"/>
    </row>
    <row r="12" spans="2:11" ht="15.75" x14ac:dyDescent="0.25">
      <c r="B12" s="26" t="s">
        <v>22</v>
      </c>
      <c r="C12" s="29"/>
      <c r="D12" s="29"/>
      <c r="E12" s="29"/>
      <c r="F12" s="29"/>
      <c r="G12" s="29"/>
      <c r="H12" s="30"/>
      <c r="I12" s="30"/>
      <c r="J12" s="30"/>
      <c r="K12" s="29"/>
    </row>
    <row r="13" spans="2:11" ht="15.75" x14ac:dyDescent="0.25">
      <c r="B13" s="26" t="s">
        <v>19</v>
      </c>
      <c r="C13" s="29"/>
      <c r="D13" s="29"/>
      <c r="E13" s="29"/>
      <c r="F13" s="29"/>
      <c r="G13" s="29"/>
      <c r="H13" s="30"/>
      <c r="I13" s="30"/>
      <c r="J13" s="30"/>
      <c r="K13" s="29"/>
    </row>
    <row r="14" spans="2:11" ht="15.75" x14ac:dyDescent="0.25">
      <c r="B14" s="26" t="s">
        <v>20</v>
      </c>
      <c r="C14" s="29"/>
      <c r="D14" s="29"/>
      <c r="E14" s="29"/>
      <c r="F14" s="29"/>
      <c r="G14" s="29"/>
      <c r="H14" s="29"/>
      <c r="I14" s="30"/>
      <c r="J14" s="29"/>
      <c r="K14" s="29"/>
    </row>
    <row r="15" spans="2:11" ht="15.75" x14ac:dyDescent="0.25">
      <c r="B15" s="26" t="s">
        <v>23</v>
      </c>
      <c r="C15" s="15"/>
      <c r="D15" s="15"/>
      <c r="E15" s="15"/>
      <c r="F15" s="15"/>
      <c r="G15" s="15"/>
      <c r="H15" s="15"/>
      <c r="I15" s="28"/>
      <c r="J15" s="15"/>
      <c r="K15" s="15"/>
    </row>
    <row r="16" spans="2:11" ht="15.75" x14ac:dyDescent="0.25">
      <c r="B16" s="26" t="s">
        <v>16</v>
      </c>
      <c r="C16" s="15"/>
      <c r="D16" s="15"/>
      <c r="E16" s="15"/>
      <c r="F16" s="15"/>
      <c r="G16" s="15"/>
      <c r="H16" s="15"/>
      <c r="I16" s="28"/>
      <c r="J16" s="28"/>
      <c r="K16" s="28"/>
    </row>
    <row r="17" spans="2:11" ht="15.75" x14ac:dyDescent="0.25">
      <c r="B17" s="26" t="s">
        <v>24</v>
      </c>
      <c r="C17" s="29"/>
      <c r="D17" s="29"/>
      <c r="E17" s="29"/>
      <c r="F17" s="29"/>
      <c r="G17" s="29"/>
      <c r="H17" s="29"/>
      <c r="I17" s="29"/>
      <c r="J17" s="29"/>
      <c r="K17" s="3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0768A-F9A5-4F6F-A63C-B9408DEE10D6}">
  <dimension ref="A1:G20"/>
  <sheetViews>
    <sheetView workbookViewId="0">
      <selection activeCell="M22" sqref="M22"/>
    </sheetView>
  </sheetViews>
  <sheetFormatPr baseColWidth="10" defaultRowHeight="15" x14ac:dyDescent="0.25"/>
  <cols>
    <col min="2" max="2" width="49" customWidth="1"/>
    <col min="3" max="4" width="15.42578125" bestFit="1" customWidth="1"/>
    <col min="5" max="5" width="29" bestFit="1" customWidth="1"/>
    <col min="6" max="6" width="13.140625" bestFit="1" customWidth="1"/>
    <col min="7" max="7" width="14.140625" bestFit="1" customWidth="1"/>
  </cols>
  <sheetData>
    <row r="1" spans="1:7" ht="15.75" x14ac:dyDescent="0.25">
      <c r="A1" s="2"/>
    </row>
    <row r="3" spans="1:7" ht="18" x14ac:dyDescent="0.25">
      <c r="B3" s="10" t="s">
        <v>25</v>
      </c>
      <c r="C3" s="11"/>
      <c r="D3" s="11"/>
      <c r="E3" s="11"/>
      <c r="F3" s="11"/>
      <c r="G3" s="12"/>
    </row>
    <row r="4" spans="1:7" ht="18" x14ac:dyDescent="0.25">
      <c r="B4" s="13" t="s">
        <v>26</v>
      </c>
      <c r="C4" s="13" t="s">
        <v>27</v>
      </c>
      <c r="D4" s="13" t="s">
        <v>28</v>
      </c>
      <c r="E4" s="13" t="s">
        <v>29</v>
      </c>
      <c r="F4" s="13" t="s">
        <v>27</v>
      </c>
      <c r="G4" s="13" t="s">
        <v>28</v>
      </c>
    </row>
    <row r="5" spans="1:7" ht="15.75" x14ac:dyDescent="0.25">
      <c r="B5" s="14" t="s">
        <v>30</v>
      </c>
      <c r="C5" s="48"/>
      <c r="D5" s="50">
        <f>SUM(D6:D10)</f>
        <v>4600</v>
      </c>
      <c r="E5" s="16" t="s">
        <v>47</v>
      </c>
      <c r="F5" s="48" t="s">
        <v>48</v>
      </c>
      <c r="G5" s="51">
        <v>60000</v>
      </c>
    </row>
    <row r="6" spans="1:7" ht="15.75" x14ac:dyDescent="0.25">
      <c r="B6" s="18" t="s">
        <v>34</v>
      </c>
      <c r="C6" s="7" t="s">
        <v>40</v>
      </c>
      <c r="D6" s="8">
        <v>500</v>
      </c>
      <c r="E6" s="16" t="s">
        <v>74</v>
      </c>
      <c r="F6" s="48" t="s">
        <v>48</v>
      </c>
      <c r="G6" s="51">
        <v>2000</v>
      </c>
    </row>
    <row r="7" spans="1:7" ht="15.75" x14ac:dyDescent="0.25">
      <c r="B7" s="18" t="s">
        <v>31</v>
      </c>
      <c r="C7" s="7" t="s">
        <v>41</v>
      </c>
      <c r="D7" s="8">
        <v>2000</v>
      </c>
      <c r="E7" s="14" t="s">
        <v>71</v>
      </c>
      <c r="F7" s="48" t="s">
        <v>48</v>
      </c>
      <c r="G7" s="82">
        <f>890*12</f>
        <v>10680</v>
      </c>
    </row>
    <row r="8" spans="1:7" ht="15.75" x14ac:dyDescent="0.25">
      <c r="B8" s="18" t="s">
        <v>32</v>
      </c>
      <c r="C8" s="7" t="s">
        <v>40</v>
      </c>
      <c r="D8" s="8">
        <v>1000</v>
      </c>
      <c r="E8" s="14" t="s">
        <v>72</v>
      </c>
      <c r="F8" s="48" t="s">
        <v>48</v>
      </c>
      <c r="G8" s="50">
        <f>500*12</f>
        <v>6000</v>
      </c>
    </row>
    <row r="9" spans="1:7" ht="15.75" x14ac:dyDescent="0.25">
      <c r="B9" s="18" t="s">
        <v>33</v>
      </c>
      <c r="C9" s="7" t="s">
        <v>41</v>
      </c>
      <c r="D9" s="8">
        <v>500</v>
      </c>
      <c r="E9" s="15"/>
      <c r="F9" s="15"/>
      <c r="G9" s="8"/>
    </row>
    <row r="10" spans="1:7" ht="15.75" x14ac:dyDescent="0.25">
      <c r="B10" s="18" t="s">
        <v>35</v>
      </c>
      <c r="C10" s="7" t="s">
        <v>42</v>
      </c>
      <c r="D10" s="8">
        <v>600</v>
      </c>
      <c r="E10" s="15"/>
      <c r="F10" s="15"/>
      <c r="G10" s="8"/>
    </row>
    <row r="11" spans="1:7" ht="15.75" x14ac:dyDescent="0.25">
      <c r="B11" s="16" t="s">
        <v>50</v>
      </c>
      <c r="C11" s="48"/>
      <c r="D11" s="47">
        <f>C12*500</f>
        <v>12000</v>
      </c>
      <c r="E11" s="15"/>
      <c r="F11" s="15"/>
      <c r="G11" s="8"/>
    </row>
    <row r="12" spans="1:7" ht="15.75" x14ac:dyDescent="0.25">
      <c r="B12" s="18" t="s">
        <v>36</v>
      </c>
      <c r="C12" s="7">
        <v>24</v>
      </c>
      <c r="D12" s="8">
        <f>C12*500</f>
        <v>12000</v>
      </c>
      <c r="E12" s="15"/>
      <c r="F12" s="15"/>
      <c r="G12" s="8"/>
    </row>
    <row r="13" spans="1:7" ht="15.75" x14ac:dyDescent="0.25">
      <c r="B13" s="14" t="s">
        <v>51</v>
      </c>
      <c r="C13" s="48"/>
      <c r="D13" s="49">
        <f>SUM(D14:D17)</f>
        <v>46000</v>
      </c>
      <c r="E13" s="15"/>
      <c r="F13" s="15"/>
      <c r="G13" s="8"/>
    </row>
    <row r="14" spans="1:7" ht="15.75" x14ac:dyDescent="0.25">
      <c r="B14" s="18" t="s">
        <v>44</v>
      </c>
      <c r="C14" s="7" t="s">
        <v>43</v>
      </c>
      <c r="D14" s="8">
        <v>20000</v>
      </c>
      <c r="E14" s="15"/>
      <c r="F14" s="15"/>
      <c r="G14" s="8"/>
    </row>
    <row r="15" spans="1:7" ht="15.75" x14ac:dyDescent="0.25">
      <c r="B15" s="18" t="s">
        <v>37</v>
      </c>
      <c r="C15" s="7" t="s">
        <v>43</v>
      </c>
      <c r="D15" s="8">
        <v>10000</v>
      </c>
      <c r="E15" s="15"/>
      <c r="F15" s="15"/>
      <c r="G15" s="8"/>
    </row>
    <row r="16" spans="1:7" ht="15.75" x14ac:dyDescent="0.25">
      <c r="B16" s="18" t="s">
        <v>38</v>
      </c>
      <c r="C16" s="7" t="s">
        <v>45</v>
      </c>
      <c r="D16" s="8">
        <v>5000</v>
      </c>
      <c r="E16" s="15"/>
      <c r="F16" s="15"/>
      <c r="G16" s="8"/>
    </row>
    <row r="17" spans="2:7" ht="15.75" x14ac:dyDescent="0.25">
      <c r="B17" s="18" t="s">
        <v>39</v>
      </c>
      <c r="C17" s="7">
        <v>10</v>
      </c>
      <c r="D17" s="8">
        <f>C17*1100</f>
        <v>11000</v>
      </c>
      <c r="E17" s="15"/>
      <c r="F17" s="15"/>
      <c r="G17" s="8"/>
    </row>
    <row r="18" spans="2:7" ht="15.75" x14ac:dyDescent="0.25">
      <c r="B18" s="19" t="s">
        <v>46</v>
      </c>
      <c r="C18" s="20"/>
      <c r="D18" s="21">
        <f>SUM(D6,D7,D8,D9,D10,D12,D14,D15,D16,D17)</f>
        <v>62600</v>
      </c>
      <c r="E18" s="22" t="s">
        <v>49</v>
      </c>
      <c r="F18" s="20"/>
      <c r="G18" s="21">
        <f>SUM(G5:G8)</f>
        <v>78680</v>
      </c>
    </row>
    <row r="19" spans="2:7" ht="15.75" x14ac:dyDescent="0.25">
      <c r="B19" s="23"/>
      <c r="C19" s="23"/>
      <c r="D19" s="23"/>
      <c r="E19" s="23"/>
      <c r="F19" s="23"/>
      <c r="G19" s="23"/>
    </row>
    <row r="20" spans="2:7" ht="15.75" x14ac:dyDescent="0.25">
      <c r="B20" s="24" t="s">
        <v>52</v>
      </c>
      <c r="C20" s="25">
        <f>SUM(D18,G18)</f>
        <v>141280</v>
      </c>
      <c r="E20" s="23"/>
      <c r="F20" s="23"/>
      <c r="G20" s="23"/>
    </row>
  </sheetData>
  <mergeCells count="1">
    <mergeCell ref="B3:G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F45E9-0D33-4A9E-8554-E65C8CAA0010}">
  <dimension ref="B4:J29"/>
  <sheetViews>
    <sheetView workbookViewId="0">
      <selection activeCell="N25" sqref="N25"/>
    </sheetView>
  </sheetViews>
  <sheetFormatPr baseColWidth="10" defaultRowHeight="15" x14ac:dyDescent="0.25"/>
  <cols>
    <col min="2" max="2" width="46" bestFit="1" customWidth="1"/>
    <col min="3" max="3" width="21.28515625" bestFit="1" customWidth="1"/>
    <col min="4" max="6" width="17.28515625" bestFit="1" customWidth="1"/>
    <col min="7" max="9" width="18.7109375" bestFit="1" customWidth="1"/>
  </cols>
  <sheetData>
    <row r="4" spans="2:10" ht="15.75" x14ac:dyDescent="0.25">
      <c r="B4" s="31" t="s">
        <v>53</v>
      </c>
      <c r="C4" s="32"/>
      <c r="D4" s="32"/>
      <c r="E4" s="32"/>
      <c r="F4" s="32"/>
      <c r="G4" s="32"/>
      <c r="H4" s="32"/>
      <c r="I4" s="33"/>
    </row>
    <row r="5" spans="2:10" ht="15.75" x14ac:dyDescent="0.25">
      <c r="B5" s="34" t="s">
        <v>56</v>
      </c>
      <c r="C5" s="34" t="s">
        <v>27</v>
      </c>
      <c r="D5" s="34" t="s">
        <v>28</v>
      </c>
      <c r="E5" s="34" t="s">
        <v>57</v>
      </c>
      <c r="F5" s="34" t="s">
        <v>58</v>
      </c>
      <c r="G5" s="34" t="s">
        <v>59</v>
      </c>
      <c r="H5" s="34" t="s">
        <v>60</v>
      </c>
      <c r="I5" s="34" t="s">
        <v>61</v>
      </c>
      <c r="J5" s="3"/>
    </row>
    <row r="6" spans="2:10" ht="15.75" x14ac:dyDescent="0.25">
      <c r="B6" s="6" t="s">
        <v>34</v>
      </c>
      <c r="C6" s="7" t="s">
        <v>40</v>
      </c>
      <c r="D6" s="8">
        <v>500</v>
      </c>
      <c r="E6" s="8">
        <v>500</v>
      </c>
      <c r="F6" s="9">
        <f>E6+(E6*0.16)</f>
        <v>580</v>
      </c>
      <c r="G6" s="9">
        <f>F6+(F6*0.16)</f>
        <v>672.8</v>
      </c>
      <c r="H6" s="9">
        <f t="shared" ref="H6:I6" si="0">G6+(G6*0.16)</f>
        <v>780.44799999999998</v>
      </c>
      <c r="I6" s="9">
        <f t="shared" si="0"/>
        <v>905.31967999999995</v>
      </c>
    </row>
    <row r="7" spans="2:10" ht="15.75" x14ac:dyDescent="0.25">
      <c r="B7" s="6" t="s">
        <v>31</v>
      </c>
      <c r="C7" s="7" t="s">
        <v>41</v>
      </c>
      <c r="D7" s="8">
        <v>2000</v>
      </c>
      <c r="E7" s="8">
        <v>2000</v>
      </c>
      <c r="F7" s="9">
        <f t="shared" ref="F7:I10" si="1">E7+(E7*0.16)</f>
        <v>2320</v>
      </c>
      <c r="G7" s="9">
        <f t="shared" si="1"/>
        <v>2691.2</v>
      </c>
      <c r="H7" s="9">
        <f t="shared" si="1"/>
        <v>3121.7919999999999</v>
      </c>
      <c r="I7" s="9">
        <f t="shared" si="1"/>
        <v>3621.2787199999998</v>
      </c>
    </row>
    <row r="8" spans="2:10" ht="15.75" x14ac:dyDescent="0.25">
      <c r="B8" s="6" t="s">
        <v>32</v>
      </c>
      <c r="C8" s="7" t="s">
        <v>40</v>
      </c>
      <c r="D8" s="8">
        <v>1000</v>
      </c>
      <c r="E8" s="8">
        <v>1000</v>
      </c>
      <c r="F8" s="9">
        <f t="shared" si="1"/>
        <v>1160</v>
      </c>
      <c r="G8" s="9">
        <f t="shared" si="1"/>
        <v>1345.6</v>
      </c>
      <c r="H8" s="9">
        <f t="shared" si="1"/>
        <v>1560.896</v>
      </c>
      <c r="I8" s="9">
        <f t="shared" si="1"/>
        <v>1810.6393599999999</v>
      </c>
    </row>
    <row r="9" spans="2:10" ht="15.75" x14ac:dyDescent="0.25">
      <c r="B9" s="6" t="s">
        <v>33</v>
      </c>
      <c r="C9" s="7" t="s">
        <v>41</v>
      </c>
      <c r="D9" s="8">
        <v>500</v>
      </c>
      <c r="E9" s="8">
        <v>500</v>
      </c>
      <c r="F9" s="9">
        <f t="shared" si="1"/>
        <v>580</v>
      </c>
      <c r="G9" s="9">
        <f t="shared" si="1"/>
        <v>672.8</v>
      </c>
      <c r="H9" s="9">
        <f t="shared" si="1"/>
        <v>780.44799999999998</v>
      </c>
      <c r="I9" s="9">
        <f t="shared" si="1"/>
        <v>905.31967999999995</v>
      </c>
    </row>
    <row r="10" spans="2:10" ht="15.75" x14ac:dyDescent="0.25">
      <c r="B10" s="6" t="s">
        <v>35</v>
      </c>
      <c r="C10" s="7" t="s">
        <v>91</v>
      </c>
      <c r="D10" s="8">
        <v>600</v>
      </c>
      <c r="E10" s="8">
        <v>600</v>
      </c>
      <c r="F10" s="9">
        <f t="shared" si="1"/>
        <v>696</v>
      </c>
      <c r="G10" s="9">
        <f t="shared" si="1"/>
        <v>807.36</v>
      </c>
      <c r="H10" s="9">
        <f t="shared" si="1"/>
        <v>936.5376</v>
      </c>
      <c r="I10" s="9">
        <f t="shared" si="1"/>
        <v>1086.3836160000001</v>
      </c>
    </row>
    <row r="11" spans="2:10" ht="15.75" x14ac:dyDescent="0.25">
      <c r="B11" s="43" t="s">
        <v>71</v>
      </c>
      <c r="C11" s="44" t="s">
        <v>66</v>
      </c>
      <c r="D11" s="46">
        <v>890</v>
      </c>
      <c r="E11" s="46">
        <v>890</v>
      </c>
      <c r="F11" s="9">
        <f t="shared" ref="F11:I11" si="2">E11+(E11*0.16)</f>
        <v>1032.4000000000001</v>
      </c>
      <c r="G11" s="9">
        <f t="shared" si="2"/>
        <v>1197.5840000000001</v>
      </c>
      <c r="H11" s="9">
        <f t="shared" si="2"/>
        <v>1389.1974400000001</v>
      </c>
      <c r="I11" s="9">
        <f t="shared" si="2"/>
        <v>1611.4690304000001</v>
      </c>
    </row>
    <row r="12" spans="2:10" ht="15.75" x14ac:dyDescent="0.25">
      <c r="B12" s="43" t="s">
        <v>72</v>
      </c>
      <c r="C12" s="44" t="s">
        <v>48</v>
      </c>
      <c r="D12" s="45">
        <v>500</v>
      </c>
      <c r="E12" s="45">
        <v>500</v>
      </c>
      <c r="F12" s="9">
        <f t="shared" ref="F12:I12" si="3">E12+(E12*0.16)</f>
        <v>580</v>
      </c>
      <c r="G12" s="9">
        <f t="shared" si="3"/>
        <v>672.8</v>
      </c>
      <c r="H12" s="9">
        <f t="shared" si="3"/>
        <v>780.44799999999998</v>
      </c>
      <c r="I12" s="9">
        <f t="shared" si="3"/>
        <v>905.31967999999995</v>
      </c>
    </row>
    <row r="13" spans="2:10" ht="15.75" x14ac:dyDescent="0.25">
      <c r="B13" s="36" t="s">
        <v>62</v>
      </c>
      <c r="C13" s="36"/>
      <c r="D13" s="37"/>
      <c r="E13" s="37">
        <f>SUM(E6:E12)</f>
        <v>5990</v>
      </c>
      <c r="F13" s="37">
        <f t="shared" ref="F13:I13" si="4">SUM(F6:F12)</f>
        <v>6948.4</v>
      </c>
      <c r="G13" s="37">
        <f t="shared" si="4"/>
        <v>8060.1440000000002</v>
      </c>
      <c r="H13" s="37">
        <f t="shared" si="4"/>
        <v>9349.7670400000006</v>
      </c>
      <c r="I13" s="37">
        <f t="shared" si="4"/>
        <v>10845.7297664</v>
      </c>
    </row>
    <row r="16" spans="2:10" ht="15.75" x14ac:dyDescent="0.25">
      <c r="B16" s="39" t="s">
        <v>54</v>
      </c>
      <c r="C16" s="40"/>
      <c r="D16" s="40"/>
      <c r="E16" s="40"/>
      <c r="F16" s="40"/>
      <c r="G16" s="40"/>
      <c r="H16" s="40"/>
      <c r="I16" s="41"/>
    </row>
    <row r="17" spans="2:9" ht="15.75" x14ac:dyDescent="0.25">
      <c r="B17" s="42" t="s">
        <v>56</v>
      </c>
      <c r="C17" s="42" t="s">
        <v>27</v>
      </c>
      <c r="D17" s="42" t="s">
        <v>28</v>
      </c>
      <c r="E17" s="42" t="s">
        <v>57</v>
      </c>
      <c r="F17" s="42" t="s">
        <v>58</v>
      </c>
      <c r="G17" s="42" t="s">
        <v>59</v>
      </c>
      <c r="H17" s="42" t="s">
        <v>60</v>
      </c>
      <c r="I17" s="42" t="s">
        <v>61</v>
      </c>
    </row>
    <row r="18" spans="2:9" ht="15.75" x14ac:dyDescent="0.25">
      <c r="B18" s="15" t="s">
        <v>63</v>
      </c>
      <c r="C18" s="7" t="s">
        <v>66</v>
      </c>
      <c r="D18" s="17">
        <v>500</v>
      </c>
      <c r="E18" s="9">
        <f>D18*12</f>
        <v>6000</v>
      </c>
      <c r="F18" s="9">
        <f>E18+(E18*0.16)</f>
        <v>6960</v>
      </c>
      <c r="G18" s="9">
        <f t="shared" ref="G18:I18" si="5">F18+(F18*0.16)</f>
        <v>8073.6</v>
      </c>
      <c r="H18" s="9">
        <f t="shared" si="5"/>
        <v>9365.3760000000002</v>
      </c>
      <c r="I18" s="9">
        <f t="shared" si="5"/>
        <v>10863.836160000001</v>
      </c>
    </row>
    <row r="19" spans="2:9" ht="15.75" x14ac:dyDescent="0.25">
      <c r="B19" s="15" t="s">
        <v>65</v>
      </c>
      <c r="C19" s="7" t="s">
        <v>66</v>
      </c>
      <c r="D19" s="17">
        <v>500</v>
      </c>
      <c r="E19" s="9">
        <f t="shared" ref="E19:E20" si="6">D19*12</f>
        <v>6000</v>
      </c>
      <c r="F19" s="9">
        <f t="shared" ref="F19:I20" si="7">E19+(E19*0.16)</f>
        <v>6960</v>
      </c>
      <c r="G19" s="9">
        <f t="shared" si="7"/>
        <v>8073.6</v>
      </c>
      <c r="H19" s="9">
        <f t="shared" si="7"/>
        <v>9365.3760000000002</v>
      </c>
      <c r="I19" s="9">
        <f t="shared" si="7"/>
        <v>10863.836160000001</v>
      </c>
    </row>
    <row r="20" spans="2:9" ht="15.75" x14ac:dyDescent="0.25">
      <c r="B20" s="15" t="s">
        <v>64</v>
      </c>
      <c r="C20" s="7" t="s">
        <v>66</v>
      </c>
      <c r="D20" s="17">
        <v>750</v>
      </c>
      <c r="E20" s="9">
        <f t="shared" si="6"/>
        <v>9000</v>
      </c>
      <c r="F20" s="9">
        <f t="shared" si="7"/>
        <v>10440</v>
      </c>
      <c r="G20" s="9">
        <f t="shared" si="7"/>
        <v>12110.4</v>
      </c>
      <c r="H20" s="9">
        <f t="shared" si="7"/>
        <v>14048.064</v>
      </c>
      <c r="I20" s="9">
        <f t="shared" si="7"/>
        <v>16295.75424</v>
      </c>
    </row>
    <row r="21" spans="2:9" ht="15.75" x14ac:dyDescent="0.25">
      <c r="B21" s="36" t="s">
        <v>67</v>
      </c>
      <c r="C21" s="38"/>
      <c r="D21" s="38"/>
      <c r="E21" s="37">
        <f>SUM(E18:E20)</f>
        <v>21000</v>
      </c>
      <c r="F21" s="37">
        <f t="shared" ref="F21:I21" si="8">SUM(F18:F20)</f>
        <v>24360</v>
      </c>
      <c r="G21" s="37">
        <f t="shared" si="8"/>
        <v>28257.599999999999</v>
      </c>
      <c r="H21" s="37">
        <f t="shared" si="8"/>
        <v>32778.815999999999</v>
      </c>
      <c r="I21" s="37">
        <f t="shared" si="8"/>
        <v>38023.42656</v>
      </c>
    </row>
    <row r="24" spans="2:9" ht="15.75" x14ac:dyDescent="0.25">
      <c r="B24" s="39" t="s">
        <v>55</v>
      </c>
      <c r="C24" s="40"/>
      <c r="D24" s="40"/>
      <c r="E24" s="40"/>
      <c r="F24" s="40"/>
      <c r="G24" s="40"/>
      <c r="H24" s="40"/>
      <c r="I24" s="41"/>
    </row>
    <row r="25" spans="2:9" ht="15.75" x14ac:dyDescent="0.25">
      <c r="B25" s="42" t="s">
        <v>56</v>
      </c>
      <c r="C25" s="42" t="s">
        <v>68</v>
      </c>
      <c r="D25" s="42" t="s">
        <v>28</v>
      </c>
      <c r="E25" s="42" t="s">
        <v>57</v>
      </c>
      <c r="F25" s="42" t="s">
        <v>58</v>
      </c>
      <c r="G25" s="42" t="s">
        <v>59</v>
      </c>
      <c r="H25" s="42" t="s">
        <v>60</v>
      </c>
      <c r="I25" s="42" t="s">
        <v>61</v>
      </c>
    </row>
    <row r="26" spans="2:9" ht="15.75" x14ac:dyDescent="0.25">
      <c r="B26" s="15" t="s">
        <v>69</v>
      </c>
      <c r="C26" s="7" t="s">
        <v>66</v>
      </c>
      <c r="D26" s="17">
        <v>8000</v>
      </c>
      <c r="E26" s="9">
        <f>D26*12</f>
        <v>96000</v>
      </c>
      <c r="F26" s="9">
        <f t="shared" ref="F26:I26" si="9">E26+(E26*0.16)</f>
        <v>111360</v>
      </c>
      <c r="G26" s="9">
        <f t="shared" si="9"/>
        <v>129177.60000000001</v>
      </c>
      <c r="H26" s="9">
        <f t="shared" si="9"/>
        <v>149846.016</v>
      </c>
      <c r="I26" s="9">
        <f t="shared" si="9"/>
        <v>173821.37856000001</v>
      </c>
    </row>
    <row r="27" spans="2:9" ht="15.75" x14ac:dyDescent="0.25">
      <c r="B27" s="15" t="s">
        <v>70</v>
      </c>
      <c r="C27" s="7" t="s">
        <v>48</v>
      </c>
      <c r="D27" s="17">
        <v>60000</v>
      </c>
      <c r="E27" s="17">
        <v>60000</v>
      </c>
      <c r="F27" s="9">
        <f t="shared" ref="E27:I28" si="10">E27+(E27*0.16)</f>
        <v>69600</v>
      </c>
      <c r="G27" s="9">
        <f t="shared" si="10"/>
        <v>80736</v>
      </c>
      <c r="H27" s="9">
        <f t="shared" si="10"/>
        <v>93653.759999999995</v>
      </c>
      <c r="I27" s="9">
        <f t="shared" si="10"/>
        <v>108638.36159999999</v>
      </c>
    </row>
    <row r="28" spans="2:9" ht="15.75" x14ac:dyDescent="0.25">
      <c r="B28" s="15" t="s">
        <v>73</v>
      </c>
      <c r="C28" s="7" t="s">
        <v>48</v>
      </c>
      <c r="D28" s="17">
        <v>2000</v>
      </c>
      <c r="E28" s="17">
        <v>2000</v>
      </c>
      <c r="F28" s="9">
        <f t="shared" si="10"/>
        <v>2320</v>
      </c>
      <c r="G28" s="9">
        <f t="shared" si="10"/>
        <v>2691.2</v>
      </c>
      <c r="H28" s="9">
        <f t="shared" si="10"/>
        <v>3121.7919999999999</v>
      </c>
      <c r="I28" s="9">
        <f t="shared" si="10"/>
        <v>3621.2787199999998</v>
      </c>
    </row>
    <row r="29" spans="2:9" ht="15.75" x14ac:dyDescent="0.25">
      <c r="B29" s="36" t="s">
        <v>75</v>
      </c>
      <c r="C29" s="38"/>
      <c r="D29" s="38"/>
      <c r="E29" s="37">
        <f>SUM(E26:E28)</f>
        <v>158000</v>
      </c>
      <c r="F29" s="37">
        <f t="shared" ref="F29:I29" si="11">SUM(F26:F28)</f>
        <v>183280</v>
      </c>
      <c r="G29" s="37">
        <f t="shared" si="11"/>
        <v>212604.80000000002</v>
      </c>
      <c r="H29" s="37">
        <f t="shared" si="11"/>
        <v>246621.568</v>
      </c>
      <c r="I29" s="37">
        <f t="shared" si="11"/>
        <v>286081.01887999999</v>
      </c>
    </row>
  </sheetData>
  <mergeCells count="3">
    <mergeCell ref="B4:I4"/>
    <mergeCell ref="B16:I16"/>
    <mergeCell ref="B24:I2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B5E3D-5021-4803-970D-D1D90D8CECBE}">
  <dimension ref="A1:J9"/>
  <sheetViews>
    <sheetView workbookViewId="0">
      <selection activeCell="E20" sqref="E20"/>
    </sheetView>
  </sheetViews>
  <sheetFormatPr baseColWidth="10" defaultRowHeight="15" x14ac:dyDescent="0.25"/>
  <cols>
    <col min="2" max="2" width="42.140625" bestFit="1" customWidth="1"/>
    <col min="3" max="3" width="26.42578125" bestFit="1" customWidth="1"/>
    <col min="4" max="4" width="14.42578125" bestFit="1" customWidth="1"/>
    <col min="5" max="9" width="14.140625" bestFit="1" customWidth="1"/>
    <col min="10" max="10" width="23.7109375" bestFit="1" customWidth="1"/>
  </cols>
  <sheetData>
    <row r="1" spans="1:10" x14ac:dyDescent="0.25">
      <c r="A1" t="s">
        <v>0</v>
      </c>
    </row>
    <row r="4" spans="1:10" ht="15.75" x14ac:dyDescent="0.25">
      <c r="B4" s="59" t="s">
        <v>76</v>
      </c>
      <c r="C4" s="60"/>
      <c r="D4" s="60"/>
      <c r="E4" s="60"/>
      <c r="F4" s="60"/>
      <c r="G4" s="60"/>
      <c r="H4" s="60"/>
      <c r="I4" s="60"/>
      <c r="J4" s="61"/>
    </row>
    <row r="5" spans="1:10" ht="15.75" x14ac:dyDescent="0.25">
      <c r="B5" s="62" t="s">
        <v>77</v>
      </c>
      <c r="C5" s="62" t="s">
        <v>28</v>
      </c>
      <c r="D5" s="62" t="s">
        <v>78</v>
      </c>
      <c r="E5" s="62" t="s">
        <v>57</v>
      </c>
      <c r="F5" s="62" t="s">
        <v>58</v>
      </c>
      <c r="G5" s="62" t="s">
        <v>59</v>
      </c>
      <c r="H5" s="62" t="s">
        <v>60</v>
      </c>
      <c r="I5" s="62" t="s">
        <v>61</v>
      </c>
      <c r="J5" s="63" t="s">
        <v>79</v>
      </c>
    </row>
    <row r="6" spans="1:10" ht="15.75" x14ac:dyDescent="0.25">
      <c r="B6" s="55" t="s">
        <v>30</v>
      </c>
      <c r="C6" s="56">
        <v>4600</v>
      </c>
      <c r="D6" s="53">
        <v>0.1</v>
      </c>
      <c r="E6" s="54">
        <f>C6-(C6*0.16)</f>
        <v>3864</v>
      </c>
      <c r="F6" s="54">
        <f>E6-(E6*0.16)</f>
        <v>3245.76</v>
      </c>
      <c r="G6" s="54">
        <f t="shared" ref="G6:I6" si="0">F6-(F6*0.16)</f>
        <v>2726.4384</v>
      </c>
      <c r="H6" s="54">
        <f t="shared" si="0"/>
        <v>2290.2082559999999</v>
      </c>
      <c r="I6" s="54">
        <f t="shared" si="0"/>
        <v>1923.7749350399999</v>
      </c>
      <c r="J6" s="54">
        <f>I6</f>
        <v>1923.7749350399999</v>
      </c>
    </row>
    <row r="7" spans="1:10" ht="15.75" x14ac:dyDescent="0.25">
      <c r="B7" s="55" t="s">
        <v>50</v>
      </c>
      <c r="C7" s="56">
        <v>12000</v>
      </c>
      <c r="D7" s="53">
        <v>0.1</v>
      </c>
      <c r="E7" s="54">
        <f t="shared" ref="E7:E8" si="1">C7-(C7*0.16)</f>
        <v>10080</v>
      </c>
      <c r="F7" s="54">
        <f t="shared" ref="F7:I7" si="2">E7-(E7*0.16)</f>
        <v>8467.2000000000007</v>
      </c>
      <c r="G7" s="54">
        <f t="shared" si="2"/>
        <v>7112.4480000000003</v>
      </c>
      <c r="H7" s="54">
        <f t="shared" si="2"/>
        <v>5974.4563200000002</v>
      </c>
      <c r="I7" s="54">
        <f t="shared" si="2"/>
        <v>5018.5433088</v>
      </c>
      <c r="J7" s="54">
        <f t="shared" ref="J7:J8" si="3">I7</f>
        <v>5018.5433088</v>
      </c>
    </row>
    <row r="8" spans="1:10" ht="15.75" x14ac:dyDescent="0.25">
      <c r="B8" s="55" t="s">
        <v>51</v>
      </c>
      <c r="C8" s="58">
        <v>46000</v>
      </c>
      <c r="D8" s="53">
        <v>0.1</v>
      </c>
      <c r="E8" s="54">
        <f t="shared" si="1"/>
        <v>38640</v>
      </c>
      <c r="F8" s="54">
        <f t="shared" ref="F8:I8" si="4">E8-(E8*0.16)</f>
        <v>32457.599999999999</v>
      </c>
      <c r="G8" s="54">
        <f t="shared" si="4"/>
        <v>27264.383999999998</v>
      </c>
      <c r="H8" s="54">
        <f t="shared" si="4"/>
        <v>22902.082559999999</v>
      </c>
      <c r="I8" s="54">
        <f t="shared" si="4"/>
        <v>19237.749350399998</v>
      </c>
      <c r="J8" s="54">
        <f t="shared" si="3"/>
        <v>19237.749350399998</v>
      </c>
    </row>
    <row r="9" spans="1:10" ht="15.75" x14ac:dyDescent="0.25">
      <c r="B9" s="64" t="s">
        <v>80</v>
      </c>
      <c r="C9" s="65">
        <f>SUM(C6:C8)</f>
        <v>62600</v>
      </c>
      <c r="D9" s="66"/>
      <c r="E9" s="65">
        <f>SUM(E6:E8)</f>
        <v>52584</v>
      </c>
      <c r="F9" s="65">
        <f t="shared" ref="F9:J9" si="5">SUM(F6:F8)</f>
        <v>44170.559999999998</v>
      </c>
      <c r="G9" s="65">
        <f t="shared" si="5"/>
        <v>37103.270399999994</v>
      </c>
      <c r="H9" s="65">
        <f t="shared" si="5"/>
        <v>31166.747135999998</v>
      </c>
      <c r="I9" s="65">
        <f t="shared" si="5"/>
        <v>26180.067594239998</v>
      </c>
      <c r="J9" s="65">
        <f t="shared" si="5"/>
        <v>26180.067594239998</v>
      </c>
    </row>
  </sheetData>
  <mergeCells count="1">
    <mergeCell ref="B4:J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589A9-F45B-4D0D-9175-AC531A9EE75B}">
  <dimension ref="B4:E14"/>
  <sheetViews>
    <sheetView workbookViewId="0">
      <selection activeCell="H20" sqref="H20"/>
    </sheetView>
  </sheetViews>
  <sheetFormatPr baseColWidth="10" defaultRowHeight="15" x14ac:dyDescent="0.25"/>
  <cols>
    <col min="2" max="2" width="48.140625" bestFit="1" customWidth="1"/>
    <col min="3" max="3" width="17" bestFit="1" customWidth="1"/>
    <col min="4" max="4" width="26.85546875" bestFit="1" customWidth="1"/>
    <col min="5" max="5" width="14.140625" bestFit="1" customWidth="1"/>
  </cols>
  <sheetData>
    <row r="4" spans="2:5" ht="15.75" x14ac:dyDescent="0.25">
      <c r="B4" s="67" t="s">
        <v>81</v>
      </c>
      <c r="C4" s="68"/>
      <c r="D4" s="68"/>
      <c r="E4" s="69"/>
    </row>
    <row r="5" spans="2:5" ht="15.75" x14ac:dyDescent="0.25">
      <c r="B5" s="64" t="s">
        <v>82</v>
      </c>
      <c r="C5" s="70" t="s">
        <v>28</v>
      </c>
      <c r="D5" s="64" t="s">
        <v>83</v>
      </c>
      <c r="E5" s="70" t="s">
        <v>28</v>
      </c>
    </row>
    <row r="6" spans="2:5" ht="15.75" x14ac:dyDescent="0.25">
      <c r="B6" s="15" t="s">
        <v>84</v>
      </c>
      <c r="C6" s="8">
        <f>'Estado de resultados'!C5</f>
        <v>310800</v>
      </c>
      <c r="D6" s="15" t="s">
        <v>88</v>
      </c>
      <c r="E6" s="8">
        <v>4600</v>
      </c>
    </row>
    <row r="7" spans="2:5" ht="15.75" x14ac:dyDescent="0.25">
      <c r="B7" s="15" t="s">
        <v>85</v>
      </c>
      <c r="C7" s="8">
        <v>6500</v>
      </c>
      <c r="D7" s="15" t="s">
        <v>89</v>
      </c>
      <c r="E7" s="8">
        <v>5000</v>
      </c>
    </row>
    <row r="8" spans="2:5" ht="15.75" x14ac:dyDescent="0.25">
      <c r="B8" s="15" t="s">
        <v>86</v>
      </c>
      <c r="C8" s="8">
        <v>2200</v>
      </c>
      <c r="D8" s="15" t="s">
        <v>71</v>
      </c>
      <c r="E8" s="8">
        <v>890</v>
      </c>
    </row>
    <row r="9" spans="2:5" ht="15.75" x14ac:dyDescent="0.25">
      <c r="B9" s="15" t="s">
        <v>87</v>
      </c>
      <c r="C9" s="8">
        <v>13600</v>
      </c>
      <c r="D9" s="15" t="s">
        <v>72</v>
      </c>
      <c r="E9" s="8">
        <v>500</v>
      </c>
    </row>
    <row r="10" spans="2:5" ht="15.75" x14ac:dyDescent="0.25">
      <c r="B10" s="36" t="s">
        <v>80</v>
      </c>
      <c r="C10" s="37">
        <f>SUM(C6:C9)</f>
        <v>333100</v>
      </c>
      <c r="D10" s="38"/>
      <c r="E10" s="37">
        <f>SUM(E6:E9)</f>
        <v>10990</v>
      </c>
    </row>
    <row r="11" spans="2:5" ht="15.75" x14ac:dyDescent="0.25">
      <c r="B11" s="23"/>
      <c r="C11" s="23"/>
      <c r="D11" s="23"/>
      <c r="E11" s="23"/>
    </row>
    <row r="12" spans="2:5" ht="15.75" x14ac:dyDescent="0.25">
      <c r="B12" s="36" t="s">
        <v>81</v>
      </c>
      <c r="C12" s="37">
        <f>C10-E10</f>
        <v>322110</v>
      </c>
      <c r="D12" s="23"/>
      <c r="E12" s="23"/>
    </row>
    <row r="13" spans="2:5" ht="15.75" x14ac:dyDescent="0.25">
      <c r="B13" s="36" t="s">
        <v>90</v>
      </c>
      <c r="C13" s="37">
        <f>C10-E10</f>
        <v>322110</v>
      </c>
      <c r="D13" s="23"/>
      <c r="E13" s="23"/>
    </row>
    <row r="14" spans="2:5" ht="15.75" x14ac:dyDescent="0.25">
      <c r="B14" s="23"/>
      <c r="C14" s="23"/>
      <c r="D14" s="23"/>
      <c r="E14" s="23"/>
    </row>
  </sheetData>
  <mergeCells count="1">
    <mergeCell ref="B4:E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65661-21F5-413A-A9F0-AD4CD076C486}">
  <dimension ref="A2:N26"/>
  <sheetViews>
    <sheetView topLeftCell="B1" workbookViewId="0">
      <selection activeCell="J12" sqref="J12"/>
    </sheetView>
  </sheetViews>
  <sheetFormatPr baseColWidth="10" defaultRowHeight="15" x14ac:dyDescent="0.25"/>
  <cols>
    <col min="2" max="2" width="50.85546875" bestFit="1" customWidth="1"/>
    <col min="3" max="7" width="18.7109375" bestFit="1" customWidth="1"/>
    <col min="11" max="11" width="16.5703125" bestFit="1" customWidth="1"/>
    <col min="12" max="12" width="17.85546875" bestFit="1" customWidth="1"/>
    <col min="13" max="13" width="14" bestFit="1" customWidth="1"/>
    <col min="14" max="14" width="69.85546875" bestFit="1" customWidth="1"/>
  </cols>
  <sheetData>
    <row r="2" spans="1:14" ht="18.75" thickBot="1" x14ac:dyDescent="0.4">
      <c r="K2" s="77" t="s">
        <v>100</v>
      </c>
      <c r="L2" s="77"/>
      <c r="M2" s="77"/>
      <c r="N2" s="77"/>
    </row>
    <row r="3" spans="1:14" ht="22.5" customHeight="1" thickTop="1" thickBot="1" x14ac:dyDescent="0.3">
      <c r="B3" s="59" t="s">
        <v>92</v>
      </c>
      <c r="C3" s="60"/>
      <c r="D3" s="60"/>
      <c r="E3" s="60"/>
      <c r="F3" s="60"/>
      <c r="G3" s="61"/>
      <c r="K3" s="74" t="s">
        <v>107</v>
      </c>
      <c r="L3" s="74" t="s">
        <v>108</v>
      </c>
      <c r="M3" s="74" t="s">
        <v>109</v>
      </c>
      <c r="N3" s="74" t="s">
        <v>110</v>
      </c>
    </row>
    <row r="4" spans="1:14" ht="19.5" thickTop="1" thickBot="1" x14ac:dyDescent="0.3">
      <c r="B4" s="80"/>
      <c r="C4" s="80" t="s">
        <v>57</v>
      </c>
      <c r="D4" s="80" t="s">
        <v>58</v>
      </c>
      <c r="E4" s="80" t="s">
        <v>59</v>
      </c>
      <c r="F4" s="80" t="s">
        <v>60</v>
      </c>
      <c r="G4" s="80" t="s">
        <v>61</v>
      </c>
      <c r="K4" s="78">
        <v>0.01</v>
      </c>
      <c r="L4" s="78">
        <v>644.58000000000004</v>
      </c>
      <c r="M4" s="78">
        <v>0</v>
      </c>
      <c r="N4" s="75">
        <v>1.9199999999999998E-2</v>
      </c>
    </row>
    <row r="5" spans="1:14" ht="19.5" thickTop="1" thickBot="1" x14ac:dyDescent="0.3">
      <c r="B5" s="80" t="s">
        <v>93</v>
      </c>
      <c r="C5" s="84">
        <f>(B24*12)*B26</f>
        <v>310800</v>
      </c>
      <c r="D5" s="84">
        <f>(C24*12)*C26</f>
        <v>352800</v>
      </c>
      <c r="E5" s="84">
        <f>(D24*12)*D26</f>
        <v>394800</v>
      </c>
      <c r="F5" s="84">
        <f>(E24*12)*E26</f>
        <v>436800</v>
      </c>
      <c r="G5" s="84">
        <f>(F24*12)*F26</f>
        <v>478800</v>
      </c>
      <c r="K5" s="78">
        <v>644.59</v>
      </c>
      <c r="L5" s="78">
        <v>5470.92</v>
      </c>
      <c r="M5" s="78">
        <v>12.38</v>
      </c>
      <c r="N5" s="75">
        <v>6.4000000000000001E-2</v>
      </c>
    </row>
    <row r="6" spans="1:14" ht="19.5" thickTop="1" thickBot="1" x14ac:dyDescent="0.3">
      <c r="A6" s="4" t="s">
        <v>98</v>
      </c>
      <c r="B6" s="80" t="s">
        <v>53</v>
      </c>
      <c r="C6" s="81">
        <f>'Determinación de costos'!E13</f>
        <v>5990</v>
      </c>
      <c r="D6" s="81">
        <f>'Determinación de costos'!F13</f>
        <v>6948.4</v>
      </c>
      <c r="E6" s="81">
        <f>'Determinación de costos'!G13</f>
        <v>8060.1440000000002</v>
      </c>
      <c r="F6" s="81">
        <f>'Determinación de costos'!H13</f>
        <v>9349.7670400000006</v>
      </c>
      <c r="G6" s="81">
        <f>'Determinación de costos'!I13</f>
        <v>10845.7297664</v>
      </c>
      <c r="K6" s="78">
        <v>5470.93</v>
      </c>
      <c r="L6" s="78">
        <v>9614.66</v>
      </c>
      <c r="M6" s="78">
        <v>321.26</v>
      </c>
      <c r="N6" s="75">
        <v>0.10879999999999999</v>
      </c>
    </row>
    <row r="7" spans="1:14" ht="19.5" thickTop="1" thickBot="1" x14ac:dyDescent="0.3">
      <c r="A7" s="4"/>
      <c r="B7" s="5"/>
      <c r="C7" s="17"/>
      <c r="D7" s="17"/>
      <c r="E7" s="17"/>
      <c r="F7" s="17"/>
      <c r="G7" s="17"/>
      <c r="K7" s="78">
        <v>9614.67</v>
      </c>
      <c r="L7" s="78">
        <v>11176.62</v>
      </c>
      <c r="M7" s="78">
        <v>772.1</v>
      </c>
      <c r="N7" s="75">
        <v>0.16</v>
      </c>
    </row>
    <row r="8" spans="1:14" ht="19.5" thickTop="1" thickBot="1" x14ac:dyDescent="0.3">
      <c r="A8" s="4"/>
      <c r="B8" s="42" t="s">
        <v>94</v>
      </c>
      <c r="C8" s="83">
        <f>C5-C6</f>
        <v>304810</v>
      </c>
      <c r="D8" s="83">
        <f t="shared" ref="D8:G8" si="0">D5-D6</f>
        <v>345851.6</v>
      </c>
      <c r="E8" s="83">
        <f t="shared" si="0"/>
        <v>386739.85600000003</v>
      </c>
      <c r="F8" s="83">
        <f t="shared" si="0"/>
        <v>427450.23295999999</v>
      </c>
      <c r="G8" s="83">
        <f t="shared" si="0"/>
        <v>467954.27023359999</v>
      </c>
      <c r="K8" s="78">
        <v>11176.63</v>
      </c>
      <c r="L8" s="78">
        <v>13381.47</v>
      </c>
      <c r="M8" s="78">
        <v>1022.01</v>
      </c>
      <c r="N8" s="75">
        <v>0.1792</v>
      </c>
    </row>
    <row r="9" spans="1:14" ht="19.5" thickTop="1" thickBot="1" x14ac:dyDescent="0.3">
      <c r="A9" s="4" t="s">
        <v>98</v>
      </c>
      <c r="B9" s="80" t="s">
        <v>95</v>
      </c>
      <c r="C9" s="81">
        <f>'Determinación de costos'!E29</f>
        <v>158000</v>
      </c>
      <c r="D9" s="81">
        <f>'Determinación de costos'!F29</f>
        <v>183280</v>
      </c>
      <c r="E9" s="81">
        <f>'Determinación de costos'!G29</f>
        <v>212604.80000000002</v>
      </c>
      <c r="F9" s="81">
        <f>'Determinación de costos'!H29</f>
        <v>246621.568</v>
      </c>
      <c r="G9" s="81">
        <f>'Determinación de costos'!I29</f>
        <v>286081.01887999999</v>
      </c>
      <c r="K9" s="78">
        <v>13381.48</v>
      </c>
      <c r="L9" s="78">
        <v>26988.5</v>
      </c>
      <c r="M9" s="78">
        <v>1417.12</v>
      </c>
      <c r="N9" s="75">
        <v>0.21360000000000001</v>
      </c>
    </row>
    <row r="10" spans="1:14" ht="19.5" thickTop="1" thickBot="1" x14ac:dyDescent="0.3">
      <c r="A10" s="4" t="s">
        <v>98</v>
      </c>
      <c r="B10" s="80" t="s">
        <v>54</v>
      </c>
      <c r="C10" s="81">
        <f>'Determinación de costos'!E21</f>
        <v>21000</v>
      </c>
      <c r="D10" s="81">
        <f>'Determinación de costos'!F21</f>
        <v>24360</v>
      </c>
      <c r="E10" s="81">
        <f>'Determinación de costos'!G21</f>
        <v>28257.599999999999</v>
      </c>
      <c r="F10" s="81">
        <f>'Determinación de costos'!H21</f>
        <v>32778.815999999999</v>
      </c>
      <c r="G10" s="81">
        <f>'Determinación de costos'!I21</f>
        <v>38023.42656</v>
      </c>
      <c r="K10" s="78">
        <v>26988.51</v>
      </c>
      <c r="L10" s="78">
        <v>42537.58</v>
      </c>
      <c r="M10" s="78">
        <v>4323.58</v>
      </c>
      <c r="N10" s="75">
        <v>0.23519999999999999</v>
      </c>
    </row>
    <row r="11" spans="1:14" ht="19.5" thickTop="1" thickBot="1" x14ac:dyDescent="0.3">
      <c r="A11" s="4" t="s">
        <v>98</v>
      </c>
      <c r="B11" s="80" t="s">
        <v>96</v>
      </c>
      <c r="C11" s="81"/>
      <c r="D11" s="81"/>
      <c r="E11" s="81"/>
      <c r="F11" s="81"/>
      <c r="G11" s="81"/>
      <c r="K11" s="79" t="s">
        <v>111</v>
      </c>
      <c r="L11" s="78">
        <v>81211.25</v>
      </c>
      <c r="M11" s="78">
        <v>7980.73</v>
      </c>
      <c r="N11" s="75">
        <v>0.3</v>
      </c>
    </row>
    <row r="12" spans="1:14" ht="19.5" thickTop="1" thickBot="1" x14ac:dyDescent="0.3">
      <c r="A12" s="4"/>
      <c r="B12" s="5"/>
      <c r="C12" s="17"/>
      <c r="D12" s="17"/>
      <c r="E12" s="17"/>
      <c r="F12" s="17"/>
      <c r="G12" s="17"/>
      <c r="K12" s="78">
        <v>81211.259999999995</v>
      </c>
      <c r="L12" s="78">
        <v>108281.67</v>
      </c>
      <c r="M12" s="78">
        <v>19582.830000000002</v>
      </c>
      <c r="N12" s="75">
        <v>0.32</v>
      </c>
    </row>
    <row r="13" spans="1:14" ht="19.5" thickTop="1" thickBot="1" x14ac:dyDescent="0.3">
      <c r="A13" s="4"/>
      <c r="B13" s="42" t="s">
        <v>97</v>
      </c>
      <c r="C13" s="83">
        <f>C8-C9-C10-C11</f>
        <v>125810</v>
      </c>
      <c r="D13" s="83">
        <f t="shared" ref="D13:G13" si="1">D8-D9-D10-D11</f>
        <v>138211.59999999998</v>
      </c>
      <c r="E13" s="83">
        <f t="shared" si="1"/>
        <v>145877.45600000001</v>
      </c>
      <c r="F13" s="83">
        <f t="shared" si="1"/>
        <v>148049.84896</v>
      </c>
      <c r="G13" s="83">
        <f t="shared" si="1"/>
        <v>143849.82479360001</v>
      </c>
      <c r="K13" s="78">
        <v>108281.68</v>
      </c>
      <c r="L13" s="78">
        <v>324845.01</v>
      </c>
      <c r="M13" s="78">
        <v>28245.360000000001</v>
      </c>
      <c r="N13" s="75">
        <v>0.34</v>
      </c>
    </row>
    <row r="14" spans="1:14" ht="19.5" thickTop="1" thickBot="1" x14ac:dyDescent="0.3">
      <c r="A14" s="4" t="s">
        <v>98</v>
      </c>
      <c r="B14" s="80" t="s">
        <v>99</v>
      </c>
      <c r="C14" s="81">
        <f>(C5*0.03)</f>
        <v>9324</v>
      </c>
      <c r="D14" s="81">
        <f t="shared" ref="D14:G14" si="2">(D5*0.03)</f>
        <v>10584</v>
      </c>
      <c r="E14" s="81">
        <f t="shared" si="2"/>
        <v>11844</v>
      </c>
      <c r="F14" s="81">
        <f t="shared" si="2"/>
        <v>13104</v>
      </c>
      <c r="G14" s="81">
        <f t="shared" si="2"/>
        <v>14364</v>
      </c>
      <c r="K14" s="78">
        <v>324845.02</v>
      </c>
      <c r="L14" s="79" t="s">
        <v>112</v>
      </c>
      <c r="M14" s="78">
        <v>101876.9</v>
      </c>
      <c r="N14" s="76" t="s">
        <v>113</v>
      </c>
    </row>
    <row r="15" spans="1:14" ht="16.5" thickTop="1" x14ac:dyDescent="0.25">
      <c r="A15" s="4" t="s">
        <v>98</v>
      </c>
      <c r="B15" s="80" t="s">
        <v>100</v>
      </c>
      <c r="C15" s="81">
        <f>((C5-K13)*0.34)+M13</f>
        <v>97101.588800000012</v>
      </c>
      <c r="D15" s="81">
        <f>((D5-K13)*0.34)+M13</f>
        <v>111381.58880000001</v>
      </c>
      <c r="E15" s="81">
        <f>((E5-K13)*0.34)+M13</f>
        <v>125661.58880000001</v>
      </c>
      <c r="F15" s="81">
        <f>((F5-K13)*0.34)+M13</f>
        <v>139941.58880000003</v>
      </c>
      <c r="G15" s="81">
        <f>((G5-K13)*0.34)+M13</f>
        <v>154221.58880000003</v>
      </c>
    </row>
    <row r="16" spans="1:14" ht="15.75" x14ac:dyDescent="0.25">
      <c r="A16" s="4"/>
      <c r="B16" s="5"/>
      <c r="C16" s="17"/>
      <c r="D16" s="17"/>
      <c r="E16" s="17"/>
      <c r="F16" s="17"/>
      <c r="G16" s="17"/>
    </row>
    <row r="17" spans="1:10" ht="15.75" x14ac:dyDescent="0.25">
      <c r="A17" s="4"/>
      <c r="B17" s="42" t="s">
        <v>101</v>
      </c>
      <c r="C17" s="83">
        <f>C13-C14-C15</f>
        <v>19384.411199999988</v>
      </c>
      <c r="D17" s="83">
        <f t="shared" ref="D17:G17" si="3">D13-D14-D15</f>
        <v>16246.011199999964</v>
      </c>
      <c r="E17" s="83">
        <f t="shared" si="3"/>
        <v>8371.8671999999933</v>
      </c>
      <c r="F17" s="83">
        <f t="shared" si="3"/>
        <v>-4995.7398400000238</v>
      </c>
      <c r="G17" s="83">
        <f t="shared" si="3"/>
        <v>-24735.764006400015</v>
      </c>
    </row>
    <row r="18" spans="1:10" ht="15.75" x14ac:dyDescent="0.25">
      <c r="A18" s="4" t="s">
        <v>102</v>
      </c>
      <c r="B18" s="80" t="s">
        <v>103</v>
      </c>
      <c r="C18" s="81">
        <f>'Tablas de depreciación y amorti'!E9</f>
        <v>52584</v>
      </c>
      <c r="D18" s="81">
        <f>'Tablas de depreciación y amorti'!F9</f>
        <v>44170.559999999998</v>
      </c>
      <c r="E18" s="81">
        <f>'Tablas de depreciación y amorti'!G9</f>
        <v>37103.270399999994</v>
      </c>
      <c r="F18" s="81">
        <f>'Tablas de depreciación y amorti'!H9</f>
        <v>31166.747135999998</v>
      </c>
      <c r="G18" s="81">
        <f>'Tablas de depreciación y amorti'!I9</f>
        <v>26180.067594239998</v>
      </c>
    </row>
    <row r="19" spans="1:10" ht="15.75" x14ac:dyDescent="0.25">
      <c r="A19" s="4"/>
      <c r="B19" s="5"/>
      <c r="C19" s="17"/>
      <c r="D19" s="17"/>
      <c r="E19" s="17"/>
      <c r="F19" s="17"/>
      <c r="G19" s="17"/>
    </row>
    <row r="20" spans="1:10" ht="15.75" x14ac:dyDescent="0.25">
      <c r="A20" s="4"/>
      <c r="B20" s="72" t="s">
        <v>104</v>
      </c>
      <c r="C20" s="85">
        <f>C17+C18</f>
        <v>71968.411199999988</v>
      </c>
      <c r="D20" s="85">
        <f t="shared" ref="D20:G20" si="4">D17+D18</f>
        <v>60416.571199999962</v>
      </c>
      <c r="E20" s="85">
        <f t="shared" si="4"/>
        <v>45475.137599999987</v>
      </c>
      <c r="F20" s="85">
        <f t="shared" si="4"/>
        <v>26171.007295999974</v>
      </c>
      <c r="G20" s="85">
        <f t="shared" si="4"/>
        <v>1444.3035878399824</v>
      </c>
    </row>
    <row r="24" spans="1:10" ht="15.75" x14ac:dyDescent="0.25">
      <c r="B24" s="38">
        <v>518</v>
      </c>
      <c r="C24" s="38">
        <f>B24+C25</f>
        <v>588</v>
      </c>
      <c r="D24" s="38">
        <f t="shared" ref="D24:F24" si="5">C24+D25</f>
        <v>658</v>
      </c>
      <c r="E24" s="38">
        <f t="shared" si="5"/>
        <v>728</v>
      </c>
      <c r="F24" s="38">
        <f t="shared" si="5"/>
        <v>798</v>
      </c>
      <c r="G24" s="71" t="s">
        <v>105</v>
      </c>
      <c r="H24" s="71"/>
      <c r="I24" s="71"/>
      <c r="J24" s="71"/>
    </row>
    <row r="25" spans="1:10" ht="15.75" x14ac:dyDescent="0.25">
      <c r="B25" s="38"/>
      <c r="C25" s="38">
        <v>70</v>
      </c>
      <c r="D25" s="38">
        <v>70</v>
      </c>
      <c r="E25" s="38">
        <v>70</v>
      </c>
      <c r="F25" s="38">
        <v>70</v>
      </c>
      <c r="G25" s="73" t="s">
        <v>106</v>
      </c>
      <c r="H25" s="73"/>
      <c r="I25" s="73"/>
      <c r="J25" s="35"/>
    </row>
    <row r="26" spans="1:10" ht="15.75" x14ac:dyDescent="0.25">
      <c r="B26" s="38">
        <v>50</v>
      </c>
      <c r="C26" s="38">
        <v>50</v>
      </c>
      <c r="D26" s="38">
        <v>50</v>
      </c>
      <c r="E26" s="38">
        <v>50</v>
      </c>
      <c r="F26" s="38">
        <v>50</v>
      </c>
      <c r="G26" s="71" t="s">
        <v>114</v>
      </c>
      <c r="H26" s="71"/>
      <c r="I26" s="71"/>
      <c r="J26" s="71"/>
    </row>
  </sheetData>
  <mergeCells count="4">
    <mergeCell ref="B3:G3"/>
    <mergeCell ref="G24:J24"/>
    <mergeCell ref="K2:N2"/>
    <mergeCell ref="G26:J26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17FD8-0A68-490D-95D1-DA7D9FF6533C}">
  <dimension ref="B2:H31"/>
  <sheetViews>
    <sheetView workbookViewId="0">
      <selection activeCell="F28" sqref="F28"/>
    </sheetView>
  </sheetViews>
  <sheetFormatPr baseColWidth="10" defaultRowHeight="15" x14ac:dyDescent="0.25"/>
  <cols>
    <col min="2" max="2" width="42.140625" bestFit="1" customWidth="1"/>
    <col min="3" max="3" width="17.42578125" bestFit="1" customWidth="1"/>
    <col min="4" max="4" width="15.42578125" bestFit="1" customWidth="1"/>
    <col min="5" max="5" width="13.5703125" customWidth="1"/>
    <col min="6" max="6" width="11.85546875" bestFit="1" customWidth="1"/>
    <col min="7" max="7" width="20.140625" bestFit="1" customWidth="1"/>
    <col min="8" max="8" width="15.42578125" bestFit="1" customWidth="1"/>
  </cols>
  <sheetData>
    <row r="2" spans="2:8" ht="15.75" x14ac:dyDescent="0.25">
      <c r="B2" s="23"/>
      <c r="C2" s="23"/>
      <c r="D2" s="23"/>
      <c r="E2" s="23"/>
      <c r="F2" s="23"/>
      <c r="G2" s="23"/>
      <c r="H2" s="23"/>
    </row>
    <row r="3" spans="2:8" ht="15.75" x14ac:dyDescent="0.25">
      <c r="B3" s="98" t="s">
        <v>115</v>
      </c>
      <c r="C3" s="98"/>
      <c r="D3" s="98"/>
      <c r="E3" s="98"/>
      <c r="F3" s="98"/>
      <c r="G3" s="98"/>
      <c r="H3" s="98"/>
    </row>
    <row r="4" spans="2:8" ht="15.75" x14ac:dyDescent="0.25">
      <c r="B4" s="87" t="s">
        <v>77</v>
      </c>
      <c r="C4" s="87"/>
      <c r="D4" s="87"/>
      <c r="E4" s="15"/>
      <c r="F4" s="89" t="s">
        <v>117</v>
      </c>
      <c r="G4" s="89"/>
      <c r="H4" s="89"/>
    </row>
    <row r="5" spans="2:8" ht="15.75" x14ac:dyDescent="0.25">
      <c r="B5" s="15"/>
      <c r="C5" s="15"/>
      <c r="D5" s="15"/>
      <c r="E5" s="15"/>
      <c r="F5" s="15"/>
      <c r="G5" s="15"/>
      <c r="H5" s="15"/>
    </row>
    <row r="6" spans="2:8" ht="15.75" x14ac:dyDescent="0.25">
      <c r="B6" s="87" t="s">
        <v>82</v>
      </c>
      <c r="C6" s="87"/>
      <c r="D6" s="70" t="s">
        <v>28</v>
      </c>
      <c r="E6" s="15"/>
      <c r="F6" s="89" t="s">
        <v>119</v>
      </c>
      <c r="G6" s="89"/>
      <c r="H6" s="92" t="s">
        <v>28</v>
      </c>
    </row>
    <row r="7" spans="2:8" ht="15.75" x14ac:dyDescent="0.25">
      <c r="B7" s="15" t="s">
        <v>84</v>
      </c>
      <c r="C7" s="15"/>
      <c r="D7" s="8">
        <f>'Estado de resultados'!C5</f>
        <v>310800</v>
      </c>
      <c r="E7" s="15"/>
      <c r="F7" s="15" t="s">
        <v>88</v>
      </c>
      <c r="G7" s="1"/>
      <c r="H7" s="8">
        <v>4600</v>
      </c>
    </row>
    <row r="8" spans="2:8" ht="15.75" x14ac:dyDescent="0.25">
      <c r="B8" s="15" t="s">
        <v>85</v>
      </c>
      <c r="C8" s="15"/>
      <c r="D8" s="8">
        <v>6500</v>
      </c>
      <c r="E8" s="15"/>
      <c r="F8" s="15" t="s">
        <v>89</v>
      </c>
      <c r="G8" s="1"/>
      <c r="H8" s="8">
        <v>5000</v>
      </c>
    </row>
    <row r="9" spans="2:8" ht="15.75" x14ac:dyDescent="0.25">
      <c r="B9" s="15" t="s">
        <v>86</v>
      </c>
      <c r="C9" s="15"/>
      <c r="D9" s="8">
        <v>2200</v>
      </c>
      <c r="E9" s="15"/>
      <c r="F9" s="15" t="s">
        <v>71</v>
      </c>
      <c r="G9" s="1"/>
      <c r="H9" s="8">
        <v>890</v>
      </c>
    </row>
    <row r="10" spans="2:8" ht="15.75" x14ac:dyDescent="0.25">
      <c r="B10" s="15" t="s">
        <v>87</v>
      </c>
      <c r="C10" s="15"/>
      <c r="D10" s="8">
        <v>13600</v>
      </c>
      <c r="E10" s="15"/>
      <c r="F10" s="15" t="s">
        <v>72</v>
      </c>
      <c r="G10" s="1"/>
      <c r="H10" s="8">
        <v>500</v>
      </c>
    </row>
    <row r="11" spans="2:8" ht="15.75" x14ac:dyDescent="0.25">
      <c r="B11" s="15"/>
      <c r="C11" s="15"/>
      <c r="D11" s="15"/>
      <c r="E11" s="15"/>
      <c r="F11" s="15"/>
      <c r="G11" s="15"/>
      <c r="H11" s="8"/>
    </row>
    <row r="12" spans="2:8" ht="15.75" x14ac:dyDescent="0.25">
      <c r="B12" s="36" t="s">
        <v>116</v>
      </c>
      <c r="C12" s="38"/>
      <c r="D12" s="37">
        <f>SUM(D7:D10)</f>
        <v>333100</v>
      </c>
      <c r="E12" s="15"/>
      <c r="F12" s="71" t="s">
        <v>120</v>
      </c>
      <c r="G12" s="71"/>
      <c r="H12" s="93">
        <f>'Capital de trabajo'!E10</f>
        <v>10990</v>
      </c>
    </row>
    <row r="13" spans="2:8" ht="15.75" x14ac:dyDescent="0.25">
      <c r="B13" s="15"/>
      <c r="C13" s="15"/>
      <c r="D13" s="15"/>
      <c r="E13" s="15"/>
      <c r="F13" s="15"/>
      <c r="G13" s="15"/>
      <c r="H13" s="8"/>
    </row>
    <row r="14" spans="2:8" ht="15.75" x14ac:dyDescent="0.25">
      <c r="B14" s="94" t="s">
        <v>118</v>
      </c>
      <c r="C14" s="94"/>
      <c r="D14" s="97" t="s">
        <v>28</v>
      </c>
      <c r="E14" s="15"/>
      <c r="F14" s="95" t="s">
        <v>121</v>
      </c>
      <c r="G14" s="95"/>
      <c r="H14" s="96" t="s">
        <v>28</v>
      </c>
    </row>
    <row r="15" spans="2:8" ht="15.75" x14ac:dyDescent="0.25">
      <c r="B15" s="43" t="s">
        <v>30</v>
      </c>
      <c r="C15" s="15"/>
      <c r="D15" s="57">
        <v>4600</v>
      </c>
      <c r="E15" s="15"/>
      <c r="F15" s="86" t="s">
        <v>122</v>
      </c>
      <c r="G15" s="86"/>
      <c r="H15" s="93">
        <v>312741.59000000003</v>
      </c>
    </row>
    <row r="16" spans="2:8" ht="15.75" x14ac:dyDescent="0.25">
      <c r="B16" s="43" t="s">
        <v>50</v>
      </c>
      <c r="C16" s="15"/>
      <c r="D16" s="57">
        <v>12000</v>
      </c>
      <c r="E16" s="15"/>
      <c r="F16" s="88" t="s">
        <v>123</v>
      </c>
      <c r="G16" s="88"/>
      <c r="H16" s="8"/>
    </row>
    <row r="17" spans="2:8" ht="15.75" x14ac:dyDescent="0.25">
      <c r="B17" s="43" t="s">
        <v>51</v>
      </c>
      <c r="C17" s="15"/>
      <c r="D17" s="91">
        <v>46000</v>
      </c>
      <c r="E17" s="15"/>
      <c r="F17" s="86" t="s">
        <v>124</v>
      </c>
      <c r="G17" s="86"/>
      <c r="H17" s="93">
        <f>'Estado de resultados'!C20</f>
        <v>71968.411199999988</v>
      </c>
    </row>
    <row r="18" spans="2:8" ht="15.75" x14ac:dyDescent="0.25">
      <c r="B18" s="15"/>
      <c r="C18" s="15"/>
      <c r="D18" s="15"/>
      <c r="E18" s="15"/>
      <c r="F18" s="15"/>
      <c r="G18" s="15"/>
      <c r="H18" s="15"/>
    </row>
    <row r="19" spans="2:8" ht="15.75" x14ac:dyDescent="0.25">
      <c r="B19" s="90" t="s">
        <v>46</v>
      </c>
      <c r="C19" s="38"/>
      <c r="D19" s="37">
        <f>SUM(D15:D17)</f>
        <v>62600</v>
      </c>
      <c r="E19" s="15"/>
      <c r="F19" s="15"/>
      <c r="G19" s="15"/>
      <c r="H19" s="15"/>
    </row>
    <row r="20" spans="2:8" ht="15.75" x14ac:dyDescent="0.25">
      <c r="B20" s="15"/>
      <c r="C20" s="15"/>
      <c r="D20" s="15"/>
      <c r="E20" s="15"/>
      <c r="F20" s="15"/>
      <c r="G20" s="15"/>
      <c r="H20" s="15"/>
    </row>
    <row r="21" spans="2:8" ht="15.75" x14ac:dyDescent="0.25">
      <c r="B21" s="15"/>
      <c r="C21" s="72" t="s">
        <v>80</v>
      </c>
      <c r="D21" s="37">
        <f>D12+D19</f>
        <v>395700</v>
      </c>
      <c r="E21" s="15"/>
      <c r="F21" s="71" t="s">
        <v>125</v>
      </c>
      <c r="G21" s="71"/>
      <c r="H21" s="37">
        <f>SUM(H12:H17)</f>
        <v>395700.0012</v>
      </c>
    </row>
    <row r="22" spans="2:8" ht="15.75" x14ac:dyDescent="0.25">
      <c r="B22" s="23"/>
      <c r="C22" s="23"/>
      <c r="D22" s="23"/>
      <c r="E22" s="23"/>
      <c r="F22" s="23"/>
      <c r="G22" s="23"/>
      <c r="H22" s="23"/>
    </row>
    <row r="23" spans="2:8" ht="15.75" x14ac:dyDescent="0.25">
      <c r="B23" s="23"/>
      <c r="C23" s="23"/>
      <c r="D23" s="23"/>
      <c r="E23" s="23"/>
      <c r="F23" s="23"/>
      <c r="G23" s="23"/>
      <c r="H23" s="23"/>
    </row>
    <row r="24" spans="2:8" ht="15.75" x14ac:dyDescent="0.25">
      <c r="B24" s="99" t="s">
        <v>126</v>
      </c>
      <c r="C24" s="100"/>
      <c r="D24" s="23"/>
      <c r="E24" s="23"/>
      <c r="F24" s="23"/>
      <c r="G24" s="23"/>
      <c r="H24" s="23"/>
    </row>
    <row r="25" spans="2:8" ht="15.75" x14ac:dyDescent="0.25">
      <c r="B25" s="15" t="s">
        <v>129</v>
      </c>
      <c r="C25" s="8">
        <v>54000</v>
      </c>
      <c r="D25" s="23"/>
      <c r="E25" s="23"/>
      <c r="F25" s="23"/>
      <c r="G25" s="23"/>
      <c r="H25" s="23"/>
    </row>
    <row r="26" spans="2:8" ht="15.75" x14ac:dyDescent="0.25">
      <c r="B26" s="15" t="s">
        <v>128</v>
      </c>
      <c r="C26" s="8">
        <v>54000</v>
      </c>
      <c r="D26" s="23"/>
      <c r="E26" s="23"/>
      <c r="F26" s="23"/>
      <c r="G26" s="23"/>
      <c r="H26" s="23"/>
    </row>
    <row r="27" spans="2:8" ht="15.75" x14ac:dyDescent="0.25">
      <c r="B27" s="15" t="s">
        <v>127</v>
      </c>
      <c r="C27" s="8">
        <v>54000</v>
      </c>
    </row>
    <row r="28" spans="2:8" ht="15.75" x14ac:dyDescent="0.25">
      <c r="B28" s="15" t="s">
        <v>130</v>
      </c>
      <c r="C28" s="8">
        <v>54000</v>
      </c>
      <c r="F28" s="52" t="e">
        <f>IRR(D21,H12)</f>
        <v>#NUM!</v>
      </c>
    </row>
    <row r="29" spans="2:8" ht="15.75" x14ac:dyDescent="0.25">
      <c r="B29" s="15" t="s">
        <v>131</v>
      </c>
      <c r="C29" s="8">
        <v>54000</v>
      </c>
    </row>
    <row r="30" spans="2:8" ht="15.75" x14ac:dyDescent="0.25">
      <c r="B30" s="15" t="s">
        <v>132</v>
      </c>
      <c r="C30" s="8">
        <v>54000</v>
      </c>
    </row>
    <row r="31" spans="2:8" ht="15.75" x14ac:dyDescent="0.25">
      <c r="B31" s="38" t="s">
        <v>133</v>
      </c>
      <c r="C31" s="37">
        <f>SUM(C25:C30)</f>
        <v>324000</v>
      </c>
    </row>
  </sheetData>
  <mergeCells count="13">
    <mergeCell ref="B24:C24"/>
    <mergeCell ref="B3:H3"/>
    <mergeCell ref="F4:H4"/>
    <mergeCell ref="B4:D4"/>
    <mergeCell ref="F16:G16"/>
    <mergeCell ref="F17:G17"/>
    <mergeCell ref="F21:G21"/>
    <mergeCell ref="B6:C6"/>
    <mergeCell ref="B14:C14"/>
    <mergeCell ref="F12:G12"/>
    <mergeCell ref="F6:G6"/>
    <mergeCell ref="F14:G14"/>
    <mergeCell ref="F15:G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Cronograma de inversión</vt:lpstr>
      <vt:lpstr>Inversión inicial</vt:lpstr>
      <vt:lpstr>Determinación de costos</vt:lpstr>
      <vt:lpstr>Tablas de depreciación y amorti</vt:lpstr>
      <vt:lpstr>Capital de trabajo</vt:lpstr>
      <vt:lpstr>Estado de resultados</vt:lpstr>
      <vt:lpstr>Balance general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EnriqueMV</dc:creator>
  <cp:lastModifiedBy>EnriqueMV</cp:lastModifiedBy>
  <dcterms:created xsi:type="dcterms:W3CDTF">2023-05-21T07:42:45Z</dcterms:created>
  <dcterms:modified xsi:type="dcterms:W3CDTF">2023-05-21T21:11:05Z</dcterms:modified>
</cp:coreProperties>
</file>