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65CA4B-843C-4F56-AB82-315F3F61B7FA}" xr6:coauthVersionLast="36" xr6:coauthVersionMax="43" xr10:uidLastSave="{00000000-0000-0000-0000-000000000000}"/>
  <bookViews>
    <workbookView xWindow="-105" yWindow="-105" windowWidth="23250" windowHeight="12570" tabRatio="766" firstSheet="3" activeTab="9" xr2:uid="{00000000-000D-0000-FFFF-FFFF00000000}"/>
  </bookViews>
  <sheets>
    <sheet name="Flujo de Caja" sheetId="10" r:id="rId1"/>
    <sheet name="Indicadores Financieros" sheetId="12" r:id="rId2"/>
    <sheet name="Costos de desarrollo" sheetId="5" r:id="rId3"/>
    <sheet name="Costo de Implementacion" sheetId="4" r:id="rId4"/>
    <sheet name="Complementario" sheetId="2" r:id="rId5"/>
    <sheet name="Activo Fijos y Nominales" sheetId="11" r:id="rId6"/>
    <sheet name="Despreciacion Activo Fijos " sheetId="8" r:id="rId7"/>
    <sheet name="Valor Desecho" sheetId="9" r:id="rId8"/>
    <sheet name="Amortizacion" sheetId="3" r:id="rId9"/>
    <sheet name="Tasa de Descuento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3" l="1"/>
  <c r="H5" i="13"/>
  <c r="G5" i="13"/>
  <c r="F5" i="13"/>
  <c r="E5" i="13"/>
  <c r="D5" i="13"/>
  <c r="C6" i="13"/>
  <c r="C5" i="13"/>
  <c r="C45" i="10" l="1"/>
  <c r="D27" i="10" l="1"/>
  <c r="E27" i="10"/>
  <c r="F27" i="10"/>
  <c r="G27" i="10"/>
  <c r="H27" i="10"/>
  <c r="I27" i="10"/>
  <c r="D26" i="10"/>
  <c r="E26" i="10"/>
  <c r="F26" i="10"/>
  <c r="G26" i="10"/>
  <c r="H26" i="10"/>
  <c r="I26" i="10"/>
  <c r="I28" i="10"/>
  <c r="C35" i="10"/>
  <c r="F6" i="8"/>
  <c r="D22" i="10"/>
  <c r="E22" i="10"/>
  <c r="F22" i="10"/>
  <c r="G22" i="10"/>
  <c r="H22" i="10"/>
  <c r="I22" i="10"/>
  <c r="C22" i="10"/>
  <c r="D21" i="10"/>
  <c r="E21" i="10"/>
  <c r="F21" i="10"/>
  <c r="G21" i="10"/>
  <c r="H21" i="10"/>
  <c r="I21" i="10"/>
  <c r="C21" i="10"/>
  <c r="D20" i="10"/>
  <c r="E20" i="10"/>
  <c r="F20" i="10"/>
  <c r="G20" i="10"/>
  <c r="H20" i="10"/>
  <c r="I20" i="10"/>
  <c r="C20" i="10"/>
  <c r="D19" i="10"/>
  <c r="E19" i="10"/>
  <c r="F19" i="10"/>
  <c r="G19" i="10"/>
  <c r="H19" i="10"/>
  <c r="I19" i="10"/>
  <c r="C19" i="10"/>
  <c r="E5" i="4"/>
  <c r="C17" i="10"/>
  <c r="C16" i="10"/>
  <c r="C11" i="10"/>
  <c r="C12" i="10"/>
  <c r="F18" i="10" l="1"/>
  <c r="F14" i="10" s="1"/>
  <c r="F38" i="10" s="1"/>
  <c r="H18" i="10"/>
  <c r="H14" i="10" s="1"/>
  <c r="H38" i="10" s="1"/>
  <c r="E18" i="10"/>
  <c r="E14" i="10" s="1"/>
  <c r="E38" i="10" s="1"/>
  <c r="D18" i="10"/>
  <c r="D14" i="10" s="1"/>
  <c r="D38" i="10" s="1"/>
  <c r="I18" i="10"/>
  <c r="I14" i="10" s="1"/>
  <c r="I38" i="10" s="1"/>
  <c r="C18" i="10"/>
  <c r="G18" i="10"/>
  <c r="G14" i="10" s="1"/>
  <c r="G38" i="10" s="1"/>
  <c r="H20" i="8"/>
  <c r="D7" i="10"/>
  <c r="H17" i="8"/>
  <c r="F17" i="8"/>
  <c r="F13" i="8"/>
  <c r="C15" i="10"/>
  <c r="C14" i="10" l="1"/>
  <c r="C38" i="10" s="1"/>
  <c r="E7" i="10"/>
  <c r="F7" i="10" s="1"/>
  <c r="F8" i="10" s="1"/>
  <c r="D8" i="10"/>
  <c r="I15" i="9"/>
  <c r="C22" i="9"/>
  <c r="F16" i="11"/>
  <c r="D11" i="8" s="1"/>
  <c r="D5" i="8"/>
  <c r="E8" i="10" l="1"/>
  <c r="E35" i="10" s="1"/>
  <c r="D5" i="10"/>
  <c r="D35" i="10"/>
  <c r="F5" i="10"/>
  <c r="F35" i="10"/>
  <c r="H6" i="9"/>
  <c r="C6" i="9"/>
  <c r="E6" i="9" s="1"/>
  <c r="G7" i="10"/>
  <c r="E5" i="10" l="1"/>
  <c r="H7" i="10"/>
  <c r="G8" i="10"/>
  <c r="F6" i="11"/>
  <c r="F7" i="11"/>
  <c r="F8" i="11"/>
  <c r="F9" i="11"/>
  <c r="F10" i="11"/>
  <c r="F11" i="11"/>
  <c r="F17" i="11"/>
  <c r="D12" i="8" s="1"/>
  <c r="F18" i="11"/>
  <c r="F19" i="11"/>
  <c r="D14" i="8" s="1"/>
  <c r="F20" i="11"/>
  <c r="D15" i="8" s="1"/>
  <c r="F21" i="11"/>
  <c r="D16" i="8" s="1"/>
  <c r="F22" i="11"/>
  <c r="D17" i="8" s="1"/>
  <c r="F23" i="11"/>
  <c r="D18" i="8" s="1"/>
  <c r="F24" i="11"/>
  <c r="D19" i="8" s="1"/>
  <c r="G5" i="10" l="1"/>
  <c r="G35" i="10"/>
  <c r="H13" i="9"/>
  <c r="C13" i="9"/>
  <c r="E13" i="9" s="1"/>
  <c r="H9" i="9"/>
  <c r="C9" i="9"/>
  <c r="E9" i="9" s="1"/>
  <c r="C12" i="9"/>
  <c r="E12" i="9" s="1"/>
  <c r="H12" i="9"/>
  <c r="H11" i="9"/>
  <c r="C11" i="9"/>
  <c r="E11" i="9" s="1"/>
  <c r="C7" i="9"/>
  <c r="E7" i="9" s="1"/>
  <c r="H7" i="9"/>
  <c r="H14" i="9"/>
  <c r="C14" i="9"/>
  <c r="E14" i="9" s="1"/>
  <c r="H10" i="9"/>
  <c r="C10" i="9"/>
  <c r="E10" i="9" s="1"/>
  <c r="I7" i="10"/>
  <c r="I8" i="10" s="1"/>
  <c r="I35" i="10" s="1"/>
  <c r="H8" i="10"/>
  <c r="F25" i="11"/>
  <c r="D13" i="8"/>
  <c r="F12" i="11"/>
  <c r="E11" i="8"/>
  <c r="E5" i="8"/>
  <c r="D9" i="8"/>
  <c r="D10" i="8"/>
  <c r="D6" i="8"/>
  <c r="D7" i="8"/>
  <c r="D8" i="8"/>
  <c r="F5" i="8"/>
  <c r="G5" i="8" s="1"/>
  <c r="H5" i="10" l="1"/>
  <c r="H35" i="10"/>
  <c r="I5" i="10"/>
  <c r="C8" i="9"/>
  <c r="E8" i="9" s="1"/>
  <c r="E15" i="9" s="1"/>
  <c r="H8" i="9"/>
  <c r="C19" i="9"/>
  <c r="G6" i="8"/>
  <c r="F19" i="8"/>
  <c r="H19" i="8" s="1"/>
  <c r="F15" i="8"/>
  <c r="H15" i="8" s="1"/>
  <c r="F9" i="8"/>
  <c r="G9" i="8" s="1"/>
  <c r="F18" i="8"/>
  <c r="H18" i="8" s="1"/>
  <c r="F14" i="8"/>
  <c r="H14" i="8" s="1"/>
  <c r="F7" i="8"/>
  <c r="G7" i="8" s="1"/>
  <c r="H13" i="8"/>
  <c r="F11" i="8"/>
  <c r="H11" i="8" s="1"/>
  <c r="F16" i="8"/>
  <c r="H16" i="8" s="1"/>
  <c r="F12" i="8"/>
  <c r="H12" i="8" s="1"/>
  <c r="F8" i="8"/>
  <c r="G8" i="8" s="1"/>
  <c r="F10" i="8"/>
  <c r="G10" i="8" s="1"/>
  <c r="C24" i="9" l="1"/>
  <c r="C41" i="10"/>
  <c r="C8" i="12" s="1"/>
  <c r="G17" i="8"/>
  <c r="C20" i="9"/>
  <c r="C21" i="9" s="1"/>
  <c r="C23" i="9" s="1"/>
  <c r="C25" i="9" s="1"/>
  <c r="G18" i="8"/>
  <c r="G12" i="8"/>
  <c r="G13" i="8"/>
  <c r="G16" i="8"/>
  <c r="G15" i="8"/>
  <c r="G11" i="8"/>
  <c r="G14" i="8"/>
  <c r="G19" i="8"/>
  <c r="C8" i="3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12" i="5"/>
  <c r="K12" i="5" s="1"/>
  <c r="I11" i="5"/>
  <c r="K11" i="5" s="1"/>
  <c r="I10" i="5"/>
  <c r="K10" i="5" s="1"/>
  <c r="I9" i="5"/>
  <c r="K9" i="5" s="1"/>
  <c r="I8" i="5"/>
  <c r="K8" i="5" s="1"/>
  <c r="I7" i="5"/>
  <c r="K7" i="5" s="1"/>
  <c r="I6" i="5"/>
  <c r="K6" i="5" s="1"/>
  <c r="K5" i="5"/>
  <c r="K25" i="5" s="1"/>
  <c r="C9" i="10" s="1"/>
  <c r="I5" i="5"/>
  <c r="D29" i="11"/>
  <c r="E14" i="4"/>
  <c r="E13" i="4"/>
  <c r="E9" i="4"/>
  <c r="E8" i="4"/>
  <c r="E7" i="4"/>
  <c r="E6" i="4"/>
  <c r="D30" i="11" s="1"/>
  <c r="F30" i="11" s="1"/>
  <c r="C6" i="2"/>
  <c r="C5" i="10" l="1"/>
  <c r="C43" i="10"/>
  <c r="D6" i="3"/>
  <c r="D5" i="3"/>
  <c r="D28" i="10" s="1"/>
  <c r="E29" i="11"/>
  <c r="F29" i="11" s="1"/>
  <c r="F31" i="11" s="1"/>
  <c r="F5" i="3"/>
  <c r="F28" i="10" s="1"/>
  <c r="G5" i="3"/>
  <c r="G28" i="10" s="1"/>
  <c r="E5" i="3"/>
  <c r="E28" i="10" s="1"/>
  <c r="H5" i="3"/>
  <c r="H28" i="10" s="1"/>
  <c r="E15" i="4"/>
  <c r="E10" i="4"/>
  <c r="C44" i="10" l="1"/>
  <c r="C9" i="12"/>
  <c r="D7" i="3"/>
  <c r="D9" i="3" s="1"/>
  <c r="F32" i="11"/>
  <c r="D8" i="3" l="1"/>
  <c r="E6" i="3" s="1"/>
  <c r="E7" i="3" l="1"/>
  <c r="E9" i="3" l="1"/>
  <c r="E8" i="3"/>
  <c r="F6" i="3" s="1"/>
  <c r="F7" i="3" l="1"/>
  <c r="F8" i="3" s="1"/>
  <c r="G6" i="3" s="1"/>
  <c r="G7" i="3" l="1"/>
  <c r="G8" i="3" s="1"/>
  <c r="H6" i="3" s="1"/>
  <c r="F9" i="3"/>
  <c r="H7" i="3" l="1"/>
  <c r="H8" i="3" s="1"/>
  <c r="G9" i="3"/>
  <c r="H9" i="3" l="1"/>
  <c r="H43" i="10"/>
  <c r="H45" i="10" s="1"/>
  <c r="G43" i="10"/>
  <c r="G45" i="10" s="1"/>
  <c r="E43" i="10"/>
  <c r="E45" i="10" s="1"/>
  <c r="I43" i="10"/>
  <c r="I45" i="10" s="1"/>
  <c r="F43" i="10"/>
  <c r="F45" i="10" s="1"/>
  <c r="D43" i="10"/>
  <c r="C25" i="10"/>
  <c r="C24" i="10" s="1"/>
  <c r="C30" i="10" s="1"/>
  <c r="C31" i="10" s="1"/>
  <c r="C32" i="10" s="1"/>
  <c r="D25" i="10"/>
  <c r="D24" i="10" s="1"/>
  <c r="D30" i="10" s="1"/>
  <c r="D31" i="10" s="1"/>
  <c r="D32" i="10" s="1"/>
  <c r="E25" i="10"/>
  <c r="E24" i="10" s="1"/>
  <c r="E30" i="10" s="1"/>
  <c r="E31" i="10" s="1"/>
  <c r="E32" i="10" s="1"/>
  <c r="H25" i="10"/>
  <c r="H24" i="10" s="1"/>
  <c r="H30" i="10" s="1"/>
  <c r="H31" i="10" s="1"/>
  <c r="H32" i="10" s="1"/>
  <c r="I25" i="10"/>
  <c r="I24" i="10" s="1"/>
  <c r="I30" i="10" s="1"/>
  <c r="I31" i="10" s="1"/>
  <c r="I32" i="10" s="1"/>
  <c r="F25" i="10"/>
  <c r="F24" i="10" s="1"/>
  <c r="F30" i="10" s="1"/>
  <c r="F31" i="10" s="1"/>
  <c r="F32" i="10" s="1"/>
  <c r="G25" i="10"/>
  <c r="G24" i="10" s="1"/>
  <c r="G30" i="10" s="1"/>
  <c r="G31" i="10" s="1"/>
  <c r="G32" i="10" s="1"/>
  <c r="D45" i="10" l="1"/>
  <c r="C7" i="12" s="1"/>
  <c r="D44" i="10"/>
  <c r="E44" i="10" s="1"/>
  <c r="F44" i="10" s="1"/>
  <c r="G44" i="10" s="1"/>
  <c r="H44" i="10" s="1"/>
  <c r="I44" i="10" s="1"/>
  <c r="C6" i="12"/>
</calcChain>
</file>

<file path=xl/sharedStrings.xml><?xml version="1.0" encoding="utf-8"?>
<sst xmlns="http://schemas.openxmlformats.org/spreadsheetml/2006/main" count="262" uniqueCount="195">
  <si>
    <t>Año</t>
  </si>
  <si>
    <t>Electricidad</t>
  </si>
  <si>
    <t>Agua</t>
  </si>
  <si>
    <t>Costos Fijos Mensual</t>
  </si>
  <si>
    <t>Costos Variables Mensual</t>
  </si>
  <si>
    <t>Costos Fijos Anuales</t>
  </si>
  <si>
    <t>Programador Planta</t>
  </si>
  <si>
    <t>Cantidad</t>
  </si>
  <si>
    <t>DBA Planta</t>
  </si>
  <si>
    <t>Sys Admin Planta</t>
  </si>
  <si>
    <t>Item</t>
  </si>
  <si>
    <t>Costo total por item</t>
  </si>
  <si>
    <t>Varianza</t>
  </si>
  <si>
    <t>Costo mas varianza</t>
  </si>
  <si>
    <t>Intereses</t>
  </si>
  <si>
    <t>Link</t>
  </si>
  <si>
    <t>Precio unitario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</si>
  <si>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</si>
  <si>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</si>
  <si>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</si>
  <si>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</si>
  <si>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</si>
  <si>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</si>
  <si>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</si>
  <si>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</si>
  <si>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</si>
  <si>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</si>
  <si>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</si>
  <si>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</si>
  <si>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</si>
  <si>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</si>
  <si>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</si>
  <si>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</si>
  <si>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</si>
  <si>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</si>
  <si>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</si>
  <si>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</si>
  <si>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</si>
  <si>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</si>
  <si>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</si>
  <si>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</si>
  <si>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</si>
  <si>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</si>
  <si>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</si>
  <si>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</si>
  <si>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</si>
  <si>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</si>
  <si>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</si>
  <si>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</si>
  <si>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</si>
  <si>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</si>
  <si>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</si>
  <si>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Prestamo</t>
  </si>
  <si>
    <t>Amortizacion</t>
  </si>
  <si>
    <t>Cuotas</t>
  </si>
  <si>
    <t>Fijas</t>
  </si>
  <si>
    <t>Gear Monitor 23,8" MC2435A Slim Bezel Full HD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</si>
  <si>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</si>
  <si>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</si>
  <si>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</si>
  <si>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</si>
  <si>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</si>
  <si>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</si>
  <si>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</si>
  <si>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</si>
  <si>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</si>
  <si>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</si>
  <si>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Precios</t>
  </si>
  <si>
    <t>M^2</t>
  </si>
  <si>
    <t>Km^2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</si>
  <si>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</si>
  <si>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</si>
  <si>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</si>
  <si>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</si>
  <si>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</si>
  <si>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</si>
  <si>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</si>
  <si>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</si>
  <si>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Nombre</t>
  </si>
  <si>
    <t>Rol</t>
  </si>
  <si>
    <t>Fecha de inicio</t>
  </si>
  <si>
    <t>Fecha de termino</t>
  </si>
  <si>
    <t>Horas diarias normales</t>
  </si>
  <si>
    <t>Acum. Horas extra</t>
  </si>
  <si>
    <t>Anual</t>
  </si>
  <si>
    <t>No definido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</si>
  <si>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</si>
  <si>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</si>
  <si>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</si>
  <si>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</si>
  <si>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</si>
  <si>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</si>
  <si>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</si>
  <si>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</si>
  <si>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</si>
  <si>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</si>
  <si>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</si>
  <si>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</si>
  <si>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</si>
  <si>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</si>
  <si>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</si>
  <si>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VAN</t>
  </si>
  <si>
    <t>TIR</t>
  </si>
  <si>
    <t>Tasa</t>
  </si>
  <si>
    <t>23- Sistemas computaciones</t>
  </si>
  <si>
    <t>22- Muebles y enseres</t>
  </si>
  <si>
    <t xml:space="preserve">Tablas Complementarias </t>
  </si>
  <si>
    <t xml:space="preserve"> Acelerada</t>
  </si>
  <si>
    <t xml:space="preserve">Normal </t>
  </si>
  <si>
    <t>En el proyecto se utilizara la depreciacion normal, ya que se quiere sacar el mayor provecho a esos recursos.</t>
  </si>
  <si>
    <r>
      <t xml:space="preserve">Plazo </t>
    </r>
    <r>
      <rPr>
        <b/>
        <sz val="11"/>
        <color theme="1"/>
        <rFont val="Calibri"/>
        <family val="2"/>
        <scheme val="minor"/>
      </rPr>
      <t>(Años)</t>
    </r>
  </si>
  <si>
    <r>
      <t xml:space="preserve">Interes </t>
    </r>
    <r>
      <rPr>
        <b/>
        <sz val="11"/>
        <color theme="1"/>
        <rFont val="Calibri"/>
        <family val="2"/>
        <scheme val="minor"/>
      </rPr>
      <t>(Mensual)</t>
    </r>
  </si>
  <si>
    <t>Metodo Contable</t>
  </si>
  <si>
    <t>Costo Fijo</t>
  </si>
  <si>
    <t>Tabla de Vida Util: Despreciacion (Años)</t>
  </si>
  <si>
    <t>Clase de Activos Genericos</t>
  </si>
  <si>
    <t xml:space="preserve">Costos de desarrollo: Uso de la Metodologia Scrum/Ciclo de vida Prototype - Vision Artificial Para Reconocimiento Vehicular </t>
  </si>
  <si>
    <t>Tabla de despreciacion de Activos Fisicos</t>
  </si>
  <si>
    <t xml:space="preserve">Activos </t>
  </si>
  <si>
    <t>Vida util</t>
  </si>
  <si>
    <t>Valor de Adquicision</t>
  </si>
  <si>
    <t>Valor de despreciacion</t>
  </si>
  <si>
    <t>N°</t>
  </si>
  <si>
    <t xml:space="preserve">Inversion de Activos </t>
  </si>
  <si>
    <t>Inversion en Activos Fijos (Tecnologia)</t>
  </si>
  <si>
    <t>Inversion en Activos Fijos (inmueble)</t>
  </si>
  <si>
    <t>Inversion en Activos Nominales (Servicios)</t>
  </si>
  <si>
    <t>Costos de Implementacion</t>
  </si>
  <si>
    <r>
      <t xml:space="preserve">Oficina </t>
    </r>
    <r>
      <rPr>
        <b/>
        <sz val="11"/>
        <color theme="1"/>
        <rFont val="Calibri"/>
        <family val="2"/>
        <scheme val="minor"/>
      </rPr>
      <t>(Torre nueva Barcelona, Barcelona 2116, Providencia RM)</t>
    </r>
  </si>
  <si>
    <r>
      <t xml:space="preserve">Telecomunicaciones </t>
    </r>
    <r>
      <rPr>
        <b/>
        <sz val="11"/>
        <color theme="1"/>
        <rFont val="Calibri"/>
        <family val="2"/>
        <scheme val="minor"/>
      </rPr>
      <t>(TRIPLEPACK negocios conectado VTR)</t>
    </r>
  </si>
  <si>
    <t>Valor Libro</t>
  </si>
  <si>
    <t xml:space="preserve">Valor de Aquisicion </t>
  </si>
  <si>
    <t>Vida util (Según SII)</t>
  </si>
  <si>
    <t>Despreciacion Anual</t>
  </si>
  <si>
    <t>Despreciacion Mensual</t>
  </si>
  <si>
    <t>Total Global Libro:</t>
  </si>
  <si>
    <t>Valor Contable</t>
  </si>
  <si>
    <t>Valor Total Contable</t>
  </si>
  <si>
    <t>Metodo Comercial</t>
  </si>
  <si>
    <t>Valor Total Comercial</t>
  </si>
  <si>
    <t>Valor Libro Total</t>
  </si>
  <si>
    <t>Utilidad antes del Impuesto</t>
  </si>
  <si>
    <t xml:space="preserve">Impuesto </t>
  </si>
  <si>
    <t>Utilidad Neta</t>
  </si>
  <si>
    <t xml:space="preserve">Conceptos </t>
  </si>
  <si>
    <t>Totales Financieros</t>
  </si>
  <si>
    <t>Valor Comercial Total</t>
  </si>
  <si>
    <t xml:space="preserve">Metodo Economico </t>
  </si>
  <si>
    <t>https://www.sodimac.cl/sodimac-cl/product/3708608/LED-55-UK6350-4K-Ultra-HDSmart-TV/3708608</t>
  </si>
  <si>
    <t>LED 55" UK6350 4K Ultra HDSmart TV LG</t>
  </si>
  <si>
    <t>Valor Total Economico</t>
  </si>
  <si>
    <t xml:space="preserve">Tabla de Amortizacion/Prestamo Frances </t>
  </si>
  <si>
    <t>Venta (Juicio Experto)</t>
  </si>
  <si>
    <t>Flujo del Año</t>
  </si>
  <si>
    <t>Flujo Acumulado</t>
  </si>
  <si>
    <r>
      <t xml:space="preserve">Alcance </t>
    </r>
    <r>
      <rPr>
        <b/>
        <i/>
        <sz val="11"/>
        <color theme="1"/>
        <rFont val="Calibri"/>
        <family val="2"/>
        <scheme val="minor"/>
      </rPr>
      <t>(km^2)</t>
    </r>
  </si>
  <si>
    <r>
      <t xml:space="preserve">Coste </t>
    </r>
    <r>
      <rPr>
        <b/>
        <i/>
        <sz val="11"/>
        <color theme="1"/>
        <rFont val="Calibri"/>
        <family val="2"/>
        <scheme val="minor"/>
      </rPr>
      <t>(km^2)</t>
    </r>
  </si>
  <si>
    <t xml:space="preserve">Ratio de alcance </t>
  </si>
  <si>
    <t>Aporte Capital</t>
  </si>
  <si>
    <t>Comprar de Activos</t>
  </si>
  <si>
    <t>Activos Tecnologicos</t>
  </si>
  <si>
    <t>Activos Inmuebles</t>
  </si>
  <si>
    <t>Internet</t>
  </si>
  <si>
    <t xml:space="preserve">Cantidad </t>
  </si>
  <si>
    <t>*</t>
  </si>
  <si>
    <t>Gastos No Desembolsables</t>
  </si>
  <si>
    <t>Utilidad antes del impuesto</t>
  </si>
  <si>
    <t>Utilidad Despues del impuesto</t>
  </si>
  <si>
    <t>Costo de riesgo</t>
  </si>
  <si>
    <t>Costo de desarrollo</t>
  </si>
  <si>
    <t>Costo de implementacion</t>
  </si>
  <si>
    <t>Despreciacion de Activos</t>
  </si>
  <si>
    <t>Despreciacion Tecnologicos</t>
  </si>
  <si>
    <t>Despreciacion Inmuebles</t>
  </si>
  <si>
    <r>
      <t xml:space="preserve">Agua </t>
    </r>
    <r>
      <rPr>
        <b/>
        <i/>
        <sz val="11"/>
        <color theme="1"/>
        <rFont val="Calibri"/>
        <family val="2"/>
        <scheme val="minor"/>
      </rPr>
      <t>(Varianza 30%)</t>
    </r>
  </si>
  <si>
    <r>
      <t xml:space="preserve">Electricidad </t>
    </r>
    <r>
      <rPr>
        <b/>
        <i/>
        <sz val="11"/>
        <color theme="1"/>
        <rFont val="Calibri"/>
        <family val="2"/>
        <scheme val="minor"/>
      </rPr>
      <t>(Varianza 30%)</t>
    </r>
  </si>
  <si>
    <t>Arriendo</t>
  </si>
  <si>
    <t>Ingresos afectos a impuestos</t>
  </si>
  <si>
    <t>Egresos afectos a impuestos</t>
  </si>
  <si>
    <t>Ajustes por gastos No Desembolsables</t>
  </si>
  <si>
    <t>Egreso No Afectos a Impuestos</t>
  </si>
  <si>
    <t>Beneficios No Afectos a Impuestos</t>
  </si>
  <si>
    <t>Egresos Totales</t>
  </si>
  <si>
    <r>
      <t xml:space="preserve">Valor de desecho </t>
    </r>
    <r>
      <rPr>
        <b/>
        <i/>
        <sz val="11"/>
        <color theme="1"/>
        <rFont val="Calibri"/>
        <family val="2"/>
        <scheme val="minor"/>
      </rPr>
      <t>(Contable)</t>
    </r>
  </si>
  <si>
    <t>Indicadores Financieros</t>
  </si>
  <si>
    <t>ROI</t>
  </si>
  <si>
    <t>Valor Desecho (Solo Activos Inmuebles)</t>
  </si>
  <si>
    <t>Flujo Efectivo Contra Inversion</t>
  </si>
  <si>
    <r>
      <t>Impuesto</t>
    </r>
    <r>
      <rPr>
        <b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(27%)</t>
    </r>
  </si>
  <si>
    <r>
      <t>Periodo</t>
    </r>
    <r>
      <rPr>
        <b/>
        <sz val="11"/>
        <color theme="0"/>
        <rFont val="Calibri"/>
        <family val="2"/>
        <scheme val="minor"/>
      </rPr>
      <t xml:space="preserve"> (Años)</t>
    </r>
  </si>
  <si>
    <r>
      <t xml:space="preserve">PayBack </t>
    </r>
    <r>
      <rPr>
        <b/>
        <sz val="11"/>
        <color theme="0"/>
        <rFont val="Calibri"/>
        <family val="2"/>
        <scheme val="minor"/>
      </rPr>
      <t>(Años)</t>
    </r>
  </si>
  <si>
    <t>Flujo de Caja</t>
  </si>
  <si>
    <t>ACTUALIZADO EL 9 DE JUlIO 2019
estos valores</t>
  </si>
  <si>
    <t xml:space="preserve">Capital </t>
  </si>
  <si>
    <t>Tabla de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</si>
</sst>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D7D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" fillId="12" borderId="0" applyNumberFormat="0" applyBorder="0" applyAlignment="0" applyProtection="0"/>
    <xf numFmtId="41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Border="1"/>
    <xf numFmtId="42" fontId="1" fillId="12" borderId="0" xfId="2" applyFill="1" applyBorder="1"/>
    <xf numFmtId="42" fontId="0" fillId="0" borderId="0" xfId="0" applyNumberFormat="1"/>
    <xf numFmtId="0" fontId="15" fillId="0" borderId="0" xfId="0" applyFont="1" applyAlignment="1">
      <alignment horizontal="center" wrapText="1"/>
    </xf>
    <xf numFmtId="0" fontId="0" fillId="0" borderId="0" xfId="0" applyFill="1"/>
    <xf numFmtId="0" fontId="4" fillId="0" borderId="0" xfId="6" applyFill="1" applyBorder="1" applyAlignment="1"/>
    <xf numFmtId="164" fontId="0" fillId="0" borderId="0" xfId="1" applyNumberFormat="1" applyFont="1" applyFill="1" applyBorder="1"/>
    <xf numFmtId="0" fontId="0" fillId="0" borderId="0" xfId="0" applyFill="1" applyBorder="1"/>
    <xf numFmtId="0" fontId="14" fillId="0" borderId="0" xfId="0" applyFont="1" applyBorder="1" applyAlignment="1"/>
    <xf numFmtId="164" fontId="0" fillId="0" borderId="0" xfId="0" applyNumberFormat="1" applyFill="1" applyBorder="1"/>
    <xf numFmtId="0" fontId="11" fillId="3" borderId="0" xfId="5" applyFont="1" applyBorder="1"/>
    <xf numFmtId="164" fontId="11" fillId="3" borderId="0" xfId="5" applyNumberFormat="1" applyFont="1" applyBorder="1"/>
    <xf numFmtId="0" fontId="1" fillId="12" borderId="0" xfId="14" applyBorder="1"/>
    <xf numFmtId="14" fontId="1" fillId="12" borderId="0" xfId="14" applyNumberFormat="1" applyBorder="1"/>
    <xf numFmtId="0" fontId="13" fillId="5" borderId="0" xfId="7" applyFont="1" applyBorder="1"/>
    <xf numFmtId="42" fontId="13" fillId="5" borderId="0" xfId="7" applyNumberFormat="1" applyFont="1" applyBorder="1"/>
    <xf numFmtId="0" fontId="8" fillId="0" borderId="0" xfId="0" applyFont="1" applyBorder="1" applyAlignment="1"/>
    <xf numFmtId="0" fontId="10" fillId="0" borderId="0" xfId="0" applyFont="1" applyBorder="1" applyAlignment="1"/>
    <xf numFmtId="0" fontId="7" fillId="15" borderId="0" xfId="4" applyFont="1" applyFill="1" applyBorder="1" applyAlignment="1">
      <alignment horizontal="center"/>
    </xf>
    <xf numFmtId="0" fontId="0" fillId="19" borderId="0" xfId="0" applyFill="1" applyBorder="1"/>
    <xf numFmtId="42" fontId="0" fillId="19" borderId="0" xfId="2" applyFont="1" applyFill="1" applyBorder="1" applyAlignment="1">
      <alignment horizontal="right"/>
    </xf>
    <xf numFmtId="42" fontId="0" fillId="19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11" fillId="0" borderId="0" xfId="5" applyFont="1" applyFill="1" applyBorder="1"/>
    <xf numFmtId="164" fontId="11" fillId="0" borderId="0" xfId="5" applyNumberFormat="1" applyFont="1" applyFill="1" applyBorder="1"/>
    <xf numFmtId="0" fontId="7" fillId="0" borderId="0" xfId="4" applyFont="1" applyFill="1" applyBorder="1" applyAlignment="1">
      <alignment horizontal="center"/>
    </xf>
    <xf numFmtId="42" fontId="0" fillId="0" borderId="0" xfId="2" applyFont="1" applyFill="1" applyBorder="1" applyAlignment="1">
      <alignment horizontal="right"/>
    </xf>
    <xf numFmtId="42" fontId="0" fillId="0" borderId="0" xfId="0" applyNumberFormat="1" applyFill="1" applyBorder="1" applyAlignment="1">
      <alignment horizontal="right"/>
    </xf>
    <xf numFmtId="0" fontId="6" fillId="0" borderId="0" xfId="10" applyFont="1" applyFill="1" applyBorder="1" applyAlignment="1">
      <alignment horizontal="center"/>
    </xf>
    <xf numFmtId="0" fontId="1" fillId="17" borderId="0" xfId="10" applyFill="1" applyBorder="1"/>
    <xf numFmtId="0" fontId="6" fillId="16" borderId="0" xfId="0" applyFont="1" applyFill="1"/>
    <xf numFmtId="0" fontId="6" fillId="18" borderId="0" xfId="10" applyFont="1" applyFill="1" applyBorder="1" applyAlignment="1">
      <alignment horizontal="center"/>
    </xf>
    <xf numFmtId="0" fontId="1" fillId="18" borderId="0" xfId="10" applyFill="1" applyBorder="1"/>
    <xf numFmtId="42" fontId="1" fillId="18" borderId="0" xfId="10" applyNumberFormat="1" applyFill="1" applyBorder="1"/>
    <xf numFmtId="0" fontId="6" fillId="18" borderId="2" xfId="10" applyFont="1" applyFill="1" applyBorder="1" applyAlignment="1">
      <alignment horizontal="center"/>
    </xf>
    <xf numFmtId="0" fontId="1" fillId="18" borderId="2" xfId="10" applyFill="1" applyBorder="1"/>
    <xf numFmtId="42" fontId="1" fillId="18" borderId="2" xfId="10" applyNumberFormat="1" applyFill="1" applyBorder="1"/>
    <xf numFmtId="0" fontId="19" fillId="20" borderId="0" xfId="0" applyFont="1" applyFill="1" applyBorder="1"/>
    <xf numFmtId="0" fontId="20" fillId="20" borderId="0" xfId="0" applyFont="1" applyFill="1" applyBorder="1"/>
    <xf numFmtId="0" fontId="0" fillId="0" borderId="0" xfId="0" applyFont="1" applyBorder="1"/>
    <xf numFmtId="0" fontId="19" fillId="11" borderId="0" xfId="13" applyFont="1" applyBorder="1"/>
    <xf numFmtId="0" fontId="0" fillId="23" borderId="0" xfId="0" applyFill="1" applyBorder="1"/>
    <xf numFmtId="42" fontId="0" fillId="23" borderId="0" xfId="2" applyFont="1" applyFill="1" applyBorder="1"/>
    <xf numFmtId="41" fontId="0" fillId="23" borderId="0" xfId="15" applyFont="1" applyFill="1" applyBorder="1"/>
    <xf numFmtId="9" fontId="0" fillId="23" borderId="0" xfId="3" applyFont="1" applyFill="1" applyBorder="1"/>
    <xf numFmtId="165" fontId="0" fillId="23" borderId="0" xfId="3" applyNumberFormat="1" applyFont="1" applyFill="1" applyBorder="1"/>
    <xf numFmtId="0" fontId="0" fillId="23" borderId="0" xfId="0" applyFill="1" applyBorder="1" applyAlignment="1">
      <alignment horizontal="center" vertical="center"/>
    </xf>
    <xf numFmtId="0" fontId="0" fillId="24" borderId="0" xfId="0" applyFont="1" applyFill="1" applyBorder="1"/>
    <xf numFmtId="164" fontId="1" fillId="24" borderId="0" xfId="1" applyNumberFormat="1" applyFont="1" applyFill="1" applyBorder="1"/>
    <xf numFmtId="164" fontId="0" fillId="24" borderId="0" xfId="0" applyNumberFormat="1" applyFont="1" applyFill="1" applyBorder="1"/>
    <xf numFmtId="0" fontId="1" fillId="15" borderId="0" xfId="8" applyFill="1" applyBorder="1"/>
    <xf numFmtId="0" fontId="9" fillId="15" borderId="0" xfId="12" applyFill="1" applyBorder="1"/>
    <xf numFmtId="164" fontId="1" fillId="15" borderId="0" xfId="8" applyNumberFormat="1" applyFill="1" applyBorder="1"/>
    <xf numFmtId="164" fontId="1" fillId="15" borderId="0" xfId="8" applyNumberFormat="1" applyFill="1" applyBorder="1" applyAlignment="1"/>
    <xf numFmtId="0" fontId="6" fillId="15" borderId="0" xfId="8" applyFont="1" applyFill="1" applyBorder="1"/>
    <xf numFmtId="0" fontId="1" fillId="15" borderId="0" xfId="10" applyFill="1" applyBorder="1"/>
    <xf numFmtId="164" fontId="1" fillId="15" borderId="0" xfId="10" applyNumberFormat="1" applyFill="1" applyBorder="1"/>
    <xf numFmtId="0" fontId="1" fillId="15" borderId="0" xfId="9" applyFill="1" applyBorder="1"/>
    <xf numFmtId="0" fontId="0" fillId="15" borderId="0" xfId="9" applyFont="1" applyFill="1" applyBorder="1"/>
    <xf numFmtId="164" fontId="1" fillId="15" borderId="0" xfId="9" applyNumberFormat="1" applyFill="1" applyBorder="1"/>
    <xf numFmtId="0" fontId="6" fillId="15" borderId="0" xfId="9" applyFont="1" applyFill="1" applyBorder="1"/>
    <xf numFmtId="0" fontId="6" fillId="15" borderId="0" xfId="10" applyFont="1" applyFill="1" applyBorder="1"/>
    <xf numFmtId="0" fontId="19" fillId="13" borderId="0" xfId="6" applyFont="1" applyFill="1" applyBorder="1"/>
    <xf numFmtId="0" fontId="19" fillId="13" borderId="0" xfId="6" applyFont="1" applyFill="1" applyBorder="1" applyAlignment="1"/>
    <xf numFmtId="0" fontId="0" fillId="19" borderId="0" xfId="0" applyFont="1" applyFill="1" applyBorder="1"/>
    <xf numFmtId="164" fontId="1" fillId="19" borderId="0" xfId="1" applyNumberFormat="1" applyFont="1" applyFill="1" applyBorder="1"/>
    <xf numFmtId="164" fontId="0" fillId="19" borderId="0" xfId="0" applyNumberFormat="1" applyFont="1" applyFill="1" applyBorder="1"/>
    <xf numFmtId="42" fontId="1" fillId="19" borderId="0" xfId="2" applyFont="1" applyFill="1" applyBorder="1"/>
    <xf numFmtId="164" fontId="0" fillId="19" borderId="0" xfId="0" applyNumberFormat="1" applyFill="1" applyBorder="1"/>
    <xf numFmtId="42" fontId="0" fillId="19" borderId="0" xfId="2" applyFont="1" applyFill="1" applyBorder="1"/>
    <xf numFmtId="9" fontId="0" fillId="19" borderId="0" xfId="3" applyFont="1" applyFill="1" applyBorder="1"/>
    <xf numFmtId="0" fontId="21" fillId="19" borderId="0" xfId="6" applyFont="1" applyFill="1" applyBorder="1"/>
    <xf numFmtId="0" fontId="19" fillId="21" borderId="0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center"/>
    </xf>
    <xf numFmtId="0" fontId="19" fillId="21" borderId="0" xfId="0" applyFont="1" applyFill="1"/>
    <xf numFmtId="0" fontId="19" fillId="22" borderId="0" xfId="0" applyFont="1" applyFill="1" applyBorder="1"/>
    <xf numFmtId="42" fontId="1" fillId="17" borderId="0" xfId="2" applyFill="1" applyBorder="1"/>
    <xf numFmtId="0" fontId="6" fillId="0" borderId="0" xfId="10" applyFont="1" applyFill="1" applyBorder="1"/>
    <xf numFmtId="42" fontId="6" fillId="0" borderId="0" xfId="0" applyNumberFormat="1" applyFont="1" applyFill="1"/>
    <xf numFmtId="0" fontId="0" fillId="17" borderId="0" xfId="10" applyFont="1" applyFill="1" applyBorder="1"/>
    <xf numFmtId="0" fontId="6" fillId="17" borderId="0" xfId="10" applyFont="1" applyFill="1" applyBorder="1"/>
    <xf numFmtId="42" fontId="6" fillId="17" borderId="0" xfId="2" applyFont="1" applyFill="1" applyBorder="1"/>
    <xf numFmtId="0" fontId="1" fillId="0" borderId="0" xfId="10" applyFill="1" applyBorder="1" applyAlignment="1"/>
    <xf numFmtId="42" fontId="1" fillId="17" borderId="0" xfId="10" applyNumberFormat="1" applyFill="1" applyBorder="1"/>
    <xf numFmtId="9" fontId="1" fillId="17" borderId="0" xfId="10" applyNumberFormat="1" applyFill="1" applyBorder="1"/>
    <xf numFmtId="42" fontId="6" fillId="17" borderId="0" xfId="10" applyNumberFormat="1" applyFont="1" applyFill="1" applyBorder="1"/>
    <xf numFmtId="0" fontId="6" fillId="18" borderId="0" xfId="10" applyFont="1" applyFill="1" applyBorder="1"/>
    <xf numFmtId="42" fontId="6" fillId="18" borderId="0" xfId="10" applyNumberFormat="1" applyFont="1" applyFill="1" applyBorder="1"/>
    <xf numFmtId="0" fontId="0" fillId="15" borderId="0" xfId="10" applyFont="1" applyFill="1" applyBorder="1" applyAlignment="1">
      <alignment wrapText="1"/>
    </xf>
    <xf numFmtId="0" fontId="6" fillId="19" borderId="0" xfId="0" applyFont="1" applyFill="1" applyBorder="1"/>
    <xf numFmtId="0" fontId="0" fillId="19" borderId="0" xfId="0" applyFill="1" applyBorder="1" applyAlignment="1">
      <alignment horizontal="left"/>
    </xf>
    <xf numFmtId="0" fontId="0" fillId="19" borderId="0" xfId="2" applyNumberFormat="1" applyFont="1" applyFill="1" applyBorder="1" applyAlignment="1">
      <alignment horizontal="right"/>
    </xf>
    <xf numFmtId="166" fontId="0" fillId="19" borderId="0" xfId="0" applyNumberFormat="1" applyFill="1" applyBorder="1" applyAlignment="1">
      <alignment horizontal="right"/>
    </xf>
    <xf numFmtId="42" fontId="7" fillId="15" borderId="0" xfId="4" applyNumberFormat="1" applyFont="1" applyFill="1" applyBorder="1" applyAlignment="1">
      <alignment horizontal="center"/>
    </xf>
    <xf numFmtId="0" fontId="0" fillId="15" borderId="0" xfId="8" applyFont="1" applyFill="1" applyBorder="1"/>
    <xf numFmtId="0" fontId="0" fillId="15" borderId="0" xfId="8" applyFont="1" applyFill="1" applyBorder="1" applyAlignment="1">
      <alignment horizontal="center"/>
    </xf>
    <xf numFmtId="0" fontId="0" fillId="15" borderId="0" xfId="10" applyFont="1" applyFill="1" applyBorder="1" applyAlignment="1">
      <alignment horizontal="center"/>
    </xf>
    <xf numFmtId="0" fontId="0" fillId="19" borderId="0" xfId="0" applyFill="1" applyBorder="1" applyAlignment="1">
      <alignment horizontal="left" indent="2"/>
    </xf>
    <xf numFmtId="0" fontId="0" fillId="19" borderId="0" xfId="0" applyFill="1" applyBorder="1" applyAlignment="1">
      <alignment horizontal="left" indent="3"/>
    </xf>
    <xf numFmtId="0" fontId="0" fillId="19" borderId="0" xfId="0" applyFont="1" applyFill="1" applyBorder="1" applyAlignment="1"/>
    <xf numFmtId="0" fontId="22" fillId="26" borderId="0" xfId="4" applyFont="1" applyFill="1" applyBorder="1" applyAlignment="1">
      <alignment horizontal="center"/>
    </xf>
    <xf numFmtId="42" fontId="22" fillId="26" borderId="0" xfId="4" applyNumberFormat="1" applyFon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6" fillId="28" borderId="0" xfId="0" applyFont="1" applyFill="1" applyBorder="1"/>
    <xf numFmtId="42" fontId="0" fillId="28" borderId="0" xfId="2" applyFont="1" applyFill="1" applyBorder="1" applyAlignment="1">
      <alignment horizontal="right"/>
    </xf>
    <xf numFmtId="42" fontId="0" fillId="28" borderId="0" xfId="0" applyNumberFormat="1" applyFill="1" applyBorder="1" applyAlignment="1">
      <alignment horizontal="right"/>
    </xf>
    <xf numFmtId="0" fontId="0" fillId="28" borderId="0" xfId="0" applyFill="1" applyBorder="1" applyAlignment="1">
      <alignment horizontal="left" indent="2"/>
    </xf>
    <xf numFmtId="0" fontId="6" fillId="28" borderId="0" xfId="0" applyFont="1" applyFill="1" applyBorder="1" applyAlignment="1">
      <alignment horizontal="left"/>
    </xf>
    <xf numFmtId="42" fontId="6" fillId="28" borderId="0" xfId="2" applyFont="1" applyFill="1" applyBorder="1" applyAlignment="1">
      <alignment horizontal="right"/>
    </xf>
    <xf numFmtId="0" fontId="21" fillId="28" borderId="0" xfId="0" applyFont="1" applyFill="1" applyBorder="1" applyAlignment="1">
      <alignment horizontal="left"/>
    </xf>
    <xf numFmtId="42" fontId="21" fillId="28" borderId="0" xfId="4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0" fontId="6" fillId="0" borderId="0" xfId="0" applyFont="1" applyFill="1" applyBorder="1" applyAlignment="1">
      <alignment horizontal="left"/>
    </xf>
    <xf numFmtId="42" fontId="7" fillId="0" borderId="0" xfId="4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3"/>
    </xf>
    <xf numFmtId="0" fontId="18" fillId="27" borderId="0" xfId="4" applyFont="1" applyFill="1" applyBorder="1" applyAlignment="1">
      <alignment horizontal="center"/>
    </xf>
    <xf numFmtId="42" fontId="18" fillId="27" borderId="0" xfId="4" applyNumberFormat="1" applyFont="1" applyFill="1" applyBorder="1" applyAlignment="1">
      <alignment horizontal="center"/>
    </xf>
    <xf numFmtId="0" fontId="12" fillId="29" borderId="0" xfId="0" applyFont="1" applyFill="1"/>
    <xf numFmtId="0" fontId="8" fillId="0" borderId="0" xfId="0" applyFont="1" applyBorder="1" applyAlignment="1">
      <alignment horizontal="center"/>
    </xf>
    <xf numFmtId="166" fontId="0" fillId="30" borderId="0" xfId="0" applyNumberFormat="1" applyFill="1" applyAlignment="1">
      <alignment horizontal="center"/>
    </xf>
    <xf numFmtId="9" fontId="0" fillId="30" borderId="0" xfId="3" applyFont="1" applyFill="1" applyAlignment="1">
      <alignment horizontal="center"/>
    </xf>
    <xf numFmtId="0" fontId="0" fillId="30" borderId="0" xfId="0" applyFill="1" applyAlignment="1">
      <alignment horizontal="center"/>
    </xf>
    <xf numFmtId="42" fontId="0" fillId="30" borderId="0" xfId="0" applyNumberFormat="1" applyFill="1" applyAlignment="1">
      <alignment horizontal="center"/>
    </xf>
    <xf numFmtId="9" fontId="0" fillId="30" borderId="0" xfId="0" applyNumberFormat="1" applyFill="1" applyAlignment="1">
      <alignment horizontal="center"/>
    </xf>
    <xf numFmtId="9" fontId="0" fillId="30" borderId="0" xfId="15" applyNumberFormat="1" applyFont="1" applyFill="1" applyAlignment="1">
      <alignment horizontal="center"/>
    </xf>
    <xf numFmtId="0" fontId="1" fillId="12" borderId="0" xfId="14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/>
    </xf>
    <xf numFmtId="0" fontId="17" fillId="10" borderId="0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 vertical="center" wrapText="1"/>
    </xf>
    <xf numFmtId="0" fontId="19" fillId="14" borderId="0" xfId="11" applyFont="1" applyFill="1" applyBorder="1" applyAlignment="1">
      <alignment horizontal="center"/>
    </xf>
    <xf numFmtId="0" fontId="1" fillId="18" borderId="0" xfId="10" applyFill="1" applyBorder="1" applyAlignment="1">
      <alignment horizontal="center" vertical="center"/>
    </xf>
    <xf numFmtId="0" fontId="1" fillId="18" borderId="2" xfId="10" applyFill="1" applyBorder="1" applyAlignment="1">
      <alignment horizontal="center" vertical="center"/>
    </xf>
    <xf numFmtId="0" fontId="19" fillId="25" borderId="0" xfId="0" applyFont="1" applyFill="1" applyAlignment="1">
      <alignment horizontal="center"/>
    </xf>
    <xf numFmtId="0" fontId="1" fillId="17" borderId="0" xfId="10" applyFill="1" applyBorder="1" applyAlignment="1">
      <alignment horizontal="center" vertical="center"/>
    </xf>
    <xf numFmtId="42" fontId="1" fillId="24" borderId="0" xfId="1" applyNumberFormat="1" applyFont="1" applyFill="1" applyBorder="1"/>
    <xf numFmtId="9" fontId="1" fillId="24" borderId="0" xfId="1" applyNumberFormat="1" applyFont="1" applyFill="1" applyBorder="1"/>
    <xf numFmtId="0" fontId="0" fillId="0" borderId="0" xfId="0" applyNumberFormat="1" applyFont="1" applyFill="1" applyBorder="1"/>
    <xf numFmtId="0" fontId="1" fillId="0" borderId="0" xfId="1" applyNumberFormat="1" applyFont="1" applyFill="1" applyBorder="1"/>
  </cellXfs>
  <cellStyles count="16">
    <cellStyle name="20% - Énfasis1" xfId="8" builtinId="30"/>
    <cellStyle name="20% - Énfasis2" xfId="14" builtinId="34"/>
    <cellStyle name="20% - Énfasis4" xfId="9" builtinId="42"/>
    <cellStyle name="20% - Énfasis6" xfId="10" builtinId="50"/>
    <cellStyle name="60% - Énfasis6" xfId="11" builtinId="52"/>
    <cellStyle name="Bueno" xfId="4" builtinId="26"/>
    <cellStyle name="Énfasis2" xfId="13" builtinId="33"/>
    <cellStyle name="Hipervínculo" xfId="12" builtinId="8"/>
    <cellStyle name="Incorrecto" xfId="5" builtinId="27"/>
    <cellStyle name="Millares [0]" xfId="15" builtinId="6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7" builtinId="21"/>
  </cellStyles>
  <dxfs count="0"/>
  <tableStyles count="0" defaultTableStyle="TableStyleMedium2" defaultPivotStyle="PivotStyleLight16"/>
  <colors>
    <mruColors>
      <color rgb="FFFF7D7D"/>
      <color rgb="FFFF8989"/>
      <color rgb="FFFF5D5D"/>
      <color rgb="FFFF0505"/>
      <color rgb="FFFF0909"/>
      <color rgb="FFB482DA"/>
      <color rgb="FFA365D1"/>
      <color rgb="FF9148C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3708608/LED-55-UK6350-4K-Ultra-HDSmart-TV/3708608" TargetMode="External"/><Relationship Id="rId13" Type="http://schemas.openxmlformats.org/officeDocument/2006/relationships/hyperlink" Target="https://www.sodimac.cl/sodimac-cl/product/2906961/Silla-100x47x60-cm-beige/2906953" TargetMode="External"/><Relationship Id="rId3" Type="http://schemas.openxmlformats.org/officeDocument/2006/relationships/hyperlink" Target="https://www.pcfactory.cl/producto/20234-logitech-combo-teclado--mouse-mk120-usb" TargetMode="External"/><Relationship Id="rId7" Type="http://schemas.openxmlformats.org/officeDocument/2006/relationships/hyperlink" Target="https://www.sodimac.cl/sodimac-cl/product/2671115/Silla-para-PC-63x104-cm-negro/2671115" TargetMode="External"/><Relationship Id="rId12" Type="http://schemas.openxmlformats.org/officeDocument/2006/relationships/hyperlink" Target="https://www.sodimac.cl/sodimac-cl/product/2841800/Mesa-de-comedor-76x90x150-cm-nogal/2841800" TargetMode="External"/><Relationship Id="rId17" Type="http://schemas.openxmlformats.org/officeDocument/2006/relationships/hyperlink" Target="https://www.pcfactory.cl/producto/32507-acer-notebook-ultraliviano-swift-3-14-intel-i5-8250u-8gb-256gb-ssd-fhd-windows-10-sf314-54-51j6-1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sodimac.cl/sodimac-cl/product/315498X/Escritorio-Naira-120x56x76-cm-blanco-y-oak/315498X" TargetMode="External"/><Relationship Id="rId11" Type="http://schemas.openxmlformats.org/officeDocument/2006/relationships/hyperlink" Target="https://www.sodimac.cl/sodimac-cl/product/3450112/Aire-acondicionado-split-inverter-24000-BTU-blanco/3450112" TargetMode="External"/><Relationship Id="rId5" Type="http://schemas.openxmlformats.org/officeDocument/2006/relationships/hyperlink" Target="https://www.pcfactory.cl/producto/29871-gear-monitor-23-8-mc2435a-slim-bezel-full-hd" TargetMode="External"/><Relationship Id="rId15" Type="http://schemas.openxmlformats.org/officeDocument/2006/relationships/hyperlink" Target="https://inmueble.mercadolibre.cl/MLC-474796236-torre-nueva-barcelona-_JM" TargetMode="External"/><Relationship Id="rId10" Type="http://schemas.openxmlformats.org/officeDocument/2006/relationships/hyperlink" Target="https://www.sodimac.cl/sodimac-cl/product/3774627/Sillon-pouf-90x60x140-cm-azul/3774627" TargetMode="External"/><Relationship Id="rId4" Type="http://schemas.openxmlformats.org/officeDocument/2006/relationships/hyperlink" Target="https://www.pcfactory.cl/producto/6254-kensington-mouse-pad--apoya-muneca-wrist-pillow" TargetMode="External"/><Relationship Id="rId9" Type="http://schemas.openxmlformats.org/officeDocument/2006/relationships/hyperlink" Target="https://www.sodimac.cl/sodimac-cl/product/2922401/Kit-soporte-15%C2%B0-abrazadera-doble-32-a-55-/2922401" TargetMode="External"/><Relationship Id="rId14" Type="http://schemas.openxmlformats.org/officeDocument/2006/relationships/hyperlink" Target="https://www.sodimac.cl/sodimac-cl/product/310467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6B9D-062F-42E5-B554-E8414B206157}">
  <sheetPr>
    <tabColor rgb="FFC00000"/>
  </sheetPr>
  <dimension ref="B2:I59"/>
  <sheetViews>
    <sheetView showGridLines="0" zoomScaleNormal="100" workbookViewId="0">
      <selection activeCell="C12" sqref="C12"/>
    </sheetView>
  </sheetViews>
  <sheetFormatPr baseColWidth="10" defaultRowHeight="15" x14ac:dyDescent="0.25"/>
  <cols>
    <col min="2" max="2" width="35.5703125" bestFit="1" customWidth="1"/>
    <col min="3" max="3" width="14.5703125" bestFit="1" customWidth="1"/>
    <col min="4" max="4" width="13" bestFit="1" customWidth="1"/>
    <col min="5" max="6" width="19.28515625" bestFit="1" customWidth="1"/>
    <col min="7" max="9" width="20.28515625" bestFit="1" customWidth="1"/>
    <col min="10" max="11" width="11.42578125" customWidth="1"/>
  </cols>
  <sheetData>
    <row r="2" spans="2:9" ht="21" x14ac:dyDescent="0.35">
      <c r="B2" s="122" t="s">
        <v>191</v>
      </c>
      <c r="C2" s="122"/>
      <c r="D2" s="122"/>
      <c r="E2" s="122"/>
      <c r="F2" s="122"/>
      <c r="G2" s="122"/>
      <c r="H2" s="122"/>
      <c r="I2" s="122"/>
    </row>
    <row r="4" spans="2:9" x14ac:dyDescent="0.25">
      <c r="B4" s="103" t="s">
        <v>0</v>
      </c>
      <c r="C4" s="103">
        <v>0</v>
      </c>
      <c r="D4" s="103">
        <v>1</v>
      </c>
      <c r="E4" s="103">
        <v>2</v>
      </c>
      <c r="F4" s="103">
        <v>3</v>
      </c>
      <c r="G4" s="103">
        <v>4</v>
      </c>
      <c r="H4" s="103">
        <v>5</v>
      </c>
      <c r="I4" s="103">
        <v>6</v>
      </c>
    </row>
    <row r="5" spans="2:9" x14ac:dyDescent="0.25">
      <c r="B5" s="19" t="s">
        <v>177</v>
      </c>
      <c r="C5" s="94">
        <f>C8+C9+C10+C11</f>
        <v>421060698</v>
      </c>
      <c r="D5" s="94">
        <f>D8+D9+D10+D11</f>
        <v>385075000</v>
      </c>
      <c r="E5" s="94">
        <f t="shared" ref="E5:I5" si="0">E8+E9+E10+E11</f>
        <v>770150000</v>
      </c>
      <c r="F5" s="94">
        <f>F8+F9+F10+F11</f>
        <v>1155225000</v>
      </c>
      <c r="G5" s="94">
        <f t="shared" si="0"/>
        <v>1540300000</v>
      </c>
      <c r="H5" s="94">
        <f t="shared" si="0"/>
        <v>1925374999.9999998</v>
      </c>
      <c r="I5" s="94">
        <f t="shared" si="0"/>
        <v>2310449999.9999995</v>
      </c>
    </row>
    <row r="6" spans="2:9" x14ac:dyDescent="0.25">
      <c r="B6" s="90" t="s">
        <v>157</v>
      </c>
      <c r="C6" s="19"/>
      <c r="D6" s="19"/>
      <c r="E6" s="19"/>
      <c r="F6" s="19"/>
      <c r="G6" s="19"/>
      <c r="H6" s="19"/>
      <c r="I6" s="19"/>
    </row>
    <row r="7" spans="2:9" x14ac:dyDescent="0.25">
      <c r="B7" s="98" t="s">
        <v>155</v>
      </c>
      <c r="C7" s="92">
        <v>0</v>
      </c>
      <c r="D7" s="93">
        <f>Complementario!$C$9/6</f>
        <v>2567.1666666666665</v>
      </c>
      <c r="E7" s="93">
        <f>$D$7+D7</f>
        <v>5134.333333333333</v>
      </c>
      <c r="F7" s="93">
        <f t="shared" ref="F7:I7" si="1">$D$7+E7</f>
        <v>7701.5</v>
      </c>
      <c r="G7" s="93">
        <f t="shared" si="1"/>
        <v>10268.666666666666</v>
      </c>
      <c r="H7" s="93">
        <f t="shared" si="1"/>
        <v>12835.833333333332</v>
      </c>
      <c r="I7" s="93">
        <f t="shared" si="1"/>
        <v>15402.999999999998</v>
      </c>
    </row>
    <row r="8" spans="2:9" x14ac:dyDescent="0.25">
      <c r="B8" s="98" t="s">
        <v>156</v>
      </c>
      <c r="C8" s="21">
        <v>0</v>
      </c>
      <c r="D8" s="22">
        <f>Complementario!$C$5*D7</f>
        <v>385075000</v>
      </c>
      <c r="E8" s="22">
        <f>Complementario!$C$5*E7</f>
        <v>770150000</v>
      </c>
      <c r="F8" s="22">
        <f>Complementario!$C$5*F7</f>
        <v>1155225000</v>
      </c>
      <c r="G8" s="22">
        <f>Complementario!$C$5*G7</f>
        <v>1540300000</v>
      </c>
      <c r="H8" s="22">
        <f>Complementario!$C$5*H7</f>
        <v>1925374999.9999998</v>
      </c>
      <c r="I8" s="22">
        <f>Complementario!$C$5*I7</f>
        <v>2310449999.9999995</v>
      </c>
    </row>
    <row r="9" spans="2:9" x14ac:dyDescent="0.25">
      <c r="B9" s="91" t="s">
        <v>169</v>
      </c>
      <c r="C9" s="21">
        <f>'Costos de desarrollo'!$K$25</f>
        <v>409212000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</row>
    <row r="10" spans="2:9" x14ac:dyDescent="0.25">
      <c r="B10" s="91" t="s">
        <v>168</v>
      </c>
      <c r="C10" s="21"/>
      <c r="D10" s="22"/>
      <c r="E10" s="22"/>
      <c r="F10" s="22"/>
      <c r="G10" s="22"/>
      <c r="H10" s="22"/>
      <c r="I10" s="22"/>
    </row>
    <row r="11" spans="2:9" x14ac:dyDescent="0.25">
      <c r="B11" s="91" t="s">
        <v>170</v>
      </c>
      <c r="C11" s="21">
        <f>'Costo de Implementacion'!$E$10</f>
        <v>11848698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</row>
    <row r="12" spans="2:9" x14ac:dyDescent="0.25">
      <c r="B12" s="91" t="s">
        <v>158</v>
      </c>
      <c r="C12" s="21">
        <f>Complementario!$I$8</f>
        <v>550000000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</row>
    <row r="13" spans="2:9" x14ac:dyDescent="0.25">
      <c r="B13" s="112"/>
      <c r="C13" s="27"/>
      <c r="D13" s="28"/>
      <c r="E13" s="28"/>
      <c r="F13" s="28"/>
      <c r="G13" s="28"/>
      <c r="H13" s="28"/>
      <c r="I13" s="28"/>
    </row>
    <row r="14" spans="2:9" x14ac:dyDescent="0.25">
      <c r="B14" s="101" t="s">
        <v>178</v>
      </c>
      <c r="C14" s="102">
        <f>SUM(C15,C18)</f>
        <v>41937886</v>
      </c>
      <c r="D14" s="102">
        <f>SUM(D15,D18)</f>
        <v>8348376</v>
      </c>
      <c r="E14" s="102">
        <f t="shared" ref="E14:I14" si="2">SUM(E15,E18)</f>
        <v>8348376</v>
      </c>
      <c r="F14" s="102">
        <f t="shared" si="2"/>
        <v>8348376</v>
      </c>
      <c r="G14" s="102">
        <f t="shared" si="2"/>
        <v>8348376</v>
      </c>
      <c r="H14" s="102">
        <f t="shared" si="2"/>
        <v>8348376</v>
      </c>
      <c r="I14" s="102">
        <f t="shared" si="2"/>
        <v>8348376</v>
      </c>
    </row>
    <row r="15" spans="2:9" x14ac:dyDescent="0.25">
      <c r="B15" s="104" t="s">
        <v>159</v>
      </c>
      <c r="C15" s="105">
        <f>SUM(C16,C17)</f>
        <v>33589510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</row>
    <row r="16" spans="2:9" x14ac:dyDescent="0.25">
      <c r="B16" s="107" t="s">
        <v>160</v>
      </c>
      <c r="C16" s="105">
        <f>'Activo Fijos y Nominales'!$F$12</f>
        <v>24770350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</row>
    <row r="17" spans="2:9" x14ac:dyDescent="0.25">
      <c r="B17" s="107" t="s">
        <v>161</v>
      </c>
      <c r="C17" s="105">
        <f>'Activo Fijos y Nominales'!$F$25</f>
        <v>8819160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</row>
    <row r="18" spans="2:9" x14ac:dyDescent="0.25">
      <c r="B18" s="108" t="s">
        <v>5</v>
      </c>
      <c r="C18" s="109">
        <f>SUM(C19:C22)</f>
        <v>8348376</v>
      </c>
      <c r="D18" s="109">
        <f t="shared" ref="D18:I18" si="3">SUM(D19:D22)</f>
        <v>8348376</v>
      </c>
      <c r="E18" s="109">
        <f t="shared" si="3"/>
        <v>8348376</v>
      </c>
      <c r="F18" s="109">
        <f t="shared" si="3"/>
        <v>8348376</v>
      </c>
      <c r="G18" s="109">
        <f t="shared" si="3"/>
        <v>8348376</v>
      </c>
      <c r="H18" s="109">
        <f t="shared" si="3"/>
        <v>8348376</v>
      </c>
      <c r="I18" s="109">
        <f t="shared" si="3"/>
        <v>8348376</v>
      </c>
    </row>
    <row r="19" spans="2:9" x14ac:dyDescent="0.25">
      <c r="B19" s="107" t="s">
        <v>176</v>
      </c>
      <c r="C19" s="105">
        <f>'Costo de Implementacion'!$E$5*12</f>
        <v>3476736</v>
      </c>
      <c r="D19" s="105">
        <f>'Costo de Implementacion'!$E$5*12</f>
        <v>3476736</v>
      </c>
      <c r="E19" s="105">
        <f>'Costo de Implementacion'!$E$5*12</f>
        <v>3476736</v>
      </c>
      <c r="F19" s="105">
        <f>'Costo de Implementacion'!$E$5*12</f>
        <v>3476736</v>
      </c>
      <c r="G19" s="105">
        <f>'Costo de Implementacion'!$E$5*12</f>
        <v>3476736</v>
      </c>
      <c r="H19" s="105">
        <f>'Costo de Implementacion'!$E$5*12</f>
        <v>3476736</v>
      </c>
      <c r="I19" s="105">
        <f>'Costo de Implementacion'!$E$5*12</f>
        <v>3476736</v>
      </c>
    </row>
    <row r="20" spans="2:9" x14ac:dyDescent="0.25">
      <c r="B20" s="107" t="s">
        <v>174</v>
      </c>
      <c r="C20" s="105">
        <f>'Costo de Implementacion'!$E$14*12</f>
        <v>1092000</v>
      </c>
      <c r="D20" s="105">
        <f>'Costo de Implementacion'!$E$14*12</f>
        <v>1092000</v>
      </c>
      <c r="E20" s="105">
        <f>'Costo de Implementacion'!$E$14*12</f>
        <v>1092000</v>
      </c>
      <c r="F20" s="105">
        <f>'Costo de Implementacion'!$E$14*12</f>
        <v>1092000</v>
      </c>
      <c r="G20" s="105">
        <f>'Costo de Implementacion'!$E$14*12</f>
        <v>1092000</v>
      </c>
      <c r="H20" s="105">
        <f>'Costo de Implementacion'!$E$14*12</f>
        <v>1092000</v>
      </c>
      <c r="I20" s="105">
        <f>'Costo de Implementacion'!$E$14*12</f>
        <v>1092000</v>
      </c>
    </row>
    <row r="21" spans="2:9" x14ac:dyDescent="0.25">
      <c r="B21" s="107" t="s">
        <v>175</v>
      </c>
      <c r="C21" s="105">
        <f>'Costo de Implementacion'!$E$13*12</f>
        <v>1872000</v>
      </c>
      <c r="D21" s="105">
        <f>'Costo de Implementacion'!$E$13*12</f>
        <v>1872000</v>
      </c>
      <c r="E21" s="105">
        <f>'Costo de Implementacion'!$E$13*12</f>
        <v>1872000</v>
      </c>
      <c r="F21" s="105">
        <f>'Costo de Implementacion'!$E$13*12</f>
        <v>1872000</v>
      </c>
      <c r="G21" s="105">
        <f>'Costo de Implementacion'!$E$13*12</f>
        <v>1872000</v>
      </c>
      <c r="H21" s="105">
        <f>'Costo de Implementacion'!$E$13*12</f>
        <v>1872000</v>
      </c>
      <c r="I21" s="105">
        <f>'Costo de Implementacion'!$E$13*12</f>
        <v>1872000</v>
      </c>
    </row>
    <row r="22" spans="2:9" x14ac:dyDescent="0.25">
      <c r="B22" s="107" t="s">
        <v>162</v>
      </c>
      <c r="C22" s="105">
        <f>'Costo de Implementacion'!$E$6*12</f>
        <v>1907640</v>
      </c>
      <c r="D22" s="105">
        <f>'Costo de Implementacion'!$E$6*12</f>
        <v>1907640</v>
      </c>
      <c r="E22" s="105">
        <f>'Costo de Implementacion'!$E$6*12</f>
        <v>1907640</v>
      </c>
      <c r="F22" s="105">
        <f>'Costo de Implementacion'!$E$6*12</f>
        <v>1907640</v>
      </c>
      <c r="G22" s="105">
        <f>'Costo de Implementacion'!$E$6*12</f>
        <v>1907640</v>
      </c>
      <c r="H22" s="105">
        <f>'Costo de Implementacion'!$E$6*12</f>
        <v>1907640</v>
      </c>
      <c r="I22" s="105">
        <f>'Costo de Implementacion'!$E$6*12</f>
        <v>1907640</v>
      </c>
    </row>
    <row r="23" spans="2:9" x14ac:dyDescent="0.25">
      <c r="B23" s="113"/>
      <c r="C23" s="27"/>
      <c r="D23" s="27"/>
      <c r="E23" s="27"/>
      <c r="F23" s="27"/>
      <c r="G23" s="27"/>
      <c r="H23" s="27"/>
      <c r="I23" s="27"/>
    </row>
    <row r="24" spans="2:9" x14ac:dyDescent="0.25">
      <c r="B24" s="101" t="s">
        <v>165</v>
      </c>
      <c r="C24" s="102">
        <f t="shared" ref="C24:I24" si="4">C25+C28</f>
        <v>0</v>
      </c>
      <c r="D24" s="102">
        <f t="shared" si="4"/>
        <v>148588637.70232338</v>
      </c>
      <c r="E24" s="102">
        <f t="shared" si="4"/>
        <v>131793882.70232336</v>
      </c>
      <c r="F24" s="102">
        <f t="shared" si="4"/>
        <v>126195631.03565669</v>
      </c>
      <c r="G24" s="102">
        <f t="shared" si="4"/>
        <v>123396505.20232336</v>
      </c>
      <c r="H24" s="102">
        <f t="shared" si="4"/>
        <v>121717029.70232336</v>
      </c>
      <c r="I24" s="102">
        <f t="shared" si="4"/>
        <v>5598251.666666666</v>
      </c>
    </row>
    <row r="25" spans="2:9" x14ac:dyDescent="0.25">
      <c r="B25" s="108" t="s">
        <v>171</v>
      </c>
      <c r="C25" s="105">
        <f>C26+C27</f>
        <v>0</v>
      </c>
      <c r="D25" s="105">
        <f t="shared" ref="D25:I25" si="5">D26+D27</f>
        <v>33589510</v>
      </c>
      <c r="E25" s="105">
        <f t="shared" si="5"/>
        <v>16794755</v>
      </c>
      <c r="F25" s="105">
        <f t="shared" si="5"/>
        <v>11196503.333333332</v>
      </c>
      <c r="G25" s="105">
        <f t="shared" si="5"/>
        <v>8397377.5</v>
      </c>
      <c r="H25" s="105">
        <f t="shared" si="5"/>
        <v>6717902</v>
      </c>
      <c r="I25" s="105">
        <f t="shared" si="5"/>
        <v>5598251.666666666</v>
      </c>
    </row>
    <row r="26" spans="2:9" x14ac:dyDescent="0.25">
      <c r="B26" s="107" t="s">
        <v>172</v>
      </c>
      <c r="C26" s="105">
        <v>0</v>
      </c>
      <c r="D26" s="105">
        <f>'Activo Fijos y Nominales'!$F$12/D4</f>
        <v>24770350</v>
      </c>
      <c r="E26" s="105">
        <f>'Activo Fijos y Nominales'!$F$12/E4</f>
        <v>12385175</v>
      </c>
      <c r="F26" s="105">
        <f>'Activo Fijos y Nominales'!$F$12/F4</f>
        <v>8256783.333333333</v>
      </c>
      <c r="G26" s="105">
        <f>'Activo Fijos y Nominales'!$F$12/G4</f>
        <v>6192587.5</v>
      </c>
      <c r="H26" s="105">
        <f>'Activo Fijos y Nominales'!$F$12/H4</f>
        <v>4954070</v>
      </c>
      <c r="I26" s="105">
        <f>'Activo Fijos y Nominales'!$F$12/I4</f>
        <v>4128391.6666666665</v>
      </c>
    </row>
    <row r="27" spans="2:9" x14ac:dyDescent="0.25">
      <c r="B27" s="107" t="s">
        <v>173</v>
      </c>
      <c r="C27" s="105"/>
      <c r="D27" s="105">
        <f>'Activo Fijos y Nominales'!$F$25/D4</f>
        <v>8819160</v>
      </c>
      <c r="E27" s="105">
        <f>'Activo Fijos y Nominales'!$F$25/E4</f>
        <v>4409580</v>
      </c>
      <c r="F27" s="105">
        <f>'Activo Fijos y Nominales'!$F$25/F4</f>
        <v>2939720</v>
      </c>
      <c r="G27" s="105">
        <f>'Activo Fijos y Nominales'!$F$25/G4</f>
        <v>2204790</v>
      </c>
      <c r="H27" s="105">
        <f>'Activo Fijos y Nominales'!$F$25/H4</f>
        <v>1763832</v>
      </c>
      <c r="I27" s="105">
        <f>'Activo Fijos y Nominales'!$F$25/I4</f>
        <v>1469860</v>
      </c>
    </row>
    <row r="28" spans="2:9" x14ac:dyDescent="0.25">
      <c r="B28" s="108" t="s">
        <v>53</v>
      </c>
      <c r="C28" s="105">
        <v>0</v>
      </c>
      <c r="D28" s="105">
        <f>Amortizacion!D5</f>
        <v>114999127.70232336</v>
      </c>
      <c r="E28" s="105">
        <f>Amortizacion!E5</f>
        <v>114999127.70232336</v>
      </c>
      <c r="F28" s="105">
        <f>Amortizacion!F5</f>
        <v>114999127.70232336</v>
      </c>
      <c r="G28" s="105">
        <f>Amortizacion!G5</f>
        <v>114999127.70232336</v>
      </c>
      <c r="H28" s="105">
        <f>Amortizacion!H5</f>
        <v>114999127.70232336</v>
      </c>
      <c r="I28" s="105">
        <f>Amortizacion!I5</f>
        <v>0</v>
      </c>
    </row>
    <row r="29" spans="2:9" x14ac:dyDescent="0.25">
      <c r="B29" s="114"/>
      <c r="C29" s="27"/>
      <c r="D29" s="27"/>
      <c r="E29" s="27"/>
      <c r="F29" s="27"/>
      <c r="G29" s="27"/>
      <c r="H29" s="27"/>
      <c r="I29" s="27"/>
    </row>
    <row r="30" spans="2:9" x14ac:dyDescent="0.25">
      <c r="B30" s="119" t="s">
        <v>166</v>
      </c>
      <c r="C30" s="120">
        <f t="shared" ref="C30:I30" si="6">C5+C14+C24</f>
        <v>462998584</v>
      </c>
      <c r="D30" s="120">
        <f t="shared" si="6"/>
        <v>542012013.70232344</v>
      </c>
      <c r="E30" s="120">
        <f t="shared" si="6"/>
        <v>910292258.70232332</v>
      </c>
      <c r="F30" s="120">
        <f t="shared" si="6"/>
        <v>1289769007.0356567</v>
      </c>
      <c r="G30" s="120">
        <f t="shared" si="6"/>
        <v>1672044881.2023234</v>
      </c>
      <c r="H30" s="120">
        <f t="shared" si="6"/>
        <v>2055440405.7023232</v>
      </c>
      <c r="I30" s="120">
        <f t="shared" si="6"/>
        <v>2324396627.666666</v>
      </c>
    </row>
    <row r="31" spans="2:9" x14ac:dyDescent="0.25">
      <c r="B31" s="110" t="s">
        <v>188</v>
      </c>
      <c r="C31" s="111">
        <f>C30*Complementario!$C$13</f>
        <v>125009617.68000001</v>
      </c>
      <c r="D31" s="111">
        <f>D30*Complementario!$C$13</f>
        <v>146343243.69962734</v>
      </c>
      <c r="E31" s="111">
        <f>E30*Complementario!$C$13</f>
        <v>245778909.84962732</v>
      </c>
      <c r="F31" s="111">
        <f>F30*Complementario!$C$13</f>
        <v>348237631.89962733</v>
      </c>
      <c r="G31" s="111">
        <f>G30*Complementario!$C$13</f>
        <v>451452117.92462736</v>
      </c>
      <c r="H31" s="111">
        <f>H30*Complementario!$C$13</f>
        <v>554968909.53962731</v>
      </c>
      <c r="I31" s="111">
        <f>I30*Complementario!$C$13</f>
        <v>627587089.46999991</v>
      </c>
    </row>
    <row r="32" spans="2:9" x14ac:dyDescent="0.25">
      <c r="B32" s="119" t="s">
        <v>167</v>
      </c>
      <c r="C32" s="120">
        <f>C31</f>
        <v>125009617.68000001</v>
      </c>
      <c r="D32" s="120">
        <f t="shared" ref="D32:I32" si="7">D31</f>
        <v>146343243.69962734</v>
      </c>
      <c r="E32" s="120">
        <f t="shared" si="7"/>
        <v>245778909.84962732</v>
      </c>
      <c r="F32" s="120">
        <f t="shared" si="7"/>
        <v>348237631.89962733</v>
      </c>
      <c r="G32" s="120">
        <f t="shared" si="7"/>
        <v>451452117.92462736</v>
      </c>
      <c r="H32" s="120">
        <f t="shared" si="7"/>
        <v>554968909.53962731</v>
      </c>
      <c r="I32" s="120">
        <f t="shared" si="7"/>
        <v>627587089.46999991</v>
      </c>
    </row>
    <row r="33" spans="2:9" x14ac:dyDescent="0.25">
      <c r="B33" s="26"/>
      <c r="C33" s="115"/>
      <c r="D33" s="115"/>
      <c r="E33" s="115"/>
      <c r="F33" s="115"/>
      <c r="G33" s="115"/>
      <c r="H33" s="115"/>
      <c r="I33" s="115"/>
    </row>
    <row r="34" spans="2:9" x14ac:dyDescent="0.25">
      <c r="B34" s="19" t="s">
        <v>179</v>
      </c>
      <c r="C34" s="94"/>
      <c r="D34" s="94"/>
      <c r="E34" s="94"/>
      <c r="F34" s="94"/>
      <c r="G34" s="94"/>
      <c r="H34" s="94"/>
      <c r="I34" s="94"/>
    </row>
    <row r="35" spans="2:9" x14ac:dyDescent="0.25">
      <c r="B35" s="100" t="s">
        <v>157</v>
      </c>
      <c r="C35" s="21">
        <f t="shared" ref="C35:I35" si="8">C8</f>
        <v>0</v>
      </c>
      <c r="D35" s="21">
        <f t="shared" si="8"/>
        <v>385075000</v>
      </c>
      <c r="E35" s="21">
        <f t="shared" si="8"/>
        <v>770150000</v>
      </c>
      <c r="F35" s="21">
        <f t="shared" si="8"/>
        <v>1155225000</v>
      </c>
      <c r="G35" s="21">
        <f t="shared" si="8"/>
        <v>1540300000</v>
      </c>
      <c r="H35" s="21">
        <f t="shared" si="8"/>
        <v>1925374999.9999998</v>
      </c>
      <c r="I35" s="21">
        <f t="shared" si="8"/>
        <v>2310449999.9999995</v>
      </c>
    </row>
    <row r="36" spans="2:9" x14ac:dyDescent="0.25">
      <c r="B36" s="116"/>
      <c r="C36" s="27"/>
      <c r="D36" s="27"/>
      <c r="E36" s="27"/>
      <c r="F36" s="27"/>
      <c r="G36" s="27"/>
      <c r="H36" s="27"/>
      <c r="I36" s="27"/>
    </row>
    <row r="37" spans="2:9" x14ac:dyDescent="0.25">
      <c r="B37" s="101" t="s">
        <v>180</v>
      </c>
      <c r="C37" s="101"/>
      <c r="D37" s="101"/>
      <c r="E37" s="101"/>
      <c r="F37" s="101"/>
      <c r="G37" s="101"/>
      <c r="H37" s="101"/>
      <c r="I37" s="101"/>
    </row>
    <row r="38" spans="2:9" x14ac:dyDescent="0.25">
      <c r="B38" s="110" t="s">
        <v>182</v>
      </c>
      <c r="C38" s="105">
        <f>C14</f>
        <v>41937886</v>
      </c>
      <c r="D38" s="105">
        <f t="shared" ref="D38:I38" si="9">D14</f>
        <v>8348376</v>
      </c>
      <c r="E38" s="105">
        <f t="shared" si="9"/>
        <v>8348376</v>
      </c>
      <c r="F38" s="105">
        <f t="shared" si="9"/>
        <v>8348376</v>
      </c>
      <c r="G38" s="105">
        <f t="shared" si="9"/>
        <v>8348376</v>
      </c>
      <c r="H38" s="105">
        <f t="shared" si="9"/>
        <v>8348376</v>
      </c>
      <c r="I38" s="105">
        <f t="shared" si="9"/>
        <v>8348376</v>
      </c>
    </row>
    <row r="39" spans="2:9" x14ac:dyDescent="0.25">
      <c r="B39" s="117"/>
      <c r="C39" s="27"/>
      <c r="D39" s="27"/>
      <c r="E39" s="27"/>
      <c r="F39" s="27"/>
      <c r="G39" s="27"/>
      <c r="H39" s="27"/>
      <c r="I39" s="27"/>
    </row>
    <row r="40" spans="2:9" x14ac:dyDescent="0.25">
      <c r="B40" s="19" t="s">
        <v>181</v>
      </c>
      <c r="C40" s="94"/>
      <c r="D40" s="94"/>
      <c r="E40" s="94"/>
      <c r="F40" s="94"/>
      <c r="G40" s="94"/>
      <c r="H40" s="94"/>
      <c r="I40" s="94"/>
    </row>
    <row r="41" spans="2:9" x14ac:dyDescent="0.25">
      <c r="B41" s="99" t="s">
        <v>183</v>
      </c>
      <c r="C41" s="21">
        <f>'Valor Desecho'!$E$15</f>
        <v>1259880.0000000002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</row>
    <row r="42" spans="2:9" s="5" customFormat="1" x14ac:dyDescent="0.25">
      <c r="B42" s="118"/>
      <c r="C42" s="27"/>
      <c r="D42" s="27"/>
      <c r="E42" s="27"/>
      <c r="F42" s="27"/>
      <c r="G42" s="27"/>
      <c r="H42" s="27"/>
      <c r="I42" s="27"/>
    </row>
    <row r="43" spans="2:9" x14ac:dyDescent="0.25">
      <c r="B43" s="119" t="s">
        <v>153</v>
      </c>
      <c r="C43" s="21">
        <f>C12-C9-C15-C18+C35</f>
        <v>98850114</v>
      </c>
      <c r="D43" s="21">
        <f t="shared" ref="D43:I43" si="10">D8-SUM(D18,D28,D9,D15)</f>
        <v>261727496.29767662</v>
      </c>
      <c r="E43" s="21">
        <f t="shared" si="10"/>
        <v>646802496.29767668</v>
      </c>
      <c r="F43" s="21">
        <f t="shared" si="10"/>
        <v>1031877496.2976767</v>
      </c>
      <c r="G43" s="21">
        <f t="shared" si="10"/>
        <v>1416952496.2976766</v>
      </c>
      <c r="H43" s="21">
        <f t="shared" si="10"/>
        <v>1802027496.2976763</v>
      </c>
      <c r="I43" s="21">
        <f t="shared" si="10"/>
        <v>2302101623.9999995</v>
      </c>
    </row>
    <row r="44" spans="2:9" x14ac:dyDescent="0.25">
      <c r="B44" s="119" t="s">
        <v>154</v>
      </c>
      <c r="C44" s="21">
        <f>C43</f>
        <v>98850114</v>
      </c>
      <c r="D44" s="21">
        <f>C44+D43</f>
        <v>360577610.29767662</v>
      </c>
      <c r="E44" s="21">
        <f>D44+E43</f>
        <v>1007380106.5953534</v>
      </c>
      <c r="F44" s="21">
        <f t="shared" ref="F44:I44" si="11">E44+F43</f>
        <v>2039257602.8930302</v>
      </c>
      <c r="G44" s="21">
        <f t="shared" si="11"/>
        <v>3456210099.1907067</v>
      </c>
      <c r="H44" s="21">
        <f t="shared" si="11"/>
        <v>5258237595.4883833</v>
      </c>
      <c r="I44" s="21">
        <f t="shared" si="11"/>
        <v>7560339219.4883823</v>
      </c>
    </row>
    <row r="45" spans="2:9" x14ac:dyDescent="0.25">
      <c r="B45" s="119" t="s">
        <v>187</v>
      </c>
      <c r="C45" s="105">
        <f>-Complementario!I8</f>
        <v>-550000000</v>
      </c>
      <c r="D45" s="21">
        <f>D43</f>
        <v>261727496.29767662</v>
      </c>
      <c r="E45" s="21">
        <f t="shared" ref="E45:I45" si="12">E43</f>
        <v>646802496.29767668</v>
      </c>
      <c r="F45" s="21">
        <f t="shared" si="12"/>
        <v>1031877496.2976767</v>
      </c>
      <c r="G45" s="21">
        <f t="shared" si="12"/>
        <v>1416952496.2976766</v>
      </c>
      <c r="H45" s="21">
        <f t="shared" si="12"/>
        <v>1802027496.2976763</v>
      </c>
      <c r="I45" s="21">
        <f t="shared" si="12"/>
        <v>2302101623.9999995</v>
      </c>
    </row>
    <row r="46" spans="2:9" x14ac:dyDescent="0.25">
      <c r="B46" s="8"/>
      <c r="C46" s="27"/>
      <c r="D46" s="28"/>
      <c r="E46" s="28"/>
      <c r="F46" s="28"/>
      <c r="G46" s="28"/>
      <c r="H46" s="28"/>
      <c r="I46" s="28"/>
    </row>
    <row r="47" spans="2:9" x14ac:dyDescent="0.25">
      <c r="B47" s="26"/>
      <c r="C47" s="26"/>
      <c r="D47" s="26"/>
      <c r="E47" s="26"/>
      <c r="F47" s="26"/>
      <c r="G47" s="26"/>
      <c r="H47" s="26"/>
      <c r="I47" s="26"/>
    </row>
    <row r="48" spans="2:9" x14ac:dyDescent="0.25">
      <c r="B48" s="27"/>
      <c r="C48" s="28"/>
      <c r="D48" s="28"/>
      <c r="E48" s="28"/>
      <c r="F48" s="28"/>
      <c r="G48" s="28"/>
      <c r="H48" s="28"/>
      <c r="I48" s="28"/>
    </row>
    <row r="49" spans="2:9" x14ac:dyDescent="0.25">
      <c r="B49" s="26"/>
      <c r="C49" s="26"/>
      <c r="D49" s="26"/>
      <c r="E49" s="26"/>
      <c r="F49" s="26"/>
      <c r="G49" s="26"/>
      <c r="H49" s="26"/>
      <c r="I49" s="26"/>
    </row>
    <row r="50" spans="2:9" x14ac:dyDescent="0.25">
      <c r="B50" s="27"/>
      <c r="C50" s="28"/>
      <c r="D50" s="28"/>
      <c r="E50" s="28"/>
      <c r="F50" s="28"/>
      <c r="G50" s="28"/>
      <c r="H50" s="28"/>
      <c r="I50" s="28"/>
    </row>
    <row r="51" spans="2:9" x14ac:dyDescent="0.25">
      <c r="B51" s="26"/>
      <c r="C51" s="26"/>
      <c r="D51" s="26"/>
      <c r="E51" s="26"/>
      <c r="F51" s="26"/>
      <c r="G51" s="26"/>
      <c r="H51" s="26"/>
      <c r="I51" s="26"/>
    </row>
    <row r="52" spans="2:9" x14ac:dyDescent="0.25">
      <c r="B52" s="27"/>
      <c r="C52" s="28"/>
      <c r="D52" s="28"/>
      <c r="E52" s="28"/>
      <c r="F52" s="28"/>
      <c r="G52" s="28"/>
      <c r="H52" s="28"/>
      <c r="I52" s="28"/>
    </row>
    <row r="53" spans="2:9" x14ac:dyDescent="0.25">
      <c r="B53" s="26"/>
      <c r="C53" s="26"/>
      <c r="D53" s="26"/>
      <c r="E53" s="26"/>
      <c r="F53" s="26"/>
      <c r="G53" s="26"/>
      <c r="H53" s="26"/>
      <c r="I53" s="26"/>
    </row>
    <row r="54" spans="2:9" x14ac:dyDescent="0.25">
      <c r="B54" s="27"/>
      <c r="C54" s="28"/>
      <c r="D54" s="28"/>
      <c r="E54" s="28"/>
      <c r="F54" s="28"/>
      <c r="G54" s="28"/>
      <c r="H54" s="28"/>
      <c r="I54" s="28"/>
    </row>
    <row r="55" spans="2:9" x14ac:dyDescent="0.25">
      <c r="B55" s="26"/>
      <c r="C55" s="26"/>
      <c r="D55" s="26"/>
      <c r="E55" s="26"/>
      <c r="F55" s="26"/>
      <c r="G55" s="26"/>
      <c r="H55" s="26"/>
      <c r="I55" s="26"/>
    </row>
    <row r="56" spans="2:9" x14ac:dyDescent="0.25">
      <c r="B56" s="27"/>
      <c r="C56" s="28"/>
      <c r="D56" s="28"/>
      <c r="E56" s="28"/>
      <c r="F56" s="28"/>
      <c r="G56" s="28"/>
      <c r="H56" s="28"/>
      <c r="I56" s="28"/>
    </row>
    <row r="57" spans="2:9" x14ac:dyDescent="0.25">
      <c r="B57" s="26"/>
      <c r="C57" s="26"/>
      <c r="D57" s="26"/>
      <c r="E57" s="26"/>
      <c r="F57" s="26"/>
      <c r="G57" s="26"/>
      <c r="H57" s="26"/>
      <c r="I57" s="26"/>
    </row>
    <row r="58" spans="2:9" x14ac:dyDescent="0.25">
      <c r="B58" s="27"/>
      <c r="C58" s="28"/>
      <c r="D58" s="28"/>
      <c r="E58" s="28"/>
      <c r="F58" s="28"/>
      <c r="G58" s="28"/>
      <c r="H58" s="28"/>
      <c r="I58" s="28"/>
    </row>
    <row r="59" spans="2:9" x14ac:dyDescent="0.25">
      <c r="B59" s="26"/>
      <c r="C59" s="26"/>
      <c r="D59" s="26"/>
      <c r="E59" s="26"/>
      <c r="F59" s="26"/>
      <c r="G59" s="26"/>
      <c r="H59" s="26"/>
      <c r="I59" s="26"/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5B4F-8D19-48B7-81DD-569763968B4D}">
  <dimension ref="B2:I9"/>
  <sheetViews>
    <sheetView showGridLines="0" tabSelected="1" workbookViewId="0">
      <selection activeCell="B17" sqref="B17"/>
    </sheetView>
  </sheetViews>
  <sheetFormatPr baseColWidth="10" defaultRowHeight="15" x14ac:dyDescent="0.25"/>
  <cols>
    <col min="2" max="2" width="12.7109375" bestFit="1" customWidth="1"/>
    <col min="3" max="9" width="13" bestFit="1" customWidth="1"/>
  </cols>
  <sheetData>
    <row r="2" spans="2:9" ht="21" x14ac:dyDescent="0.25">
      <c r="B2" s="130" t="s">
        <v>194</v>
      </c>
      <c r="C2" s="130"/>
      <c r="D2" s="130"/>
      <c r="E2" s="130"/>
      <c r="F2" s="130"/>
      <c r="G2" s="130"/>
      <c r="H2" s="130"/>
    </row>
    <row r="4" spans="2:9" ht="15.75" x14ac:dyDescent="0.25">
      <c r="B4" s="38" t="s">
        <v>0</v>
      </c>
      <c r="C4" s="39">
        <v>0</v>
      </c>
      <c r="D4" s="39">
        <v>1</v>
      </c>
      <c r="E4" s="39">
        <v>2</v>
      </c>
      <c r="F4" s="39">
        <v>3</v>
      </c>
      <c r="G4" s="39">
        <v>4</v>
      </c>
      <c r="H4" s="39">
        <v>5</v>
      </c>
      <c r="I4" s="39">
        <v>6</v>
      </c>
    </row>
    <row r="5" spans="2:9" x14ac:dyDescent="0.25">
      <c r="B5" s="48" t="s">
        <v>103</v>
      </c>
      <c r="C5" s="140">
        <f>'Indicadores Financieros'!$C$4</f>
        <v>0.25</v>
      </c>
      <c r="D5" s="139">
        <f>$C$6/(1+$C$5)</f>
        <v>440000000</v>
      </c>
      <c r="E5" s="139">
        <f>$C$6/(1+$C$5)^2</f>
        <v>352000000</v>
      </c>
      <c r="F5" s="139">
        <f>$C$6/(1+$C$5)^3</f>
        <v>281600000</v>
      </c>
      <c r="G5" s="139">
        <f>$C$6/(1+$C$5)^4</f>
        <v>225280000</v>
      </c>
      <c r="H5" s="139">
        <f>$C$6/(1+$C$5)^5</f>
        <v>180224000</v>
      </c>
      <c r="I5" s="139">
        <f>$C$6/(1+$C$5)^6</f>
        <v>144179200</v>
      </c>
    </row>
    <row r="6" spans="2:9" x14ac:dyDescent="0.25">
      <c r="B6" s="48" t="s">
        <v>193</v>
      </c>
      <c r="C6" s="139">
        <f>Complementario!$I$8</f>
        <v>550000000</v>
      </c>
      <c r="D6" s="139"/>
      <c r="E6" s="139"/>
      <c r="F6" s="139"/>
      <c r="G6" s="139"/>
      <c r="H6" s="139"/>
      <c r="I6" s="139"/>
    </row>
    <row r="7" spans="2:9" x14ac:dyDescent="0.25">
      <c r="B7" s="141"/>
      <c r="C7" s="142"/>
      <c r="D7" s="142"/>
      <c r="E7" s="142"/>
      <c r="F7" s="142"/>
      <c r="G7" s="142"/>
      <c r="H7" s="142"/>
      <c r="I7" s="142"/>
    </row>
    <row r="8" spans="2:9" x14ac:dyDescent="0.25">
      <c r="B8" s="141"/>
      <c r="C8" s="141"/>
      <c r="D8" s="142"/>
      <c r="E8" s="142"/>
      <c r="F8" s="142"/>
      <c r="G8" s="142"/>
      <c r="H8" s="142"/>
      <c r="I8" s="142"/>
    </row>
    <row r="9" spans="2:9" x14ac:dyDescent="0.25">
      <c r="B9" s="141"/>
      <c r="C9" s="142"/>
      <c r="D9" s="142"/>
      <c r="E9" s="142"/>
      <c r="F9" s="142"/>
      <c r="G9" s="142"/>
      <c r="H9" s="142"/>
      <c r="I9" s="142"/>
    </row>
  </sheetData>
  <mergeCells count="1"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7DC-7C05-4A0B-A6A9-41912D37E216}">
  <sheetPr>
    <tabColor rgb="FFFF0000"/>
  </sheetPr>
  <dimension ref="B2:D9"/>
  <sheetViews>
    <sheetView zoomScale="130" zoomScaleNormal="130" workbookViewId="0">
      <selection activeCell="C4" sqref="C4:D4"/>
    </sheetView>
  </sheetViews>
  <sheetFormatPr baseColWidth="10" defaultRowHeight="15" x14ac:dyDescent="0.25"/>
  <cols>
    <col min="2" max="2" width="22.140625" bestFit="1" customWidth="1"/>
    <col min="4" max="4" width="4.42578125" customWidth="1"/>
  </cols>
  <sheetData>
    <row r="2" spans="2:4" ht="21" x14ac:dyDescent="0.35">
      <c r="B2" s="122" t="s">
        <v>184</v>
      </c>
      <c r="C2" s="122"/>
      <c r="D2" s="122"/>
    </row>
    <row r="4" spans="2:4" x14ac:dyDescent="0.25">
      <c r="B4" s="121" t="s">
        <v>103</v>
      </c>
      <c r="C4" s="124">
        <v>0.25</v>
      </c>
      <c r="D4" s="124"/>
    </row>
    <row r="5" spans="2:4" x14ac:dyDescent="0.25">
      <c r="B5" s="121" t="s">
        <v>189</v>
      </c>
      <c r="C5" s="125">
        <v>6</v>
      </c>
      <c r="D5" s="125"/>
    </row>
    <row r="6" spans="2:4" x14ac:dyDescent="0.25">
      <c r="B6" s="121" t="s">
        <v>101</v>
      </c>
      <c r="C6" s="126">
        <f>NPV($C$4,'Flujo de Caja'!D43:I43)-Complementario!$I$8</f>
        <v>2376011113.3652716</v>
      </c>
      <c r="D6" s="125"/>
    </row>
    <row r="7" spans="2:4" x14ac:dyDescent="0.25">
      <c r="B7" s="121" t="s">
        <v>102</v>
      </c>
      <c r="C7" s="127">
        <f>IRR('Flujo de Caja'!C45:I45)</f>
        <v>1.0666630138854782</v>
      </c>
      <c r="D7" s="125"/>
    </row>
    <row r="8" spans="2:4" x14ac:dyDescent="0.25">
      <c r="B8" s="121" t="s">
        <v>185</v>
      </c>
      <c r="C8" s="128">
        <f>('Flujo de Caja'!C41-Complementario!I8)/Complementario!I8</f>
        <v>-0.99770930909090905</v>
      </c>
      <c r="D8" s="128"/>
    </row>
    <row r="9" spans="2:4" x14ac:dyDescent="0.25">
      <c r="B9" s="121" t="s">
        <v>190</v>
      </c>
      <c r="C9" s="123">
        <f>Complementario!I8/'Flujo de Caja'!C43</f>
        <v>5.5639794203980379</v>
      </c>
      <c r="D9" s="123"/>
    </row>
  </sheetData>
  <mergeCells count="7">
    <mergeCell ref="C9:D9"/>
    <mergeCell ref="B2:D2"/>
    <mergeCell ref="C4:D4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0C90-DB60-4BBF-9616-C236EB8C6DCF}">
  <sheetPr>
    <tabColor rgb="FFFFC000"/>
  </sheetPr>
  <dimension ref="B2:L25"/>
  <sheetViews>
    <sheetView showGridLines="0" zoomScale="110" zoomScaleNormal="110" workbookViewId="0">
      <selection activeCell="A2" sqref="A2:XFD2"/>
    </sheetView>
  </sheetViews>
  <sheetFormatPr baseColWidth="10" defaultRowHeight="15" x14ac:dyDescent="0.25"/>
  <cols>
    <col min="1" max="1" width="5.28515625" customWidth="1"/>
    <col min="2" max="2" width="11.5703125" bestFit="1" customWidth="1"/>
    <col min="3" max="3" width="20.140625" bestFit="1" customWidth="1"/>
    <col min="4" max="4" width="15.42578125" bestFit="1" customWidth="1"/>
    <col min="5" max="5" width="18.140625" bestFit="1" customWidth="1"/>
    <col min="6" max="6" width="28.42578125" bestFit="1" customWidth="1"/>
    <col min="7" max="7" width="23.42578125" bestFit="1" customWidth="1"/>
    <col min="8" max="8" width="19" bestFit="1" customWidth="1"/>
    <col min="9" max="9" width="25" bestFit="1" customWidth="1"/>
    <col min="10" max="10" width="11.5703125" bestFit="1" customWidth="1"/>
    <col min="11" max="11" width="15.28515625" bestFit="1" customWidth="1"/>
    <col min="12" max="12" width="13.5703125" bestFit="1" customWidth="1"/>
  </cols>
  <sheetData>
    <row r="2" spans="2:12" ht="21" x14ac:dyDescent="0.35">
      <c r="B2" s="122" t="s">
        <v>116</v>
      </c>
      <c r="C2" s="122"/>
      <c r="D2" s="122"/>
      <c r="E2" s="122"/>
      <c r="F2" s="122"/>
      <c r="G2" s="122"/>
      <c r="H2" s="122"/>
      <c r="I2" s="122"/>
      <c r="J2" s="122"/>
      <c r="K2" s="122"/>
      <c r="L2" s="17"/>
    </row>
    <row r="4" spans="2:12" ht="15.75" x14ac:dyDescent="0.25">
      <c r="B4" s="41" t="s">
        <v>78</v>
      </c>
      <c r="C4" s="41" t="s">
        <v>79</v>
      </c>
      <c r="D4" s="41" t="s">
        <v>80</v>
      </c>
      <c r="E4" s="41" t="s">
        <v>81</v>
      </c>
      <c r="F4" s="41" t="s">
        <v>96</v>
      </c>
      <c r="G4" s="41" t="s">
        <v>82</v>
      </c>
      <c r="H4" s="41" t="s">
        <v>83</v>
      </c>
      <c r="I4" s="41" t="s">
        <v>97</v>
      </c>
      <c r="J4" s="41" t="s">
        <v>95</v>
      </c>
      <c r="K4" s="41" t="s">
        <v>17</v>
      </c>
    </row>
    <row r="5" spans="2:12" x14ac:dyDescent="0.25">
      <c r="B5" s="129" t="s">
        <v>85</v>
      </c>
      <c r="C5" s="13" t="s">
        <v>86</v>
      </c>
      <c r="D5" s="14">
        <v>43538</v>
      </c>
      <c r="E5" s="14">
        <v>43827</v>
      </c>
      <c r="F5" s="13">
        <v>7</v>
      </c>
      <c r="G5" s="13">
        <v>6</v>
      </c>
      <c r="H5" s="13">
        <v>0</v>
      </c>
      <c r="I5" s="13">
        <f t="shared" ref="I5:I24" si="0">((E5-D5)*6)+H5</f>
        <v>1734</v>
      </c>
      <c r="J5" s="2">
        <v>17000</v>
      </c>
      <c r="K5" s="2">
        <f>I5*J5</f>
        <v>29478000</v>
      </c>
    </row>
    <row r="6" spans="2:12" x14ac:dyDescent="0.25">
      <c r="B6" s="129"/>
      <c r="C6" s="13" t="s">
        <v>87</v>
      </c>
      <c r="D6" s="14">
        <v>43539</v>
      </c>
      <c r="E6" s="14">
        <v>43827</v>
      </c>
      <c r="F6" s="13">
        <v>7</v>
      </c>
      <c r="G6" s="13">
        <v>6</v>
      </c>
      <c r="H6" s="13">
        <v>0</v>
      </c>
      <c r="I6" s="13">
        <f t="shared" si="0"/>
        <v>1728</v>
      </c>
      <c r="J6" s="2">
        <v>16500</v>
      </c>
      <c r="K6" s="2">
        <f t="shared" ref="K6:K24" si="1">I6*J6</f>
        <v>28512000</v>
      </c>
    </row>
    <row r="7" spans="2:12" x14ac:dyDescent="0.25">
      <c r="B7" s="129"/>
      <c r="C7" s="13" t="s">
        <v>91</v>
      </c>
      <c r="D7" s="14">
        <v>43560</v>
      </c>
      <c r="E7" s="14">
        <v>43827</v>
      </c>
      <c r="F7" s="13">
        <v>7</v>
      </c>
      <c r="G7" s="13">
        <v>6</v>
      </c>
      <c r="H7" s="13">
        <v>0</v>
      </c>
      <c r="I7" s="13">
        <f t="shared" si="0"/>
        <v>1602</v>
      </c>
      <c r="J7" s="2">
        <v>15000</v>
      </c>
      <c r="K7" s="2">
        <f t="shared" si="1"/>
        <v>24030000</v>
      </c>
    </row>
    <row r="8" spans="2:12" x14ac:dyDescent="0.25">
      <c r="B8" s="129"/>
      <c r="C8" s="13" t="s">
        <v>88</v>
      </c>
      <c r="D8" s="14">
        <v>43588</v>
      </c>
      <c r="E8" s="14">
        <v>43827</v>
      </c>
      <c r="F8" s="13">
        <v>7</v>
      </c>
      <c r="G8" s="13">
        <v>6</v>
      </c>
      <c r="H8" s="13">
        <v>0</v>
      </c>
      <c r="I8" s="13">
        <f t="shared" si="0"/>
        <v>1434</v>
      </c>
      <c r="J8" s="2">
        <v>14000</v>
      </c>
      <c r="K8" s="2">
        <f>I8*J8</f>
        <v>20076000</v>
      </c>
    </row>
    <row r="9" spans="2:12" x14ac:dyDescent="0.25">
      <c r="B9" s="129"/>
      <c r="C9" s="13" t="s">
        <v>88</v>
      </c>
      <c r="D9" s="14">
        <v>43588</v>
      </c>
      <c r="E9" s="14">
        <v>43827</v>
      </c>
      <c r="F9" s="13">
        <v>7</v>
      </c>
      <c r="G9" s="13">
        <v>6</v>
      </c>
      <c r="H9" s="13">
        <v>0</v>
      </c>
      <c r="I9" s="13">
        <f t="shared" si="0"/>
        <v>1434</v>
      </c>
      <c r="J9" s="2">
        <v>14000</v>
      </c>
      <c r="K9" s="2">
        <f t="shared" si="1"/>
        <v>20076000</v>
      </c>
    </row>
    <row r="10" spans="2:12" x14ac:dyDescent="0.25">
      <c r="B10" s="129"/>
      <c r="C10" s="13" t="s">
        <v>88</v>
      </c>
      <c r="D10" s="14">
        <v>43588</v>
      </c>
      <c r="E10" s="14">
        <v>43827</v>
      </c>
      <c r="F10" s="13">
        <v>7</v>
      </c>
      <c r="G10" s="13">
        <v>6</v>
      </c>
      <c r="H10" s="13">
        <v>0</v>
      </c>
      <c r="I10" s="13">
        <f t="shared" si="0"/>
        <v>1434</v>
      </c>
      <c r="J10" s="2">
        <v>14000</v>
      </c>
      <c r="K10" s="2">
        <f t="shared" si="1"/>
        <v>20076000</v>
      </c>
    </row>
    <row r="11" spans="2:12" x14ac:dyDescent="0.25">
      <c r="B11" s="129"/>
      <c r="C11" s="13" t="s">
        <v>88</v>
      </c>
      <c r="D11" s="14">
        <v>43588</v>
      </c>
      <c r="E11" s="14">
        <v>43827</v>
      </c>
      <c r="F11" s="13">
        <v>7</v>
      </c>
      <c r="G11" s="13">
        <v>6</v>
      </c>
      <c r="H11" s="13">
        <v>0</v>
      </c>
      <c r="I11" s="13">
        <f t="shared" si="0"/>
        <v>1434</v>
      </c>
      <c r="J11" s="2">
        <v>14000</v>
      </c>
      <c r="K11" s="2">
        <f t="shared" si="1"/>
        <v>20076000</v>
      </c>
    </row>
    <row r="12" spans="2:12" x14ac:dyDescent="0.25">
      <c r="B12" s="129"/>
      <c r="C12" s="13" t="s">
        <v>88</v>
      </c>
      <c r="D12" s="14">
        <v>43588</v>
      </c>
      <c r="E12" s="14">
        <v>43827</v>
      </c>
      <c r="F12" s="13">
        <v>7</v>
      </c>
      <c r="G12" s="13">
        <v>6</v>
      </c>
      <c r="H12" s="13">
        <v>0</v>
      </c>
      <c r="I12" s="13">
        <f t="shared" si="0"/>
        <v>1434</v>
      </c>
      <c r="J12" s="2">
        <v>14000</v>
      </c>
      <c r="K12" s="2">
        <f t="shared" si="1"/>
        <v>20076000</v>
      </c>
    </row>
    <row r="13" spans="2:12" x14ac:dyDescent="0.25">
      <c r="B13" s="129"/>
      <c r="C13" s="13" t="s">
        <v>88</v>
      </c>
      <c r="D13" s="14">
        <v>43588</v>
      </c>
      <c r="E13" s="14">
        <v>43827</v>
      </c>
      <c r="F13" s="13">
        <v>7</v>
      </c>
      <c r="G13" s="13">
        <v>6</v>
      </c>
      <c r="H13" s="13">
        <v>0</v>
      </c>
      <c r="I13" s="13">
        <f t="shared" si="0"/>
        <v>1434</v>
      </c>
      <c r="J13" s="2">
        <v>14000</v>
      </c>
      <c r="K13" s="2">
        <f t="shared" si="1"/>
        <v>20076000</v>
      </c>
    </row>
    <row r="14" spans="2:12" x14ac:dyDescent="0.25">
      <c r="B14" s="129"/>
      <c r="C14" s="13" t="s">
        <v>88</v>
      </c>
      <c r="D14" s="14">
        <v>43588</v>
      </c>
      <c r="E14" s="14">
        <v>43827</v>
      </c>
      <c r="F14" s="13">
        <v>7</v>
      </c>
      <c r="G14" s="13">
        <v>6</v>
      </c>
      <c r="H14" s="13">
        <v>0</v>
      </c>
      <c r="I14" s="13">
        <f t="shared" si="0"/>
        <v>1434</v>
      </c>
      <c r="J14" s="2">
        <v>14000</v>
      </c>
      <c r="K14" s="2">
        <f t="shared" si="1"/>
        <v>20076000</v>
      </c>
    </row>
    <row r="15" spans="2:12" x14ac:dyDescent="0.25">
      <c r="B15" s="129"/>
      <c r="C15" s="13" t="s">
        <v>88</v>
      </c>
      <c r="D15" s="14">
        <v>43588</v>
      </c>
      <c r="E15" s="14">
        <v>43827</v>
      </c>
      <c r="F15" s="13">
        <v>7</v>
      </c>
      <c r="G15" s="13">
        <v>6</v>
      </c>
      <c r="H15" s="13">
        <v>0</v>
      </c>
      <c r="I15" s="13">
        <f t="shared" si="0"/>
        <v>1434</v>
      </c>
      <c r="J15" s="2">
        <v>14000</v>
      </c>
      <c r="K15" s="2">
        <f t="shared" si="1"/>
        <v>20076000</v>
      </c>
    </row>
    <row r="16" spans="2:12" x14ac:dyDescent="0.25">
      <c r="B16" s="129"/>
      <c r="C16" s="13" t="s">
        <v>88</v>
      </c>
      <c r="D16" s="14">
        <v>43588</v>
      </c>
      <c r="E16" s="14">
        <v>43827</v>
      </c>
      <c r="F16" s="13">
        <v>7</v>
      </c>
      <c r="G16" s="13">
        <v>6</v>
      </c>
      <c r="H16" s="13">
        <v>0</v>
      </c>
      <c r="I16" s="13">
        <f t="shared" si="0"/>
        <v>1434</v>
      </c>
      <c r="J16" s="2">
        <v>14000</v>
      </c>
      <c r="K16" s="2">
        <f t="shared" si="1"/>
        <v>20076000</v>
      </c>
    </row>
    <row r="17" spans="2:11" x14ac:dyDescent="0.25">
      <c r="B17" s="129"/>
      <c r="C17" s="13" t="s">
        <v>93</v>
      </c>
      <c r="D17" s="14">
        <v>43560</v>
      </c>
      <c r="E17" s="14">
        <v>43827</v>
      </c>
      <c r="F17" s="13">
        <v>7</v>
      </c>
      <c r="G17" s="13">
        <v>6</v>
      </c>
      <c r="H17" s="13">
        <v>0</v>
      </c>
      <c r="I17" s="13">
        <f t="shared" si="0"/>
        <v>1602</v>
      </c>
      <c r="J17" s="2">
        <v>15000</v>
      </c>
      <c r="K17" s="2">
        <f t="shared" si="1"/>
        <v>24030000</v>
      </c>
    </row>
    <row r="18" spans="2:11" x14ac:dyDescent="0.25">
      <c r="B18" s="129"/>
      <c r="C18" s="13" t="s">
        <v>92</v>
      </c>
      <c r="D18" s="14">
        <v>43588</v>
      </c>
      <c r="E18" s="14">
        <v>43827</v>
      </c>
      <c r="F18" s="13">
        <v>7</v>
      </c>
      <c r="G18" s="13">
        <v>6</v>
      </c>
      <c r="H18" s="13">
        <v>0</v>
      </c>
      <c r="I18" s="13">
        <f t="shared" si="0"/>
        <v>1434</v>
      </c>
      <c r="J18" s="2">
        <v>14000</v>
      </c>
      <c r="K18" s="2">
        <f t="shared" si="1"/>
        <v>20076000</v>
      </c>
    </row>
    <row r="19" spans="2:11" x14ac:dyDescent="0.25">
      <c r="B19" s="129"/>
      <c r="C19" s="13" t="s">
        <v>92</v>
      </c>
      <c r="D19" s="14">
        <v>43588</v>
      </c>
      <c r="E19" s="14">
        <v>43827</v>
      </c>
      <c r="F19" s="13">
        <v>7</v>
      </c>
      <c r="G19" s="13">
        <v>6</v>
      </c>
      <c r="H19" s="13">
        <v>0</v>
      </c>
      <c r="I19" s="13">
        <f t="shared" si="0"/>
        <v>1434</v>
      </c>
      <c r="J19" s="2">
        <v>14000</v>
      </c>
      <c r="K19" s="2">
        <f t="shared" si="1"/>
        <v>20076000</v>
      </c>
    </row>
    <row r="20" spans="2:11" x14ac:dyDescent="0.25">
      <c r="B20" s="129"/>
      <c r="C20" s="13" t="s">
        <v>94</v>
      </c>
      <c r="D20" s="14">
        <v>43560</v>
      </c>
      <c r="E20" s="14">
        <v>43827</v>
      </c>
      <c r="F20" s="13">
        <v>7</v>
      </c>
      <c r="G20" s="13">
        <v>6</v>
      </c>
      <c r="H20" s="13">
        <v>0</v>
      </c>
      <c r="I20" s="13">
        <f t="shared" si="0"/>
        <v>1602</v>
      </c>
      <c r="J20" s="2">
        <v>15000</v>
      </c>
      <c r="K20" s="2">
        <f t="shared" si="1"/>
        <v>24030000</v>
      </c>
    </row>
    <row r="21" spans="2:11" x14ac:dyDescent="0.25">
      <c r="B21" s="129"/>
      <c r="C21" s="13" t="s">
        <v>89</v>
      </c>
      <c r="D21" s="14">
        <v>43588</v>
      </c>
      <c r="E21" s="14">
        <v>43827</v>
      </c>
      <c r="F21" s="13">
        <v>7</v>
      </c>
      <c r="G21" s="13">
        <v>6</v>
      </c>
      <c r="H21" s="13">
        <v>0</v>
      </c>
      <c r="I21" s="13">
        <f t="shared" si="0"/>
        <v>1434</v>
      </c>
      <c r="J21" s="2">
        <v>14000</v>
      </c>
      <c r="K21" s="2">
        <f t="shared" si="1"/>
        <v>20076000</v>
      </c>
    </row>
    <row r="22" spans="2:11" x14ac:dyDescent="0.25">
      <c r="B22" s="129"/>
      <c r="C22" s="13" t="s">
        <v>89</v>
      </c>
      <c r="D22" s="14">
        <v>43588</v>
      </c>
      <c r="E22" s="14">
        <v>43827</v>
      </c>
      <c r="F22" s="13">
        <v>7</v>
      </c>
      <c r="G22" s="13">
        <v>6</v>
      </c>
      <c r="H22" s="13">
        <v>0</v>
      </c>
      <c r="I22" s="13">
        <f t="shared" si="0"/>
        <v>1434</v>
      </c>
      <c r="J22" s="2">
        <v>14000</v>
      </c>
      <c r="K22" s="2">
        <f t="shared" si="1"/>
        <v>20076000</v>
      </c>
    </row>
    <row r="23" spans="2:11" x14ac:dyDescent="0.25">
      <c r="B23" s="129"/>
      <c r="C23" s="13" t="s">
        <v>90</v>
      </c>
      <c r="D23" s="14">
        <v>43719</v>
      </c>
      <c r="E23" s="14">
        <v>43827</v>
      </c>
      <c r="F23" s="13">
        <v>7</v>
      </c>
      <c r="G23" s="13">
        <v>6</v>
      </c>
      <c r="H23" s="13">
        <v>0</v>
      </c>
      <c r="I23" s="13">
        <f t="shared" si="0"/>
        <v>648</v>
      </c>
      <c r="J23" s="2">
        <v>14000</v>
      </c>
      <c r="K23" s="2">
        <f t="shared" si="1"/>
        <v>9072000</v>
      </c>
    </row>
    <row r="24" spans="2:11" x14ac:dyDescent="0.25">
      <c r="B24" s="129"/>
      <c r="C24" s="13" t="s">
        <v>90</v>
      </c>
      <c r="D24" s="14">
        <v>43719</v>
      </c>
      <c r="E24" s="14">
        <v>43827</v>
      </c>
      <c r="F24" s="13">
        <v>7</v>
      </c>
      <c r="G24" s="13">
        <v>6</v>
      </c>
      <c r="H24" s="13">
        <v>0</v>
      </c>
      <c r="I24" s="13">
        <f t="shared" si="0"/>
        <v>648</v>
      </c>
      <c r="J24" s="2">
        <v>14000</v>
      </c>
      <c r="K24" s="2">
        <f t="shared" si="1"/>
        <v>9072000</v>
      </c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15" t="s">
        <v>98</v>
      </c>
      <c r="K25" s="16">
        <f>SUM(K5:K24)</f>
        <v>409212000</v>
      </c>
    </row>
  </sheetData>
  <mergeCells count="2">
    <mergeCell ref="B2:K2"/>
    <mergeCell ref="B5:B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E7F-62E1-4DA7-9B5B-C1419C13EC0D}">
  <sheetPr>
    <tabColor rgb="FFFFFF00"/>
  </sheetPr>
  <dimension ref="B2:L34"/>
  <sheetViews>
    <sheetView showGridLines="0" zoomScale="130" zoomScaleNormal="130" workbookViewId="0">
      <selection activeCell="E6" sqref="E6"/>
    </sheetView>
  </sheetViews>
  <sheetFormatPr baseColWidth="10" defaultRowHeight="15" x14ac:dyDescent="0.25"/>
  <cols>
    <col min="1" max="1" width="5.140625" customWidth="1"/>
    <col min="2" max="2" width="59" bestFit="1" customWidth="1"/>
    <col min="3" max="3" width="25.85546875" bestFit="1" customWidth="1"/>
    <col min="4" max="4" width="11.7109375" bestFit="1" customWidth="1"/>
    <col min="5" max="5" width="20.85546875" bestFit="1" customWidth="1"/>
    <col min="6" max="6" width="4.7109375" customWidth="1"/>
    <col min="7" max="7" width="4.42578125" customWidth="1"/>
    <col min="8" max="8" width="62.140625" bestFit="1" customWidth="1"/>
    <col min="10" max="10" width="14" bestFit="1" customWidth="1"/>
    <col min="11" max="11" width="18.140625" bestFit="1" customWidth="1"/>
    <col min="12" max="12" width="12" bestFit="1" customWidth="1"/>
  </cols>
  <sheetData>
    <row r="2" spans="2:6" ht="21" x14ac:dyDescent="0.25">
      <c r="B2" s="130" t="s">
        <v>127</v>
      </c>
      <c r="C2" s="130"/>
      <c r="D2" s="130"/>
      <c r="E2" s="130"/>
      <c r="F2" s="9"/>
    </row>
    <row r="3" spans="2:6" x14ac:dyDescent="0.25">
      <c r="F3" s="6"/>
    </row>
    <row r="4" spans="2:6" ht="15.75" x14ac:dyDescent="0.25">
      <c r="B4" s="63" t="s">
        <v>10</v>
      </c>
      <c r="C4" s="64" t="s">
        <v>3</v>
      </c>
      <c r="D4" s="63" t="s">
        <v>7</v>
      </c>
      <c r="E4" s="63" t="s">
        <v>11</v>
      </c>
      <c r="F4" s="7"/>
    </row>
    <row r="5" spans="2:6" x14ac:dyDescent="0.25">
      <c r="B5" s="65" t="s">
        <v>128</v>
      </c>
      <c r="C5" s="66">
        <v>96576</v>
      </c>
      <c r="D5" s="65">
        <v>3</v>
      </c>
      <c r="E5" s="67">
        <f>C5*D5</f>
        <v>289728</v>
      </c>
      <c r="F5" s="8"/>
    </row>
    <row r="6" spans="2:6" x14ac:dyDescent="0.25">
      <c r="B6" s="65" t="s">
        <v>129</v>
      </c>
      <c r="C6" s="66">
        <v>52990</v>
      </c>
      <c r="D6" s="65">
        <v>3</v>
      </c>
      <c r="E6" s="67">
        <f t="shared" ref="E6:E9" si="0">C6*D6</f>
        <v>158970</v>
      </c>
      <c r="F6" s="8"/>
    </row>
    <row r="7" spans="2:6" x14ac:dyDescent="0.25">
      <c r="B7" s="65" t="s">
        <v>6</v>
      </c>
      <c r="C7" s="68">
        <v>2200000</v>
      </c>
      <c r="D7" s="65">
        <v>3</v>
      </c>
      <c r="E7" s="67">
        <f t="shared" si="0"/>
        <v>6600000</v>
      </c>
      <c r="F7" s="8"/>
    </row>
    <row r="8" spans="2:6" x14ac:dyDescent="0.25">
      <c r="B8" s="65" t="s">
        <v>8</v>
      </c>
      <c r="C8" s="68">
        <v>1700000</v>
      </c>
      <c r="D8" s="65">
        <v>2</v>
      </c>
      <c r="E8" s="67">
        <f t="shared" si="0"/>
        <v>3400000</v>
      </c>
      <c r="F8" s="8"/>
    </row>
    <row r="9" spans="2:6" x14ac:dyDescent="0.25">
      <c r="B9" s="65" t="s">
        <v>9</v>
      </c>
      <c r="C9" s="68">
        <v>1400000</v>
      </c>
      <c r="D9" s="65">
        <v>1</v>
      </c>
      <c r="E9" s="67">
        <f t="shared" si="0"/>
        <v>1400000</v>
      </c>
      <c r="F9" s="8"/>
    </row>
    <row r="10" spans="2:6" x14ac:dyDescent="0.25">
      <c r="B10" s="40"/>
      <c r="C10" s="40"/>
      <c r="D10" s="72" t="s">
        <v>51</v>
      </c>
      <c r="E10" s="67">
        <f>SUM(E5:E9)</f>
        <v>11848698</v>
      </c>
    </row>
    <row r="11" spans="2:6" x14ac:dyDescent="0.25">
      <c r="B11" s="1"/>
      <c r="C11" s="1"/>
      <c r="D11" s="1"/>
      <c r="E11" s="1"/>
      <c r="F11" s="1"/>
    </row>
    <row r="12" spans="2:6" ht="15.75" x14ac:dyDescent="0.25">
      <c r="B12" s="63" t="s">
        <v>10</v>
      </c>
      <c r="C12" s="64" t="s">
        <v>4</v>
      </c>
      <c r="D12" s="63" t="s">
        <v>12</v>
      </c>
      <c r="E12" s="63" t="s">
        <v>13</v>
      </c>
      <c r="F12" s="6"/>
    </row>
    <row r="13" spans="2:6" x14ac:dyDescent="0.25">
      <c r="B13" s="20" t="s">
        <v>1</v>
      </c>
      <c r="C13" s="70">
        <v>120000</v>
      </c>
      <c r="D13" s="71">
        <v>0.3</v>
      </c>
      <c r="E13" s="70">
        <f>(C13*D13)+C13</f>
        <v>156000</v>
      </c>
      <c r="F13" s="10"/>
    </row>
    <row r="14" spans="2:6" x14ac:dyDescent="0.25">
      <c r="B14" s="20" t="s">
        <v>2</v>
      </c>
      <c r="C14" s="70">
        <v>70000</v>
      </c>
      <c r="D14" s="71">
        <v>0.3</v>
      </c>
      <c r="E14" s="70">
        <f>(C14*D14)+C14</f>
        <v>91000</v>
      </c>
      <c r="F14" s="8"/>
    </row>
    <row r="15" spans="2:6" x14ac:dyDescent="0.25">
      <c r="B15" s="1"/>
      <c r="C15" s="1"/>
      <c r="D15" s="72" t="s">
        <v>51</v>
      </c>
      <c r="E15" s="69">
        <f>SUM(E13:E14)</f>
        <v>247000</v>
      </c>
    </row>
    <row r="17" spans="2:6" x14ac:dyDescent="0.25">
      <c r="B17" s="1"/>
      <c r="C17" s="1"/>
      <c r="D17" s="1"/>
      <c r="E17" s="1"/>
    </row>
    <row r="18" spans="2:6" x14ac:dyDescent="0.25">
      <c r="F18" s="1"/>
    </row>
    <row r="34" spans="11:12" x14ac:dyDescent="0.25">
      <c r="K34" s="24"/>
      <c r="L34" s="25"/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sheetPr>
    <tabColor rgb="FF00B050"/>
  </sheetPr>
  <dimension ref="B2:O22"/>
  <sheetViews>
    <sheetView showGridLines="0" zoomScale="130" zoomScaleNormal="130" workbookViewId="0">
      <selection activeCell="B5" sqref="B5"/>
    </sheetView>
  </sheetViews>
  <sheetFormatPr baseColWidth="10" defaultRowHeight="15" x14ac:dyDescent="0.25"/>
  <cols>
    <col min="1" max="1" width="5.28515625" customWidth="1"/>
    <col min="2" max="2" width="26.140625" bestFit="1" customWidth="1"/>
    <col min="3" max="3" width="10.140625" bestFit="1" customWidth="1"/>
    <col min="4" max="4" width="10.28515625" bestFit="1" customWidth="1"/>
    <col min="5" max="5" width="6.140625" bestFit="1" customWidth="1"/>
    <col min="7" max="7" width="7" customWidth="1"/>
    <col min="8" max="8" width="17" bestFit="1" customWidth="1"/>
    <col min="9" max="9" width="14" bestFit="1" customWidth="1"/>
    <col min="10" max="11" width="12.85546875" bestFit="1" customWidth="1"/>
    <col min="12" max="13" width="11.85546875" bestFit="1" customWidth="1"/>
    <col min="14" max="14" width="12.42578125" bestFit="1" customWidth="1"/>
  </cols>
  <sheetData>
    <row r="2" spans="2:9" ht="21" x14ac:dyDescent="0.35">
      <c r="B2" s="122" t="s">
        <v>106</v>
      </c>
      <c r="C2" s="122"/>
      <c r="D2" s="122"/>
      <c r="E2" s="122"/>
      <c r="F2" s="122"/>
      <c r="G2" s="122"/>
      <c r="H2" s="122"/>
      <c r="I2" s="122"/>
    </row>
    <row r="3" spans="2:9" x14ac:dyDescent="0.25">
      <c r="B3" s="1"/>
      <c r="C3" s="1"/>
      <c r="D3" s="1"/>
    </row>
    <row r="4" spans="2:9" ht="15.75" x14ac:dyDescent="0.25">
      <c r="B4" s="131" t="s">
        <v>67</v>
      </c>
      <c r="C4" s="131"/>
      <c r="D4" s="1"/>
      <c r="E4" s="131" t="s">
        <v>61</v>
      </c>
      <c r="F4" s="131"/>
      <c r="G4" s="1"/>
      <c r="H4" s="131" t="s">
        <v>52</v>
      </c>
      <c r="I4" s="131"/>
    </row>
    <row r="5" spans="2:9" x14ac:dyDescent="0.25">
      <c r="B5" s="42" t="s">
        <v>69</v>
      </c>
      <c r="C5" s="43">
        <v>150000</v>
      </c>
      <c r="D5" s="1"/>
      <c r="E5" s="42" t="s">
        <v>60</v>
      </c>
      <c r="F5" s="43">
        <v>27953.42</v>
      </c>
      <c r="G5" s="1"/>
      <c r="H5" s="42" t="s">
        <v>110</v>
      </c>
      <c r="I5" s="42">
        <v>5</v>
      </c>
    </row>
    <row r="6" spans="2:9" x14ac:dyDescent="0.25">
      <c r="B6" s="42" t="s">
        <v>68</v>
      </c>
      <c r="C6" s="43">
        <f>C5/1000</f>
        <v>150</v>
      </c>
      <c r="D6" s="1"/>
      <c r="E6" s="42" t="s">
        <v>62</v>
      </c>
      <c r="F6" s="43">
        <v>49033</v>
      </c>
      <c r="G6" s="1"/>
      <c r="H6" s="42" t="s">
        <v>53</v>
      </c>
      <c r="I6" s="42" t="s">
        <v>84</v>
      </c>
    </row>
    <row r="7" spans="2:9" x14ac:dyDescent="0.25">
      <c r="B7" s="1"/>
      <c r="C7" s="1"/>
      <c r="D7" s="1"/>
      <c r="E7" s="42" t="s">
        <v>63</v>
      </c>
      <c r="F7" s="43">
        <v>685.83</v>
      </c>
      <c r="G7" s="1"/>
      <c r="H7" s="42" t="s">
        <v>54</v>
      </c>
      <c r="I7" s="42" t="s">
        <v>55</v>
      </c>
    </row>
    <row r="8" spans="2:9" ht="15.75" x14ac:dyDescent="0.25">
      <c r="B8" s="131" t="s">
        <v>71</v>
      </c>
      <c r="C8" s="131"/>
      <c r="D8" s="1"/>
      <c r="E8" s="42" t="s">
        <v>64</v>
      </c>
      <c r="F8" s="43">
        <v>769.13</v>
      </c>
      <c r="G8" s="1"/>
      <c r="H8" s="42" t="s">
        <v>66</v>
      </c>
      <c r="I8" s="43">
        <v>550000000</v>
      </c>
    </row>
    <row r="9" spans="2:9" x14ac:dyDescent="0.25">
      <c r="B9" s="42" t="s">
        <v>72</v>
      </c>
      <c r="C9" s="44">
        <v>15403</v>
      </c>
      <c r="D9" s="1"/>
      <c r="E9" s="42" t="s">
        <v>65</v>
      </c>
      <c r="F9" s="43">
        <v>100.01</v>
      </c>
      <c r="G9" s="1"/>
      <c r="H9" s="42" t="s">
        <v>111</v>
      </c>
      <c r="I9" s="46">
        <v>1.4999999999999999E-2</v>
      </c>
    </row>
    <row r="10" spans="2:9" x14ac:dyDescent="0.25">
      <c r="B10" s="42" t="s">
        <v>73</v>
      </c>
      <c r="C10" s="44">
        <v>16396</v>
      </c>
      <c r="D10" s="1"/>
      <c r="E10" s="42" t="s">
        <v>70</v>
      </c>
      <c r="F10" s="43">
        <v>10.8</v>
      </c>
      <c r="G10" s="1"/>
      <c r="H10" s="42" t="s">
        <v>75</v>
      </c>
      <c r="I10" s="42" t="s">
        <v>76</v>
      </c>
    </row>
    <row r="11" spans="2:9" ht="15" customHeight="1" x14ac:dyDescent="0.25">
      <c r="B11" s="42" t="s">
        <v>74</v>
      </c>
      <c r="C11" s="44">
        <v>126049</v>
      </c>
      <c r="D11" s="1"/>
      <c r="E11" s="132" t="s">
        <v>192</v>
      </c>
      <c r="F11" s="132"/>
    </row>
    <row r="12" spans="2:9" x14ac:dyDescent="0.25">
      <c r="B12" s="1"/>
      <c r="C12" s="1"/>
      <c r="D12" s="1"/>
      <c r="E12" s="132"/>
      <c r="F12" s="132"/>
    </row>
    <row r="13" spans="2:9" ht="15.75" x14ac:dyDescent="0.25">
      <c r="B13" s="76" t="s">
        <v>77</v>
      </c>
      <c r="C13" s="45">
        <v>0.27</v>
      </c>
      <c r="D13" s="1"/>
    </row>
    <row r="14" spans="2:9" x14ac:dyDescent="0.25">
      <c r="B14" s="1"/>
      <c r="C14" s="1"/>
      <c r="D14" s="1"/>
    </row>
    <row r="15" spans="2:9" ht="15.75" x14ac:dyDescent="0.25">
      <c r="B15" s="131" t="s">
        <v>114</v>
      </c>
      <c r="C15" s="131"/>
      <c r="D15" s="131"/>
    </row>
    <row r="16" spans="2:9" x14ac:dyDescent="0.25">
      <c r="B16" s="47" t="s">
        <v>115</v>
      </c>
      <c r="C16" s="47" t="s">
        <v>108</v>
      </c>
      <c r="D16" s="47" t="s">
        <v>107</v>
      </c>
    </row>
    <row r="17" spans="2:15" x14ac:dyDescent="0.25">
      <c r="B17" s="42" t="s">
        <v>104</v>
      </c>
      <c r="C17" s="42">
        <v>6</v>
      </c>
      <c r="D17" s="42">
        <v>2</v>
      </c>
    </row>
    <row r="18" spans="2:15" x14ac:dyDescent="0.25">
      <c r="B18" s="42" t="s">
        <v>105</v>
      </c>
      <c r="C18" s="42">
        <v>7</v>
      </c>
      <c r="D18" s="42">
        <v>2</v>
      </c>
      <c r="O18" s="3"/>
    </row>
    <row r="19" spans="2:15" ht="51.75" customHeight="1" x14ac:dyDescent="0.25">
      <c r="B19" s="133" t="s">
        <v>109</v>
      </c>
      <c r="C19" s="133"/>
      <c r="D19" s="133"/>
    </row>
    <row r="22" spans="2:15" x14ac:dyDescent="0.25">
      <c r="B22" s="4"/>
      <c r="C22" s="4"/>
      <c r="D22" s="4"/>
    </row>
  </sheetData>
  <mergeCells count="8">
    <mergeCell ref="H4:I4"/>
    <mergeCell ref="E11:F12"/>
    <mergeCell ref="B2:I2"/>
    <mergeCell ref="B19:D19"/>
    <mergeCell ref="B15:D15"/>
    <mergeCell ref="E4:F4"/>
    <mergeCell ref="B4:C4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0D2A-444C-4824-808F-5ED26E261383}">
  <sheetPr>
    <tabColor rgb="FF92D050"/>
  </sheetPr>
  <dimension ref="B2:F32"/>
  <sheetViews>
    <sheetView showGridLines="0" workbookViewId="0">
      <selection activeCell="B30" sqref="B30"/>
    </sheetView>
  </sheetViews>
  <sheetFormatPr baseColWidth="10" defaultRowHeight="15" x14ac:dyDescent="0.25"/>
  <cols>
    <col min="1" max="1" width="5" customWidth="1"/>
    <col min="2" max="2" width="62.140625" bestFit="1" customWidth="1"/>
    <col min="4" max="4" width="14" bestFit="1" customWidth="1"/>
    <col min="5" max="5" width="17.28515625" bestFit="1" customWidth="1"/>
    <col min="6" max="6" width="12" bestFit="1" customWidth="1"/>
  </cols>
  <sheetData>
    <row r="2" spans="2:6" ht="21" x14ac:dyDescent="0.25">
      <c r="B2" s="130" t="s">
        <v>123</v>
      </c>
      <c r="C2" s="130"/>
      <c r="D2" s="130"/>
      <c r="E2" s="130"/>
      <c r="F2" s="130"/>
    </row>
    <row r="4" spans="2:6" ht="15.75" x14ac:dyDescent="0.25">
      <c r="B4" s="134" t="s">
        <v>124</v>
      </c>
      <c r="C4" s="134"/>
      <c r="D4" s="134"/>
      <c r="E4" s="134"/>
      <c r="F4" s="134"/>
    </row>
    <row r="5" spans="2:6" x14ac:dyDescent="0.25">
      <c r="B5" s="51" t="s">
        <v>10</v>
      </c>
      <c r="C5" s="51" t="s">
        <v>15</v>
      </c>
      <c r="D5" s="51" t="s">
        <v>16</v>
      </c>
      <c r="E5" s="96" t="s">
        <v>7</v>
      </c>
      <c r="F5" s="51" t="s">
        <v>17</v>
      </c>
    </row>
    <row r="6" spans="2:6" x14ac:dyDescent="0.25">
      <c r="B6" s="95" t="s">
        <v>19</v>
      </c>
      <c r="C6" s="52" t="s">
        <v>18</v>
      </c>
      <c r="D6" s="53">
        <v>969990</v>
      </c>
      <c r="E6" s="51">
        <v>12</v>
      </c>
      <c r="F6" s="54">
        <f t="shared" ref="F6:F11" si="0">D6*E6</f>
        <v>11639880</v>
      </c>
    </row>
    <row r="7" spans="2:6" x14ac:dyDescent="0.25">
      <c r="B7" s="95" t="s">
        <v>21</v>
      </c>
      <c r="C7" s="51" t="s">
        <v>20</v>
      </c>
      <c r="D7" s="53">
        <v>86990</v>
      </c>
      <c r="E7" s="51">
        <v>1</v>
      </c>
      <c r="F7" s="54">
        <f t="shared" si="0"/>
        <v>86990</v>
      </c>
    </row>
    <row r="8" spans="2:6" x14ac:dyDescent="0.25">
      <c r="B8" s="51" t="s">
        <v>23</v>
      </c>
      <c r="C8" s="51" t="s">
        <v>22</v>
      </c>
      <c r="D8" s="53">
        <v>13290</v>
      </c>
      <c r="E8" s="51">
        <v>21</v>
      </c>
      <c r="F8" s="54">
        <f t="shared" si="0"/>
        <v>279090</v>
      </c>
    </row>
    <row r="9" spans="2:6" x14ac:dyDescent="0.25">
      <c r="B9" s="51" t="s">
        <v>25</v>
      </c>
      <c r="C9" s="51" t="s">
        <v>24</v>
      </c>
      <c r="D9" s="53">
        <v>4990</v>
      </c>
      <c r="E9" s="51">
        <v>20</v>
      </c>
      <c r="F9" s="54">
        <f t="shared" si="0"/>
        <v>99800</v>
      </c>
    </row>
    <row r="10" spans="2:6" x14ac:dyDescent="0.25">
      <c r="B10" s="51" t="s">
        <v>56</v>
      </c>
      <c r="C10" s="51" t="s">
        <v>26</v>
      </c>
      <c r="D10" s="53">
        <v>94990</v>
      </c>
      <c r="E10" s="51">
        <v>21</v>
      </c>
      <c r="F10" s="54">
        <f t="shared" si="0"/>
        <v>1994790</v>
      </c>
    </row>
    <row r="11" spans="2:6" x14ac:dyDescent="0.25">
      <c r="B11" s="51" t="s">
        <v>100</v>
      </c>
      <c r="C11" s="51" t="s">
        <v>99</v>
      </c>
      <c r="D11" s="53">
        <v>533490</v>
      </c>
      <c r="E11" s="51">
        <v>20</v>
      </c>
      <c r="F11" s="54">
        <f t="shared" si="0"/>
        <v>10669800</v>
      </c>
    </row>
    <row r="12" spans="2:6" x14ac:dyDescent="0.25">
      <c r="B12" s="1"/>
      <c r="C12" s="1"/>
      <c r="D12" s="1"/>
      <c r="E12" s="55" t="s">
        <v>27</v>
      </c>
      <c r="F12" s="54">
        <f>SUM(F6:F11)</f>
        <v>24770350</v>
      </c>
    </row>
    <row r="14" spans="2:6" ht="15.75" x14ac:dyDescent="0.25">
      <c r="B14" s="134" t="s">
        <v>125</v>
      </c>
      <c r="C14" s="134"/>
      <c r="D14" s="134"/>
      <c r="E14" s="134"/>
      <c r="F14" s="134"/>
    </row>
    <row r="15" spans="2:6" x14ac:dyDescent="0.25">
      <c r="B15" s="56" t="s">
        <v>28</v>
      </c>
      <c r="C15" s="56" t="s">
        <v>15</v>
      </c>
      <c r="D15" s="56" t="s">
        <v>16</v>
      </c>
      <c r="E15" s="97" t="s">
        <v>163</v>
      </c>
      <c r="F15" s="56" t="s">
        <v>17</v>
      </c>
    </row>
    <row r="16" spans="2:6" x14ac:dyDescent="0.25">
      <c r="B16" s="56" t="s">
        <v>30</v>
      </c>
      <c r="C16" s="52" t="s">
        <v>29</v>
      </c>
      <c r="D16" s="57">
        <v>81990</v>
      </c>
      <c r="E16" s="56">
        <v>20</v>
      </c>
      <c r="F16" s="57">
        <f>D16*E16</f>
        <v>1639800</v>
      </c>
    </row>
    <row r="17" spans="2:6" x14ac:dyDescent="0.25">
      <c r="B17" s="56" t="s">
        <v>32</v>
      </c>
      <c r="C17" s="52" t="s">
        <v>31</v>
      </c>
      <c r="D17" s="57">
        <v>79990</v>
      </c>
      <c r="E17" s="56">
        <v>20</v>
      </c>
      <c r="F17" s="57">
        <f t="shared" ref="F17:F24" si="1">D17*E17</f>
        <v>1599800</v>
      </c>
    </row>
    <row r="18" spans="2:6" x14ac:dyDescent="0.25">
      <c r="B18" s="89" t="s">
        <v>149</v>
      </c>
      <c r="C18" s="52" t="s">
        <v>148</v>
      </c>
      <c r="D18" s="57">
        <v>279990</v>
      </c>
      <c r="E18" s="56">
        <v>3</v>
      </c>
      <c r="F18" s="57">
        <f t="shared" si="1"/>
        <v>839970</v>
      </c>
    </row>
    <row r="19" spans="2:6" x14ac:dyDescent="0.25">
      <c r="B19" s="56" t="s">
        <v>34</v>
      </c>
      <c r="C19" s="56" t="s">
        <v>35</v>
      </c>
      <c r="D19" s="57">
        <v>29990</v>
      </c>
      <c r="E19" s="56">
        <v>3</v>
      </c>
      <c r="F19" s="57">
        <f t="shared" si="1"/>
        <v>89970</v>
      </c>
    </row>
    <row r="20" spans="2:6" x14ac:dyDescent="0.25">
      <c r="B20" s="56" t="s">
        <v>37</v>
      </c>
      <c r="C20" s="56" t="s">
        <v>36</v>
      </c>
      <c r="D20" s="57">
        <v>79990</v>
      </c>
      <c r="E20" s="56">
        <v>8</v>
      </c>
      <c r="F20" s="57">
        <f t="shared" si="1"/>
        <v>639920</v>
      </c>
    </row>
    <row r="21" spans="2:6" x14ac:dyDescent="0.25">
      <c r="B21" s="56" t="s">
        <v>44</v>
      </c>
      <c r="C21" s="56" t="s">
        <v>45</v>
      </c>
      <c r="D21" s="57">
        <v>69990</v>
      </c>
      <c r="E21" s="56">
        <v>3</v>
      </c>
      <c r="F21" s="57">
        <f t="shared" si="1"/>
        <v>209970</v>
      </c>
    </row>
    <row r="22" spans="2:6" x14ac:dyDescent="0.25">
      <c r="B22" s="56" t="s">
        <v>39</v>
      </c>
      <c r="C22" s="56" t="s">
        <v>38</v>
      </c>
      <c r="D22" s="57">
        <v>799990</v>
      </c>
      <c r="E22" s="56">
        <v>3</v>
      </c>
      <c r="F22" s="57">
        <f t="shared" si="1"/>
        <v>2399970</v>
      </c>
    </row>
    <row r="23" spans="2:6" x14ac:dyDescent="0.25">
      <c r="B23" s="56" t="s">
        <v>41</v>
      </c>
      <c r="C23" s="56" t="s">
        <v>40</v>
      </c>
      <c r="D23" s="57">
        <v>199990</v>
      </c>
      <c r="E23" s="56">
        <v>4</v>
      </c>
      <c r="F23" s="57">
        <f t="shared" si="1"/>
        <v>799960</v>
      </c>
    </row>
    <row r="24" spans="2:6" x14ac:dyDescent="0.25">
      <c r="B24" s="56" t="s">
        <v>43</v>
      </c>
      <c r="C24" s="56" t="s">
        <v>42</v>
      </c>
      <c r="D24" s="57">
        <v>29990</v>
      </c>
      <c r="E24" s="56">
        <v>20</v>
      </c>
      <c r="F24" s="57">
        <f t="shared" si="1"/>
        <v>599800</v>
      </c>
    </row>
    <row r="25" spans="2:6" x14ac:dyDescent="0.25">
      <c r="B25" s="1"/>
      <c r="C25" s="1"/>
      <c r="D25" s="1"/>
      <c r="E25" s="62" t="s">
        <v>27</v>
      </c>
      <c r="F25" s="57">
        <f>SUM(F16:F24)</f>
        <v>8819160</v>
      </c>
    </row>
    <row r="27" spans="2:6" ht="15.75" x14ac:dyDescent="0.25">
      <c r="B27" s="134" t="s">
        <v>126</v>
      </c>
      <c r="C27" s="134"/>
      <c r="D27" s="134"/>
      <c r="E27" s="134"/>
      <c r="F27" s="134"/>
    </row>
    <row r="28" spans="2:6" x14ac:dyDescent="0.25">
      <c r="B28" s="58" t="s">
        <v>10</v>
      </c>
      <c r="C28" s="58" t="s">
        <v>15</v>
      </c>
      <c r="D28" s="59" t="s">
        <v>113</v>
      </c>
      <c r="E28" s="58" t="s">
        <v>46</v>
      </c>
      <c r="F28" s="58" t="s">
        <v>17</v>
      </c>
    </row>
    <row r="29" spans="2:6" x14ac:dyDescent="0.25">
      <c r="B29" s="58" t="s">
        <v>48</v>
      </c>
      <c r="C29" s="52" t="s">
        <v>47</v>
      </c>
      <c r="D29" s="60">
        <f>'Costo de Implementacion'!E5</f>
        <v>289728</v>
      </c>
      <c r="E29" s="60">
        <f>D29</f>
        <v>289728</v>
      </c>
      <c r="F29" s="60">
        <f>SUM(D29:E29)</f>
        <v>579456</v>
      </c>
    </row>
    <row r="30" spans="2:6" x14ac:dyDescent="0.25">
      <c r="B30" s="58" t="s">
        <v>49</v>
      </c>
      <c r="C30" s="58" t="s">
        <v>50</v>
      </c>
      <c r="D30" s="60">
        <f>'Costo de Implementacion'!E6</f>
        <v>158970</v>
      </c>
      <c r="E30" s="60">
        <v>0</v>
      </c>
      <c r="F30" s="60">
        <f>SUM(D30:E30)</f>
        <v>158970</v>
      </c>
    </row>
    <row r="31" spans="2:6" x14ac:dyDescent="0.25">
      <c r="B31" s="1"/>
      <c r="C31" s="1"/>
      <c r="D31" s="1"/>
      <c r="E31" s="61" t="s">
        <v>27</v>
      </c>
      <c r="F31" s="60">
        <f>SUM(F29:F30)</f>
        <v>738426</v>
      </c>
    </row>
    <row r="32" spans="2:6" x14ac:dyDescent="0.25">
      <c r="B32" s="1"/>
      <c r="C32" s="1"/>
      <c r="D32" s="1"/>
      <c r="E32" s="11" t="s">
        <v>51</v>
      </c>
      <c r="F32" s="12">
        <f>SUM(F31,F25,F12)</f>
        <v>34327936</v>
      </c>
    </row>
  </sheetData>
  <mergeCells count="4">
    <mergeCell ref="B2:F2"/>
    <mergeCell ref="B4:F4"/>
    <mergeCell ref="B14:F14"/>
    <mergeCell ref="B27:F27"/>
  </mergeCells>
  <hyperlinks>
    <hyperlink ref="C6" r:id="rId1" xr:uid="{E39D7CB0-A8DB-43DB-A65D-3E24B648BEE1}"/>
    <hyperlink ref="C7" r:id="rId2" xr:uid="{D7169FBB-4255-45D1-BC06-EAF4B51250EA}"/>
    <hyperlink ref="C8" r:id="rId3" xr:uid="{F2A3A062-902E-4EA5-BDBC-C828A0D1E779}"/>
    <hyperlink ref="C9" r:id="rId4" xr:uid="{817E44CC-AE37-4150-B74C-8EA37188D170}"/>
    <hyperlink ref="C10" r:id="rId5" xr:uid="{C789B435-2BC8-4C70-9EDF-186C40C4506A}"/>
    <hyperlink ref="C16" r:id="rId6" xr:uid="{4334B47C-3817-47A3-8D7C-D3ACEFA0663A}"/>
    <hyperlink ref="C17" r:id="rId7" xr:uid="{2534F567-AAF7-4DF1-8899-B777F96ECE12}"/>
    <hyperlink ref="C18" r:id="rId8" xr:uid="{F1A96E00-1C96-41A9-8C87-8D00CC8944A1}"/>
    <hyperlink ref="C19" r:id="rId9" xr:uid="{3AAC8E55-9F25-4712-B55A-2054CE7FB1C0}"/>
    <hyperlink ref="C20" r:id="rId10" xr:uid="{EC62B81D-F910-47FC-B1AB-84CF947ECD5E}"/>
    <hyperlink ref="C22" r:id="rId11" xr:uid="{B4349A11-3CA3-4B14-9A7A-04EBB82C5A45}"/>
    <hyperlink ref="C23" r:id="rId12" xr:uid="{F918B5E9-FBAF-4D57-BFDF-B9AA8E6EC381}"/>
    <hyperlink ref="C24" r:id="rId13" xr:uid="{76E2763C-5CFF-460F-BBFB-6599C454B861}"/>
    <hyperlink ref="C21" r:id="rId14" xr:uid="{B430F430-420A-47ED-A06E-FCDCFF49D289}"/>
    <hyperlink ref="C29" r:id="rId15" xr:uid="{84895555-B4FA-4789-9B37-708810C68E41}"/>
    <hyperlink ref="C30" r:id="rId16" xr:uid="{EEFE8AAC-F419-4561-A248-EDBC5B5E2C15}"/>
    <hyperlink ref="C11" r:id="rId17" xr:uid="{FF447BFC-F0D9-402D-A8E6-8AC15FF9937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ADB-E0B4-4E04-8DF6-5E2432F6C7DF}">
  <sheetPr>
    <tabColor rgb="FF00B0F0"/>
  </sheetPr>
  <dimension ref="B2:J20"/>
  <sheetViews>
    <sheetView showGridLines="0" zoomScale="130" zoomScaleNormal="130" workbookViewId="0">
      <selection activeCell="J2" sqref="J2"/>
    </sheetView>
  </sheetViews>
  <sheetFormatPr baseColWidth="10" defaultRowHeight="15" x14ac:dyDescent="0.25"/>
  <cols>
    <col min="1" max="1" width="7.42578125" customWidth="1"/>
    <col min="2" max="2" width="3" bestFit="1" customWidth="1"/>
    <col min="3" max="3" width="53.140625" bestFit="1" customWidth="1"/>
    <col min="4" max="4" width="20.42578125" bestFit="1" customWidth="1"/>
    <col min="5" max="5" width="8.85546875" bestFit="1" customWidth="1"/>
    <col min="6" max="6" width="21" bestFit="1" customWidth="1"/>
    <col min="7" max="7" width="23.7109375" bestFit="1" customWidth="1"/>
    <col min="8" max="8" width="11.85546875" bestFit="1" customWidth="1"/>
    <col min="9" max="9" width="2" bestFit="1" customWidth="1"/>
  </cols>
  <sheetData>
    <row r="2" spans="2:10" ht="21" x14ac:dyDescent="0.35">
      <c r="B2" s="122" t="s">
        <v>117</v>
      </c>
      <c r="C2" s="122"/>
      <c r="D2" s="122"/>
      <c r="E2" s="122"/>
      <c r="F2" s="122"/>
      <c r="G2" s="122"/>
      <c r="H2" s="122"/>
    </row>
    <row r="3" spans="2:10" x14ac:dyDescent="0.25">
      <c r="C3" s="23"/>
      <c r="D3" s="23"/>
      <c r="E3" s="23"/>
      <c r="F3" s="23"/>
      <c r="G3" s="23"/>
      <c r="H3" s="23"/>
      <c r="I3" s="23"/>
      <c r="J3" s="23"/>
    </row>
    <row r="4" spans="2:10" ht="15.75" x14ac:dyDescent="0.25">
      <c r="B4" s="73" t="s">
        <v>122</v>
      </c>
      <c r="C4" s="74" t="s">
        <v>118</v>
      </c>
      <c r="D4" s="75" t="s">
        <v>120</v>
      </c>
      <c r="E4" s="75" t="s">
        <v>119</v>
      </c>
      <c r="F4" s="75" t="s">
        <v>133</v>
      </c>
      <c r="G4" s="75" t="s">
        <v>134</v>
      </c>
      <c r="H4" s="75" t="s">
        <v>130</v>
      </c>
    </row>
    <row r="5" spans="2:10" x14ac:dyDescent="0.25">
      <c r="B5" s="32">
        <v>1</v>
      </c>
      <c r="C5" s="33" t="s">
        <v>19</v>
      </c>
      <c r="D5" s="34">
        <f>'Activo Fijos y Nominales'!D6</f>
        <v>969990</v>
      </c>
      <c r="E5" s="135">
        <f>Complementario!$C$17</f>
        <v>6</v>
      </c>
      <c r="F5" s="34">
        <f>D5/$E$5</f>
        <v>161665</v>
      </c>
      <c r="G5" s="34">
        <f>F5/12</f>
        <v>13472.083333333334</v>
      </c>
      <c r="H5" s="34">
        <v>0</v>
      </c>
      <c r="I5" s="3"/>
      <c r="J5" s="3"/>
    </row>
    <row r="6" spans="2:10" x14ac:dyDescent="0.25">
      <c r="B6" s="32">
        <v>2</v>
      </c>
      <c r="C6" s="33" t="s">
        <v>21</v>
      </c>
      <c r="D6" s="34">
        <f>'Activo Fijos y Nominales'!D7</f>
        <v>86990</v>
      </c>
      <c r="E6" s="135"/>
      <c r="F6" s="34">
        <f>D6/$E$5</f>
        <v>14498.333333333334</v>
      </c>
      <c r="G6" s="34">
        <f t="shared" ref="G6:G19" si="0">F6/12</f>
        <v>1208.1944444444446</v>
      </c>
      <c r="H6" s="34">
        <v>0</v>
      </c>
      <c r="I6" s="3"/>
      <c r="J6" s="3"/>
    </row>
    <row r="7" spans="2:10" x14ac:dyDescent="0.25">
      <c r="B7" s="32">
        <v>4</v>
      </c>
      <c r="C7" s="33" t="s">
        <v>23</v>
      </c>
      <c r="D7" s="34">
        <f>'Activo Fijos y Nominales'!D8</f>
        <v>13290</v>
      </c>
      <c r="E7" s="135"/>
      <c r="F7" s="34">
        <f t="shared" ref="F7:F10" si="1">D7/$E$5</f>
        <v>2215</v>
      </c>
      <c r="G7" s="34">
        <f t="shared" si="0"/>
        <v>184.58333333333334</v>
      </c>
      <c r="H7" s="34">
        <v>0</v>
      </c>
    </row>
    <row r="8" spans="2:10" x14ac:dyDescent="0.25">
      <c r="B8" s="32">
        <v>5</v>
      </c>
      <c r="C8" s="33" t="s">
        <v>25</v>
      </c>
      <c r="D8" s="34">
        <f>'Activo Fijos y Nominales'!D9</f>
        <v>4990</v>
      </c>
      <c r="E8" s="135"/>
      <c r="F8" s="34">
        <f t="shared" si="1"/>
        <v>831.66666666666663</v>
      </c>
      <c r="G8" s="34">
        <f t="shared" si="0"/>
        <v>69.305555555555557</v>
      </c>
      <c r="H8" s="34">
        <v>0</v>
      </c>
    </row>
    <row r="9" spans="2:10" x14ac:dyDescent="0.25">
      <c r="B9" s="32">
        <v>6</v>
      </c>
      <c r="C9" s="33" t="s">
        <v>56</v>
      </c>
      <c r="D9" s="34">
        <f>'Activo Fijos y Nominales'!D10</f>
        <v>94990</v>
      </c>
      <c r="E9" s="135"/>
      <c r="F9" s="34">
        <f t="shared" si="1"/>
        <v>15831.666666666666</v>
      </c>
      <c r="G9" s="34">
        <f t="shared" si="0"/>
        <v>1319.3055555555554</v>
      </c>
      <c r="H9" s="34">
        <v>0</v>
      </c>
    </row>
    <row r="10" spans="2:10" ht="15.75" thickBot="1" x14ac:dyDescent="0.3">
      <c r="B10" s="35">
        <v>7</v>
      </c>
      <c r="C10" s="36" t="s">
        <v>100</v>
      </c>
      <c r="D10" s="37">
        <f>'Activo Fijos y Nominales'!D11</f>
        <v>533490</v>
      </c>
      <c r="E10" s="136"/>
      <c r="F10" s="37">
        <f t="shared" si="1"/>
        <v>88915</v>
      </c>
      <c r="G10" s="37">
        <f t="shared" si="0"/>
        <v>7409.583333333333</v>
      </c>
      <c r="H10" s="37">
        <v>0</v>
      </c>
    </row>
    <row r="11" spans="2:10" x14ac:dyDescent="0.25">
      <c r="B11" s="32">
        <v>8</v>
      </c>
      <c r="C11" s="33" t="s">
        <v>30</v>
      </c>
      <c r="D11" s="34">
        <f>'Activo Fijos y Nominales'!F16</f>
        <v>1639800</v>
      </c>
      <c r="E11" s="135">
        <f>Complementario!$C$18</f>
        <v>7</v>
      </c>
      <c r="F11" s="34">
        <f>D11/$E$11</f>
        <v>234257.14285714287</v>
      </c>
      <c r="G11" s="34">
        <f t="shared" si="0"/>
        <v>19521.428571428572</v>
      </c>
      <c r="H11" s="34">
        <f>D11-F11</f>
        <v>1405542.857142857</v>
      </c>
    </row>
    <row r="12" spans="2:10" x14ac:dyDescent="0.25">
      <c r="B12" s="32">
        <v>9</v>
      </c>
      <c r="C12" s="33" t="s">
        <v>32</v>
      </c>
      <c r="D12" s="34">
        <f>'Activo Fijos y Nominales'!F17</f>
        <v>1599800</v>
      </c>
      <c r="E12" s="135"/>
      <c r="F12" s="34">
        <f t="shared" ref="F12:F18" si="2">D12/$E$11</f>
        <v>228542.85714285713</v>
      </c>
      <c r="G12" s="34">
        <f t="shared" si="0"/>
        <v>19045.238095238095</v>
      </c>
      <c r="H12" s="34">
        <f>D12-F12</f>
        <v>1371257.142857143</v>
      </c>
    </row>
    <row r="13" spans="2:10" x14ac:dyDescent="0.25">
      <c r="B13" s="32">
        <v>10</v>
      </c>
      <c r="C13" s="33" t="s">
        <v>33</v>
      </c>
      <c r="D13" s="34">
        <f>'Activo Fijos y Nominales'!F18</f>
        <v>839970</v>
      </c>
      <c r="E13" s="135"/>
      <c r="F13" s="34">
        <f>D13/$E$5</f>
        <v>139995</v>
      </c>
      <c r="G13" s="34">
        <f t="shared" si="0"/>
        <v>11666.25</v>
      </c>
      <c r="H13" s="34">
        <f t="shared" ref="H13:H19" si="3">D13-F13</f>
        <v>699975</v>
      </c>
      <c r="I13" t="s">
        <v>164</v>
      </c>
    </row>
    <row r="14" spans="2:10" x14ac:dyDescent="0.25">
      <c r="B14" s="32">
        <v>11</v>
      </c>
      <c r="C14" s="33" t="s">
        <v>34</v>
      </c>
      <c r="D14" s="34">
        <f>'Activo Fijos y Nominales'!F19</f>
        <v>89970</v>
      </c>
      <c r="E14" s="135"/>
      <c r="F14" s="34">
        <f t="shared" si="2"/>
        <v>12852.857142857143</v>
      </c>
      <c r="G14" s="34">
        <f t="shared" si="0"/>
        <v>1071.0714285714287</v>
      </c>
      <c r="H14" s="34">
        <f t="shared" si="3"/>
        <v>77117.142857142855</v>
      </c>
    </row>
    <row r="15" spans="2:10" x14ac:dyDescent="0.25">
      <c r="B15" s="32">
        <v>12</v>
      </c>
      <c r="C15" s="33" t="s">
        <v>37</v>
      </c>
      <c r="D15" s="34">
        <f>'Activo Fijos y Nominales'!F20</f>
        <v>639920</v>
      </c>
      <c r="E15" s="135"/>
      <c r="F15" s="34">
        <f t="shared" si="2"/>
        <v>91417.142857142855</v>
      </c>
      <c r="G15" s="34">
        <f t="shared" si="0"/>
        <v>7618.0952380952376</v>
      </c>
      <c r="H15" s="34">
        <f t="shared" si="3"/>
        <v>548502.85714285716</v>
      </c>
    </row>
    <row r="16" spans="2:10" x14ac:dyDescent="0.25">
      <c r="B16" s="32">
        <v>13</v>
      </c>
      <c r="C16" s="33" t="s">
        <v>44</v>
      </c>
      <c r="D16" s="34">
        <f>'Activo Fijos y Nominales'!F21</f>
        <v>209970</v>
      </c>
      <c r="E16" s="135"/>
      <c r="F16" s="34">
        <f t="shared" si="2"/>
        <v>29995.714285714286</v>
      </c>
      <c r="G16" s="34">
        <f t="shared" si="0"/>
        <v>2499.6428571428573</v>
      </c>
      <c r="H16" s="34">
        <f t="shared" si="3"/>
        <v>179974.28571428571</v>
      </c>
    </row>
    <row r="17" spans="2:9" x14ac:dyDescent="0.25">
      <c r="B17" s="32">
        <v>14</v>
      </c>
      <c r="C17" s="33" t="s">
        <v>39</v>
      </c>
      <c r="D17" s="34">
        <f>'Activo Fijos y Nominales'!F22</f>
        <v>2399970</v>
      </c>
      <c r="E17" s="135"/>
      <c r="F17" s="34">
        <f>D17/$E$5</f>
        <v>399995</v>
      </c>
      <c r="G17" s="34">
        <f t="shared" si="0"/>
        <v>33332.916666666664</v>
      </c>
      <c r="H17" s="34">
        <f>D17-F17</f>
        <v>1999975</v>
      </c>
      <c r="I17" t="s">
        <v>164</v>
      </c>
    </row>
    <row r="18" spans="2:9" x14ac:dyDescent="0.25">
      <c r="B18" s="32">
        <v>15</v>
      </c>
      <c r="C18" s="33" t="s">
        <v>41</v>
      </c>
      <c r="D18" s="34">
        <f>'Activo Fijos y Nominales'!F23</f>
        <v>799960</v>
      </c>
      <c r="E18" s="135"/>
      <c r="F18" s="34">
        <f t="shared" si="2"/>
        <v>114280</v>
      </c>
      <c r="G18" s="34">
        <f t="shared" si="0"/>
        <v>9523.3333333333339</v>
      </c>
      <c r="H18" s="34">
        <f t="shared" si="3"/>
        <v>685680</v>
      </c>
    </row>
    <row r="19" spans="2:9" x14ac:dyDescent="0.25">
      <c r="B19" s="32">
        <v>16</v>
      </c>
      <c r="C19" s="33" t="s">
        <v>43</v>
      </c>
      <c r="D19" s="34">
        <f>'Activo Fijos y Nominales'!F24</f>
        <v>599800</v>
      </c>
      <c r="E19" s="135"/>
      <c r="F19" s="34">
        <f>D19/$E$11</f>
        <v>85685.71428571429</v>
      </c>
      <c r="G19" s="34">
        <f t="shared" si="0"/>
        <v>7140.4761904761908</v>
      </c>
      <c r="H19" s="34">
        <f t="shared" si="3"/>
        <v>514114.28571428568</v>
      </c>
    </row>
    <row r="20" spans="2:9" x14ac:dyDescent="0.25">
      <c r="D20" s="3"/>
      <c r="G20" s="87" t="s">
        <v>135</v>
      </c>
      <c r="H20" s="88">
        <f>SUM(H11,H12,H14,H15,H16,H18,H19)</f>
        <v>4782188.5714285709</v>
      </c>
    </row>
  </sheetData>
  <mergeCells count="3">
    <mergeCell ref="E5:E10"/>
    <mergeCell ref="E11:E19"/>
    <mergeCell ref="B2:H2"/>
  </mergeCells>
  <pageMargins left="0.7" right="0.7" top="0.75" bottom="0.75" header="0.3" footer="0.3"/>
  <pageSetup orientation="portrait" r:id="rId1"/>
  <ignoredErrors>
    <ignoredError sqref="F13 F1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9ADD-80B6-4042-9F51-6A795213A138}">
  <sheetPr>
    <tabColor rgb="FF0070C0"/>
  </sheetPr>
  <dimension ref="A2:I29"/>
  <sheetViews>
    <sheetView showGridLines="0" workbookViewId="0">
      <selection activeCell="A2" sqref="A2:XFD2"/>
    </sheetView>
  </sheetViews>
  <sheetFormatPr baseColWidth="10" defaultRowHeight="15" x14ac:dyDescent="0.25"/>
  <cols>
    <col min="1" max="1" width="3.140625" bestFit="1" customWidth="1"/>
    <col min="2" max="2" width="53.140625" bestFit="1" customWidth="1"/>
    <col min="3" max="3" width="20.7109375" bestFit="1" customWidth="1"/>
    <col min="4" max="4" width="22.5703125" bestFit="1" customWidth="1"/>
    <col min="5" max="5" width="21.42578125" bestFit="1" customWidth="1"/>
    <col min="6" max="6" width="4.140625" customWidth="1"/>
    <col min="7" max="7" width="53.140625" bestFit="1" customWidth="1"/>
    <col min="8" max="8" width="18.42578125" bestFit="1" customWidth="1"/>
    <col min="9" max="9" width="21.42578125" bestFit="1" customWidth="1"/>
  </cols>
  <sheetData>
    <row r="2" spans="1:9" ht="21" x14ac:dyDescent="0.35">
      <c r="A2" s="122" t="s">
        <v>186</v>
      </c>
      <c r="B2" s="122"/>
      <c r="C2" s="122"/>
      <c r="D2" s="122"/>
      <c r="E2" s="122"/>
      <c r="F2" s="122"/>
      <c r="G2" s="122"/>
      <c r="H2" s="122"/>
      <c r="I2" s="122"/>
    </row>
    <row r="4" spans="1:9" ht="15.75" x14ac:dyDescent="0.25">
      <c r="B4" s="137" t="s">
        <v>112</v>
      </c>
      <c r="C4" s="137"/>
      <c r="D4" s="137"/>
      <c r="E4" s="137"/>
      <c r="G4" s="137" t="s">
        <v>147</v>
      </c>
      <c r="H4" s="137"/>
      <c r="I4" s="137"/>
    </row>
    <row r="5" spans="1:9" x14ac:dyDescent="0.25">
      <c r="A5" s="5"/>
      <c r="B5" s="31" t="s">
        <v>10</v>
      </c>
      <c r="C5" s="31" t="s">
        <v>131</v>
      </c>
      <c r="D5" s="31" t="s">
        <v>132</v>
      </c>
      <c r="E5" s="31" t="s">
        <v>121</v>
      </c>
      <c r="G5" s="31" t="s">
        <v>10</v>
      </c>
      <c r="H5" s="31" t="s">
        <v>131</v>
      </c>
      <c r="I5" s="31" t="s">
        <v>152</v>
      </c>
    </row>
    <row r="6" spans="1:9" x14ac:dyDescent="0.25">
      <c r="A6" s="29"/>
      <c r="B6" s="30" t="s">
        <v>30</v>
      </c>
      <c r="C6" s="77">
        <f>'Despreciacion Activo Fijos '!D11</f>
        <v>1639800</v>
      </c>
      <c r="D6" s="138">
        <v>7</v>
      </c>
      <c r="E6" s="77">
        <f>C6/$D$6</f>
        <v>234257.14285714287</v>
      </c>
      <c r="G6" s="30" t="s">
        <v>30</v>
      </c>
      <c r="H6" s="77">
        <f>'Despreciacion Activo Fijos '!D11</f>
        <v>1639800</v>
      </c>
      <c r="I6" s="77">
        <v>900000</v>
      </c>
    </row>
    <row r="7" spans="1:9" x14ac:dyDescent="0.25">
      <c r="A7" s="29"/>
      <c r="B7" s="30" t="s">
        <v>32</v>
      </c>
      <c r="C7" s="77">
        <f>'Despreciacion Activo Fijos '!D12</f>
        <v>1599800</v>
      </c>
      <c r="D7" s="138"/>
      <c r="E7" s="77">
        <f t="shared" ref="E7:E14" si="0">C7/$D$6</f>
        <v>228542.85714285713</v>
      </c>
      <c r="G7" s="30" t="s">
        <v>32</v>
      </c>
      <c r="H7" s="77">
        <f>'Despreciacion Activo Fijos '!D12</f>
        <v>1599800</v>
      </c>
      <c r="I7" s="77">
        <v>1200000</v>
      </c>
    </row>
    <row r="8" spans="1:9" x14ac:dyDescent="0.25">
      <c r="A8" s="29"/>
      <c r="B8" s="30" t="s">
        <v>33</v>
      </c>
      <c r="C8" s="77">
        <f>'Despreciacion Activo Fijos '!D13</f>
        <v>839970</v>
      </c>
      <c r="D8" s="138"/>
      <c r="E8" s="77">
        <f t="shared" si="0"/>
        <v>119995.71428571429</v>
      </c>
      <c r="G8" s="30" t="s">
        <v>33</v>
      </c>
      <c r="H8" s="77">
        <f>'Despreciacion Activo Fijos '!D13</f>
        <v>839970</v>
      </c>
      <c r="I8" s="77">
        <v>600000</v>
      </c>
    </row>
    <row r="9" spans="1:9" x14ac:dyDescent="0.25">
      <c r="A9" s="29"/>
      <c r="B9" s="30" t="s">
        <v>34</v>
      </c>
      <c r="C9" s="77">
        <f>'Despreciacion Activo Fijos '!D14</f>
        <v>89970</v>
      </c>
      <c r="D9" s="138"/>
      <c r="E9" s="77">
        <f t="shared" si="0"/>
        <v>12852.857142857143</v>
      </c>
      <c r="G9" s="30" t="s">
        <v>34</v>
      </c>
      <c r="H9" s="77">
        <f>'Despreciacion Activo Fijos '!D14</f>
        <v>89970</v>
      </c>
      <c r="I9" s="77">
        <v>60000</v>
      </c>
    </row>
    <row r="10" spans="1:9" x14ac:dyDescent="0.25">
      <c r="A10" s="29"/>
      <c r="B10" s="30" t="s">
        <v>37</v>
      </c>
      <c r="C10" s="77">
        <f>'Despreciacion Activo Fijos '!D15</f>
        <v>639920</v>
      </c>
      <c r="D10" s="138"/>
      <c r="E10" s="77">
        <f t="shared" si="0"/>
        <v>91417.142857142855</v>
      </c>
      <c r="G10" s="30" t="s">
        <v>37</v>
      </c>
      <c r="H10" s="77">
        <f>'Despreciacion Activo Fijos '!D15</f>
        <v>639920</v>
      </c>
      <c r="I10" s="77">
        <v>320000</v>
      </c>
    </row>
    <row r="11" spans="1:9" x14ac:dyDescent="0.25">
      <c r="A11" s="29"/>
      <c r="B11" s="30" t="s">
        <v>44</v>
      </c>
      <c r="C11" s="77">
        <f>'Despreciacion Activo Fijos '!D16</f>
        <v>209970</v>
      </c>
      <c r="D11" s="138"/>
      <c r="E11" s="77">
        <f t="shared" si="0"/>
        <v>29995.714285714286</v>
      </c>
      <c r="G11" s="30" t="s">
        <v>44</v>
      </c>
      <c r="H11" s="77">
        <f>'Despreciacion Activo Fijos '!D16</f>
        <v>209970</v>
      </c>
      <c r="I11" s="77">
        <v>150000</v>
      </c>
    </row>
    <row r="12" spans="1:9" x14ac:dyDescent="0.25">
      <c r="A12" s="29"/>
      <c r="B12" s="30" t="s">
        <v>39</v>
      </c>
      <c r="C12" s="77">
        <f>'Despreciacion Activo Fijos '!D17</f>
        <v>2399970</v>
      </c>
      <c r="D12" s="138"/>
      <c r="E12" s="77">
        <f t="shared" si="0"/>
        <v>342852.85714285716</v>
      </c>
      <c r="G12" s="30" t="s">
        <v>39</v>
      </c>
      <c r="H12" s="77">
        <f>'Despreciacion Activo Fijos '!D17</f>
        <v>2399970</v>
      </c>
      <c r="I12" s="77">
        <v>690000</v>
      </c>
    </row>
    <row r="13" spans="1:9" x14ac:dyDescent="0.25">
      <c r="A13" s="29"/>
      <c r="B13" s="30" t="s">
        <v>41</v>
      </c>
      <c r="C13" s="77">
        <f>'Despreciacion Activo Fijos '!D18</f>
        <v>799960</v>
      </c>
      <c r="D13" s="138"/>
      <c r="E13" s="77">
        <f t="shared" si="0"/>
        <v>114280</v>
      </c>
      <c r="G13" s="30" t="s">
        <v>41</v>
      </c>
      <c r="H13" s="77">
        <f>'Despreciacion Activo Fijos '!D18</f>
        <v>799960</v>
      </c>
      <c r="I13" s="77">
        <v>200000</v>
      </c>
    </row>
    <row r="14" spans="1:9" x14ac:dyDescent="0.25">
      <c r="A14" s="29"/>
      <c r="B14" s="30" t="s">
        <v>43</v>
      </c>
      <c r="C14" s="77">
        <f>'Despreciacion Activo Fijos '!D19</f>
        <v>599800</v>
      </c>
      <c r="D14" s="138"/>
      <c r="E14" s="77">
        <f t="shared" si="0"/>
        <v>85685.71428571429</v>
      </c>
      <c r="G14" s="30" t="s">
        <v>43</v>
      </c>
      <c r="H14" s="77">
        <f>'Despreciacion Activo Fijos '!D19</f>
        <v>599800</v>
      </c>
      <c r="I14" s="77">
        <v>400000</v>
      </c>
    </row>
    <row r="15" spans="1:9" x14ac:dyDescent="0.25">
      <c r="A15" s="5"/>
      <c r="B15" s="78"/>
      <c r="C15" s="79"/>
      <c r="D15" s="81" t="s">
        <v>137</v>
      </c>
      <c r="E15" s="82">
        <f>SUM(E6:E14)</f>
        <v>1259880.0000000002</v>
      </c>
      <c r="G15" s="5"/>
      <c r="H15" s="81" t="s">
        <v>150</v>
      </c>
      <c r="I15" s="82">
        <f>SUM(I6:I14)</f>
        <v>4520000</v>
      </c>
    </row>
    <row r="17" spans="2:5" ht="15.75" x14ac:dyDescent="0.25">
      <c r="B17" s="137" t="s">
        <v>138</v>
      </c>
      <c r="C17" s="137"/>
    </row>
    <row r="18" spans="2:5" x14ac:dyDescent="0.25">
      <c r="B18" s="31" t="s">
        <v>144</v>
      </c>
      <c r="C18" s="31" t="s">
        <v>145</v>
      </c>
    </row>
    <row r="19" spans="2:5" x14ac:dyDescent="0.25">
      <c r="B19" s="80" t="s">
        <v>146</v>
      </c>
      <c r="C19" s="84">
        <f>'Activo Fijos y Nominales'!$F$25</f>
        <v>8819160</v>
      </c>
    </row>
    <row r="20" spans="2:5" x14ac:dyDescent="0.25">
      <c r="B20" s="80" t="s">
        <v>140</v>
      </c>
      <c r="C20" s="84">
        <f>'Despreciacion Activo Fijos '!$H$20</f>
        <v>4782188.5714285709</v>
      </c>
      <c r="E20" s="83"/>
    </row>
    <row r="21" spans="2:5" x14ac:dyDescent="0.25">
      <c r="B21" s="30" t="s">
        <v>141</v>
      </c>
      <c r="C21" s="84">
        <f>C19-C20</f>
        <v>4036971.4285714291</v>
      </c>
      <c r="E21" s="83"/>
    </row>
    <row r="22" spans="2:5" x14ac:dyDescent="0.25">
      <c r="B22" s="30" t="s">
        <v>142</v>
      </c>
      <c r="C22" s="85">
        <f>Complementario!C13</f>
        <v>0.27</v>
      </c>
      <c r="E22" s="83"/>
    </row>
    <row r="23" spans="2:5" x14ac:dyDescent="0.25">
      <c r="B23" s="30" t="s">
        <v>143</v>
      </c>
      <c r="C23" s="84">
        <f>C21*C22</f>
        <v>1089982.2857142859</v>
      </c>
      <c r="E23" s="83"/>
    </row>
    <row r="24" spans="2:5" x14ac:dyDescent="0.25">
      <c r="B24" s="80" t="s">
        <v>136</v>
      </c>
      <c r="C24" s="84">
        <f>$E$15</f>
        <v>1259880.0000000002</v>
      </c>
      <c r="E24" s="83"/>
    </row>
    <row r="25" spans="2:5" x14ac:dyDescent="0.25">
      <c r="B25" s="81" t="s">
        <v>139</v>
      </c>
      <c r="C25" s="86">
        <f>C23+C24</f>
        <v>2349862.2857142864</v>
      </c>
      <c r="D25" s="83"/>
      <c r="E25" s="83"/>
    </row>
    <row r="26" spans="2:5" x14ac:dyDescent="0.25">
      <c r="B26" s="83"/>
      <c r="C26" s="83"/>
      <c r="D26" s="83"/>
      <c r="E26" s="83"/>
    </row>
    <row r="27" spans="2:5" x14ac:dyDescent="0.25">
      <c r="B27" s="83"/>
      <c r="C27" s="83"/>
      <c r="D27" s="83"/>
      <c r="E27" s="83"/>
    </row>
    <row r="28" spans="2:5" x14ac:dyDescent="0.25">
      <c r="E28" s="83"/>
    </row>
    <row r="29" spans="2:5" x14ac:dyDescent="0.25">
      <c r="E29" s="83"/>
    </row>
  </sheetData>
  <mergeCells count="5">
    <mergeCell ref="B17:C17"/>
    <mergeCell ref="G4:I4"/>
    <mergeCell ref="D6:D14"/>
    <mergeCell ref="B4:E4"/>
    <mergeCell ref="A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FDEE-6942-44F6-8BD0-77C98CC873B9}">
  <sheetPr>
    <tabColor rgb="FF002060"/>
  </sheetPr>
  <dimension ref="B2:H9"/>
  <sheetViews>
    <sheetView showGridLines="0" zoomScale="130" zoomScaleNormal="130" workbookViewId="0">
      <selection activeCell="B4" sqref="B4:H9"/>
    </sheetView>
  </sheetViews>
  <sheetFormatPr baseColWidth="10" defaultRowHeight="15" x14ac:dyDescent="0.25"/>
  <cols>
    <col min="2" max="2" width="12.7109375" bestFit="1" customWidth="1"/>
    <col min="3" max="8" width="13.7109375" bestFit="1" customWidth="1"/>
  </cols>
  <sheetData>
    <row r="2" spans="2:8" ht="21" x14ac:dyDescent="0.25">
      <c r="B2" s="130" t="s">
        <v>151</v>
      </c>
      <c r="C2" s="130"/>
      <c r="D2" s="130"/>
      <c r="E2" s="130"/>
      <c r="F2" s="130"/>
      <c r="G2" s="130"/>
      <c r="H2" s="130"/>
    </row>
    <row r="3" spans="2:8" ht="18.75" x14ac:dyDescent="0.3">
      <c r="B3" s="18"/>
      <c r="C3" s="18"/>
      <c r="D3" s="18"/>
      <c r="E3" s="18"/>
      <c r="F3" s="18"/>
      <c r="G3" s="18"/>
      <c r="H3" s="18"/>
    </row>
    <row r="4" spans="2:8" ht="15.75" x14ac:dyDescent="0.25">
      <c r="B4" s="38" t="s">
        <v>0</v>
      </c>
      <c r="C4" s="39">
        <v>0</v>
      </c>
      <c r="D4" s="39">
        <v>1</v>
      </c>
      <c r="E4" s="39">
        <v>2</v>
      </c>
      <c r="F4" s="39">
        <v>3</v>
      </c>
      <c r="G4" s="39">
        <v>4</v>
      </c>
      <c r="H4" s="39">
        <v>5</v>
      </c>
    </row>
    <row r="5" spans="2:8" x14ac:dyDescent="0.25">
      <c r="B5" s="48" t="s">
        <v>57</v>
      </c>
      <c r="C5" s="49">
        <v>0</v>
      </c>
      <c r="D5" s="49">
        <f>PMT(Complementario!$I$9,Complementario!$I$5,-Amortizacion!$C$8)</f>
        <v>114999127.70232336</v>
      </c>
      <c r="E5" s="49">
        <f>PMT(Complementario!$I$9,Complementario!$I$5,-Amortizacion!$C$8)</f>
        <v>114999127.70232336</v>
      </c>
      <c r="F5" s="49">
        <f>PMT(Complementario!$I$9,Complementario!$I$5,-Amortizacion!$C$8)</f>
        <v>114999127.70232336</v>
      </c>
      <c r="G5" s="49">
        <f>PMT(Complementario!$I$9,Complementario!$I$5,-Amortizacion!$C$8)</f>
        <v>114999127.70232336</v>
      </c>
      <c r="H5" s="49">
        <f>PMT(Complementario!$I$9,Complementario!$I$5,-Amortizacion!$C$8)</f>
        <v>114999127.70232336</v>
      </c>
    </row>
    <row r="6" spans="2:8" x14ac:dyDescent="0.25">
      <c r="B6" s="48" t="s">
        <v>14</v>
      </c>
      <c r="C6" s="49">
        <v>0</v>
      </c>
      <c r="D6" s="49">
        <f>+Complementario!I9*Amortizacion!$C$8</f>
        <v>8250000</v>
      </c>
      <c r="E6" s="49">
        <f>+Complementario!I9*$D$8</f>
        <v>6648763.0844651489</v>
      </c>
      <c r="F6" s="49">
        <f>+Complementario!I9*Amortizacion!$E$8</f>
        <v>5023507.6151972758</v>
      </c>
      <c r="G6" s="49">
        <f>+Complementario!I9*$F$8</f>
        <v>3373873.3138903845</v>
      </c>
      <c r="H6" s="49">
        <f>+Complementario!I9*Amortizacion!$G$8</f>
        <v>1699494.49806389</v>
      </c>
    </row>
    <row r="7" spans="2:8" x14ac:dyDescent="0.25">
      <c r="B7" s="48" t="s">
        <v>53</v>
      </c>
      <c r="C7" s="49">
        <v>0</v>
      </c>
      <c r="D7" s="49">
        <f>+D5-D6</f>
        <v>106749127.70232336</v>
      </c>
      <c r="E7" s="49">
        <f>+E5-E6</f>
        <v>108350364.61785822</v>
      </c>
      <c r="F7" s="49">
        <f>+F5-F6</f>
        <v>109975620.08712609</v>
      </c>
      <c r="G7" s="49">
        <f>+G5-G6</f>
        <v>111625254.38843298</v>
      </c>
      <c r="H7" s="49">
        <f>+H5-H6</f>
        <v>113299633.20425947</v>
      </c>
    </row>
    <row r="8" spans="2:8" x14ac:dyDescent="0.25">
      <c r="B8" s="48" t="s">
        <v>58</v>
      </c>
      <c r="C8" s="50">
        <f>Complementario!I8</f>
        <v>550000000</v>
      </c>
      <c r="D8" s="49">
        <f>+C8-D7</f>
        <v>443250872.29767662</v>
      </c>
      <c r="E8" s="49">
        <f>+D8-E7</f>
        <v>334900507.67981839</v>
      </c>
      <c r="F8" s="49">
        <f>+E8-F7</f>
        <v>224924887.59269232</v>
      </c>
      <c r="G8" s="49">
        <f>+F8-G7</f>
        <v>113299633.20425934</v>
      </c>
      <c r="H8" s="49">
        <f>+G8-H7</f>
        <v>-1.3411045074462891E-7</v>
      </c>
    </row>
    <row r="9" spans="2:8" x14ac:dyDescent="0.25">
      <c r="B9" s="48" t="s">
        <v>59</v>
      </c>
      <c r="C9" s="49">
        <v>0</v>
      </c>
      <c r="D9" s="49">
        <f>+D7+C9</f>
        <v>106749127.70232336</v>
      </c>
      <c r="E9" s="49">
        <f>+E7+D9</f>
        <v>215099492.32018158</v>
      </c>
      <c r="F9" s="49">
        <f>+F7+E9</f>
        <v>325075112.40730768</v>
      </c>
      <c r="G9" s="49">
        <f>+G7+F9</f>
        <v>436700366.79574066</v>
      </c>
      <c r="H9" s="49">
        <f>+H7+G9</f>
        <v>550000000.00000012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de Caja</vt:lpstr>
      <vt:lpstr>Indicadores Financieros</vt:lpstr>
      <vt:lpstr>Costos de desarrollo</vt:lpstr>
      <vt:lpstr>Costo de Implementacion</vt:lpstr>
      <vt:lpstr>Complementario</vt:lpstr>
      <vt:lpstr>Activo Fijos y Nominales</vt:lpstr>
      <vt:lpstr>Despreciacion Activo Fijos </vt:lpstr>
      <vt:lpstr>Valor Desecho</vt:lpstr>
      <vt:lpstr>Amortizacion</vt:lpstr>
      <vt:lpstr>Tasa de Descuento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2019-07-09T13:28:17Z</dcterms:modified>
</cp:coreProperties>
</file>