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BE791E0-69A2-4A5F-A36C-B70316677857}" xr6:coauthVersionLast="36" xr6:coauthVersionMax="43" xr10:uidLastSave="{00000000-0000-0000-0000-000000000000}"/>
  <bookViews>
    <workbookView xWindow="-105" yWindow="-105" windowWidth="23250" windowHeight="12570" tabRatio="766" xr2:uid="{00000000-000D-0000-FFFF-FFFF00000000}"/>
  </bookViews>
  <sheets>
    <sheet name="Flujo de Caja" sheetId="1" r:id="rId1"/>
    <sheet name="Flujo 1" sheetId="10" r:id="rId2"/>
    <sheet name="Costos de desarrollo" sheetId="5" r:id="rId3"/>
    <sheet name="Costo de Implementacion" sheetId="4" r:id="rId4"/>
    <sheet name="Activo Fijos y Nominales" sheetId="11" r:id="rId5"/>
    <sheet name="Complementario" sheetId="2" r:id="rId6"/>
    <sheet name="Despreciacion Activo Fijos " sheetId="8" r:id="rId7"/>
    <sheet name="Valor Desecho" sheetId="9" r:id="rId8"/>
    <sheet name="Amortizacion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8" l="1"/>
  <c r="D6" i="10"/>
  <c r="E6" i="10" s="1"/>
  <c r="D8" i="1"/>
  <c r="D9" i="1" s="1"/>
  <c r="H17" i="8"/>
  <c r="F17" i="8"/>
  <c r="F13" i="8"/>
  <c r="C12" i="10"/>
  <c r="C11" i="10" s="1"/>
  <c r="C16" i="10"/>
  <c r="K9" i="5"/>
  <c r="E8" i="1" l="1"/>
  <c r="F6" i="10"/>
  <c r="E7" i="10"/>
  <c r="D7" i="10"/>
  <c r="E40" i="9"/>
  <c r="D23" i="9"/>
  <c r="F16" i="11"/>
  <c r="D11" i="8" s="1"/>
  <c r="D5" i="8"/>
  <c r="D31" i="9" l="1"/>
  <c r="D7" i="9"/>
  <c r="F7" i="9" s="1"/>
  <c r="G6" i="10"/>
  <c r="F7" i="10"/>
  <c r="H6" i="10" l="1"/>
  <c r="G7" i="10"/>
  <c r="F6" i="11"/>
  <c r="F7" i="11"/>
  <c r="F8" i="11"/>
  <c r="F9" i="11"/>
  <c r="F10" i="11"/>
  <c r="F11" i="11"/>
  <c r="F17" i="11"/>
  <c r="D12" i="8" s="1"/>
  <c r="F18" i="11"/>
  <c r="F19" i="11"/>
  <c r="D14" i="8" s="1"/>
  <c r="F20" i="11"/>
  <c r="D15" i="8" s="1"/>
  <c r="F21" i="11"/>
  <c r="D16" i="8" s="1"/>
  <c r="F22" i="11"/>
  <c r="D17" i="8" s="1"/>
  <c r="F23" i="11"/>
  <c r="D18" i="8" s="1"/>
  <c r="F24" i="11"/>
  <c r="D19" i="8" s="1"/>
  <c r="D38" i="9" l="1"/>
  <c r="D14" i="9"/>
  <c r="F14" i="9" s="1"/>
  <c r="D34" i="9"/>
  <c r="D10" i="9"/>
  <c r="F10" i="9" s="1"/>
  <c r="D13" i="9"/>
  <c r="F13" i="9" s="1"/>
  <c r="D37" i="9"/>
  <c r="D36" i="9"/>
  <c r="D12" i="9"/>
  <c r="F12" i="9" s="1"/>
  <c r="D8" i="9"/>
  <c r="F8" i="9" s="1"/>
  <c r="D32" i="9"/>
  <c r="D39" i="9"/>
  <c r="D15" i="9"/>
  <c r="F15" i="9" s="1"/>
  <c r="D35" i="9"/>
  <c r="D11" i="9"/>
  <c r="F11" i="9" s="1"/>
  <c r="I6" i="10"/>
  <c r="I7" i="10" s="1"/>
  <c r="H7" i="10"/>
  <c r="F25" i="11"/>
  <c r="D13" i="8"/>
  <c r="F12" i="11"/>
  <c r="C7" i="1"/>
  <c r="E11" i="8"/>
  <c r="E5" i="8"/>
  <c r="D9" i="8"/>
  <c r="D10" i="8"/>
  <c r="D6" i="8"/>
  <c r="D7" i="8"/>
  <c r="D8" i="8"/>
  <c r="F5" i="8"/>
  <c r="G5" i="8" s="1"/>
  <c r="D9" i="9" l="1"/>
  <c r="F9" i="9" s="1"/>
  <c r="F16" i="9" s="1"/>
  <c r="D25" i="9" s="1"/>
  <c r="D33" i="9"/>
  <c r="D20" i="9"/>
  <c r="F6" i="8"/>
  <c r="G6" i="8" s="1"/>
  <c r="F19" i="8"/>
  <c r="H19" i="8" s="1"/>
  <c r="F15" i="8"/>
  <c r="H15" i="8" s="1"/>
  <c r="F9" i="8"/>
  <c r="G9" i="8" s="1"/>
  <c r="F18" i="8"/>
  <c r="H18" i="8" s="1"/>
  <c r="F14" i="8"/>
  <c r="H14" i="8" s="1"/>
  <c r="F7" i="8"/>
  <c r="G7" i="8" s="1"/>
  <c r="H13" i="8"/>
  <c r="F11" i="8"/>
  <c r="H11" i="8" s="1"/>
  <c r="F16" i="8"/>
  <c r="H16" i="8" s="1"/>
  <c r="F12" i="8"/>
  <c r="H12" i="8" s="1"/>
  <c r="F8" i="8"/>
  <c r="G8" i="8" s="1"/>
  <c r="F10" i="8"/>
  <c r="G10" i="8" s="1"/>
  <c r="D10" i="1"/>
  <c r="D11" i="1" s="1"/>
  <c r="C29" i="1"/>
  <c r="C21" i="1"/>
  <c r="G17" i="8" l="1"/>
  <c r="D21" i="9"/>
  <c r="D22" i="9" s="1"/>
  <c r="D24" i="9" s="1"/>
  <c r="D26" i="9" s="1"/>
  <c r="G18" i="8"/>
  <c r="G12" i="8"/>
  <c r="G13" i="8"/>
  <c r="G16" i="8"/>
  <c r="G15" i="8"/>
  <c r="G11" i="8"/>
  <c r="G14" i="8"/>
  <c r="G19" i="8"/>
  <c r="E9" i="1"/>
  <c r="E10" i="1" s="1"/>
  <c r="E11" i="1" s="1"/>
  <c r="K26" i="5"/>
  <c r="C13" i="3"/>
  <c r="D11" i="3" s="1"/>
  <c r="D19" i="1" s="1"/>
  <c r="I25" i="5"/>
  <c r="K25" i="5" s="1"/>
  <c r="I24" i="5"/>
  <c r="K24" i="5" s="1"/>
  <c r="I23" i="5"/>
  <c r="K23" i="5" s="1"/>
  <c r="K22" i="5"/>
  <c r="I22" i="5"/>
  <c r="I21" i="5"/>
  <c r="K21" i="5" s="1"/>
  <c r="I20" i="5"/>
  <c r="K20" i="5" s="1"/>
  <c r="I19" i="5"/>
  <c r="K19" i="5" s="1"/>
  <c r="I18" i="5"/>
  <c r="K18" i="5" s="1"/>
  <c r="I17" i="5"/>
  <c r="K17" i="5" s="1"/>
  <c r="I16" i="5"/>
  <c r="K16" i="5" s="1"/>
  <c r="I15" i="5"/>
  <c r="K15" i="5" s="1"/>
  <c r="K14" i="5"/>
  <c r="I14" i="5"/>
  <c r="I13" i="5"/>
  <c r="K13" i="5" s="1"/>
  <c r="I12" i="5"/>
  <c r="K12" i="5" s="1"/>
  <c r="I11" i="5"/>
  <c r="K11" i="5" s="1"/>
  <c r="I10" i="5"/>
  <c r="K10" i="5" s="1"/>
  <c r="I9" i="5"/>
  <c r="I8" i="5"/>
  <c r="K8" i="5" s="1"/>
  <c r="I7" i="5"/>
  <c r="K7" i="5" s="1"/>
  <c r="K6" i="5"/>
  <c r="I6" i="5"/>
  <c r="E5" i="4"/>
  <c r="D29" i="11" s="1"/>
  <c r="E14" i="4"/>
  <c r="E13" i="4"/>
  <c r="E9" i="4"/>
  <c r="E8" i="4"/>
  <c r="E7" i="4"/>
  <c r="E6" i="4"/>
  <c r="D30" i="11" s="1"/>
  <c r="F30" i="11" s="1"/>
  <c r="C6" i="2"/>
  <c r="E29" i="11" l="1"/>
  <c r="F29" i="11" s="1"/>
  <c r="F31" i="11" s="1"/>
  <c r="F10" i="3"/>
  <c r="F8" i="1"/>
  <c r="F9" i="1" s="1"/>
  <c r="D10" i="3"/>
  <c r="D12" i="3" s="1"/>
  <c r="G10" i="3"/>
  <c r="E10" i="3"/>
  <c r="H10" i="3"/>
  <c r="E15" i="4"/>
  <c r="E10" i="4"/>
  <c r="F32" i="11" l="1"/>
  <c r="G8" i="1"/>
  <c r="G9" i="1" s="1"/>
  <c r="D14" i="3"/>
  <c r="D20" i="1"/>
  <c r="F18" i="1"/>
  <c r="C23" i="1"/>
  <c r="D18" i="1"/>
  <c r="G18" i="1"/>
  <c r="I18" i="1"/>
  <c r="H18" i="1"/>
  <c r="E18" i="1"/>
  <c r="F15" i="1"/>
  <c r="D15" i="1"/>
  <c r="G15" i="1"/>
  <c r="I15" i="1"/>
  <c r="E15" i="1"/>
  <c r="H15" i="1"/>
  <c r="H17" i="1"/>
  <c r="C22" i="1"/>
  <c r="E17" i="1"/>
  <c r="I17" i="1"/>
  <c r="F17" i="1"/>
  <c r="D17" i="1"/>
  <c r="G17" i="1"/>
  <c r="G16" i="1"/>
  <c r="H16" i="1"/>
  <c r="F16" i="1"/>
  <c r="D16" i="1"/>
  <c r="E16" i="1"/>
  <c r="I16" i="1"/>
  <c r="C24" i="1"/>
  <c r="D13" i="3"/>
  <c r="C27" i="1" l="1"/>
  <c r="C28" i="1" s="1"/>
  <c r="H8" i="1"/>
  <c r="H9" i="1" s="1"/>
  <c r="D27" i="1"/>
  <c r="I8" i="1"/>
  <c r="I9" i="1" s="1"/>
  <c r="E11" i="3"/>
  <c r="D29" i="1" l="1"/>
  <c r="E12" i="3"/>
  <c r="E20" i="1" s="1"/>
  <c r="E27" i="1" s="1"/>
  <c r="E29" i="1" s="1"/>
  <c r="E19" i="1"/>
  <c r="D28" i="1"/>
  <c r="E14" i="3" l="1"/>
  <c r="L17" i="1"/>
  <c r="L20" i="1" s="1"/>
  <c r="E13" i="3"/>
  <c r="F11" i="3" s="1"/>
  <c r="E28" i="1"/>
  <c r="F12" i="3" l="1"/>
  <c r="F13" i="3" s="1"/>
  <c r="G11" i="3" s="1"/>
  <c r="F19" i="1"/>
  <c r="L19" i="1"/>
  <c r="F10" i="1"/>
  <c r="F11" i="1" s="1"/>
  <c r="G12" i="3" l="1"/>
  <c r="G13" i="3" s="1"/>
  <c r="H11" i="3" s="1"/>
  <c r="H19" i="1" s="1"/>
  <c r="G19" i="1"/>
  <c r="F14" i="3"/>
  <c r="F20" i="1"/>
  <c r="F27" i="1" s="1"/>
  <c r="G10" i="1"/>
  <c r="G11" i="1" s="1"/>
  <c r="F29" i="1" l="1"/>
  <c r="F28" i="1"/>
  <c r="H12" i="3"/>
  <c r="H13" i="3" s="1"/>
  <c r="G14" i="3"/>
  <c r="G20" i="1"/>
  <c r="G27" i="1" s="1"/>
  <c r="G29" i="1" s="1"/>
  <c r="L18" i="1"/>
  <c r="H10" i="1"/>
  <c r="H11" i="1" s="1"/>
  <c r="G28" i="1" l="1"/>
  <c r="H14" i="3"/>
  <c r="H20" i="1"/>
  <c r="H27" i="1" s="1"/>
  <c r="H29" i="1" s="1"/>
  <c r="I10" i="1"/>
  <c r="H28" i="1" l="1"/>
  <c r="I11" i="1"/>
  <c r="I27" i="1" s="1"/>
  <c r="L15" i="1" s="1"/>
  <c r="I28" i="1" l="1"/>
  <c r="I29" i="1"/>
  <c r="L16" i="1" s="1"/>
</calcChain>
</file>

<file path=xl/sharedStrings.xml><?xml version="1.0" encoding="utf-8"?>
<sst xmlns="http://schemas.openxmlformats.org/spreadsheetml/2006/main" count="273" uniqueCount="199">
  <si>
    <t>Año</t>
  </si>
  <si>
    <t>Detalle de ingreso</t>
  </si>
  <si>
    <t>Detalle de egreso</t>
  </si>
  <si>
    <t>Electricidad</t>
  </si>
  <si>
    <t>Agua</t>
  </si>
  <si>
    <t>Costos Fijos Mensual</t>
  </si>
  <si>
    <t>Costos Variables Mensual</t>
  </si>
  <si>
    <t>Costos Fijos Anuales</t>
  </si>
  <si>
    <t>Programador Planta</t>
  </si>
  <si>
    <t>Cantidad</t>
  </si>
  <si>
    <t>DBA Planta</t>
  </si>
  <si>
    <t>Sys Admin Planta</t>
  </si>
  <si>
    <t>Item</t>
  </si>
  <si>
    <t>Costo total por item</t>
  </si>
  <si>
    <t>Varianza</t>
  </si>
  <si>
    <t>Costo mas varianza</t>
  </si>
  <si>
    <t>Costo Variables Anuales</t>
  </si>
  <si>
    <t>Intereses</t>
  </si>
  <si>
    <t>Amortización</t>
  </si>
  <si>
    <t>Link</t>
  </si>
  <si>
    <t>Precio unitario</t>
  </si>
  <si>
    <t>Costo total</t>
  </si>
  <si>
    <t>https://www.pcfactory.cl/producto/27947-lenovo-rs160-intel-xeon-e3-1220-v6-3-0ghz-3-5ghz-tb--2x1tb-3-5-hdd-8gb-sr</t>
  </si>
  <si>
    <t>Lenovo RS160</t>
  </si>
  <si>
    <t>https://www.pcfactory.cl/producto/10608-exelink-rack-19-12u-600x450-ws1-6412</t>
  </si>
  <si>
    <t>Exelink Rack 19" 12U 600x450</t>
  </si>
  <si>
    <t>https://www.pcfactory.cl/producto/20234-logitech-combo-teclado--mouse-mk120-usb</t>
  </si>
  <si>
    <t>Logitech Combo Teclado + Mouse MK120 USB</t>
  </si>
  <si>
    <t>https://www.pcfactory.cl/producto/6254-kensington-mouse-pad--apoya-muneca-wrist-pillow</t>
  </si>
  <si>
    <t>Kensington Mouse Pad</t>
  </si>
  <si>
    <t>https://www.pcfactory.cl/producto/29871-gear-monitor-23-8-mc2435a-slim-bezel-full-hd</t>
  </si>
  <si>
    <t>Total</t>
  </si>
  <si>
    <t xml:space="preserve">Item </t>
  </si>
  <si>
    <t>Inversion en tecnologia</t>
  </si>
  <si>
    <t>https://www.sodimac.cl/sodimac-cl/product/315498X/Escritorio-Naira-120x56x76-cm-blanco-y-oak/315498X</t>
  </si>
  <si>
    <t>Escritorio Naira 120x56x76</t>
  </si>
  <si>
    <t>https://www.sodimac.cl/sodimac-cl/product/2671115/Silla-para-PC-63x104-cm-negro/2671115</t>
  </si>
  <si>
    <t>Silla para PC 63x104</t>
  </si>
  <si>
    <t>LED 55" NU7100 4k Ultra HD Smart TV Samsung</t>
  </si>
  <si>
    <t>Kit soporte 15° abrazadera doble 32 " a 55" Dairu</t>
  </si>
  <si>
    <t>https://www.sodimac.cl/sodimac-cl/product/2922401/Kit-soporte-15%C2%B0-abrazadera-doble-32-a-55-/2922401</t>
  </si>
  <si>
    <t>https://www.sodimac.cl/sodimac-cl/product/3774627/Sillon-pouf-90x60x140-cm-azul/3774627</t>
  </si>
  <si>
    <t>Sillon puf 90x60x140 cm azul White Market</t>
  </si>
  <si>
    <t>https://www.sodimac.cl/sodimac-cl/product/3450112/Aire-acondicionado-split-inverter-24000-BTU-blanco/3450112</t>
  </si>
  <si>
    <t>Aire acondicionado split inverter 24000 BTU blanco Kendal</t>
  </si>
  <si>
    <t>https://www.sodimac.cl/sodimac-cl/product/2841800/Mesa-de-comedor-76x90x150-cm-nogal/2841800</t>
  </si>
  <si>
    <t>Mesa de comedor 76x90x150 cm nogal Homy</t>
  </si>
  <si>
    <t>https://www.sodimac.cl/sodimac-cl/product/2906961/Silla-100x47x60-cm-beige/2906953</t>
  </si>
  <si>
    <t>Silla 100x47x60 cm chocolate Homy</t>
  </si>
  <si>
    <t>Futon 82x182x103 cm negro Just Home Collection</t>
  </si>
  <si>
    <t>https://www.sodimac.cl/sodimac-cl/product/3104672</t>
  </si>
  <si>
    <t>Monto en garantia</t>
  </si>
  <si>
    <t>https://inmueble.mercadolibre.cl/MLC-474796236-torre-nueva-barcelona-_JM</t>
  </si>
  <si>
    <t>Arriendo de oficina Barcelona 2116 Providencia, Rm (Metropolitana)</t>
  </si>
  <si>
    <t>TRIPLEPACK negocios conectado VTR (Internet+TV+Telefono)</t>
  </si>
  <si>
    <t>https://vtr.com/productos/NegociosPacks/triple-pack-banda-ancha-television-telefonia?gclid=CjwKCAjwza_mBRBTEiwASDWVvoKp3c596mUtit0kXx4XMJC-PCZ9zJGq3x5N35mDz_BhaexT3GGc6hoCXB8QAvD_BwE</t>
  </si>
  <si>
    <t>Total Global</t>
  </si>
  <si>
    <t>Depreciacion tecnologica</t>
  </si>
  <si>
    <t>Depreciacion de mobiliario</t>
  </si>
  <si>
    <t>Prestamo</t>
  </si>
  <si>
    <t>Amortizacion</t>
  </si>
  <si>
    <t>Cuotas</t>
  </si>
  <si>
    <t>Fijas</t>
  </si>
  <si>
    <t>Desarrollo de software</t>
  </si>
  <si>
    <t>Inversion en inmuebles</t>
  </si>
  <si>
    <t>Gear Monitor 23,8" MC2435A Slim Bezel Full HD</t>
  </si>
  <si>
    <t>Servicios varios</t>
  </si>
  <si>
    <t>Anualidad</t>
  </si>
  <si>
    <t>Cap. Vivo</t>
  </si>
  <si>
    <t>Cap. Amort.</t>
  </si>
  <si>
    <t>UF</t>
  </si>
  <si>
    <t>Cambio a la fecha</t>
  </si>
  <si>
    <t>UTM</t>
  </si>
  <si>
    <t>Dólar</t>
  </si>
  <si>
    <t>Euro</t>
  </si>
  <si>
    <t>Yuan</t>
  </si>
  <si>
    <t>Monto CLP</t>
  </si>
  <si>
    <t>Inversion</t>
  </si>
  <si>
    <t>Utilidad antes de impuesto</t>
  </si>
  <si>
    <t>Utilidad despues de impuesto</t>
  </si>
  <si>
    <t>Precios</t>
  </si>
  <si>
    <t>M^2</t>
  </si>
  <si>
    <t>Km^2</t>
  </si>
  <si>
    <t>Coste (km^2)</t>
  </si>
  <si>
    <t>Alcance (km^2)</t>
  </si>
  <si>
    <t>Rublo</t>
  </si>
  <si>
    <t>Superficie Km^2</t>
  </si>
  <si>
    <t>Region metropolitana</t>
  </si>
  <si>
    <t>Valparaiso</t>
  </si>
  <si>
    <t>Antofagasta</t>
  </si>
  <si>
    <t>Forma de pago</t>
  </si>
  <si>
    <t>Deposito</t>
  </si>
  <si>
    <t>Impuestos</t>
  </si>
  <si>
    <t>Balance</t>
  </si>
  <si>
    <t>Flujo de efectivo</t>
  </si>
  <si>
    <t>Flujo acumulado</t>
  </si>
  <si>
    <t>Nombre</t>
  </si>
  <si>
    <t>Rol</t>
  </si>
  <si>
    <t>Fecha de inicio</t>
  </si>
  <si>
    <t>Fecha de termino</t>
  </si>
  <si>
    <t>Horas diarias normales</t>
  </si>
  <si>
    <t>Acum. Horas extra</t>
  </si>
  <si>
    <t>Anual</t>
  </si>
  <si>
    <t>No definido</t>
  </si>
  <si>
    <t>Scrum Master</t>
  </si>
  <si>
    <t>Product owner</t>
  </si>
  <si>
    <t>Programador</t>
  </si>
  <si>
    <t>DBA</t>
  </si>
  <si>
    <t>Sys admin</t>
  </si>
  <si>
    <t>Jefe de programacion</t>
  </si>
  <si>
    <t>QA</t>
  </si>
  <si>
    <t>Jefe de QA</t>
  </si>
  <si>
    <t>Jefe de DB</t>
  </si>
  <si>
    <t>Costo hora</t>
  </si>
  <si>
    <t>Dias a la semana trabajados</t>
  </si>
  <si>
    <t>Horas totales trabajadas</t>
  </si>
  <si>
    <t>Costo final</t>
  </si>
  <si>
    <t>https://www.pcfactory.cl/producto/32507-acer-notebook-ultraliviano-swift-3-14-intel-i5-8250u-8gb-256gb-ssd-fhd-windows-10-sf314-54-51j6-1</t>
  </si>
  <si>
    <t>Notebook Acer Swift 3 14"</t>
  </si>
  <si>
    <t>Indicadores financieros</t>
  </si>
  <si>
    <t>VAN</t>
  </si>
  <si>
    <t>TIR</t>
  </si>
  <si>
    <t>PRI</t>
  </si>
  <si>
    <t>Tasa</t>
  </si>
  <si>
    <t>Periodo (Años)</t>
  </si>
  <si>
    <t>Flujo efectivo contra inversion</t>
  </si>
  <si>
    <t>PRI años</t>
  </si>
  <si>
    <t>PRI meses</t>
  </si>
  <si>
    <t>PRI dias</t>
  </si>
  <si>
    <r>
      <t xml:space="preserve">Evaluacion Financiera de VA-RV </t>
    </r>
    <r>
      <rPr>
        <b/>
        <sz val="12"/>
        <color theme="1"/>
        <rFont val="Calibri"/>
        <family val="2"/>
        <scheme val="minor"/>
      </rPr>
      <t>(Vision artificial para reconocimiento vehicular)</t>
    </r>
    <r>
      <rPr>
        <sz val="12"/>
        <color theme="1"/>
        <rFont val="Calibri"/>
        <family val="2"/>
        <scheme val="minor"/>
      </rPr>
      <t xml:space="preserve"> a 10 años </t>
    </r>
    <r>
      <rPr>
        <b/>
        <sz val="12"/>
        <color theme="1"/>
        <rFont val="Calibri"/>
        <family val="2"/>
        <scheme val="minor"/>
      </rPr>
      <t>(Fecha de ingreso 05-05-2019)</t>
    </r>
  </si>
  <si>
    <t>23- Sistemas computaciones</t>
  </si>
  <si>
    <t>22- Muebles y enseres</t>
  </si>
  <si>
    <t xml:space="preserve">Tablas Complementarias </t>
  </si>
  <si>
    <t xml:space="preserve"> Acelerada</t>
  </si>
  <si>
    <t xml:space="preserve">Normal </t>
  </si>
  <si>
    <t>En el proyecto se utilizara la depreciacion normal, ya que se quiere sacar el mayor provecho a esos recursos.</t>
  </si>
  <si>
    <r>
      <t xml:space="preserve">Plazo </t>
    </r>
    <r>
      <rPr>
        <b/>
        <sz val="11"/>
        <color theme="1"/>
        <rFont val="Calibri"/>
        <family val="2"/>
        <scheme val="minor"/>
      </rPr>
      <t>(Años)</t>
    </r>
  </si>
  <si>
    <r>
      <t xml:space="preserve">Interes </t>
    </r>
    <r>
      <rPr>
        <b/>
        <sz val="11"/>
        <color theme="1"/>
        <rFont val="Calibri"/>
        <family val="2"/>
        <scheme val="minor"/>
      </rPr>
      <t>(Mensual)</t>
    </r>
  </si>
  <si>
    <t>Metodo Contable</t>
  </si>
  <si>
    <t>Costo Fijo</t>
  </si>
  <si>
    <t>Tabla de Vida Util: Despreciacion (Años)</t>
  </si>
  <si>
    <t>Clase de Activos Genericos</t>
  </si>
  <si>
    <t xml:space="preserve">Costos de desarrollo: Uso de la Metodologia Scrum/Ciclo de vida Prototype - Vision Artificial Para Reconocimiento Vehicular </t>
  </si>
  <si>
    <t>Ingreso y Egreso</t>
  </si>
  <si>
    <t>Tabla de despreciacion de Activos Fisicos</t>
  </si>
  <si>
    <t xml:space="preserve">Activos </t>
  </si>
  <si>
    <t>Vida util</t>
  </si>
  <si>
    <t>Valor de Adquicision</t>
  </si>
  <si>
    <t>Valor de despreciacion</t>
  </si>
  <si>
    <t>N°</t>
  </si>
  <si>
    <t xml:space="preserve">Inversion de Activos </t>
  </si>
  <si>
    <t>Inversion en Activos Fijos (Tecnologia)</t>
  </si>
  <si>
    <t>Inversion en Activos Fijos (inmueble)</t>
  </si>
  <si>
    <t>Inversion en Activos Nominales (Servicios)</t>
  </si>
  <si>
    <t>Costos de Implementacion</t>
  </si>
  <si>
    <r>
      <t xml:space="preserve">Oficina </t>
    </r>
    <r>
      <rPr>
        <b/>
        <sz val="11"/>
        <color theme="1"/>
        <rFont val="Calibri"/>
        <family val="2"/>
        <scheme val="minor"/>
      </rPr>
      <t>(Torre nueva Barcelona, Barcelona 2116, Providencia RM)</t>
    </r>
  </si>
  <si>
    <r>
      <t xml:space="preserve">Telecomunicaciones </t>
    </r>
    <r>
      <rPr>
        <b/>
        <sz val="11"/>
        <color theme="1"/>
        <rFont val="Calibri"/>
        <family val="2"/>
        <scheme val="minor"/>
      </rPr>
      <t>(TRIPLEPACK negocios conectado VTR)</t>
    </r>
  </si>
  <si>
    <t>Valor Libro</t>
  </si>
  <si>
    <t xml:space="preserve">Valor de Aquisicion </t>
  </si>
  <si>
    <t>Vida util (Según SII)</t>
  </si>
  <si>
    <t>Despreciacion Anual</t>
  </si>
  <si>
    <t>Despreciacion Mensual</t>
  </si>
  <si>
    <t>Total Global Libro:</t>
  </si>
  <si>
    <t>Valor Contable</t>
  </si>
  <si>
    <t>Valor Total Contable</t>
  </si>
  <si>
    <t>Valor Desecho (Solo Inmuebles)</t>
  </si>
  <si>
    <t>Metodo Comercial</t>
  </si>
  <si>
    <t>Valor Total Comercial</t>
  </si>
  <si>
    <t>Valor Libro Total</t>
  </si>
  <si>
    <t>Utilidad antes del Impuesto</t>
  </si>
  <si>
    <t xml:space="preserve">Impuesto </t>
  </si>
  <si>
    <t>Utilidad Neta</t>
  </si>
  <si>
    <t xml:space="preserve">Conceptos </t>
  </si>
  <si>
    <t>Totales Financieros</t>
  </si>
  <si>
    <t>Valor Comercial Total</t>
  </si>
  <si>
    <t xml:space="preserve">Metodo Economico </t>
  </si>
  <si>
    <t>https://www.sodimac.cl/sodimac-cl/product/3708608/LED-55-UK6350-4K-Ultra-HDSmart-TV/3708608</t>
  </si>
  <si>
    <t>LED 55" UK6350 4K Ultra HDSmart TV LG</t>
  </si>
  <si>
    <t>Valor Total Economico</t>
  </si>
  <si>
    <t xml:space="preserve">Tabla de Amortizacion/Prestamo Frances </t>
  </si>
  <si>
    <t>Venta (Juicio Experto)</t>
  </si>
  <si>
    <t>ACTUALIZADO EL 30 DE JUNIO 2019
estos valores</t>
  </si>
  <si>
    <t>Ingreso de Caja</t>
  </si>
  <si>
    <t>Egreso de Caja</t>
  </si>
  <si>
    <t>Flujo del Año</t>
  </si>
  <si>
    <t>Flujo Acumulado</t>
  </si>
  <si>
    <r>
      <t xml:space="preserve">Alcance </t>
    </r>
    <r>
      <rPr>
        <b/>
        <i/>
        <sz val="11"/>
        <color theme="1"/>
        <rFont val="Calibri"/>
        <family val="2"/>
        <scheme val="minor"/>
      </rPr>
      <t>(km^2)</t>
    </r>
  </si>
  <si>
    <r>
      <t xml:space="preserve">Coste </t>
    </r>
    <r>
      <rPr>
        <b/>
        <i/>
        <sz val="11"/>
        <color theme="1"/>
        <rFont val="Calibri"/>
        <family val="2"/>
        <scheme val="minor"/>
      </rPr>
      <t>(km^2)</t>
    </r>
  </si>
  <si>
    <t xml:space="preserve">Ratio de alcance </t>
  </si>
  <si>
    <t>Aporte Capital</t>
  </si>
  <si>
    <t>Comprar de Activos</t>
  </si>
  <si>
    <t>Activos Tecnologicos</t>
  </si>
  <si>
    <t>Activos Inmuebles</t>
  </si>
  <si>
    <t xml:space="preserve">Costos Fijos </t>
  </si>
  <si>
    <t xml:space="preserve">Arriendo </t>
  </si>
  <si>
    <t xml:space="preserve">Agua </t>
  </si>
  <si>
    <t>Internet</t>
  </si>
  <si>
    <t xml:space="preserve">Cantidad 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</si>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</sst>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164" formatCode="_ &quot;$&quot;* #,##0_ ;_ &quot;$&quot;* \-#,##0_ ;_ &quot;$&quot;* &quot;-&quot;??_ ;_ @_ "/>
    <numFmt numFmtId="165" formatCode="0.0%"/>
    <numFmt numFmtId="166" formatCode="0.000000%"/>
    <numFmt numFmtId="173" formatCode="0.0"/>
  </numFmts>
  <fonts count="2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6" borderId="2" applyNumberForma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2" fillId="13" borderId="0" applyNumberFormat="0" applyBorder="0" applyAlignment="0" applyProtection="0"/>
    <xf numFmtId="41" fontId="2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Border="1"/>
    <xf numFmtId="42" fontId="0" fillId="0" borderId="0" xfId="2" applyFont="1"/>
    <xf numFmtId="42" fontId="0" fillId="0" borderId="0" xfId="0" applyNumberFormat="1" applyBorder="1"/>
    <xf numFmtId="15" fontId="0" fillId="0" borderId="0" xfId="0" applyNumberFormat="1"/>
    <xf numFmtId="42" fontId="2" fillId="13" borderId="0" xfId="2" applyFill="1" applyBorder="1"/>
    <xf numFmtId="42" fontId="0" fillId="0" borderId="0" xfId="0" applyNumberFormat="1"/>
    <xf numFmtId="0" fontId="0" fillId="0" borderId="0" xfId="0" applyNumberFormat="1"/>
    <xf numFmtId="0" fontId="21" fillId="0" borderId="0" xfId="0" applyFont="1" applyAlignment="1">
      <alignment horizontal="center" wrapText="1"/>
    </xf>
    <xf numFmtId="0" fontId="0" fillId="0" borderId="0" xfId="0" applyFill="1"/>
    <xf numFmtId="0" fontId="5" fillId="0" borderId="0" xfId="6" applyFill="1" applyBorder="1" applyAlignment="1"/>
    <xf numFmtId="164" fontId="0" fillId="0" borderId="0" xfId="1" applyNumberFormat="1" applyFont="1" applyFill="1" applyBorder="1"/>
    <xf numFmtId="0" fontId="0" fillId="0" borderId="0" xfId="0" applyFill="1" applyBorder="1"/>
    <xf numFmtId="0" fontId="20" fillId="0" borderId="0" xfId="0" applyFont="1" applyBorder="1" applyAlignment="1"/>
    <xf numFmtId="164" fontId="0" fillId="0" borderId="0" xfId="0" applyNumberFormat="1" applyFill="1" applyBorder="1"/>
    <xf numFmtId="0" fontId="14" fillId="3" borderId="0" xfId="5" applyFont="1" applyBorder="1"/>
    <xf numFmtId="164" fontId="14" fillId="3" borderId="0" xfId="5" applyNumberFormat="1" applyFont="1" applyBorder="1"/>
    <xf numFmtId="0" fontId="2" fillId="13" borderId="0" xfId="15" applyBorder="1"/>
    <xf numFmtId="14" fontId="2" fillId="13" borderId="0" xfId="15" applyNumberFormat="1" applyBorder="1"/>
    <xf numFmtId="0" fontId="16" fillId="6" borderId="0" xfId="8" applyFont="1" applyBorder="1"/>
    <xf numFmtId="42" fontId="16" fillId="6" borderId="0" xfId="8" applyNumberFormat="1" applyFont="1" applyBorder="1"/>
    <xf numFmtId="0" fontId="11" fillId="0" borderId="0" xfId="0" applyFont="1" applyBorder="1" applyAlignment="1"/>
    <xf numFmtId="0" fontId="13" fillId="0" borderId="0" xfId="0" applyFont="1" applyBorder="1" applyAlignment="1"/>
    <xf numFmtId="0" fontId="8" fillId="0" borderId="0" xfId="0" applyFont="1" applyFill="1" applyBorder="1"/>
    <xf numFmtId="3" fontId="0" fillId="0" borderId="0" xfId="0" applyNumberFormat="1" applyFill="1" applyBorder="1"/>
    <xf numFmtId="9" fontId="0" fillId="0" borderId="0" xfId="3" applyFont="1" applyFill="1" applyBorder="1"/>
    <xf numFmtId="0" fontId="0" fillId="0" borderId="0" xfId="0" applyFill="1" applyAlignment="1"/>
    <xf numFmtId="0" fontId="17" fillId="0" borderId="0" xfId="0" applyFont="1" applyFill="1" applyBorder="1" applyAlignment="1"/>
    <xf numFmtId="0" fontId="5" fillId="0" borderId="0" xfId="6" applyFill="1" applyBorder="1"/>
    <xf numFmtId="42" fontId="0" fillId="0" borderId="0" xfId="2" applyFont="1" applyFill="1" applyBorder="1"/>
    <xf numFmtId="0" fontId="1" fillId="0" borderId="0" xfId="0" applyFont="1" applyFill="1" applyBorder="1" applyAlignment="1"/>
    <xf numFmtId="0" fontId="15" fillId="0" borderId="0" xfId="14" applyFill="1" applyBorder="1"/>
    <xf numFmtId="42" fontId="2" fillId="0" borderId="0" xfId="2" applyFill="1" applyBorder="1"/>
    <xf numFmtId="0" fontId="2" fillId="0" borderId="0" xfId="15" applyFill="1" applyBorder="1"/>
    <xf numFmtId="14" fontId="2" fillId="0" borderId="0" xfId="15" applyNumberFormat="1" applyFill="1" applyBorder="1"/>
    <xf numFmtId="0" fontId="16" fillId="0" borderId="0" xfId="8" applyFont="1" applyFill="1" applyBorder="1"/>
    <xf numFmtId="42" fontId="16" fillId="0" borderId="0" xfId="8" applyNumberFormat="1" applyFont="1" applyFill="1" applyBorder="1"/>
    <xf numFmtId="0" fontId="10" fillId="17" borderId="0" xfId="4" applyFont="1" applyFill="1" applyBorder="1" applyAlignment="1">
      <alignment horizontal="center"/>
    </xf>
    <xf numFmtId="0" fontId="0" fillId="24" borderId="0" xfId="0" applyFill="1" applyBorder="1"/>
    <xf numFmtId="0" fontId="9" fillId="23" borderId="0" xfId="6" applyFont="1" applyFill="1" applyBorder="1" applyAlignment="1">
      <alignment horizontal="center"/>
    </xf>
    <xf numFmtId="0" fontId="0" fillId="25" borderId="0" xfId="0" applyFill="1" applyBorder="1"/>
    <xf numFmtId="0" fontId="15" fillId="22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18" fillId="14" borderId="0" xfId="7" applyFont="1" applyFill="1" applyBorder="1" applyAlignment="1">
      <alignment horizontal="center"/>
    </xf>
    <xf numFmtId="0" fontId="24" fillId="14" borderId="0" xfId="7" applyFont="1" applyFill="1" applyBorder="1" applyAlignment="1">
      <alignment horizontal="center"/>
    </xf>
    <xf numFmtId="42" fontId="0" fillId="24" borderId="0" xfId="2" applyFont="1" applyFill="1" applyBorder="1" applyAlignment="1">
      <alignment horizontal="right"/>
    </xf>
    <xf numFmtId="0" fontId="0" fillId="24" borderId="0" xfId="0" applyFill="1" applyBorder="1" applyAlignment="1">
      <alignment horizontal="right"/>
    </xf>
    <xf numFmtId="42" fontId="0" fillId="24" borderId="0" xfId="0" applyNumberFormat="1" applyFill="1" applyBorder="1" applyAlignment="1">
      <alignment horizontal="right"/>
    </xf>
    <xf numFmtId="42" fontId="0" fillId="25" borderId="0" xfId="2" applyFont="1" applyFill="1" applyBorder="1" applyAlignment="1">
      <alignment horizontal="right"/>
    </xf>
    <xf numFmtId="0" fontId="20" fillId="21" borderId="0" xfId="0" applyFont="1" applyFill="1" applyBorder="1"/>
    <xf numFmtId="9" fontId="19" fillId="21" borderId="0" xfId="3" applyFont="1" applyFill="1" applyBorder="1"/>
    <xf numFmtId="0" fontId="19" fillId="21" borderId="0" xfId="0" applyFont="1" applyFill="1" applyBorder="1"/>
    <xf numFmtId="164" fontId="19" fillId="21" borderId="0" xfId="0" applyNumberFormat="1" applyFont="1" applyFill="1" applyBorder="1"/>
    <xf numFmtId="166" fontId="19" fillId="21" borderId="0" xfId="0" applyNumberFormat="1" applyFont="1" applyFill="1" applyBorder="1"/>
    <xf numFmtId="1" fontId="19" fillId="21" borderId="0" xfId="0" applyNumberFormat="1" applyFont="1" applyFill="1" applyBorder="1"/>
    <xf numFmtId="2" fontId="19" fillId="21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0" xfId="5" applyFont="1" applyFill="1" applyBorder="1"/>
    <xf numFmtId="164" fontId="14" fillId="0" borderId="0" xfId="5" applyNumberFormat="1" applyFont="1" applyFill="1" applyBorder="1"/>
    <xf numFmtId="0" fontId="10" fillId="0" borderId="0" xfId="4" applyFont="1" applyFill="1" applyBorder="1" applyAlignment="1">
      <alignment horizontal="center"/>
    </xf>
    <xf numFmtId="42" fontId="0" fillId="0" borderId="0" xfId="2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2" fontId="0" fillId="0" borderId="0" xfId="0" applyNumberForma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9" fillId="0" borderId="0" xfId="6" applyFont="1" applyFill="1" applyBorder="1" applyAlignment="1">
      <alignment horizontal="center"/>
    </xf>
    <xf numFmtId="0" fontId="18" fillId="0" borderId="0" xfId="7" applyFont="1" applyFill="1" applyBorder="1" applyAlignment="1">
      <alignment horizontal="center"/>
    </xf>
    <xf numFmtId="42" fontId="0" fillId="0" borderId="0" xfId="0" applyNumberFormat="1" applyFill="1" applyBorder="1"/>
    <xf numFmtId="0" fontId="11" fillId="0" borderId="0" xfId="0" applyFont="1" applyFill="1" applyBorder="1" applyAlignment="1"/>
    <xf numFmtId="0" fontId="8" fillId="0" borderId="0" xfId="11" applyFont="1" applyFill="1" applyBorder="1" applyAlignment="1">
      <alignment horizontal="center"/>
    </xf>
    <xf numFmtId="42" fontId="0" fillId="25" borderId="0" xfId="0" applyNumberFormat="1" applyFill="1" applyBorder="1" applyAlignment="1">
      <alignment horizontal="right"/>
    </xf>
    <xf numFmtId="0" fontId="0" fillId="24" borderId="0" xfId="0" applyNumberFormat="1" applyFill="1" applyBorder="1" applyAlignment="1">
      <alignment horizontal="right"/>
    </xf>
    <xf numFmtId="0" fontId="2" fillId="19" borderId="0" xfId="11" applyFill="1" applyBorder="1"/>
    <xf numFmtId="0" fontId="8" fillId="18" borderId="0" xfId="0" applyFont="1" applyFill="1"/>
    <xf numFmtId="0" fontId="8" fillId="21" borderId="0" xfId="11" applyFont="1" applyFill="1" applyBorder="1" applyAlignment="1">
      <alignment horizontal="center"/>
    </xf>
    <xf numFmtId="0" fontId="2" fillId="21" borderId="0" xfId="11" applyFill="1" applyBorder="1"/>
    <xf numFmtId="42" fontId="2" fillId="21" borderId="0" xfId="11" applyNumberFormat="1" applyFill="1" applyBorder="1"/>
    <xf numFmtId="0" fontId="8" fillId="21" borderId="3" xfId="11" applyFont="1" applyFill="1" applyBorder="1" applyAlignment="1">
      <alignment horizontal="center"/>
    </xf>
    <xf numFmtId="0" fontId="2" fillId="21" borderId="3" xfId="11" applyFill="1" applyBorder="1"/>
    <xf numFmtId="42" fontId="2" fillId="21" borderId="3" xfId="11" applyNumberFormat="1" applyFill="1" applyBorder="1"/>
    <xf numFmtId="0" fontId="25" fillId="26" borderId="0" xfId="0" applyFont="1" applyFill="1" applyBorder="1"/>
    <xf numFmtId="0" fontId="26" fillId="26" borderId="0" xfId="0" applyFont="1" applyFill="1" applyBorder="1"/>
    <xf numFmtId="0" fontId="0" fillId="0" borderId="0" xfId="0" applyFont="1" applyBorder="1"/>
    <xf numFmtId="0" fontId="25" fillId="12" borderId="0" xfId="14" applyFont="1" applyBorder="1"/>
    <xf numFmtId="0" fontId="0" fillId="29" borderId="0" xfId="0" applyFill="1" applyBorder="1"/>
    <xf numFmtId="42" fontId="0" fillId="29" borderId="0" xfId="2" applyFont="1" applyFill="1" applyBorder="1"/>
    <xf numFmtId="41" fontId="0" fillId="29" borderId="0" xfId="16" applyFont="1" applyFill="1" applyBorder="1"/>
    <xf numFmtId="9" fontId="0" fillId="29" borderId="0" xfId="3" applyFont="1" applyFill="1" applyBorder="1"/>
    <xf numFmtId="165" fontId="0" fillId="29" borderId="0" xfId="3" applyNumberFormat="1" applyFont="1" applyFill="1" applyBorder="1"/>
    <xf numFmtId="0" fontId="0" fillId="29" borderId="0" xfId="0" applyFill="1" applyBorder="1" applyAlignment="1">
      <alignment horizontal="center" vertical="center"/>
    </xf>
    <xf numFmtId="0" fontId="0" fillId="30" borderId="0" xfId="0" applyFont="1" applyFill="1" applyBorder="1"/>
    <xf numFmtId="164" fontId="2" fillId="30" borderId="0" xfId="1" applyNumberFormat="1" applyFont="1" applyFill="1" applyBorder="1"/>
    <xf numFmtId="164" fontId="0" fillId="30" borderId="0" xfId="0" applyNumberFormat="1" applyFont="1" applyFill="1" applyBorder="1"/>
    <xf numFmtId="0" fontId="2" fillId="17" borderId="0" xfId="9" applyFill="1" applyBorder="1"/>
    <xf numFmtId="0" fontId="12" fillId="17" borderId="0" xfId="13" applyFill="1" applyBorder="1"/>
    <xf numFmtId="164" fontId="2" fillId="17" borderId="0" xfId="9" applyNumberFormat="1" applyFill="1" applyBorder="1"/>
    <xf numFmtId="164" fontId="2" fillId="17" borderId="0" xfId="9" applyNumberFormat="1" applyFill="1" applyBorder="1" applyAlignment="1"/>
    <xf numFmtId="0" fontId="8" fillId="17" borderId="0" xfId="9" applyFont="1" applyFill="1" applyBorder="1"/>
    <xf numFmtId="0" fontId="2" fillId="17" borderId="0" xfId="11" applyFill="1" applyBorder="1"/>
    <xf numFmtId="164" fontId="2" fillId="17" borderId="0" xfId="11" applyNumberFormat="1" applyFill="1" applyBorder="1"/>
    <xf numFmtId="0" fontId="2" fillId="17" borderId="0" xfId="10" applyFill="1" applyBorder="1"/>
    <xf numFmtId="0" fontId="0" fillId="17" borderId="0" xfId="10" applyFont="1" applyFill="1" applyBorder="1"/>
    <xf numFmtId="164" fontId="2" fillId="17" borderId="0" xfId="10" applyNumberFormat="1" applyFill="1" applyBorder="1"/>
    <xf numFmtId="0" fontId="8" fillId="17" borderId="0" xfId="10" applyFont="1" applyFill="1" applyBorder="1"/>
    <xf numFmtId="0" fontId="8" fillId="17" borderId="0" xfId="11" applyFont="1" applyFill="1" applyBorder="1"/>
    <xf numFmtId="0" fontId="25" fillId="15" borderId="0" xfId="6" applyFont="1" applyFill="1" applyBorder="1"/>
    <xf numFmtId="0" fontId="25" fillId="15" borderId="0" xfId="6" applyFont="1" applyFill="1" applyBorder="1" applyAlignment="1"/>
    <xf numFmtId="0" fontId="0" fillId="24" borderId="0" xfId="0" applyFont="1" applyFill="1" applyBorder="1"/>
    <xf numFmtId="164" fontId="2" fillId="24" borderId="0" xfId="1" applyNumberFormat="1" applyFont="1" applyFill="1" applyBorder="1"/>
    <xf numFmtId="164" fontId="0" fillId="24" borderId="0" xfId="0" applyNumberFormat="1" applyFont="1" applyFill="1" applyBorder="1"/>
    <xf numFmtId="42" fontId="2" fillId="24" borderId="0" xfId="2" applyFont="1" applyFill="1" applyBorder="1"/>
    <xf numFmtId="164" fontId="0" fillId="24" borderId="0" xfId="0" applyNumberFormat="1" applyFill="1" applyBorder="1"/>
    <xf numFmtId="42" fontId="0" fillId="24" borderId="0" xfId="2" applyFont="1" applyFill="1" applyBorder="1"/>
    <xf numFmtId="9" fontId="0" fillId="24" borderId="0" xfId="3" applyFont="1" applyFill="1" applyBorder="1"/>
    <xf numFmtId="0" fontId="27" fillId="24" borderId="0" xfId="6" applyFont="1" applyFill="1" applyBorder="1"/>
    <xf numFmtId="0" fontId="25" fillId="27" borderId="0" xfId="0" applyFont="1" applyFill="1" applyBorder="1" applyAlignment="1">
      <alignment vertical="center"/>
    </xf>
    <xf numFmtId="0" fontId="25" fillId="27" borderId="0" xfId="0" applyFont="1" applyFill="1" applyBorder="1" applyAlignment="1">
      <alignment horizontal="center"/>
    </xf>
    <xf numFmtId="0" fontId="25" fillId="27" borderId="0" xfId="0" applyFont="1" applyFill="1"/>
    <xf numFmtId="0" fontId="25" fillId="28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2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13" borderId="0" xfId="15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5" fillId="16" borderId="0" xfId="12" applyFont="1" applyFill="1" applyBorder="1" applyAlignment="1">
      <alignment horizontal="center"/>
    </xf>
    <xf numFmtId="0" fontId="25" fillId="28" borderId="0" xfId="0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 wrapText="1"/>
    </xf>
    <xf numFmtId="0" fontId="22" fillId="0" borderId="0" xfId="0" applyFont="1" applyBorder="1" applyAlignment="1">
      <alignment horizontal="center" vertical="center" wrapText="1"/>
    </xf>
    <xf numFmtId="0" fontId="2" fillId="21" borderId="0" xfId="11" applyFill="1" applyBorder="1" applyAlignment="1">
      <alignment horizontal="center" vertical="center"/>
    </xf>
    <xf numFmtId="0" fontId="2" fillId="21" borderId="3" xfId="11" applyFill="1" applyBorder="1" applyAlignment="1">
      <alignment horizontal="center" vertical="center"/>
    </xf>
    <xf numFmtId="42" fontId="2" fillId="19" borderId="0" xfId="2" applyFill="1" applyBorder="1"/>
    <xf numFmtId="0" fontId="8" fillId="0" borderId="0" xfId="11" applyFont="1" applyFill="1" applyBorder="1"/>
    <xf numFmtId="42" fontId="8" fillId="0" borderId="0" xfId="0" applyNumberFormat="1" applyFont="1" applyFill="1"/>
    <xf numFmtId="0" fontId="2" fillId="19" borderId="0" xfId="11" applyFill="1" applyBorder="1" applyAlignment="1">
      <alignment horizontal="center" vertical="center"/>
    </xf>
    <xf numFmtId="0" fontId="0" fillId="19" borderId="0" xfId="11" applyFont="1" applyFill="1" applyBorder="1"/>
    <xf numFmtId="0" fontId="8" fillId="19" borderId="0" xfId="11" applyFont="1" applyFill="1" applyBorder="1"/>
    <xf numFmtId="42" fontId="8" fillId="19" borderId="0" xfId="2" applyFont="1" applyFill="1" applyBorder="1"/>
    <xf numFmtId="0" fontId="2" fillId="0" borderId="0" xfId="11" applyFill="1" applyBorder="1" applyAlignment="1"/>
    <xf numFmtId="0" fontId="8" fillId="0" borderId="0" xfId="0" applyFont="1" applyFill="1"/>
    <xf numFmtId="0" fontId="20" fillId="0" borderId="0" xfId="0" applyFont="1" applyFill="1" applyAlignment="1"/>
    <xf numFmtId="0" fontId="25" fillId="31" borderId="0" xfId="0" applyFont="1" applyFill="1" applyAlignment="1">
      <alignment horizontal="center"/>
    </xf>
    <xf numFmtId="42" fontId="2" fillId="19" borderId="0" xfId="11" applyNumberFormat="1" applyFill="1" applyBorder="1"/>
    <xf numFmtId="9" fontId="2" fillId="19" borderId="0" xfId="11" applyNumberFormat="1" applyFill="1" applyBorder="1"/>
    <xf numFmtId="42" fontId="8" fillId="19" borderId="0" xfId="11" applyNumberFormat="1" applyFont="1" applyFill="1" applyBorder="1"/>
    <xf numFmtId="0" fontId="8" fillId="21" borderId="0" xfId="11" applyFont="1" applyFill="1" applyBorder="1"/>
    <xf numFmtId="42" fontId="8" fillId="21" borderId="0" xfId="11" applyNumberFormat="1" applyFont="1" applyFill="1" applyBorder="1"/>
    <xf numFmtId="0" fontId="0" fillId="17" borderId="0" xfId="11" applyFont="1" applyFill="1" applyBorder="1" applyAlignment="1">
      <alignment wrapText="1"/>
    </xf>
    <xf numFmtId="0" fontId="0" fillId="11" borderId="0" xfId="0" applyFill="1"/>
    <xf numFmtId="0" fontId="8" fillId="24" borderId="0" xfId="0" applyFont="1" applyFill="1" applyBorder="1"/>
    <xf numFmtId="42" fontId="8" fillId="24" borderId="0" xfId="2" applyFont="1" applyFill="1" applyBorder="1" applyAlignment="1">
      <alignment horizontal="right"/>
    </xf>
    <xf numFmtId="42" fontId="8" fillId="24" borderId="0" xfId="0" applyNumberFormat="1" applyFont="1" applyFill="1" applyBorder="1" applyAlignment="1">
      <alignment horizontal="right"/>
    </xf>
    <xf numFmtId="0" fontId="0" fillId="24" borderId="0" xfId="0" applyFill="1" applyBorder="1" applyAlignment="1">
      <alignment horizontal="left" indent="1"/>
    </xf>
    <xf numFmtId="0" fontId="0" fillId="24" borderId="0" xfId="0" applyFill="1" applyBorder="1" applyAlignment="1">
      <alignment horizontal="left"/>
    </xf>
    <xf numFmtId="0" fontId="0" fillId="24" borderId="0" xfId="2" applyNumberFormat="1" applyFont="1" applyFill="1" applyBorder="1" applyAlignment="1">
      <alignment horizontal="right"/>
    </xf>
    <xf numFmtId="173" fontId="0" fillId="24" borderId="0" xfId="0" applyNumberFormat="1" applyFill="1" applyBorder="1" applyAlignment="1">
      <alignment horizontal="right"/>
    </xf>
    <xf numFmtId="42" fontId="10" fillId="17" borderId="0" xfId="4" applyNumberFormat="1" applyFont="1" applyFill="1" applyBorder="1" applyAlignment="1">
      <alignment horizontal="center"/>
    </xf>
    <xf numFmtId="0" fontId="0" fillId="17" borderId="0" xfId="9" applyFont="1" applyFill="1" applyBorder="1"/>
    <xf numFmtId="0" fontId="0" fillId="17" borderId="0" xfId="9" applyFont="1" applyFill="1" applyBorder="1" applyAlignment="1">
      <alignment horizontal="center"/>
    </xf>
    <xf numFmtId="0" fontId="0" fillId="17" borderId="0" xfId="11" applyFont="1" applyFill="1" applyBorder="1" applyAlignment="1">
      <alignment horizontal="center"/>
    </xf>
    <xf numFmtId="41" fontId="0" fillId="24" borderId="0" xfId="0" applyNumberFormat="1" applyFill="1" applyBorder="1" applyAlignment="1">
      <alignment horizontal="right"/>
    </xf>
  </cellXfs>
  <cellStyles count="17">
    <cellStyle name="20% - Énfasis1" xfId="9" builtinId="30"/>
    <cellStyle name="20% - Énfasis2" xfId="15" builtinId="34"/>
    <cellStyle name="20% - Énfasis4" xfId="10" builtinId="42"/>
    <cellStyle name="20% - Énfasis6" xfId="11" builtinId="50"/>
    <cellStyle name="60% - Énfasis6" xfId="12" builtinId="52"/>
    <cellStyle name="Bueno" xfId="4" builtinId="26"/>
    <cellStyle name="Énfasis2" xfId="14" builtinId="33"/>
    <cellStyle name="Entrada" xfId="7" builtinId="20"/>
    <cellStyle name="Hipervínculo" xfId="13" builtinId="8"/>
    <cellStyle name="Incorrecto" xfId="5" builtinId="27"/>
    <cellStyle name="Millares [0]" xfId="16" builtinId="6"/>
    <cellStyle name="Moneda" xfId="1" builtinId="4"/>
    <cellStyle name="Moneda [0]" xfId="2" builtinId="7"/>
    <cellStyle name="Neutral" xfId="6" builtinId="28"/>
    <cellStyle name="Normal" xfId="0" builtinId="0"/>
    <cellStyle name="Porcentaje" xfId="3" builtinId="5"/>
    <cellStyle name="Salida" xfId="8" builtinId="21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82DA"/>
      <color rgb="FFA365D1"/>
      <color rgb="FF9148C8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dimac.cl/sodimac-cl/product/3708608/LED-55-UK6350-4K-Ultra-HDSmart-TV/3708608" TargetMode="External"/><Relationship Id="rId13" Type="http://schemas.openxmlformats.org/officeDocument/2006/relationships/hyperlink" Target="https://www.sodimac.cl/sodimac-cl/product/2906961/Silla-100x47x60-cm-beige/2906953" TargetMode="External"/><Relationship Id="rId3" Type="http://schemas.openxmlformats.org/officeDocument/2006/relationships/hyperlink" Target="https://www.pcfactory.cl/producto/20234-logitech-combo-teclado--mouse-mk120-usb" TargetMode="External"/><Relationship Id="rId7" Type="http://schemas.openxmlformats.org/officeDocument/2006/relationships/hyperlink" Target="https://www.sodimac.cl/sodimac-cl/product/2671115/Silla-para-PC-63x104-cm-negro/2671115" TargetMode="External"/><Relationship Id="rId12" Type="http://schemas.openxmlformats.org/officeDocument/2006/relationships/hyperlink" Target="https://www.sodimac.cl/sodimac-cl/product/2841800/Mesa-de-comedor-76x90x150-cm-nogal/2841800" TargetMode="External"/><Relationship Id="rId17" Type="http://schemas.openxmlformats.org/officeDocument/2006/relationships/hyperlink" Target="https://www.pcfactory.cl/producto/32507-acer-notebook-ultraliviano-swift-3-14-intel-i5-8250u-8gb-256gb-ssd-fhd-windows-10-sf314-54-51j6-1" TargetMode="External"/><Relationship Id="rId2" Type="http://schemas.openxmlformats.org/officeDocument/2006/relationships/hyperlink" Target="https://www.pcfactory.cl/producto/10608-exelink-rack-19-12u-600x450-ws1-6412" TargetMode="External"/><Relationship Id="rId16" Type="http://schemas.openxmlformats.org/officeDocument/2006/relationships/hyperlink" Target="https://vtr.com/productos/NegociosPacks/triple-pack-banda-ancha-television-telefonia?gclid=CjwKCAjwza_mBRBTEiwASDWVvoKp3c596mUtit0kXx4XMJC-PCZ9zJGq3x5N35mDz_BhaexT3GGc6hoCXB8QAvD_BwE" TargetMode="External"/><Relationship Id="rId1" Type="http://schemas.openxmlformats.org/officeDocument/2006/relationships/hyperlink" Target="https://www.pcfactory.cl/producto/27947-lenovo-rs160-intel-xeon-e3-1220-v6-3-0ghz-3-5ghz-tb--2x1tb-3-5-hdd-8gb-sr" TargetMode="External"/><Relationship Id="rId6" Type="http://schemas.openxmlformats.org/officeDocument/2006/relationships/hyperlink" Target="https://www.sodimac.cl/sodimac-cl/product/315498X/Escritorio-Naira-120x56x76-cm-blanco-y-oak/315498X" TargetMode="External"/><Relationship Id="rId11" Type="http://schemas.openxmlformats.org/officeDocument/2006/relationships/hyperlink" Target="https://www.sodimac.cl/sodimac-cl/product/3450112/Aire-acondicionado-split-inverter-24000-BTU-blanco/3450112" TargetMode="External"/><Relationship Id="rId5" Type="http://schemas.openxmlformats.org/officeDocument/2006/relationships/hyperlink" Target="https://www.pcfactory.cl/producto/29871-gear-monitor-23-8-mc2435a-slim-bezel-full-hd" TargetMode="External"/><Relationship Id="rId15" Type="http://schemas.openxmlformats.org/officeDocument/2006/relationships/hyperlink" Target="https://inmueble.mercadolibre.cl/MLC-474796236-torre-nueva-barcelona-_JM" TargetMode="External"/><Relationship Id="rId10" Type="http://schemas.openxmlformats.org/officeDocument/2006/relationships/hyperlink" Target="https://www.sodimac.cl/sodimac-cl/product/3774627/Sillon-pouf-90x60x140-cm-azul/3774627" TargetMode="External"/><Relationship Id="rId4" Type="http://schemas.openxmlformats.org/officeDocument/2006/relationships/hyperlink" Target="https://www.pcfactory.cl/producto/6254-kensington-mouse-pad--apoya-muneca-wrist-pillow" TargetMode="External"/><Relationship Id="rId9" Type="http://schemas.openxmlformats.org/officeDocument/2006/relationships/hyperlink" Target="https://www.sodimac.cl/sodimac-cl/product/2922401/Kit-soporte-15%C2%B0-abrazadera-doble-32-a-55-/2922401" TargetMode="External"/><Relationship Id="rId14" Type="http://schemas.openxmlformats.org/officeDocument/2006/relationships/hyperlink" Target="https://www.sodimac.cl/sodimac-cl/product/310467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Y50"/>
  <sheetViews>
    <sheetView showGridLines="0" tabSelected="1" zoomScale="90" zoomScaleNormal="90" workbookViewId="0">
      <selection activeCell="D8" sqref="D8"/>
    </sheetView>
  </sheetViews>
  <sheetFormatPr baseColWidth="10" defaultColWidth="8.85546875" defaultRowHeight="15" x14ac:dyDescent="0.25"/>
  <cols>
    <col min="1" max="1" width="4.28515625" customWidth="1"/>
    <col min="2" max="2" width="29.7109375" bestFit="1" customWidth="1"/>
    <col min="3" max="3" width="17.28515625" bestFit="1" customWidth="1"/>
    <col min="4" max="4" width="14.28515625" bestFit="1" customWidth="1"/>
    <col min="5" max="5" width="14.140625" bestFit="1" customWidth="1"/>
    <col min="6" max="7" width="14.7109375" bestFit="1" customWidth="1"/>
    <col min="8" max="9" width="16.28515625" bestFit="1" customWidth="1"/>
    <col min="10" max="13" width="15.42578125" bestFit="1" customWidth="1"/>
    <col min="16" max="16" width="15.7109375" customWidth="1"/>
    <col min="17" max="17" width="19.42578125" customWidth="1"/>
    <col min="18" max="18" width="18.42578125" customWidth="1"/>
    <col min="19" max="19" width="15.28515625" customWidth="1"/>
    <col min="20" max="20" width="21.140625" customWidth="1"/>
    <col min="21" max="21" width="14.42578125" customWidth="1"/>
    <col min="22" max="22" width="22.85546875" customWidth="1"/>
    <col min="23" max="23" width="21.5703125" customWidth="1"/>
    <col min="24" max="24" width="23.28515625" customWidth="1"/>
    <col min="25" max="25" width="43.28515625" customWidth="1"/>
    <col min="26" max="26" width="23.5703125" customWidth="1"/>
    <col min="27" max="27" width="12.5703125" customWidth="1"/>
    <col min="28" max="28" width="13.7109375" customWidth="1"/>
    <col min="29" max="29" width="14.28515625" customWidth="1"/>
    <col min="30" max="30" width="12.7109375" customWidth="1"/>
    <col min="31" max="31" width="31.7109375" customWidth="1"/>
    <col min="32" max="32" width="24.28515625" customWidth="1"/>
    <col min="33" max="33" width="18.85546875" customWidth="1"/>
    <col min="34" max="34" width="20.85546875" customWidth="1"/>
    <col min="35" max="35" width="28.5703125" customWidth="1"/>
    <col min="36" max="36" width="27.5703125" customWidth="1"/>
    <col min="37" max="37" width="21" customWidth="1"/>
    <col min="38" max="38" width="17.42578125" customWidth="1"/>
    <col min="39" max="39" width="23.42578125" customWidth="1"/>
    <col min="40" max="40" width="15.85546875" customWidth="1"/>
    <col min="41" max="41" width="13.7109375" customWidth="1"/>
    <col min="42" max="42" width="11.85546875" customWidth="1"/>
    <col min="43" max="43" width="10.28515625" customWidth="1"/>
    <col min="44" max="44" width="12.140625" customWidth="1"/>
    <col min="45" max="45" width="13.7109375" customWidth="1"/>
    <col min="46" max="46" width="11.42578125" customWidth="1"/>
    <col min="47" max="47" width="13.85546875" customWidth="1"/>
    <col min="48" max="48" width="15.5703125" customWidth="1"/>
    <col min="49" max="49" width="12.5703125" customWidth="1"/>
    <col min="50" max="50" width="8.5703125" customWidth="1"/>
    <col min="51" max="51" width="12.7109375" customWidth="1"/>
  </cols>
  <sheetData>
    <row r="2" spans="2:51" ht="15.75" x14ac:dyDescent="0.25">
      <c r="B2" s="121" t="s">
        <v>129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AF2" s="2"/>
    </row>
    <row r="3" spans="2:51" ht="21" x14ac:dyDescent="0.35">
      <c r="B3" s="122" t="s">
        <v>143</v>
      </c>
      <c r="C3" s="122"/>
      <c r="D3" s="122"/>
      <c r="E3" s="122"/>
      <c r="F3" s="122"/>
      <c r="G3" s="122"/>
      <c r="H3" s="122"/>
      <c r="I3" s="122"/>
      <c r="J3" s="68"/>
      <c r="K3" s="68"/>
      <c r="L3" s="68"/>
      <c r="M3" s="68"/>
      <c r="R3" s="10"/>
      <c r="S3" s="28"/>
      <c r="T3" s="28"/>
      <c r="U3" s="10"/>
      <c r="Y3" s="30"/>
      <c r="Z3" s="30"/>
      <c r="AA3" s="30"/>
      <c r="AB3" s="30"/>
      <c r="AC3" s="30"/>
      <c r="AD3" s="12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W3" s="4"/>
      <c r="AX3" s="4"/>
      <c r="AY3" s="4"/>
    </row>
    <row r="4" spans="2:51" ht="15" customHeight="1" x14ac:dyDescent="0.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R4" s="11"/>
      <c r="S4" s="12"/>
      <c r="T4" s="14"/>
      <c r="U4" s="11"/>
      <c r="Y4" s="30"/>
      <c r="Z4" s="30"/>
      <c r="AA4" s="30"/>
      <c r="AB4" s="30"/>
      <c r="AC4" s="30"/>
      <c r="AD4" s="12"/>
      <c r="AE4" s="33"/>
      <c r="AF4" s="33"/>
      <c r="AG4" s="34"/>
      <c r="AH4" s="34"/>
      <c r="AI4" s="33"/>
      <c r="AJ4" s="33"/>
      <c r="AK4" s="33"/>
      <c r="AL4" s="33"/>
      <c r="AM4" s="33"/>
      <c r="AN4" s="32"/>
      <c r="AO4" s="32"/>
    </row>
    <row r="5" spans="2:51" ht="15" customHeight="1" x14ac:dyDescent="0.35">
      <c r="B5" s="42" t="s">
        <v>0</v>
      </c>
      <c r="C5" s="42">
        <v>0</v>
      </c>
      <c r="D5" s="42">
        <v>1</v>
      </c>
      <c r="E5" s="42">
        <v>2</v>
      </c>
      <c r="F5" s="42">
        <v>3</v>
      </c>
      <c r="G5" s="42">
        <v>4</v>
      </c>
      <c r="H5" s="42">
        <v>5</v>
      </c>
      <c r="I5" s="42">
        <v>6</v>
      </c>
      <c r="J5" s="57"/>
      <c r="K5" s="57"/>
      <c r="L5" s="57"/>
      <c r="M5" s="57"/>
      <c r="R5" s="11"/>
      <c r="S5" s="12"/>
      <c r="T5" s="14"/>
      <c r="U5" s="12"/>
      <c r="Y5" s="30"/>
      <c r="Z5" s="30"/>
      <c r="AA5" s="30"/>
      <c r="AB5" s="30"/>
      <c r="AC5" s="30"/>
      <c r="AD5" s="12"/>
      <c r="AE5" s="33"/>
      <c r="AF5" s="33"/>
      <c r="AG5" s="34"/>
      <c r="AH5" s="34"/>
      <c r="AI5" s="33"/>
      <c r="AJ5" s="33"/>
      <c r="AK5" s="33"/>
      <c r="AL5" s="33"/>
      <c r="AM5" s="33"/>
      <c r="AN5" s="32"/>
      <c r="AO5" s="32"/>
    </row>
    <row r="6" spans="2:51" ht="15" customHeight="1" x14ac:dyDescent="0.35">
      <c r="B6" s="37" t="s">
        <v>1</v>
      </c>
      <c r="C6" s="37"/>
      <c r="D6" s="37"/>
      <c r="E6" s="37"/>
      <c r="F6" s="37"/>
      <c r="G6" s="37"/>
      <c r="H6" s="37"/>
      <c r="I6" s="37"/>
      <c r="J6" s="60"/>
      <c r="K6" s="60"/>
      <c r="L6" s="60"/>
      <c r="M6" s="60"/>
      <c r="R6" s="11"/>
      <c r="S6" s="12"/>
      <c r="T6" s="14"/>
      <c r="U6" s="12"/>
      <c r="Y6" s="30"/>
      <c r="Z6" s="30"/>
      <c r="AA6" s="30"/>
      <c r="AB6" s="30"/>
      <c r="AC6" s="30"/>
      <c r="AD6" s="12"/>
      <c r="AE6" s="33"/>
      <c r="AF6" s="33"/>
      <c r="AG6" s="34"/>
      <c r="AH6" s="34"/>
      <c r="AI6" s="33"/>
      <c r="AJ6" s="33"/>
      <c r="AK6" s="33"/>
      <c r="AL6" s="33"/>
      <c r="AM6" s="33"/>
      <c r="AN6" s="32"/>
      <c r="AO6" s="32"/>
    </row>
    <row r="7" spans="2:51" ht="15" customHeight="1" x14ac:dyDescent="0.35">
      <c r="B7" s="38" t="s">
        <v>77</v>
      </c>
      <c r="C7" s="45">
        <f>Complementario!I8</f>
        <v>550000000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61"/>
      <c r="K7" s="61"/>
      <c r="L7" s="61"/>
      <c r="M7" s="61"/>
      <c r="R7" s="29"/>
      <c r="S7" s="12"/>
      <c r="T7" s="14"/>
      <c r="U7" s="12"/>
      <c r="Y7" s="30"/>
      <c r="Z7" s="30"/>
      <c r="AA7" s="30"/>
      <c r="AB7" s="30"/>
      <c r="AC7" s="30"/>
      <c r="AD7" s="12"/>
      <c r="AE7" s="33"/>
      <c r="AF7" s="33"/>
      <c r="AG7" s="34"/>
      <c r="AH7" s="34"/>
      <c r="AI7" s="33"/>
      <c r="AJ7" s="33"/>
      <c r="AK7" s="33"/>
      <c r="AL7" s="33"/>
      <c r="AM7" s="33"/>
      <c r="AN7" s="32"/>
      <c r="AO7" s="32"/>
    </row>
    <row r="8" spans="2:51" ht="15" customHeight="1" x14ac:dyDescent="0.35">
      <c r="B8" s="38" t="s">
        <v>84</v>
      </c>
      <c r="C8" s="45">
        <v>0</v>
      </c>
      <c r="D8" s="161">
        <f>Complementario!$C$9/10</f>
        <v>1540.3</v>
      </c>
      <c r="E8" s="46">
        <f>$D$8+D8</f>
        <v>3080.6</v>
      </c>
      <c r="F8" s="46">
        <f t="shared" ref="F8:I8" si="0">$D$8+E8</f>
        <v>4620.8999999999996</v>
      </c>
      <c r="G8" s="46">
        <f t="shared" si="0"/>
        <v>6161.2</v>
      </c>
      <c r="H8" s="46">
        <f t="shared" si="0"/>
        <v>7701.5</v>
      </c>
      <c r="I8" s="46">
        <f t="shared" si="0"/>
        <v>9241.7999999999993</v>
      </c>
      <c r="J8" s="62"/>
      <c r="K8" s="62"/>
      <c r="L8" s="62"/>
      <c r="M8" s="62"/>
      <c r="R8" s="29"/>
      <c r="S8" s="12"/>
      <c r="T8" s="14"/>
      <c r="U8" s="12"/>
      <c r="Y8" s="30"/>
      <c r="Z8" s="30"/>
      <c r="AA8" s="30"/>
      <c r="AB8" s="30"/>
      <c r="AC8" s="30"/>
      <c r="AD8" s="12"/>
      <c r="AE8" s="33"/>
      <c r="AF8" s="33"/>
      <c r="AG8" s="34"/>
      <c r="AH8" s="34"/>
      <c r="AI8" s="33"/>
      <c r="AJ8" s="33"/>
      <c r="AK8" s="33"/>
      <c r="AL8" s="33"/>
      <c r="AM8" s="33"/>
      <c r="AN8" s="32"/>
      <c r="AO8" s="32"/>
    </row>
    <row r="9" spans="2:51" ht="15" customHeight="1" x14ac:dyDescent="0.35">
      <c r="B9" s="38" t="s">
        <v>83</v>
      </c>
      <c r="C9" s="45">
        <v>0</v>
      </c>
      <c r="D9" s="45">
        <f>Complementario!$C$5*D8</f>
        <v>231045000</v>
      </c>
      <c r="E9" s="45">
        <f>Complementario!$C$5*E8</f>
        <v>462090000</v>
      </c>
      <c r="F9" s="45">
        <f>Complementario!$C$5*F8</f>
        <v>693135000</v>
      </c>
      <c r="G9" s="45">
        <f>Complementario!$C$5*G8</f>
        <v>924180000</v>
      </c>
      <c r="H9" s="45">
        <f>Complementario!$C$5*H8</f>
        <v>1155225000</v>
      </c>
      <c r="I9" s="45">
        <f>Complementario!$C$5*I8</f>
        <v>1386270000</v>
      </c>
      <c r="J9" s="61"/>
      <c r="K9" s="61"/>
      <c r="L9" s="61"/>
      <c r="M9" s="61"/>
      <c r="R9" s="29"/>
      <c r="S9" s="12"/>
      <c r="T9" s="14"/>
      <c r="U9" s="12"/>
      <c r="Y9" s="30"/>
      <c r="Z9" s="30"/>
      <c r="AA9" s="30"/>
      <c r="AB9" s="30"/>
      <c r="AC9" s="30"/>
      <c r="AD9" s="12"/>
      <c r="AE9" s="33"/>
      <c r="AF9" s="33"/>
      <c r="AG9" s="34"/>
      <c r="AH9" s="34"/>
      <c r="AI9" s="33"/>
      <c r="AJ9" s="33"/>
      <c r="AK9" s="33"/>
      <c r="AL9" s="33"/>
      <c r="AM9" s="33"/>
      <c r="AN9" s="32"/>
      <c r="AO9" s="32"/>
    </row>
    <row r="10" spans="2:51" ht="15" customHeight="1" x14ac:dyDescent="0.35">
      <c r="B10" s="38" t="s">
        <v>78</v>
      </c>
      <c r="C10" s="45">
        <v>0</v>
      </c>
      <c r="D10" s="47">
        <f>D9</f>
        <v>231045000</v>
      </c>
      <c r="E10" s="47">
        <f>E9</f>
        <v>462090000</v>
      </c>
      <c r="F10" s="47">
        <f t="shared" ref="F10:I10" si="1">F9</f>
        <v>693135000</v>
      </c>
      <c r="G10" s="47">
        <f t="shared" si="1"/>
        <v>924180000</v>
      </c>
      <c r="H10" s="47">
        <f t="shared" si="1"/>
        <v>1155225000</v>
      </c>
      <c r="I10" s="47">
        <f t="shared" si="1"/>
        <v>1386270000</v>
      </c>
      <c r="J10" s="63"/>
      <c r="K10" s="63"/>
      <c r="L10" s="63"/>
      <c r="M10" s="63"/>
      <c r="R10" s="12"/>
      <c r="S10" s="12"/>
      <c r="T10" s="12"/>
      <c r="U10" s="12"/>
      <c r="Y10" s="30"/>
      <c r="Z10" s="30"/>
      <c r="AA10" s="30"/>
      <c r="AB10" s="30"/>
      <c r="AC10" s="30"/>
      <c r="AD10" s="12"/>
      <c r="AE10" s="33"/>
      <c r="AF10" s="33"/>
      <c r="AG10" s="34"/>
      <c r="AH10" s="34"/>
      <c r="AI10" s="33"/>
      <c r="AJ10" s="33"/>
      <c r="AK10" s="33"/>
      <c r="AL10" s="33"/>
      <c r="AM10" s="33"/>
      <c r="AN10" s="32"/>
      <c r="AO10" s="32"/>
    </row>
    <row r="11" spans="2:51" ht="15" customHeight="1" x14ac:dyDescent="0.35">
      <c r="B11" s="38" t="s">
        <v>79</v>
      </c>
      <c r="C11" s="45">
        <v>0</v>
      </c>
      <c r="D11" s="47">
        <f>D10-(D10*Complementario!$C$13)</f>
        <v>168662850</v>
      </c>
      <c r="E11" s="47">
        <f>E10-(E10*Complementario!$C$13)</f>
        <v>337325700</v>
      </c>
      <c r="F11" s="47">
        <f>F10-(F10*Complementario!$C$13)</f>
        <v>505988550</v>
      </c>
      <c r="G11" s="47">
        <f>G10-(G10*Complementario!$C$13)</f>
        <v>674651400</v>
      </c>
      <c r="H11" s="47">
        <f>H10-(H10*Complementario!$C$13)</f>
        <v>843314250</v>
      </c>
      <c r="I11" s="47">
        <f>I10-(I10*Complementario!$C$13)</f>
        <v>1011977100</v>
      </c>
      <c r="J11" s="63"/>
      <c r="K11" s="63"/>
      <c r="L11" s="63"/>
      <c r="M11" s="63"/>
      <c r="R11" s="12"/>
      <c r="S11" s="12"/>
      <c r="T11" s="12"/>
      <c r="U11" s="12"/>
      <c r="Y11" s="30"/>
      <c r="Z11" s="30"/>
      <c r="AA11" s="30"/>
      <c r="AB11" s="30"/>
      <c r="AC11" s="30"/>
      <c r="AD11" s="12"/>
      <c r="AE11" s="33"/>
      <c r="AF11" s="33"/>
      <c r="AG11" s="34"/>
      <c r="AH11" s="34"/>
      <c r="AI11" s="33"/>
      <c r="AJ11" s="33"/>
      <c r="AK11" s="33"/>
      <c r="AL11" s="33"/>
      <c r="AM11" s="33"/>
      <c r="AN11" s="32"/>
      <c r="AO11" s="32"/>
    </row>
    <row r="12" spans="2:51" ht="19.5" customHeight="1" x14ac:dyDescent="0.35">
      <c r="J12" s="9"/>
      <c r="K12" s="120" t="s">
        <v>119</v>
      </c>
      <c r="L12" s="120"/>
      <c r="M12" s="9"/>
      <c r="R12" s="10"/>
      <c r="S12" s="10"/>
      <c r="T12" s="10"/>
      <c r="U12" s="10"/>
      <c r="Y12" s="30"/>
      <c r="Z12" s="30"/>
      <c r="AA12" s="30"/>
      <c r="AB12" s="30"/>
      <c r="AC12" s="30"/>
      <c r="AD12" s="12"/>
      <c r="AE12" s="33"/>
      <c r="AF12" s="33"/>
      <c r="AG12" s="34"/>
      <c r="AH12" s="34"/>
      <c r="AI12" s="33"/>
      <c r="AJ12" s="33"/>
      <c r="AK12" s="33"/>
      <c r="AL12" s="33"/>
      <c r="AM12" s="33"/>
      <c r="AN12" s="32"/>
      <c r="AO12" s="32"/>
    </row>
    <row r="13" spans="2:51" ht="15" customHeight="1" x14ac:dyDescent="0.35">
      <c r="B13" s="41" t="s">
        <v>0</v>
      </c>
      <c r="C13" s="41">
        <v>0</v>
      </c>
      <c r="D13" s="41">
        <v>1</v>
      </c>
      <c r="E13" s="41">
        <v>2</v>
      </c>
      <c r="F13" s="41">
        <v>3</v>
      </c>
      <c r="G13" s="41">
        <v>4</v>
      </c>
      <c r="H13" s="41">
        <v>5</v>
      </c>
      <c r="I13" s="41">
        <v>6</v>
      </c>
      <c r="J13" s="64"/>
      <c r="K13" s="49" t="s">
        <v>123</v>
      </c>
      <c r="L13" s="50">
        <v>0.25</v>
      </c>
      <c r="M13" s="64"/>
      <c r="R13" s="11"/>
      <c r="S13" s="25"/>
      <c r="T13" s="11"/>
      <c r="U13" s="12"/>
      <c r="Y13" s="30"/>
      <c r="Z13" s="30"/>
      <c r="AA13" s="30"/>
      <c r="AB13" s="30"/>
      <c r="AC13" s="30"/>
      <c r="AD13" s="12"/>
      <c r="AE13" s="33"/>
      <c r="AF13" s="33"/>
      <c r="AG13" s="34"/>
      <c r="AH13" s="34"/>
      <c r="AI13" s="33"/>
      <c r="AJ13" s="33"/>
      <c r="AK13" s="33"/>
      <c r="AL13" s="33"/>
      <c r="AM13" s="33"/>
      <c r="AN13" s="32"/>
      <c r="AO13" s="32"/>
    </row>
    <row r="14" spans="2:51" ht="15" customHeight="1" x14ac:dyDescent="0.35">
      <c r="B14" s="39" t="s">
        <v>2</v>
      </c>
      <c r="C14" s="39"/>
      <c r="D14" s="39"/>
      <c r="E14" s="39"/>
      <c r="F14" s="39"/>
      <c r="G14" s="39"/>
      <c r="H14" s="39"/>
      <c r="I14" s="39"/>
      <c r="J14" s="65"/>
      <c r="K14" s="49" t="s">
        <v>124</v>
      </c>
      <c r="L14" s="51">
        <v>6</v>
      </c>
      <c r="M14" s="65"/>
      <c r="Q14" s="12"/>
      <c r="R14" s="12"/>
      <c r="S14" s="12"/>
      <c r="T14" s="12"/>
      <c r="U14" s="12"/>
      <c r="Y14" s="30"/>
      <c r="Z14" s="30"/>
      <c r="AA14" s="30"/>
      <c r="AB14" s="30"/>
      <c r="AC14" s="30"/>
      <c r="AD14" s="12"/>
      <c r="AE14" s="33"/>
      <c r="AF14" s="33"/>
      <c r="AG14" s="34"/>
      <c r="AH14" s="34"/>
      <c r="AI14" s="33"/>
      <c r="AJ14" s="33"/>
      <c r="AK14" s="33"/>
      <c r="AL14" s="33"/>
      <c r="AM14" s="33"/>
      <c r="AN14" s="32"/>
      <c r="AO14" s="32"/>
    </row>
    <row r="15" spans="2:51" ht="15" customHeight="1" x14ac:dyDescent="0.35">
      <c r="B15" s="40" t="s">
        <v>7</v>
      </c>
      <c r="C15" s="70">
        <v>0</v>
      </c>
      <c r="D15" s="48">
        <f>'Costo de Implementacion'!$E$10*12</f>
        <v>142184376</v>
      </c>
      <c r="E15" s="48">
        <f>'Costo de Implementacion'!$E$10*12</f>
        <v>142184376</v>
      </c>
      <c r="F15" s="48">
        <f>'Costo de Implementacion'!$E$10*12</f>
        <v>142184376</v>
      </c>
      <c r="G15" s="48">
        <f>'Costo de Implementacion'!$E$10*12</f>
        <v>142184376</v>
      </c>
      <c r="H15" s="48">
        <f>'Costo de Implementacion'!$E$10*12</f>
        <v>142184376</v>
      </c>
      <c r="I15" s="48">
        <f>'Costo de Implementacion'!$E$10*12</f>
        <v>142184376</v>
      </c>
      <c r="J15" s="61"/>
      <c r="K15" s="49" t="s">
        <v>120</v>
      </c>
      <c r="L15" s="52">
        <f>NPV(L13,D27:I27)-Complementario!$I$8</f>
        <v>155549835.88720548</v>
      </c>
      <c r="M15" s="61"/>
      <c r="Q15" s="12"/>
      <c r="R15" s="12"/>
      <c r="S15" s="12"/>
      <c r="T15" s="12"/>
      <c r="U15" s="12"/>
      <c r="Y15" s="30"/>
      <c r="Z15" s="30"/>
      <c r="AA15" s="30"/>
      <c r="AB15" s="30"/>
      <c r="AC15" s="30"/>
      <c r="AD15" s="12"/>
      <c r="AE15" s="33"/>
      <c r="AF15" s="33"/>
      <c r="AG15" s="34"/>
      <c r="AH15" s="34"/>
      <c r="AI15" s="33"/>
      <c r="AJ15" s="33"/>
      <c r="AK15" s="33"/>
      <c r="AL15" s="33"/>
      <c r="AM15" s="33"/>
      <c r="AN15" s="32"/>
      <c r="AO15" s="32"/>
    </row>
    <row r="16" spans="2:51" ht="15" customHeight="1" x14ac:dyDescent="0.35">
      <c r="B16" s="40" t="s">
        <v>16</v>
      </c>
      <c r="C16" s="70">
        <v>0</v>
      </c>
      <c r="D16" s="48">
        <f>'Costo de Implementacion'!$E$15*12</f>
        <v>2964000</v>
      </c>
      <c r="E16" s="48">
        <f>'Costo de Implementacion'!$E$15*12</f>
        <v>2964000</v>
      </c>
      <c r="F16" s="48">
        <f>'Costo de Implementacion'!$E$15*12</f>
        <v>2964000</v>
      </c>
      <c r="G16" s="48">
        <f>'Costo de Implementacion'!$E$15*12</f>
        <v>2964000</v>
      </c>
      <c r="H16" s="48">
        <f>'Costo de Implementacion'!$E$15*12</f>
        <v>2964000</v>
      </c>
      <c r="I16" s="48">
        <f>'Costo de Implementacion'!$E$15*12</f>
        <v>2964000</v>
      </c>
      <c r="J16" s="61"/>
      <c r="K16" s="49" t="s">
        <v>121</v>
      </c>
      <c r="L16" s="53">
        <f>IRR(C29:I29)</f>
        <v>0.31580374281094503</v>
      </c>
      <c r="M16" s="61"/>
      <c r="Q16" s="12"/>
      <c r="R16" s="12"/>
      <c r="S16" s="12"/>
      <c r="T16" s="12"/>
      <c r="U16" s="12"/>
      <c r="Y16" s="30"/>
      <c r="Z16" s="30"/>
      <c r="AA16" s="30"/>
      <c r="AB16" s="30"/>
      <c r="AC16" s="30"/>
      <c r="AD16" s="12"/>
      <c r="AE16" s="33"/>
      <c r="AF16" s="33"/>
      <c r="AG16" s="34"/>
      <c r="AH16" s="34"/>
      <c r="AI16" s="33"/>
      <c r="AJ16" s="33"/>
      <c r="AK16" s="33"/>
      <c r="AL16" s="33"/>
      <c r="AM16" s="33"/>
      <c r="AN16" s="32"/>
      <c r="AO16" s="32"/>
    </row>
    <row r="17" spans="2:41" ht="15" customHeight="1" x14ac:dyDescent="0.35">
      <c r="B17" s="40" t="s">
        <v>57</v>
      </c>
      <c r="C17" s="70">
        <v>0</v>
      </c>
      <c r="D17" s="48">
        <f>'Activo Fijos y Nominales'!$F$12/6</f>
        <v>4128391.6666666665</v>
      </c>
      <c r="E17" s="48">
        <f>'Activo Fijos y Nominales'!$F$12/6</f>
        <v>4128391.6666666665</v>
      </c>
      <c r="F17" s="48">
        <f>'Activo Fijos y Nominales'!$F$12/6</f>
        <v>4128391.6666666665</v>
      </c>
      <c r="G17" s="48">
        <f>'Activo Fijos y Nominales'!$F$12/6</f>
        <v>4128391.6666666665</v>
      </c>
      <c r="H17" s="48">
        <f>'Activo Fijos y Nominales'!$F$12/6</f>
        <v>4128391.6666666665</v>
      </c>
      <c r="I17" s="48">
        <f>'Activo Fijos y Nominales'!$F$12/6</f>
        <v>4128391.6666666665</v>
      </c>
      <c r="J17" s="61"/>
      <c r="K17" s="49" t="s">
        <v>122</v>
      </c>
      <c r="L17" s="51">
        <f>(D5+((U31-D28)/E27))</f>
        <v>0.7229362669377164</v>
      </c>
      <c r="M17" s="61"/>
      <c r="Q17" s="12"/>
      <c r="R17" s="12"/>
      <c r="S17" s="12"/>
      <c r="T17" s="12"/>
      <c r="U17" s="12"/>
      <c r="Y17" s="30"/>
      <c r="Z17" s="30"/>
      <c r="AA17" s="30"/>
      <c r="AB17" s="30"/>
      <c r="AC17" s="30"/>
      <c r="AD17" s="12"/>
      <c r="AE17" s="33"/>
      <c r="AF17" s="33"/>
      <c r="AG17" s="34"/>
      <c r="AH17" s="34"/>
      <c r="AI17" s="33"/>
      <c r="AJ17" s="33"/>
      <c r="AK17" s="33"/>
      <c r="AL17" s="33"/>
      <c r="AM17" s="33"/>
      <c r="AN17" s="32"/>
      <c r="AO17" s="32"/>
    </row>
    <row r="18" spans="2:41" ht="15" customHeight="1" x14ac:dyDescent="0.35">
      <c r="B18" s="40" t="s">
        <v>58</v>
      </c>
      <c r="C18" s="70">
        <v>0</v>
      </c>
      <c r="D18" s="48">
        <f>'Activo Fijos y Nominales'!$F$25/7</f>
        <v>1259880</v>
      </c>
      <c r="E18" s="48">
        <f>'Activo Fijos y Nominales'!$F$25/7</f>
        <v>1259880</v>
      </c>
      <c r="F18" s="48">
        <f>'Activo Fijos y Nominales'!$F$25/7</f>
        <v>1259880</v>
      </c>
      <c r="G18" s="48">
        <f>'Activo Fijos y Nominales'!$F$25/7</f>
        <v>1259880</v>
      </c>
      <c r="H18" s="48">
        <f>'Activo Fijos y Nominales'!$F$25/7</f>
        <v>1259880</v>
      </c>
      <c r="I18" s="48">
        <f>'Activo Fijos y Nominales'!$F$25/7</f>
        <v>1259880</v>
      </c>
      <c r="J18" s="61"/>
      <c r="K18" s="49" t="s">
        <v>126</v>
      </c>
      <c r="L18" s="54">
        <f>ROUNDDOWN(L17,0)</f>
        <v>0</v>
      </c>
      <c r="M18" s="61"/>
      <c r="Y18" s="30"/>
      <c r="Z18" s="30"/>
      <c r="AA18" s="30"/>
      <c r="AB18" s="30"/>
      <c r="AC18" s="30"/>
      <c r="AD18" s="12"/>
      <c r="AE18" s="33"/>
      <c r="AF18" s="33"/>
      <c r="AG18" s="34"/>
      <c r="AH18" s="34"/>
      <c r="AI18" s="33"/>
      <c r="AJ18" s="33"/>
      <c r="AK18" s="33"/>
      <c r="AL18" s="33"/>
      <c r="AM18" s="33"/>
      <c r="AN18" s="32"/>
      <c r="AO18" s="32"/>
    </row>
    <row r="19" spans="2:41" ht="23.25" customHeight="1" x14ac:dyDescent="0.35">
      <c r="B19" s="40" t="s">
        <v>17</v>
      </c>
      <c r="C19" s="70">
        <v>0</v>
      </c>
      <c r="D19" s="48">
        <f>Amortizacion!D11</f>
        <v>8250000</v>
      </c>
      <c r="E19" s="48">
        <f>Amortizacion!E11</f>
        <v>6648763.0844651489</v>
      </c>
      <c r="F19" s="48">
        <f>Amortizacion!F11</f>
        <v>5023507.6151972758</v>
      </c>
      <c r="G19" s="48">
        <f>Amortizacion!G11</f>
        <v>3373873.3138903845</v>
      </c>
      <c r="H19" s="48">
        <f>Amortizacion!H11</f>
        <v>1699494.49806389</v>
      </c>
      <c r="I19" s="48">
        <v>0</v>
      </c>
      <c r="J19" s="61"/>
      <c r="K19" s="49" t="s">
        <v>127</v>
      </c>
      <c r="L19" s="51">
        <f>ROUNDDOWN(((L17-ROUNDDOWN(L17,0))*12),0)</f>
        <v>8</v>
      </c>
      <c r="M19" s="61"/>
      <c r="Q19" s="27"/>
      <c r="R19" s="27"/>
      <c r="S19" s="27"/>
      <c r="T19" s="27"/>
      <c r="U19" s="27"/>
      <c r="V19" s="27"/>
      <c r="W19" s="27"/>
      <c r="Y19" s="30"/>
      <c r="Z19" s="30"/>
      <c r="AA19" s="30"/>
      <c r="AB19" s="30"/>
      <c r="AC19" s="30"/>
      <c r="AD19" s="12"/>
      <c r="AE19" s="33"/>
      <c r="AF19" s="33"/>
      <c r="AG19" s="34"/>
      <c r="AH19" s="34"/>
      <c r="AI19" s="33"/>
      <c r="AJ19" s="33"/>
      <c r="AK19" s="33"/>
      <c r="AL19" s="33"/>
      <c r="AM19" s="33"/>
      <c r="AN19" s="32"/>
      <c r="AO19" s="32"/>
    </row>
    <row r="20" spans="2:41" ht="15" customHeight="1" x14ac:dyDescent="0.35">
      <c r="B20" s="40" t="s">
        <v>18</v>
      </c>
      <c r="C20" s="70">
        <v>0</v>
      </c>
      <c r="D20" s="48">
        <f>Amortizacion!D12</f>
        <v>106749127.70232336</v>
      </c>
      <c r="E20" s="48">
        <f>Amortizacion!E12</f>
        <v>108350364.61785822</v>
      </c>
      <c r="F20" s="48">
        <f>Amortizacion!F12</f>
        <v>109975620.08712609</v>
      </c>
      <c r="G20" s="48">
        <f>Amortizacion!G12</f>
        <v>111625254.38843298</v>
      </c>
      <c r="H20" s="48">
        <f>Amortizacion!H12</f>
        <v>113299633.20425947</v>
      </c>
      <c r="I20" s="48">
        <v>0</v>
      </c>
      <c r="J20" s="61"/>
      <c r="K20" s="49" t="s">
        <v>128</v>
      </c>
      <c r="L20" s="55">
        <f>(((L17-ROUNDDOWN(L17,0))*12)-ROUNDDOWN(((L17-ROUNDDOWN(L17,0))*12),0))*30</f>
        <v>20.25705609757793</v>
      </c>
      <c r="M20" s="61"/>
      <c r="Q20" s="27"/>
      <c r="R20" s="27"/>
      <c r="S20" s="27"/>
      <c r="T20" s="27"/>
      <c r="U20" s="27"/>
      <c r="V20" s="27"/>
      <c r="W20" s="27"/>
      <c r="Y20" s="30"/>
      <c r="Z20" s="30"/>
      <c r="AA20" s="30"/>
      <c r="AB20" s="30"/>
      <c r="AC20" s="30"/>
      <c r="AD20" s="12"/>
      <c r="AE20" s="33"/>
      <c r="AF20" s="33"/>
      <c r="AG20" s="34"/>
      <c r="AH20" s="34"/>
      <c r="AI20" s="33"/>
      <c r="AJ20" s="33"/>
      <c r="AK20" s="33"/>
      <c r="AL20" s="33"/>
      <c r="AM20" s="33"/>
      <c r="AN20" s="32"/>
      <c r="AO20" s="32"/>
    </row>
    <row r="21" spans="2:41" ht="18.75" customHeight="1" x14ac:dyDescent="0.35">
      <c r="B21" s="40" t="s">
        <v>63</v>
      </c>
      <c r="C21" s="48">
        <f>'Costos de desarrollo'!$K$26</f>
        <v>409212000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61"/>
      <c r="K21" s="61"/>
      <c r="L21" s="61"/>
      <c r="M21" s="61"/>
      <c r="Q21" s="27"/>
      <c r="R21" s="27"/>
      <c r="S21" s="27"/>
      <c r="T21" s="27"/>
      <c r="U21" s="27"/>
      <c r="V21" s="27"/>
      <c r="W21" s="27"/>
      <c r="Y21" s="30"/>
      <c r="Z21" s="30"/>
      <c r="AA21" s="30"/>
      <c r="AB21" s="30"/>
      <c r="AC21" s="30"/>
      <c r="AD21" s="12"/>
      <c r="AE21" s="33"/>
      <c r="AF21" s="33"/>
      <c r="AG21" s="34"/>
      <c r="AH21" s="34"/>
      <c r="AI21" s="33"/>
      <c r="AJ21" s="33"/>
      <c r="AK21" s="33"/>
      <c r="AL21" s="33"/>
      <c r="AM21" s="33"/>
      <c r="AN21" s="32"/>
      <c r="AO21" s="32"/>
    </row>
    <row r="22" spans="2:41" ht="15" customHeight="1" x14ac:dyDescent="0.35">
      <c r="B22" s="40" t="s">
        <v>33</v>
      </c>
      <c r="C22" s="48">
        <f>'Activo Fijos y Nominales'!F12</f>
        <v>24770350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61"/>
      <c r="K22" s="61"/>
      <c r="L22" s="61"/>
      <c r="M22" s="61"/>
      <c r="Q22" s="27"/>
      <c r="R22" s="27"/>
      <c r="S22" s="27"/>
      <c r="T22" s="27"/>
      <c r="U22" s="27"/>
      <c r="V22" s="27"/>
      <c r="W22" s="27"/>
      <c r="Y22" s="30"/>
      <c r="Z22" s="30"/>
      <c r="AA22" s="30"/>
      <c r="AB22" s="30"/>
      <c r="AC22" s="30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35"/>
      <c r="AO22" s="36"/>
    </row>
    <row r="23" spans="2:41" ht="15" customHeight="1" x14ac:dyDescent="0.35">
      <c r="B23" s="40" t="s">
        <v>64</v>
      </c>
      <c r="C23" s="48">
        <f>'Activo Fijos y Nominales'!F25</f>
        <v>8819160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61"/>
      <c r="K23" s="61"/>
      <c r="L23" s="61"/>
      <c r="M23" s="61"/>
      <c r="Q23" s="27"/>
      <c r="R23" s="27"/>
      <c r="S23" s="27"/>
      <c r="T23" s="27"/>
      <c r="U23" s="27"/>
      <c r="V23" s="27"/>
      <c r="W23" s="27"/>
      <c r="Y23" s="30"/>
      <c r="Z23" s="30"/>
      <c r="AA23" s="30"/>
      <c r="AB23" s="30"/>
      <c r="AC23" s="30"/>
    </row>
    <row r="24" spans="2:41" ht="15" customHeight="1" x14ac:dyDescent="0.35">
      <c r="B24" s="40" t="s">
        <v>66</v>
      </c>
      <c r="C24" s="48">
        <f>'Activo Fijos y Nominales'!F31</f>
        <v>738426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61"/>
      <c r="K24" s="61"/>
      <c r="L24" s="61"/>
      <c r="M24" s="61"/>
      <c r="Q24" s="27"/>
      <c r="R24" s="27"/>
      <c r="S24" s="27"/>
      <c r="T24" s="27"/>
      <c r="U24" s="27"/>
      <c r="V24" s="27"/>
      <c r="W24" s="27"/>
      <c r="Y24" s="30"/>
      <c r="Z24" s="30"/>
      <c r="AA24" s="30"/>
      <c r="AB24" s="30"/>
      <c r="AC24" s="30"/>
    </row>
    <row r="25" spans="2:41" ht="15" customHeight="1" x14ac:dyDescent="0.35">
      <c r="J25" s="9"/>
      <c r="K25" s="9"/>
      <c r="L25" s="9"/>
      <c r="M25" s="9"/>
      <c r="Q25" s="27"/>
      <c r="R25" s="27"/>
      <c r="S25" s="27"/>
      <c r="T25" s="27"/>
      <c r="U25" s="27"/>
      <c r="V25" s="27"/>
      <c r="W25" s="27"/>
      <c r="Y25" s="30"/>
      <c r="Z25" s="30"/>
      <c r="AA25" s="30"/>
      <c r="AB25" s="30"/>
      <c r="AC25" s="30"/>
      <c r="AH25" s="7"/>
      <c r="AI25" s="6"/>
    </row>
    <row r="26" spans="2:41" ht="15" customHeight="1" x14ac:dyDescent="0.35">
      <c r="B26" s="44" t="s">
        <v>93</v>
      </c>
      <c r="C26" s="43"/>
      <c r="D26" s="43"/>
      <c r="E26" s="43"/>
      <c r="F26" s="43"/>
      <c r="G26" s="43"/>
      <c r="H26" s="43"/>
      <c r="I26" s="43"/>
      <c r="J26" s="66"/>
      <c r="K26" s="66"/>
      <c r="L26" s="66"/>
      <c r="M26" s="66"/>
      <c r="Y26" s="30"/>
      <c r="Z26" s="30"/>
      <c r="AA26" s="30"/>
      <c r="AB26" s="30"/>
      <c r="AC26" s="30"/>
    </row>
    <row r="27" spans="2:41" ht="18.75" customHeight="1" x14ac:dyDescent="0.25">
      <c r="B27" s="1" t="s">
        <v>94</v>
      </c>
      <c r="C27" s="3">
        <f>C7-C21-C22-C23-C24</f>
        <v>106460064</v>
      </c>
      <c r="D27" s="3">
        <f t="shared" ref="D27:I27" si="2">D11-SUM(D15,D16,D20,D21,D22,D23,D24)</f>
        <v>-83234653.702323377</v>
      </c>
      <c r="E27" s="3">
        <f t="shared" si="2"/>
        <v>83826959.382141769</v>
      </c>
      <c r="F27" s="3">
        <f t="shared" si="2"/>
        <v>250864553.91287392</v>
      </c>
      <c r="G27" s="3">
        <f t="shared" si="2"/>
        <v>417877769.61156702</v>
      </c>
      <c r="H27" s="3">
        <f t="shared" si="2"/>
        <v>584866240.7957406</v>
      </c>
      <c r="I27" s="3">
        <f t="shared" si="2"/>
        <v>866828724</v>
      </c>
      <c r="J27" s="67"/>
      <c r="K27" s="67"/>
      <c r="L27" s="67"/>
      <c r="M27" s="67"/>
      <c r="P27" s="26"/>
      <c r="Q27" s="26"/>
      <c r="R27" s="26"/>
      <c r="S27" s="26"/>
      <c r="T27" s="26"/>
      <c r="U27" s="26"/>
      <c r="V27" s="26"/>
    </row>
    <row r="28" spans="2:41" x14ac:dyDescent="0.25">
      <c r="B28" s="1" t="s">
        <v>95</v>
      </c>
      <c r="C28" s="20">
        <f>C27</f>
        <v>106460064</v>
      </c>
      <c r="D28" s="20">
        <f t="shared" ref="D28:I28" si="3">D27+C28</f>
        <v>23225410.297676623</v>
      </c>
      <c r="E28" s="20">
        <f t="shared" si="3"/>
        <v>107052369.67981839</v>
      </c>
      <c r="F28" s="20">
        <f t="shared" si="3"/>
        <v>357916923.59269232</v>
      </c>
      <c r="G28" s="20">
        <f t="shared" si="3"/>
        <v>775794693.2042594</v>
      </c>
      <c r="H28" s="20">
        <f t="shared" si="3"/>
        <v>1360660934</v>
      </c>
      <c r="I28" s="20">
        <f t="shared" si="3"/>
        <v>2227489658</v>
      </c>
      <c r="J28" s="36"/>
      <c r="K28" s="36"/>
      <c r="L28" s="36"/>
      <c r="M28" s="36"/>
      <c r="P28" s="26"/>
      <c r="Q28" s="26"/>
      <c r="R28" s="26"/>
      <c r="S28" s="26"/>
      <c r="T28" s="26"/>
      <c r="U28" s="26"/>
      <c r="V28" s="26"/>
    </row>
    <row r="29" spans="2:41" x14ac:dyDescent="0.25">
      <c r="B29" s="1" t="s">
        <v>125</v>
      </c>
      <c r="C29" s="20">
        <f>-Complementario!I8</f>
        <v>-550000000</v>
      </c>
      <c r="D29" s="20">
        <f t="shared" ref="D29:I29" si="4">D27</f>
        <v>-83234653.702323377</v>
      </c>
      <c r="E29" s="20">
        <f t="shared" si="4"/>
        <v>83826959.382141769</v>
      </c>
      <c r="F29" s="20">
        <f t="shared" si="4"/>
        <v>250864553.91287392</v>
      </c>
      <c r="G29" s="20">
        <f t="shared" si="4"/>
        <v>417877769.61156702</v>
      </c>
      <c r="H29" s="20">
        <f t="shared" si="4"/>
        <v>584866240.7957406</v>
      </c>
      <c r="I29" s="20">
        <f t="shared" si="4"/>
        <v>866828724</v>
      </c>
      <c r="J29" s="36"/>
      <c r="K29" s="36"/>
      <c r="L29" s="36"/>
      <c r="M29" s="36"/>
      <c r="P29" s="26"/>
      <c r="Q29" s="26"/>
      <c r="R29" s="26"/>
      <c r="S29" s="26"/>
      <c r="T29" s="26"/>
      <c r="U29" s="26"/>
      <c r="V29" s="26"/>
    </row>
    <row r="30" spans="2:41" x14ac:dyDescent="0.25">
      <c r="B30" s="23"/>
      <c r="C30" s="14"/>
      <c r="D30" s="14"/>
      <c r="E30" s="14"/>
      <c r="F30" s="14"/>
      <c r="G30" s="14"/>
      <c r="H30" s="14"/>
      <c r="I30" s="14"/>
      <c r="L30" s="6"/>
      <c r="P30" s="26"/>
      <c r="Q30" s="26"/>
      <c r="R30" s="26"/>
      <c r="S30" s="26"/>
      <c r="T30" s="26"/>
      <c r="U30" s="26"/>
      <c r="V30" s="26"/>
    </row>
    <row r="31" spans="2:41" x14ac:dyDescent="0.25">
      <c r="B31" s="12"/>
      <c r="C31" s="12"/>
      <c r="D31" s="12"/>
      <c r="P31" s="26"/>
      <c r="Q31" s="26"/>
      <c r="R31" s="26"/>
      <c r="S31" s="26"/>
      <c r="T31" s="26"/>
      <c r="U31" s="26"/>
      <c r="V31" s="26"/>
    </row>
    <row r="32" spans="2:41" ht="18.75" x14ac:dyDescent="0.3">
      <c r="B32" s="119"/>
      <c r="C32" s="119"/>
      <c r="D32" s="119"/>
      <c r="P32" s="26"/>
      <c r="Q32" s="26"/>
      <c r="R32" s="26"/>
      <c r="S32" s="26"/>
      <c r="T32" s="26"/>
      <c r="U32" s="26"/>
      <c r="V32" s="26"/>
    </row>
    <row r="33" spans="2:22" x14ac:dyDescent="0.25">
      <c r="D33" s="12"/>
      <c r="P33" s="26"/>
      <c r="Q33" s="26"/>
      <c r="R33" s="26"/>
      <c r="S33" s="26"/>
      <c r="T33" s="26"/>
      <c r="U33" s="26"/>
      <c r="V33" s="26"/>
    </row>
    <row r="34" spans="2:22" x14ac:dyDescent="0.25">
      <c r="D34" s="12"/>
      <c r="P34" s="26"/>
      <c r="Q34" s="26"/>
      <c r="R34" s="26"/>
      <c r="S34" s="26"/>
      <c r="T34" s="26"/>
      <c r="U34" s="26"/>
      <c r="V34" s="26"/>
    </row>
    <row r="35" spans="2:22" x14ac:dyDescent="0.25">
      <c r="D35" s="12"/>
    </row>
    <row r="36" spans="2:22" x14ac:dyDescent="0.25">
      <c r="D36" s="12"/>
    </row>
    <row r="37" spans="2:22" x14ac:dyDescent="0.25">
      <c r="D37" s="12"/>
    </row>
    <row r="38" spans="2:22" x14ac:dyDescent="0.25">
      <c r="D38" s="12"/>
      <c r="F38" s="12"/>
      <c r="G38" s="12"/>
    </row>
    <row r="39" spans="2:22" x14ac:dyDescent="0.25">
      <c r="D39" s="12"/>
      <c r="F39" s="9"/>
      <c r="G39" s="9"/>
    </row>
    <row r="40" spans="2:22" x14ac:dyDescent="0.25">
      <c r="D40" s="12"/>
      <c r="F40" s="9"/>
      <c r="G40" s="9"/>
    </row>
    <row r="41" spans="2:22" x14ac:dyDescent="0.25">
      <c r="D41" s="12"/>
    </row>
    <row r="42" spans="2:22" x14ac:dyDescent="0.25">
      <c r="B42" s="12"/>
      <c r="C42" s="12"/>
      <c r="D42" s="12"/>
    </row>
    <row r="43" spans="2:22" x14ac:dyDescent="0.25">
      <c r="B43" s="12"/>
      <c r="C43" s="12"/>
      <c r="D43" s="12"/>
    </row>
    <row r="44" spans="2:22" ht="18.75" x14ac:dyDescent="0.3">
      <c r="B44" s="119"/>
      <c r="C44" s="119"/>
      <c r="D44" s="12"/>
    </row>
    <row r="45" spans="2:22" x14ac:dyDescent="0.25">
      <c r="B45" s="12"/>
      <c r="C45" s="24"/>
      <c r="D45" s="12"/>
    </row>
    <row r="46" spans="2:22" x14ac:dyDescent="0.25">
      <c r="B46" s="12"/>
      <c r="C46" s="24"/>
      <c r="D46" s="12"/>
    </row>
    <row r="47" spans="2:22" x14ac:dyDescent="0.25">
      <c r="B47" s="12"/>
      <c r="C47" s="24"/>
      <c r="D47" s="12"/>
    </row>
    <row r="48" spans="2:22" x14ac:dyDescent="0.25">
      <c r="B48" s="12"/>
      <c r="C48" s="12"/>
      <c r="D48" s="12"/>
    </row>
    <row r="49" spans="2:4" x14ac:dyDescent="0.25">
      <c r="B49" s="12"/>
      <c r="C49" s="25"/>
      <c r="D49" s="12"/>
    </row>
    <row r="50" spans="2:4" x14ac:dyDescent="0.25">
      <c r="B50" s="12"/>
      <c r="C50" s="12"/>
      <c r="D50" s="12"/>
    </row>
  </sheetData>
  <mergeCells count="5">
    <mergeCell ref="B44:C44"/>
    <mergeCell ref="B32:D32"/>
    <mergeCell ref="K12:L12"/>
    <mergeCell ref="B2:M2"/>
    <mergeCell ref="B3:I3"/>
  </mergeCells>
  <conditionalFormatting sqref="C27:M28">
    <cfRule type="cellIs" dxfId="5" priority="7" operator="lessThan">
      <formula>0</formula>
    </cfRule>
    <cfRule type="cellIs" dxfId="4" priority="8" operator="greaterThan">
      <formula>0</formula>
    </cfRule>
    <cfRule type="cellIs" dxfId="3" priority="9" operator="lessThan">
      <formula>0</formula>
    </cfRule>
  </conditionalFormatting>
  <conditionalFormatting sqref="C29:M29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6B9D-062F-42E5-B554-E8414B206157}">
  <dimension ref="B2:I38"/>
  <sheetViews>
    <sheetView zoomScaleNormal="100" workbookViewId="0">
      <selection activeCell="D6" sqref="D6"/>
    </sheetView>
  </sheetViews>
  <sheetFormatPr baseColWidth="10" defaultRowHeight="15" x14ac:dyDescent="0.25"/>
  <cols>
    <col min="2" max="2" width="24.42578125" bestFit="1" customWidth="1"/>
    <col min="3" max="4" width="13" bestFit="1" customWidth="1"/>
    <col min="5" max="6" width="19.28515625" bestFit="1" customWidth="1"/>
    <col min="7" max="9" width="20.28515625" bestFit="1" customWidth="1"/>
    <col min="10" max="11" width="11.42578125" customWidth="1"/>
  </cols>
  <sheetData>
    <row r="2" spans="2:9" x14ac:dyDescent="0.25">
      <c r="C2" s="42" t="s">
        <v>0</v>
      </c>
      <c r="D2" s="42" t="s">
        <v>0</v>
      </c>
      <c r="E2" s="42" t="s">
        <v>0</v>
      </c>
      <c r="F2" s="42" t="s">
        <v>0</v>
      </c>
      <c r="G2" s="42" t="s">
        <v>0</v>
      </c>
      <c r="H2" s="42" t="s">
        <v>0</v>
      </c>
      <c r="I2" s="42" t="s">
        <v>0</v>
      </c>
    </row>
    <row r="3" spans="2:9" x14ac:dyDescent="0.25">
      <c r="B3" s="42" t="s">
        <v>0</v>
      </c>
      <c r="C3" s="42">
        <v>0</v>
      </c>
      <c r="D3" s="42">
        <v>1</v>
      </c>
      <c r="E3" s="42">
        <v>2</v>
      </c>
      <c r="F3" s="42">
        <v>3</v>
      </c>
      <c r="G3" s="42">
        <v>4</v>
      </c>
      <c r="H3" s="42">
        <v>5</v>
      </c>
      <c r="I3" s="42">
        <v>6</v>
      </c>
    </row>
    <row r="4" spans="2:9" x14ac:dyDescent="0.25">
      <c r="B4" s="37" t="s">
        <v>182</v>
      </c>
      <c r="C4" s="37"/>
      <c r="D4" s="37"/>
      <c r="E4" s="37"/>
      <c r="F4" s="37"/>
      <c r="G4" s="37"/>
      <c r="H4" s="37"/>
      <c r="I4" s="37"/>
    </row>
    <row r="5" spans="2:9" x14ac:dyDescent="0.25">
      <c r="B5" s="38" t="s">
        <v>188</v>
      </c>
      <c r="C5" s="155"/>
      <c r="D5" s="47"/>
      <c r="E5" s="47"/>
      <c r="F5" s="47"/>
      <c r="G5" s="47"/>
      <c r="H5" s="47"/>
      <c r="I5" s="47"/>
    </row>
    <row r="6" spans="2:9" x14ac:dyDescent="0.25">
      <c r="B6" s="153" t="s">
        <v>186</v>
      </c>
      <c r="C6" s="155">
        <v>0</v>
      </c>
      <c r="D6" s="156">
        <f>Complementario!$C$9/6</f>
        <v>2567.1666666666665</v>
      </c>
      <c r="E6" s="156">
        <f>$D$6+D6</f>
        <v>5134.333333333333</v>
      </c>
      <c r="F6" s="156">
        <f t="shared" ref="F6:I6" si="0">$D$6+E6</f>
        <v>7701.5</v>
      </c>
      <c r="G6" s="156">
        <f t="shared" si="0"/>
        <v>10268.666666666666</v>
      </c>
      <c r="H6" s="156">
        <f t="shared" si="0"/>
        <v>12835.833333333332</v>
      </c>
      <c r="I6" s="156">
        <f t="shared" si="0"/>
        <v>15402.999999999998</v>
      </c>
    </row>
    <row r="7" spans="2:9" x14ac:dyDescent="0.25">
      <c r="B7" s="153" t="s">
        <v>187</v>
      </c>
      <c r="C7" s="45">
        <v>0</v>
      </c>
      <c r="D7" s="47">
        <f>Complementario!$C$5*D6</f>
        <v>385075000</v>
      </c>
      <c r="E7" s="47">
        <f>Complementario!$C$5*E6</f>
        <v>770150000</v>
      </c>
      <c r="F7" s="47">
        <f>Complementario!$C$5*F6</f>
        <v>1155225000</v>
      </c>
      <c r="G7" s="47">
        <f>Complementario!$C$5*G6</f>
        <v>1540300000</v>
      </c>
      <c r="H7" s="47">
        <f>Complementario!$C$5*H6</f>
        <v>1925374999.9999998</v>
      </c>
      <c r="I7" s="47">
        <f>Complementario!$C$5*I6</f>
        <v>2310449999.9999995</v>
      </c>
    </row>
    <row r="8" spans="2:9" x14ac:dyDescent="0.25">
      <c r="B8" s="153"/>
      <c r="C8" s="45">
        <v>0</v>
      </c>
      <c r="D8" s="71"/>
      <c r="E8" s="71"/>
      <c r="F8" s="71"/>
      <c r="G8" s="71"/>
      <c r="H8" s="71"/>
      <c r="I8" s="71"/>
    </row>
    <row r="9" spans="2:9" x14ac:dyDescent="0.25">
      <c r="B9" s="154" t="s">
        <v>189</v>
      </c>
      <c r="C9" s="45">
        <v>0</v>
      </c>
      <c r="D9" s="71"/>
      <c r="E9" s="71"/>
      <c r="F9" s="71"/>
      <c r="G9" s="71"/>
      <c r="H9" s="71"/>
      <c r="I9" s="71"/>
    </row>
    <row r="10" spans="2:9" x14ac:dyDescent="0.25">
      <c r="B10" s="38"/>
      <c r="C10" s="45">
        <v>0</v>
      </c>
      <c r="D10" s="47"/>
      <c r="E10" s="47"/>
      <c r="F10" s="47"/>
      <c r="G10" s="47"/>
      <c r="H10" s="47"/>
      <c r="I10" s="47"/>
    </row>
    <row r="11" spans="2:9" x14ac:dyDescent="0.25">
      <c r="B11" s="37" t="s">
        <v>183</v>
      </c>
      <c r="C11" s="157">
        <f>SUM(C12,C16)</f>
        <v>0</v>
      </c>
      <c r="D11" s="37"/>
      <c r="E11" s="37"/>
      <c r="F11" s="37"/>
      <c r="G11" s="37"/>
      <c r="H11" s="37"/>
      <c r="I11" s="37"/>
    </row>
    <row r="12" spans="2:9" x14ac:dyDescent="0.25">
      <c r="B12" s="38" t="s">
        <v>190</v>
      </c>
      <c r="C12" s="45">
        <f>SUM(C13,C14)</f>
        <v>0</v>
      </c>
      <c r="D12" s="47"/>
      <c r="E12" s="47"/>
      <c r="F12" s="47"/>
      <c r="G12" s="47"/>
      <c r="H12" s="47"/>
      <c r="I12" s="47"/>
    </row>
    <row r="13" spans="2:9" x14ac:dyDescent="0.25">
      <c r="B13" s="153" t="s">
        <v>191</v>
      </c>
      <c r="C13" s="45"/>
      <c r="D13" s="47"/>
      <c r="E13" s="47"/>
      <c r="F13" s="47"/>
      <c r="G13" s="47"/>
      <c r="H13" s="47"/>
      <c r="I13" s="47"/>
    </row>
    <row r="14" spans="2:9" x14ac:dyDescent="0.25">
      <c r="B14" s="153" t="s">
        <v>192</v>
      </c>
      <c r="C14" s="45"/>
      <c r="D14" s="47"/>
      <c r="E14" s="47"/>
      <c r="F14" s="47"/>
      <c r="G14" s="47"/>
      <c r="H14" s="47"/>
      <c r="I14" s="47"/>
    </row>
    <row r="15" spans="2:9" x14ac:dyDescent="0.25">
      <c r="B15" s="153"/>
      <c r="C15" s="45"/>
      <c r="D15" s="47"/>
      <c r="E15" s="47"/>
      <c r="F15" s="47"/>
      <c r="G15" s="47"/>
      <c r="H15" s="47"/>
      <c r="I15" s="47"/>
    </row>
    <row r="16" spans="2:9" x14ac:dyDescent="0.25">
      <c r="B16" s="154" t="s">
        <v>193</v>
      </c>
      <c r="C16" s="45">
        <f>SUM(C17:C20)</f>
        <v>0</v>
      </c>
      <c r="D16" s="47"/>
      <c r="E16" s="47"/>
      <c r="F16" s="47"/>
      <c r="G16" s="47"/>
      <c r="H16" s="47"/>
      <c r="I16" s="47"/>
    </row>
    <row r="17" spans="2:9" x14ac:dyDescent="0.25">
      <c r="B17" s="153" t="s">
        <v>194</v>
      </c>
      <c r="C17" s="45"/>
      <c r="D17" s="47"/>
      <c r="E17" s="47"/>
      <c r="F17" s="47"/>
      <c r="G17" s="47"/>
      <c r="H17" s="47"/>
      <c r="I17" s="47"/>
    </row>
    <row r="18" spans="2:9" x14ac:dyDescent="0.25">
      <c r="B18" s="153" t="s">
        <v>195</v>
      </c>
      <c r="C18" s="45"/>
      <c r="D18" s="47"/>
      <c r="E18" s="47"/>
      <c r="F18" s="47"/>
      <c r="G18" s="47"/>
      <c r="H18" s="47"/>
      <c r="I18" s="47"/>
    </row>
    <row r="19" spans="2:9" x14ac:dyDescent="0.25">
      <c r="B19" s="153" t="s">
        <v>3</v>
      </c>
      <c r="C19" s="45"/>
      <c r="D19" s="47"/>
      <c r="E19" s="47"/>
      <c r="F19" s="47"/>
      <c r="G19" s="47"/>
      <c r="H19" s="47"/>
      <c r="I19" s="47"/>
    </row>
    <row r="20" spans="2:9" x14ac:dyDescent="0.25">
      <c r="B20" s="153" t="s">
        <v>196</v>
      </c>
      <c r="C20" s="45"/>
      <c r="D20" s="47"/>
      <c r="E20" s="47"/>
      <c r="F20" s="47"/>
      <c r="G20" s="47"/>
      <c r="H20" s="47"/>
      <c r="I20" s="47"/>
    </row>
    <row r="21" spans="2:9" x14ac:dyDescent="0.25">
      <c r="B21" s="150"/>
      <c r="C21" s="151"/>
      <c r="D21" s="152"/>
      <c r="E21" s="152"/>
      <c r="F21" s="152"/>
      <c r="G21" s="152"/>
      <c r="H21" s="152"/>
      <c r="I21" s="152"/>
    </row>
    <row r="22" spans="2:9" x14ac:dyDescent="0.25">
      <c r="B22" s="37" t="s">
        <v>184</v>
      </c>
      <c r="C22" s="37"/>
      <c r="D22" s="37"/>
      <c r="E22" s="37"/>
      <c r="F22" s="37"/>
      <c r="G22" s="37"/>
      <c r="H22" s="37"/>
      <c r="I22" s="37"/>
    </row>
    <row r="23" spans="2:9" x14ac:dyDescent="0.25">
      <c r="B23" s="37" t="s">
        <v>185</v>
      </c>
      <c r="C23" s="37"/>
      <c r="D23" s="37"/>
      <c r="E23" s="37"/>
      <c r="F23" s="37"/>
      <c r="G23" s="37"/>
      <c r="H23" s="37"/>
      <c r="I23" s="37"/>
    </row>
    <row r="24" spans="2:9" x14ac:dyDescent="0.25">
      <c r="B24" s="12"/>
      <c r="C24" s="61"/>
      <c r="D24" s="63"/>
      <c r="E24" s="63"/>
      <c r="F24" s="63"/>
      <c r="G24" s="63"/>
      <c r="H24" s="63"/>
      <c r="I24" s="63"/>
    </row>
    <row r="25" spans="2:9" x14ac:dyDescent="0.25">
      <c r="B25" s="12"/>
      <c r="C25" s="61"/>
      <c r="D25" s="63"/>
      <c r="E25" s="63"/>
      <c r="F25" s="63"/>
      <c r="G25" s="63"/>
      <c r="H25" s="63"/>
      <c r="I25" s="63"/>
    </row>
    <row r="26" spans="2:9" x14ac:dyDescent="0.25">
      <c r="B26" s="60"/>
      <c r="C26" s="60"/>
      <c r="D26" s="60"/>
      <c r="E26" s="60"/>
      <c r="F26" s="60"/>
      <c r="G26" s="60"/>
      <c r="H26" s="60"/>
      <c r="I26" s="60"/>
    </row>
    <row r="27" spans="2:9" x14ac:dyDescent="0.25">
      <c r="B27" s="61"/>
      <c r="C27" s="63"/>
      <c r="D27" s="63"/>
      <c r="E27" s="63"/>
      <c r="F27" s="63"/>
      <c r="G27" s="63"/>
      <c r="H27" s="63"/>
      <c r="I27" s="63"/>
    </row>
    <row r="28" spans="2:9" x14ac:dyDescent="0.25">
      <c r="B28" s="60"/>
      <c r="C28" s="60"/>
      <c r="D28" s="60"/>
      <c r="E28" s="60"/>
      <c r="F28" s="60"/>
      <c r="G28" s="60"/>
      <c r="H28" s="60"/>
      <c r="I28" s="60"/>
    </row>
    <row r="29" spans="2:9" x14ac:dyDescent="0.25">
      <c r="B29" s="61"/>
      <c r="C29" s="63"/>
      <c r="D29" s="63"/>
      <c r="E29" s="63"/>
      <c r="F29" s="63"/>
      <c r="G29" s="63"/>
      <c r="H29" s="63"/>
      <c r="I29" s="63"/>
    </row>
    <row r="30" spans="2:9" x14ac:dyDescent="0.25">
      <c r="B30" s="60"/>
      <c r="C30" s="60"/>
      <c r="D30" s="60"/>
      <c r="E30" s="60"/>
      <c r="F30" s="60"/>
      <c r="G30" s="60"/>
      <c r="H30" s="60"/>
      <c r="I30" s="60"/>
    </row>
    <row r="31" spans="2:9" x14ac:dyDescent="0.25">
      <c r="B31" s="61"/>
      <c r="C31" s="63"/>
      <c r="D31" s="63"/>
      <c r="E31" s="63"/>
      <c r="F31" s="63"/>
      <c r="G31" s="63"/>
      <c r="H31" s="63"/>
      <c r="I31" s="63"/>
    </row>
    <row r="32" spans="2:9" x14ac:dyDescent="0.25">
      <c r="B32" s="60"/>
      <c r="C32" s="60"/>
      <c r="D32" s="60"/>
      <c r="E32" s="60"/>
      <c r="F32" s="60"/>
      <c r="G32" s="60"/>
      <c r="H32" s="60"/>
      <c r="I32" s="60"/>
    </row>
    <row r="33" spans="2:9" x14ac:dyDescent="0.25">
      <c r="B33" s="61"/>
      <c r="C33" s="63"/>
      <c r="D33" s="63"/>
      <c r="E33" s="63"/>
      <c r="F33" s="63"/>
      <c r="G33" s="63"/>
      <c r="H33" s="63"/>
      <c r="I33" s="63"/>
    </row>
    <row r="34" spans="2:9" x14ac:dyDescent="0.25">
      <c r="B34" s="60"/>
      <c r="C34" s="60"/>
      <c r="D34" s="60"/>
      <c r="E34" s="60"/>
      <c r="F34" s="60"/>
      <c r="G34" s="60"/>
      <c r="H34" s="60"/>
      <c r="I34" s="60"/>
    </row>
    <row r="35" spans="2:9" x14ac:dyDescent="0.25">
      <c r="B35" s="61"/>
      <c r="C35" s="63"/>
      <c r="D35" s="63"/>
      <c r="E35" s="63"/>
      <c r="F35" s="63"/>
      <c r="G35" s="63"/>
      <c r="H35" s="63"/>
      <c r="I35" s="63"/>
    </row>
    <row r="36" spans="2:9" x14ac:dyDescent="0.25">
      <c r="B36" s="60"/>
      <c r="C36" s="60"/>
      <c r="D36" s="60"/>
      <c r="E36" s="60"/>
      <c r="F36" s="60"/>
      <c r="G36" s="60"/>
      <c r="H36" s="60"/>
      <c r="I36" s="60"/>
    </row>
    <row r="37" spans="2:9" x14ac:dyDescent="0.25">
      <c r="B37" s="61"/>
      <c r="C37" s="63"/>
      <c r="D37" s="63"/>
      <c r="E37" s="63"/>
      <c r="F37" s="63"/>
      <c r="G37" s="63"/>
      <c r="H37" s="63"/>
      <c r="I37" s="63"/>
    </row>
    <row r="38" spans="2:9" x14ac:dyDescent="0.25">
      <c r="B38" s="60"/>
      <c r="C38" s="60"/>
      <c r="D38" s="60"/>
      <c r="E38" s="60"/>
      <c r="F38" s="60"/>
      <c r="G38" s="60"/>
      <c r="H38" s="60"/>
      <c r="I38" s="6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0C90-DB60-4BBF-9616-C236EB8C6DCF}">
  <sheetPr>
    <tabColor rgb="FFFFFF00"/>
  </sheetPr>
  <dimension ref="B3:L26"/>
  <sheetViews>
    <sheetView showGridLines="0" zoomScale="110" zoomScaleNormal="110" workbookViewId="0">
      <selection activeCell="C9" sqref="C9:C17"/>
    </sheetView>
  </sheetViews>
  <sheetFormatPr baseColWidth="10" defaultRowHeight="15" x14ac:dyDescent="0.25"/>
  <cols>
    <col min="1" max="1" width="5.28515625" customWidth="1"/>
    <col min="2" max="2" width="11.5703125" bestFit="1" customWidth="1"/>
    <col min="3" max="3" width="20.140625" bestFit="1" customWidth="1"/>
    <col min="4" max="4" width="15.42578125" bestFit="1" customWidth="1"/>
    <col min="5" max="5" width="18.140625" bestFit="1" customWidth="1"/>
    <col min="6" max="6" width="28.42578125" bestFit="1" customWidth="1"/>
    <col min="7" max="7" width="23.42578125" bestFit="1" customWidth="1"/>
    <col min="8" max="8" width="19" bestFit="1" customWidth="1"/>
    <col min="9" max="9" width="25" bestFit="1" customWidth="1"/>
    <col min="10" max="10" width="11.5703125" bestFit="1" customWidth="1"/>
    <col min="11" max="11" width="15.28515625" bestFit="1" customWidth="1"/>
    <col min="12" max="12" width="13.5703125" bestFit="1" customWidth="1"/>
  </cols>
  <sheetData>
    <row r="3" spans="2:12" ht="21" x14ac:dyDescent="0.35">
      <c r="B3" s="123" t="s">
        <v>142</v>
      </c>
      <c r="C3" s="123"/>
      <c r="D3" s="123"/>
      <c r="E3" s="123"/>
      <c r="F3" s="123"/>
      <c r="G3" s="123"/>
      <c r="H3" s="123"/>
      <c r="I3" s="123"/>
      <c r="J3" s="123"/>
      <c r="K3" s="123"/>
      <c r="L3" s="21"/>
    </row>
    <row r="5" spans="2:12" ht="15.75" x14ac:dyDescent="0.25">
      <c r="B5" s="83" t="s">
        <v>96</v>
      </c>
      <c r="C5" s="83" t="s">
        <v>97</v>
      </c>
      <c r="D5" s="83" t="s">
        <v>98</v>
      </c>
      <c r="E5" s="83" t="s">
        <v>99</v>
      </c>
      <c r="F5" s="83" t="s">
        <v>114</v>
      </c>
      <c r="G5" s="83" t="s">
        <v>100</v>
      </c>
      <c r="H5" s="83" t="s">
        <v>101</v>
      </c>
      <c r="I5" s="83" t="s">
        <v>115</v>
      </c>
      <c r="J5" s="83" t="s">
        <v>113</v>
      </c>
      <c r="K5" s="83" t="s">
        <v>21</v>
      </c>
    </row>
    <row r="6" spans="2:12" x14ac:dyDescent="0.25">
      <c r="B6" s="124" t="s">
        <v>103</v>
      </c>
      <c r="C6" s="17" t="s">
        <v>104</v>
      </c>
      <c r="D6" s="18">
        <v>43538</v>
      </c>
      <c r="E6" s="18">
        <v>43827</v>
      </c>
      <c r="F6" s="17">
        <v>7</v>
      </c>
      <c r="G6" s="17">
        <v>6</v>
      </c>
      <c r="H6" s="17">
        <v>0</v>
      </c>
      <c r="I6" s="17">
        <f t="shared" ref="I6:I25" si="0">((E6-D6)*6)+H6</f>
        <v>1734</v>
      </c>
      <c r="J6" s="5">
        <v>17000</v>
      </c>
      <c r="K6" s="5">
        <f>I6*J6</f>
        <v>29478000</v>
      </c>
    </row>
    <row r="7" spans="2:12" x14ac:dyDescent="0.25">
      <c r="B7" s="124"/>
      <c r="C7" s="17" t="s">
        <v>105</v>
      </c>
      <c r="D7" s="18">
        <v>43539</v>
      </c>
      <c r="E7" s="18">
        <v>43827</v>
      </c>
      <c r="F7" s="17">
        <v>7</v>
      </c>
      <c r="G7" s="17">
        <v>6</v>
      </c>
      <c r="H7" s="17">
        <v>0</v>
      </c>
      <c r="I7" s="17">
        <f t="shared" si="0"/>
        <v>1728</v>
      </c>
      <c r="J7" s="5">
        <v>16500</v>
      </c>
      <c r="K7" s="5">
        <f t="shared" ref="K7:K25" si="1">I7*J7</f>
        <v>28512000</v>
      </c>
    </row>
    <row r="8" spans="2:12" x14ac:dyDescent="0.25">
      <c r="B8" s="124"/>
      <c r="C8" s="17" t="s">
        <v>109</v>
      </c>
      <c r="D8" s="18">
        <v>43560</v>
      </c>
      <c r="E8" s="18">
        <v>43827</v>
      </c>
      <c r="F8" s="17">
        <v>7</v>
      </c>
      <c r="G8" s="17">
        <v>6</v>
      </c>
      <c r="H8" s="17">
        <v>0</v>
      </c>
      <c r="I8" s="17">
        <f t="shared" si="0"/>
        <v>1602</v>
      </c>
      <c r="J8" s="5">
        <v>15000</v>
      </c>
      <c r="K8" s="5">
        <f t="shared" si="1"/>
        <v>24030000</v>
      </c>
    </row>
    <row r="9" spans="2:12" x14ac:dyDescent="0.25">
      <c r="B9" s="124"/>
      <c r="C9" s="17" t="s">
        <v>106</v>
      </c>
      <c r="D9" s="18">
        <v>43588</v>
      </c>
      <c r="E9" s="18">
        <v>43827</v>
      </c>
      <c r="F9" s="17">
        <v>7</v>
      </c>
      <c r="G9" s="17">
        <v>6</v>
      </c>
      <c r="H9" s="17">
        <v>0</v>
      </c>
      <c r="I9" s="17">
        <f t="shared" si="0"/>
        <v>1434</v>
      </c>
      <c r="J9" s="5">
        <v>14000</v>
      </c>
      <c r="K9" s="5">
        <f>I9*J9</f>
        <v>20076000</v>
      </c>
    </row>
    <row r="10" spans="2:12" x14ac:dyDescent="0.25">
      <c r="B10" s="124"/>
      <c r="C10" s="17" t="s">
        <v>106</v>
      </c>
      <c r="D10" s="18">
        <v>43588</v>
      </c>
      <c r="E10" s="18">
        <v>43827</v>
      </c>
      <c r="F10" s="17">
        <v>7</v>
      </c>
      <c r="G10" s="17">
        <v>6</v>
      </c>
      <c r="H10" s="17">
        <v>0</v>
      </c>
      <c r="I10" s="17">
        <f t="shared" si="0"/>
        <v>1434</v>
      </c>
      <c r="J10" s="5">
        <v>14000</v>
      </c>
      <c r="K10" s="5">
        <f t="shared" si="1"/>
        <v>20076000</v>
      </c>
    </row>
    <row r="11" spans="2:12" x14ac:dyDescent="0.25">
      <c r="B11" s="124"/>
      <c r="C11" s="17" t="s">
        <v>106</v>
      </c>
      <c r="D11" s="18">
        <v>43588</v>
      </c>
      <c r="E11" s="18">
        <v>43827</v>
      </c>
      <c r="F11" s="17">
        <v>7</v>
      </c>
      <c r="G11" s="17">
        <v>6</v>
      </c>
      <c r="H11" s="17">
        <v>0</v>
      </c>
      <c r="I11" s="17">
        <f t="shared" si="0"/>
        <v>1434</v>
      </c>
      <c r="J11" s="5">
        <v>14000</v>
      </c>
      <c r="K11" s="5">
        <f t="shared" si="1"/>
        <v>20076000</v>
      </c>
    </row>
    <row r="12" spans="2:12" x14ac:dyDescent="0.25">
      <c r="B12" s="124"/>
      <c r="C12" s="17" t="s">
        <v>106</v>
      </c>
      <c r="D12" s="18">
        <v>43588</v>
      </c>
      <c r="E12" s="18">
        <v>43827</v>
      </c>
      <c r="F12" s="17">
        <v>7</v>
      </c>
      <c r="G12" s="17">
        <v>6</v>
      </c>
      <c r="H12" s="17">
        <v>0</v>
      </c>
      <c r="I12" s="17">
        <f t="shared" si="0"/>
        <v>1434</v>
      </c>
      <c r="J12" s="5">
        <v>14000</v>
      </c>
      <c r="K12" s="5">
        <f t="shared" si="1"/>
        <v>20076000</v>
      </c>
    </row>
    <row r="13" spans="2:12" x14ac:dyDescent="0.25">
      <c r="B13" s="124"/>
      <c r="C13" s="17" t="s">
        <v>106</v>
      </c>
      <c r="D13" s="18">
        <v>43588</v>
      </c>
      <c r="E13" s="18">
        <v>43827</v>
      </c>
      <c r="F13" s="17">
        <v>7</v>
      </c>
      <c r="G13" s="17">
        <v>6</v>
      </c>
      <c r="H13" s="17">
        <v>0</v>
      </c>
      <c r="I13" s="17">
        <f t="shared" si="0"/>
        <v>1434</v>
      </c>
      <c r="J13" s="5">
        <v>14000</v>
      </c>
      <c r="K13" s="5">
        <f t="shared" si="1"/>
        <v>20076000</v>
      </c>
    </row>
    <row r="14" spans="2:12" x14ac:dyDescent="0.25">
      <c r="B14" s="124"/>
      <c r="C14" s="17" t="s">
        <v>106</v>
      </c>
      <c r="D14" s="18">
        <v>43588</v>
      </c>
      <c r="E14" s="18">
        <v>43827</v>
      </c>
      <c r="F14" s="17">
        <v>7</v>
      </c>
      <c r="G14" s="17">
        <v>6</v>
      </c>
      <c r="H14" s="17">
        <v>0</v>
      </c>
      <c r="I14" s="17">
        <f t="shared" si="0"/>
        <v>1434</v>
      </c>
      <c r="J14" s="5">
        <v>14000</v>
      </c>
      <c r="K14" s="5">
        <f t="shared" si="1"/>
        <v>20076000</v>
      </c>
    </row>
    <row r="15" spans="2:12" x14ac:dyDescent="0.25">
      <c r="B15" s="124"/>
      <c r="C15" s="17" t="s">
        <v>106</v>
      </c>
      <c r="D15" s="18">
        <v>43588</v>
      </c>
      <c r="E15" s="18">
        <v>43827</v>
      </c>
      <c r="F15" s="17">
        <v>7</v>
      </c>
      <c r="G15" s="17">
        <v>6</v>
      </c>
      <c r="H15" s="17">
        <v>0</v>
      </c>
      <c r="I15" s="17">
        <f t="shared" si="0"/>
        <v>1434</v>
      </c>
      <c r="J15" s="5">
        <v>14000</v>
      </c>
      <c r="K15" s="5">
        <f t="shared" si="1"/>
        <v>20076000</v>
      </c>
    </row>
    <row r="16" spans="2:12" x14ac:dyDescent="0.25">
      <c r="B16" s="124"/>
      <c r="C16" s="17" t="s">
        <v>106</v>
      </c>
      <c r="D16" s="18">
        <v>43588</v>
      </c>
      <c r="E16" s="18">
        <v>43827</v>
      </c>
      <c r="F16" s="17">
        <v>7</v>
      </c>
      <c r="G16" s="17">
        <v>6</v>
      </c>
      <c r="H16" s="17">
        <v>0</v>
      </c>
      <c r="I16" s="17">
        <f t="shared" si="0"/>
        <v>1434</v>
      </c>
      <c r="J16" s="5">
        <v>14000</v>
      </c>
      <c r="K16" s="5">
        <f t="shared" si="1"/>
        <v>20076000</v>
      </c>
    </row>
    <row r="17" spans="2:11" x14ac:dyDescent="0.25">
      <c r="B17" s="124"/>
      <c r="C17" s="17" t="s">
        <v>106</v>
      </c>
      <c r="D17" s="18">
        <v>43588</v>
      </c>
      <c r="E17" s="18">
        <v>43827</v>
      </c>
      <c r="F17" s="17">
        <v>7</v>
      </c>
      <c r="G17" s="17">
        <v>6</v>
      </c>
      <c r="H17" s="17">
        <v>0</v>
      </c>
      <c r="I17" s="17">
        <f t="shared" si="0"/>
        <v>1434</v>
      </c>
      <c r="J17" s="5">
        <v>14000</v>
      </c>
      <c r="K17" s="5">
        <f t="shared" si="1"/>
        <v>20076000</v>
      </c>
    </row>
    <row r="18" spans="2:11" x14ac:dyDescent="0.25">
      <c r="B18" s="124"/>
      <c r="C18" s="17" t="s">
        <v>111</v>
      </c>
      <c r="D18" s="18">
        <v>43560</v>
      </c>
      <c r="E18" s="18">
        <v>43827</v>
      </c>
      <c r="F18" s="17">
        <v>7</v>
      </c>
      <c r="G18" s="17">
        <v>6</v>
      </c>
      <c r="H18" s="17">
        <v>0</v>
      </c>
      <c r="I18" s="17">
        <f t="shared" si="0"/>
        <v>1602</v>
      </c>
      <c r="J18" s="5">
        <v>15000</v>
      </c>
      <c r="K18" s="5">
        <f t="shared" si="1"/>
        <v>24030000</v>
      </c>
    </row>
    <row r="19" spans="2:11" x14ac:dyDescent="0.25">
      <c r="B19" s="124"/>
      <c r="C19" s="17" t="s">
        <v>110</v>
      </c>
      <c r="D19" s="18">
        <v>43588</v>
      </c>
      <c r="E19" s="18">
        <v>43827</v>
      </c>
      <c r="F19" s="17">
        <v>7</v>
      </c>
      <c r="G19" s="17">
        <v>6</v>
      </c>
      <c r="H19" s="17">
        <v>0</v>
      </c>
      <c r="I19" s="17">
        <f t="shared" si="0"/>
        <v>1434</v>
      </c>
      <c r="J19" s="5">
        <v>14000</v>
      </c>
      <c r="K19" s="5">
        <f t="shared" si="1"/>
        <v>20076000</v>
      </c>
    </row>
    <row r="20" spans="2:11" x14ac:dyDescent="0.25">
      <c r="B20" s="124"/>
      <c r="C20" s="17" t="s">
        <v>110</v>
      </c>
      <c r="D20" s="18">
        <v>43588</v>
      </c>
      <c r="E20" s="18">
        <v>43827</v>
      </c>
      <c r="F20" s="17">
        <v>7</v>
      </c>
      <c r="G20" s="17">
        <v>6</v>
      </c>
      <c r="H20" s="17">
        <v>0</v>
      </c>
      <c r="I20" s="17">
        <f t="shared" si="0"/>
        <v>1434</v>
      </c>
      <c r="J20" s="5">
        <v>14000</v>
      </c>
      <c r="K20" s="5">
        <f t="shared" si="1"/>
        <v>20076000</v>
      </c>
    </row>
    <row r="21" spans="2:11" x14ac:dyDescent="0.25">
      <c r="B21" s="124"/>
      <c r="C21" s="17" t="s">
        <v>112</v>
      </c>
      <c r="D21" s="18">
        <v>43560</v>
      </c>
      <c r="E21" s="18">
        <v>43827</v>
      </c>
      <c r="F21" s="17">
        <v>7</v>
      </c>
      <c r="G21" s="17">
        <v>6</v>
      </c>
      <c r="H21" s="17">
        <v>0</v>
      </c>
      <c r="I21" s="17">
        <f t="shared" si="0"/>
        <v>1602</v>
      </c>
      <c r="J21" s="5">
        <v>15000</v>
      </c>
      <c r="K21" s="5">
        <f t="shared" si="1"/>
        <v>24030000</v>
      </c>
    </row>
    <row r="22" spans="2:11" x14ac:dyDescent="0.25">
      <c r="B22" s="124"/>
      <c r="C22" s="17" t="s">
        <v>107</v>
      </c>
      <c r="D22" s="18">
        <v>43588</v>
      </c>
      <c r="E22" s="18">
        <v>43827</v>
      </c>
      <c r="F22" s="17">
        <v>7</v>
      </c>
      <c r="G22" s="17">
        <v>6</v>
      </c>
      <c r="H22" s="17">
        <v>0</v>
      </c>
      <c r="I22" s="17">
        <f t="shared" si="0"/>
        <v>1434</v>
      </c>
      <c r="J22" s="5">
        <v>14000</v>
      </c>
      <c r="K22" s="5">
        <f t="shared" si="1"/>
        <v>20076000</v>
      </c>
    </row>
    <row r="23" spans="2:11" x14ac:dyDescent="0.25">
      <c r="B23" s="124"/>
      <c r="C23" s="17" t="s">
        <v>107</v>
      </c>
      <c r="D23" s="18">
        <v>43588</v>
      </c>
      <c r="E23" s="18">
        <v>43827</v>
      </c>
      <c r="F23" s="17">
        <v>7</v>
      </c>
      <c r="G23" s="17">
        <v>6</v>
      </c>
      <c r="H23" s="17">
        <v>0</v>
      </c>
      <c r="I23" s="17">
        <f t="shared" si="0"/>
        <v>1434</v>
      </c>
      <c r="J23" s="5">
        <v>14000</v>
      </c>
      <c r="K23" s="5">
        <f t="shared" si="1"/>
        <v>20076000</v>
      </c>
    </row>
    <row r="24" spans="2:11" x14ac:dyDescent="0.25">
      <c r="B24" s="124"/>
      <c r="C24" s="17" t="s">
        <v>108</v>
      </c>
      <c r="D24" s="18">
        <v>43719</v>
      </c>
      <c r="E24" s="18">
        <v>43827</v>
      </c>
      <c r="F24" s="17">
        <v>7</v>
      </c>
      <c r="G24" s="17">
        <v>6</v>
      </c>
      <c r="H24" s="17">
        <v>0</v>
      </c>
      <c r="I24" s="17">
        <f t="shared" si="0"/>
        <v>648</v>
      </c>
      <c r="J24" s="5">
        <v>14000</v>
      </c>
      <c r="K24" s="5">
        <f t="shared" si="1"/>
        <v>9072000</v>
      </c>
    </row>
    <row r="25" spans="2:11" x14ac:dyDescent="0.25">
      <c r="B25" s="124"/>
      <c r="C25" s="17" t="s">
        <v>108</v>
      </c>
      <c r="D25" s="18">
        <v>43719</v>
      </c>
      <c r="E25" s="18">
        <v>43827</v>
      </c>
      <c r="F25" s="17">
        <v>7</v>
      </c>
      <c r="G25" s="17">
        <v>6</v>
      </c>
      <c r="H25" s="17">
        <v>0</v>
      </c>
      <c r="I25" s="17">
        <f t="shared" si="0"/>
        <v>648</v>
      </c>
      <c r="J25" s="5">
        <v>14000</v>
      </c>
      <c r="K25" s="5">
        <f t="shared" si="1"/>
        <v>9072000</v>
      </c>
    </row>
    <row r="26" spans="2:11" x14ac:dyDescent="0.25">
      <c r="B26" s="1"/>
      <c r="C26" s="1"/>
      <c r="D26" s="1"/>
      <c r="E26" s="1"/>
      <c r="F26" s="1"/>
      <c r="G26" s="1"/>
      <c r="H26" s="1"/>
      <c r="I26" s="1"/>
      <c r="J26" s="19" t="s">
        <v>116</v>
      </c>
      <c r="K26" s="20">
        <f>SUM(K6:K25)</f>
        <v>409212000</v>
      </c>
    </row>
  </sheetData>
  <mergeCells count="2">
    <mergeCell ref="B3:K3"/>
    <mergeCell ref="B6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E7F-62E1-4DA7-9B5B-C1419C13EC0D}">
  <sheetPr>
    <tabColor rgb="FF92D050"/>
  </sheetPr>
  <dimension ref="B2:L34"/>
  <sheetViews>
    <sheetView showGridLines="0" zoomScale="130" zoomScaleNormal="130" workbookViewId="0">
      <selection activeCell="B7" sqref="B7:E9"/>
    </sheetView>
  </sheetViews>
  <sheetFormatPr baseColWidth="10" defaultRowHeight="15" x14ac:dyDescent="0.25"/>
  <cols>
    <col min="1" max="1" width="5.140625" customWidth="1"/>
    <col min="2" max="2" width="59" bestFit="1" customWidth="1"/>
    <col min="3" max="3" width="25.85546875" bestFit="1" customWidth="1"/>
    <col min="4" max="4" width="11.7109375" bestFit="1" customWidth="1"/>
    <col min="5" max="5" width="20.85546875" bestFit="1" customWidth="1"/>
    <col min="6" max="6" width="4.7109375" customWidth="1"/>
    <col min="7" max="7" width="4.42578125" customWidth="1"/>
    <col min="8" max="8" width="62.140625" bestFit="1" customWidth="1"/>
    <col min="10" max="10" width="14" bestFit="1" customWidth="1"/>
    <col min="11" max="11" width="18.140625" bestFit="1" customWidth="1"/>
    <col min="12" max="12" width="12" bestFit="1" customWidth="1"/>
  </cols>
  <sheetData>
    <row r="2" spans="2:6" ht="21" x14ac:dyDescent="0.25">
      <c r="B2" s="125" t="s">
        <v>154</v>
      </c>
      <c r="C2" s="125"/>
      <c r="D2" s="125"/>
      <c r="E2" s="125"/>
      <c r="F2" s="13"/>
    </row>
    <row r="3" spans="2:6" x14ac:dyDescent="0.25">
      <c r="F3" s="10"/>
    </row>
    <row r="4" spans="2:6" ht="15.75" x14ac:dyDescent="0.25">
      <c r="B4" s="105" t="s">
        <v>12</v>
      </c>
      <c r="C4" s="106" t="s">
        <v>5</v>
      </c>
      <c r="D4" s="105" t="s">
        <v>9</v>
      </c>
      <c r="E4" s="105" t="s">
        <v>13</v>
      </c>
      <c r="F4" s="11"/>
    </row>
    <row r="5" spans="2:6" x14ac:dyDescent="0.25">
      <c r="B5" s="107" t="s">
        <v>155</v>
      </c>
      <c r="C5" s="108">
        <v>96576</v>
      </c>
      <c r="D5" s="107">
        <v>3</v>
      </c>
      <c r="E5" s="109">
        <f t="shared" ref="E5:E9" si="0">C5*D5</f>
        <v>289728</v>
      </c>
      <c r="F5" s="12"/>
    </row>
    <row r="6" spans="2:6" x14ac:dyDescent="0.25">
      <c r="B6" s="107" t="s">
        <v>156</v>
      </c>
      <c r="C6" s="108">
        <v>52990</v>
      </c>
      <c r="D6" s="107">
        <v>3</v>
      </c>
      <c r="E6" s="109">
        <f t="shared" si="0"/>
        <v>158970</v>
      </c>
      <c r="F6" s="12"/>
    </row>
    <row r="7" spans="2:6" x14ac:dyDescent="0.25">
      <c r="B7" s="107" t="s">
        <v>8</v>
      </c>
      <c r="C7" s="110">
        <v>2200000</v>
      </c>
      <c r="D7" s="107">
        <v>3</v>
      </c>
      <c r="E7" s="109">
        <f t="shared" si="0"/>
        <v>6600000</v>
      </c>
      <c r="F7" s="12"/>
    </row>
    <row r="8" spans="2:6" x14ac:dyDescent="0.25">
      <c r="B8" s="107" t="s">
        <v>10</v>
      </c>
      <c r="C8" s="110">
        <v>1700000</v>
      </c>
      <c r="D8" s="107">
        <v>2</v>
      </c>
      <c r="E8" s="109">
        <f t="shared" si="0"/>
        <v>3400000</v>
      </c>
      <c r="F8" s="12"/>
    </row>
    <row r="9" spans="2:6" x14ac:dyDescent="0.25">
      <c r="B9" s="107" t="s">
        <v>11</v>
      </c>
      <c r="C9" s="110">
        <v>1400000</v>
      </c>
      <c r="D9" s="107">
        <v>1</v>
      </c>
      <c r="E9" s="109">
        <f t="shared" si="0"/>
        <v>1400000</v>
      </c>
      <c r="F9" s="12"/>
    </row>
    <row r="10" spans="2:6" x14ac:dyDescent="0.25">
      <c r="B10" s="82"/>
      <c r="C10" s="82"/>
      <c r="D10" s="114" t="s">
        <v>56</v>
      </c>
      <c r="E10" s="109">
        <f>SUM(E5:E9)</f>
        <v>11848698</v>
      </c>
    </row>
    <row r="11" spans="2:6" x14ac:dyDescent="0.25">
      <c r="B11" s="1"/>
      <c r="C11" s="1"/>
      <c r="D11" s="1"/>
      <c r="E11" s="1"/>
      <c r="F11" s="1"/>
    </row>
    <row r="12" spans="2:6" ht="15.75" x14ac:dyDescent="0.25">
      <c r="B12" s="105" t="s">
        <v>12</v>
      </c>
      <c r="C12" s="106" t="s">
        <v>6</v>
      </c>
      <c r="D12" s="105" t="s">
        <v>14</v>
      </c>
      <c r="E12" s="105" t="s">
        <v>15</v>
      </c>
      <c r="F12" s="10"/>
    </row>
    <row r="13" spans="2:6" x14ac:dyDescent="0.25">
      <c r="B13" s="38" t="s">
        <v>3</v>
      </c>
      <c r="C13" s="112">
        <v>120000</v>
      </c>
      <c r="D13" s="113">
        <v>0.3</v>
      </c>
      <c r="E13" s="112">
        <f>(C13*D13)+C13</f>
        <v>156000</v>
      </c>
      <c r="F13" s="14"/>
    </row>
    <row r="14" spans="2:6" x14ac:dyDescent="0.25">
      <c r="B14" s="38" t="s">
        <v>4</v>
      </c>
      <c r="C14" s="112">
        <v>70000</v>
      </c>
      <c r="D14" s="113">
        <v>0.3</v>
      </c>
      <c r="E14" s="112">
        <f>(C14*D14)+C14</f>
        <v>91000</v>
      </c>
      <c r="F14" s="12"/>
    </row>
    <row r="15" spans="2:6" x14ac:dyDescent="0.25">
      <c r="B15" s="1"/>
      <c r="C15" s="1"/>
      <c r="D15" s="114" t="s">
        <v>56</v>
      </c>
      <c r="E15" s="111">
        <f>SUM(E13:E14)</f>
        <v>247000</v>
      </c>
    </row>
    <row r="17" spans="2:6" x14ac:dyDescent="0.25">
      <c r="B17" s="1"/>
      <c r="C17" s="1"/>
      <c r="D17" s="1"/>
      <c r="E17" s="1"/>
    </row>
    <row r="18" spans="2:6" x14ac:dyDescent="0.25">
      <c r="F18" s="1"/>
    </row>
    <row r="34" spans="11:12" x14ac:dyDescent="0.25">
      <c r="K34" s="58"/>
      <c r="L34" s="59"/>
    </row>
  </sheetData>
  <mergeCells count="1"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0D2A-444C-4824-808F-5ED26E261383}">
  <sheetPr>
    <tabColor rgb="FF00B050"/>
  </sheetPr>
  <dimension ref="B2:F32"/>
  <sheetViews>
    <sheetView showGridLines="0" topLeftCell="A4" workbookViewId="0">
      <selection activeCell="B7" sqref="B7"/>
    </sheetView>
  </sheetViews>
  <sheetFormatPr baseColWidth="10" defaultRowHeight="15" x14ac:dyDescent="0.25"/>
  <cols>
    <col min="1" max="1" width="5" customWidth="1"/>
    <col min="2" max="2" width="62.140625" bestFit="1" customWidth="1"/>
    <col min="4" max="4" width="14" bestFit="1" customWidth="1"/>
    <col min="5" max="5" width="17.28515625" bestFit="1" customWidth="1"/>
    <col min="6" max="6" width="12" bestFit="1" customWidth="1"/>
  </cols>
  <sheetData>
    <row r="2" spans="2:6" ht="21" x14ac:dyDescent="0.25">
      <c r="B2" s="125" t="s">
        <v>150</v>
      </c>
      <c r="C2" s="125"/>
      <c r="D2" s="125"/>
      <c r="E2" s="125"/>
      <c r="F2" s="125"/>
    </row>
    <row r="4" spans="2:6" ht="15.75" x14ac:dyDescent="0.25">
      <c r="B4" s="126" t="s">
        <v>151</v>
      </c>
      <c r="C4" s="126"/>
      <c r="D4" s="126"/>
      <c r="E4" s="126"/>
      <c r="F4" s="126"/>
    </row>
    <row r="5" spans="2:6" x14ac:dyDescent="0.25">
      <c r="B5" s="93" t="s">
        <v>12</v>
      </c>
      <c r="C5" s="93" t="s">
        <v>19</v>
      </c>
      <c r="D5" s="93" t="s">
        <v>20</v>
      </c>
      <c r="E5" s="159" t="s">
        <v>9</v>
      </c>
      <c r="F5" s="93" t="s">
        <v>21</v>
      </c>
    </row>
    <row r="6" spans="2:6" x14ac:dyDescent="0.25">
      <c r="B6" s="158" t="s">
        <v>23</v>
      </c>
      <c r="C6" s="94" t="s">
        <v>22</v>
      </c>
      <c r="D6" s="95">
        <v>969990</v>
      </c>
      <c r="E6" s="93">
        <v>12</v>
      </c>
      <c r="F6" s="96">
        <f t="shared" ref="F6:F11" si="0">D6*E6</f>
        <v>11639880</v>
      </c>
    </row>
    <row r="7" spans="2:6" x14ac:dyDescent="0.25">
      <c r="B7" s="158" t="s">
        <v>25</v>
      </c>
      <c r="C7" s="93" t="s">
        <v>24</v>
      </c>
      <c r="D7" s="95">
        <v>86990</v>
      </c>
      <c r="E7" s="93">
        <v>1</v>
      </c>
      <c r="F7" s="96">
        <f t="shared" si="0"/>
        <v>86990</v>
      </c>
    </row>
    <row r="8" spans="2:6" x14ac:dyDescent="0.25">
      <c r="B8" s="93" t="s">
        <v>27</v>
      </c>
      <c r="C8" s="93" t="s">
        <v>26</v>
      </c>
      <c r="D8" s="95">
        <v>13290</v>
      </c>
      <c r="E8" s="93">
        <v>21</v>
      </c>
      <c r="F8" s="96">
        <f t="shared" si="0"/>
        <v>279090</v>
      </c>
    </row>
    <row r="9" spans="2:6" x14ac:dyDescent="0.25">
      <c r="B9" s="93" t="s">
        <v>29</v>
      </c>
      <c r="C9" s="93" t="s">
        <v>28</v>
      </c>
      <c r="D9" s="95">
        <v>4990</v>
      </c>
      <c r="E9" s="93">
        <v>20</v>
      </c>
      <c r="F9" s="96">
        <f t="shared" si="0"/>
        <v>99800</v>
      </c>
    </row>
    <row r="10" spans="2:6" x14ac:dyDescent="0.25">
      <c r="B10" s="93" t="s">
        <v>65</v>
      </c>
      <c r="C10" s="93" t="s">
        <v>30</v>
      </c>
      <c r="D10" s="95">
        <v>94990</v>
      </c>
      <c r="E10" s="93">
        <v>21</v>
      </c>
      <c r="F10" s="96">
        <f t="shared" si="0"/>
        <v>1994790</v>
      </c>
    </row>
    <row r="11" spans="2:6" x14ac:dyDescent="0.25">
      <c r="B11" s="93" t="s">
        <v>118</v>
      </c>
      <c r="C11" s="93" t="s">
        <v>117</v>
      </c>
      <c r="D11" s="95">
        <v>533490</v>
      </c>
      <c r="E11" s="93">
        <v>20</v>
      </c>
      <c r="F11" s="96">
        <f t="shared" si="0"/>
        <v>10669800</v>
      </c>
    </row>
    <row r="12" spans="2:6" x14ac:dyDescent="0.25">
      <c r="B12" s="1"/>
      <c r="C12" s="1"/>
      <c r="D12" s="1"/>
      <c r="E12" s="97" t="s">
        <v>31</v>
      </c>
      <c r="F12" s="96">
        <f>SUM(F6:F11)</f>
        <v>24770350</v>
      </c>
    </row>
    <row r="14" spans="2:6" ht="15.75" x14ac:dyDescent="0.25">
      <c r="B14" s="126" t="s">
        <v>152</v>
      </c>
      <c r="C14" s="126"/>
      <c r="D14" s="126"/>
      <c r="E14" s="126"/>
      <c r="F14" s="126"/>
    </row>
    <row r="15" spans="2:6" x14ac:dyDescent="0.25">
      <c r="B15" s="98" t="s">
        <v>32</v>
      </c>
      <c r="C15" s="98" t="s">
        <v>19</v>
      </c>
      <c r="D15" s="98" t="s">
        <v>20</v>
      </c>
      <c r="E15" s="160" t="s">
        <v>197</v>
      </c>
      <c r="F15" s="98" t="s">
        <v>21</v>
      </c>
    </row>
    <row r="16" spans="2:6" x14ac:dyDescent="0.25">
      <c r="B16" s="98" t="s">
        <v>35</v>
      </c>
      <c r="C16" s="94" t="s">
        <v>34</v>
      </c>
      <c r="D16" s="99">
        <v>81990</v>
      </c>
      <c r="E16" s="98">
        <v>20</v>
      </c>
      <c r="F16" s="99">
        <f>D16*E16</f>
        <v>1639800</v>
      </c>
    </row>
    <row r="17" spans="2:6" x14ac:dyDescent="0.25">
      <c r="B17" s="98" t="s">
        <v>37</v>
      </c>
      <c r="C17" s="94" t="s">
        <v>36</v>
      </c>
      <c r="D17" s="99">
        <v>79990</v>
      </c>
      <c r="E17" s="98">
        <v>20</v>
      </c>
      <c r="F17" s="99">
        <f t="shared" ref="F16:F24" si="1">D17*E17</f>
        <v>1599800</v>
      </c>
    </row>
    <row r="18" spans="2:6" x14ac:dyDescent="0.25">
      <c r="B18" s="148" t="s">
        <v>177</v>
      </c>
      <c r="C18" s="94" t="s">
        <v>176</v>
      </c>
      <c r="D18" s="99">
        <v>279990</v>
      </c>
      <c r="E18" s="98">
        <v>3</v>
      </c>
      <c r="F18" s="99">
        <f t="shared" si="1"/>
        <v>839970</v>
      </c>
    </row>
    <row r="19" spans="2:6" x14ac:dyDescent="0.25">
      <c r="B19" s="98" t="s">
        <v>39</v>
      </c>
      <c r="C19" s="98" t="s">
        <v>40</v>
      </c>
      <c r="D19" s="99">
        <v>29990</v>
      </c>
      <c r="E19" s="98">
        <v>3</v>
      </c>
      <c r="F19" s="99">
        <f t="shared" si="1"/>
        <v>89970</v>
      </c>
    </row>
    <row r="20" spans="2:6" x14ac:dyDescent="0.25">
      <c r="B20" s="98" t="s">
        <v>42</v>
      </c>
      <c r="C20" s="98" t="s">
        <v>41</v>
      </c>
      <c r="D20" s="99">
        <v>79990</v>
      </c>
      <c r="E20" s="98">
        <v>8</v>
      </c>
      <c r="F20" s="99">
        <f t="shared" si="1"/>
        <v>639920</v>
      </c>
    </row>
    <row r="21" spans="2:6" x14ac:dyDescent="0.25">
      <c r="B21" s="98" t="s">
        <v>49</v>
      </c>
      <c r="C21" s="98" t="s">
        <v>50</v>
      </c>
      <c r="D21" s="99">
        <v>69990</v>
      </c>
      <c r="E21" s="98">
        <v>3</v>
      </c>
      <c r="F21" s="99">
        <f t="shared" si="1"/>
        <v>209970</v>
      </c>
    </row>
    <row r="22" spans="2:6" x14ac:dyDescent="0.25">
      <c r="B22" s="98" t="s">
        <v>44</v>
      </c>
      <c r="C22" s="98" t="s">
        <v>43</v>
      </c>
      <c r="D22" s="99">
        <v>799990</v>
      </c>
      <c r="E22" s="98">
        <v>3</v>
      </c>
      <c r="F22" s="99">
        <f t="shared" si="1"/>
        <v>2399970</v>
      </c>
    </row>
    <row r="23" spans="2:6" x14ac:dyDescent="0.25">
      <c r="B23" s="98" t="s">
        <v>46</v>
      </c>
      <c r="C23" s="98" t="s">
        <v>45</v>
      </c>
      <c r="D23" s="99">
        <v>199990</v>
      </c>
      <c r="E23" s="98">
        <v>4</v>
      </c>
      <c r="F23" s="99">
        <f t="shared" si="1"/>
        <v>799960</v>
      </c>
    </row>
    <row r="24" spans="2:6" x14ac:dyDescent="0.25">
      <c r="B24" s="98" t="s">
        <v>48</v>
      </c>
      <c r="C24" s="98" t="s">
        <v>47</v>
      </c>
      <c r="D24" s="99">
        <v>29990</v>
      </c>
      <c r="E24" s="98">
        <v>20</v>
      </c>
      <c r="F24" s="99">
        <f t="shared" si="1"/>
        <v>599800</v>
      </c>
    </row>
    <row r="25" spans="2:6" x14ac:dyDescent="0.25">
      <c r="B25" s="1"/>
      <c r="C25" s="1"/>
      <c r="D25" s="1"/>
      <c r="E25" s="104" t="s">
        <v>31</v>
      </c>
      <c r="F25" s="99">
        <f>SUM(F16:F24)</f>
        <v>8819160</v>
      </c>
    </row>
    <row r="27" spans="2:6" ht="15.75" x14ac:dyDescent="0.25">
      <c r="B27" s="126" t="s">
        <v>153</v>
      </c>
      <c r="C27" s="126"/>
      <c r="D27" s="126"/>
      <c r="E27" s="126"/>
      <c r="F27" s="126"/>
    </row>
    <row r="28" spans="2:6" x14ac:dyDescent="0.25">
      <c r="B28" s="100" t="s">
        <v>12</v>
      </c>
      <c r="C28" s="100" t="s">
        <v>19</v>
      </c>
      <c r="D28" s="101" t="s">
        <v>139</v>
      </c>
      <c r="E28" s="100" t="s">
        <v>51</v>
      </c>
      <c r="F28" s="100" t="s">
        <v>21</v>
      </c>
    </row>
    <row r="29" spans="2:6" x14ac:dyDescent="0.25">
      <c r="B29" s="100" t="s">
        <v>53</v>
      </c>
      <c r="C29" s="94" t="s">
        <v>52</v>
      </c>
      <c r="D29" s="102">
        <f>'Costo de Implementacion'!E5</f>
        <v>289728</v>
      </c>
      <c r="E29" s="102">
        <f>D29</f>
        <v>289728</v>
      </c>
      <c r="F29" s="102">
        <f>SUM(D29:E29)</f>
        <v>579456</v>
      </c>
    </row>
    <row r="30" spans="2:6" x14ac:dyDescent="0.25">
      <c r="B30" s="100" t="s">
        <v>54</v>
      </c>
      <c r="C30" s="100" t="s">
        <v>55</v>
      </c>
      <c r="D30" s="102">
        <f>'Costo de Implementacion'!E6</f>
        <v>158970</v>
      </c>
      <c r="E30" s="102">
        <v>0</v>
      </c>
      <c r="F30" s="102">
        <f>SUM(D30:E30)</f>
        <v>158970</v>
      </c>
    </row>
    <row r="31" spans="2:6" x14ac:dyDescent="0.25">
      <c r="B31" s="1"/>
      <c r="C31" s="1"/>
      <c r="D31" s="1"/>
      <c r="E31" s="103" t="s">
        <v>31</v>
      </c>
      <c r="F31" s="102">
        <f>SUM(F29:F30)</f>
        <v>738426</v>
      </c>
    </row>
    <row r="32" spans="2:6" x14ac:dyDescent="0.25">
      <c r="B32" s="1"/>
      <c r="C32" s="1"/>
      <c r="D32" s="1"/>
      <c r="E32" s="15" t="s">
        <v>56</v>
      </c>
      <c r="F32" s="16">
        <f>SUM(F31,F25,F12)</f>
        <v>34327936</v>
      </c>
    </row>
  </sheetData>
  <mergeCells count="4">
    <mergeCell ref="B2:F2"/>
    <mergeCell ref="B4:F4"/>
    <mergeCell ref="B14:F14"/>
    <mergeCell ref="B27:F27"/>
  </mergeCells>
  <hyperlinks>
    <hyperlink ref="C6" r:id="rId1" xr:uid="{E39D7CB0-A8DB-43DB-A65D-3E24B648BEE1}"/>
    <hyperlink ref="C7" r:id="rId2" xr:uid="{D7169FBB-4255-45D1-BC06-EAF4B51250EA}"/>
    <hyperlink ref="C8" r:id="rId3" xr:uid="{F2A3A062-902E-4EA5-BDBC-C828A0D1E779}"/>
    <hyperlink ref="C9" r:id="rId4" xr:uid="{817E44CC-AE37-4150-B74C-8EA37188D170}"/>
    <hyperlink ref="C10" r:id="rId5" xr:uid="{C789B435-2BC8-4C70-9EDF-186C40C4506A}"/>
    <hyperlink ref="C16" r:id="rId6" xr:uid="{4334B47C-3817-47A3-8D7C-D3ACEFA0663A}"/>
    <hyperlink ref="C17" r:id="rId7" xr:uid="{2534F567-AAF7-4DF1-8899-B777F96ECE12}"/>
    <hyperlink ref="C18" r:id="rId8" xr:uid="{F1A96E00-1C96-41A9-8C87-8D00CC8944A1}"/>
    <hyperlink ref="C19" r:id="rId9" xr:uid="{3AAC8E55-9F25-4712-B55A-2054CE7FB1C0}"/>
    <hyperlink ref="C20" r:id="rId10" xr:uid="{EC62B81D-F910-47FC-B1AB-84CF947ECD5E}"/>
    <hyperlink ref="C22" r:id="rId11" xr:uid="{B4349A11-3CA3-4B14-9A7A-04EBB82C5A45}"/>
    <hyperlink ref="C23" r:id="rId12" xr:uid="{F918B5E9-FBAF-4D57-BFDF-B9AA8E6EC381}"/>
    <hyperlink ref="C24" r:id="rId13" xr:uid="{76E2763C-5CFF-460F-BBFB-6599C454B861}"/>
    <hyperlink ref="C21" r:id="rId14" xr:uid="{B430F430-420A-47ED-A06E-FCDCFF49D289}"/>
    <hyperlink ref="C29" r:id="rId15" xr:uid="{84895555-B4FA-4789-9B37-708810C68E41}"/>
    <hyperlink ref="C30" r:id="rId16" xr:uid="{EEFE8AAC-F419-4561-A248-EDBC5B5E2C15}"/>
    <hyperlink ref="C11" r:id="rId17" xr:uid="{FF447BFC-F0D9-402D-A8E6-8AC15FF993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225-FA6C-4A8A-A39C-F7CAFF8FC7F7}">
  <sheetPr>
    <tabColor rgb="FF00B0F0"/>
  </sheetPr>
  <dimension ref="B2:O22"/>
  <sheetViews>
    <sheetView showGridLines="0" zoomScale="130" zoomScaleNormal="130" workbookViewId="0">
      <selection activeCell="F18" sqref="F18"/>
    </sheetView>
  </sheetViews>
  <sheetFormatPr baseColWidth="10" defaultRowHeight="15" x14ac:dyDescent="0.25"/>
  <cols>
    <col min="1" max="1" width="5.28515625" customWidth="1"/>
    <col min="2" max="2" width="26.140625" bestFit="1" customWidth="1"/>
    <col min="3" max="3" width="10.140625" bestFit="1" customWidth="1"/>
    <col min="4" max="4" width="10.28515625" bestFit="1" customWidth="1"/>
    <col min="5" max="5" width="6.140625" bestFit="1" customWidth="1"/>
    <col min="7" max="7" width="7" customWidth="1"/>
    <col min="8" max="8" width="17" bestFit="1" customWidth="1"/>
    <col min="9" max="9" width="14" bestFit="1" customWidth="1"/>
    <col min="10" max="11" width="12.85546875" bestFit="1" customWidth="1"/>
    <col min="12" max="13" width="11.85546875" bestFit="1" customWidth="1"/>
    <col min="14" max="14" width="12.42578125" bestFit="1" customWidth="1"/>
  </cols>
  <sheetData>
    <row r="2" spans="2:9" ht="21" x14ac:dyDescent="0.35">
      <c r="B2" s="123" t="s">
        <v>132</v>
      </c>
      <c r="C2" s="123"/>
      <c r="D2" s="123"/>
      <c r="E2" s="123"/>
      <c r="F2" s="123"/>
      <c r="G2" s="123"/>
      <c r="H2" s="123"/>
      <c r="I2" s="123"/>
    </row>
    <row r="3" spans="2:9" x14ac:dyDescent="0.25">
      <c r="B3" s="1"/>
      <c r="C3" s="1"/>
      <c r="D3" s="1"/>
    </row>
    <row r="4" spans="2:9" ht="15.75" x14ac:dyDescent="0.25">
      <c r="B4" s="127" t="s">
        <v>80</v>
      </c>
      <c r="C4" s="127"/>
      <c r="D4" s="1"/>
      <c r="E4" s="127" t="s">
        <v>71</v>
      </c>
      <c r="F4" s="127"/>
      <c r="G4" s="1"/>
      <c r="H4" s="127" t="s">
        <v>59</v>
      </c>
      <c r="I4" s="127"/>
    </row>
    <row r="5" spans="2:9" x14ac:dyDescent="0.25">
      <c r="B5" s="84" t="s">
        <v>82</v>
      </c>
      <c r="C5" s="85">
        <v>150000</v>
      </c>
      <c r="D5" s="1"/>
      <c r="E5" s="84" t="s">
        <v>70</v>
      </c>
      <c r="F5" s="85">
        <v>27592.86</v>
      </c>
      <c r="G5" s="1"/>
      <c r="H5" s="84" t="s">
        <v>136</v>
      </c>
      <c r="I5" s="84">
        <v>5</v>
      </c>
    </row>
    <row r="6" spans="2:9" x14ac:dyDescent="0.25">
      <c r="B6" s="84" t="s">
        <v>81</v>
      </c>
      <c r="C6" s="85">
        <f>C5/1000</f>
        <v>150</v>
      </c>
      <c r="D6" s="1"/>
      <c r="E6" s="84" t="s">
        <v>72</v>
      </c>
      <c r="F6" s="85">
        <v>49033</v>
      </c>
      <c r="G6" s="1"/>
      <c r="H6" s="84" t="s">
        <v>60</v>
      </c>
      <c r="I6" s="84" t="s">
        <v>102</v>
      </c>
    </row>
    <row r="7" spans="2:9" x14ac:dyDescent="0.25">
      <c r="B7" s="1"/>
      <c r="C7" s="1"/>
      <c r="D7" s="1"/>
      <c r="E7" s="84" t="s">
        <v>73</v>
      </c>
      <c r="F7" s="85">
        <v>679.86</v>
      </c>
      <c r="G7" s="1"/>
      <c r="H7" s="84" t="s">
        <v>61</v>
      </c>
      <c r="I7" s="84" t="s">
        <v>62</v>
      </c>
    </row>
    <row r="8" spans="2:9" ht="15.75" x14ac:dyDescent="0.25">
      <c r="B8" s="127" t="s">
        <v>86</v>
      </c>
      <c r="C8" s="127"/>
      <c r="D8" s="1"/>
      <c r="E8" s="84" t="s">
        <v>74</v>
      </c>
      <c r="F8" s="85">
        <v>771</v>
      </c>
      <c r="G8" s="1"/>
      <c r="H8" s="84" t="s">
        <v>76</v>
      </c>
      <c r="I8" s="85">
        <v>550000000</v>
      </c>
    </row>
    <row r="9" spans="2:9" x14ac:dyDescent="0.25">
      <c r="B9" s="84" t="s">
        <v>87</v>
      </c>
      <c r="C9" s="86">
        <v>15403</v>
      </c>
      <c r="D9" s="1"/>
      <c r="E9" s="84" t="s">
        <v>75</v>
      </c>
      <c r="F9" s="85">
        <v>99.138999999999996</v>
      </c>
      <c r="G9" s="1"/>
      <c r="H9" s="84" t="s">
        <v>137</v>
      </c>
      <c r="I9" s="88">
        <v>1.4999999999999999E-2</v>
      </c>
    </row>
    <row r="10" spans="2:9" x14ac:dyDescent="0.25">
      <c r="B10" s="84" t="s">
        <v>88</v>
      </c>
      <c r="C10" s="86">
        <v>16396</v>
      </c>
      <c r="D10" s="1"/>
      <c r="E10" s="84" t="s">
        <v>85</v>
      </c>
      <c r="F10" s="85">
        <v>10.16</v>
      </c>
      <c r="G10" s="1"/>
      <c r="H10" s="84" t="s">
        <v>90</v>
      </c>
      <c r="I10" s="84" t="s">
        <v>91</v>
      </c>
    </row>
    <row r="11" spans="2:9" ht="15" customHeight="1" x14ac:dyDescent="0.25">
      <c r="B11" s="84" t="s">
        <v>89</v>
      </c>
      <c r="C11" s="86">
        <v>126049</v>
      </c>
      <c r="D11" s="1"/>
      <c r="E11" s="128" t="s">
        <v>181</v>
      </c>
      <c r="F11" s="128"/>
    </row>
    <row r="12" spans="2:9" x14ac:dyDescent="0.25">
      <c r="B12" s="1"/>
      <c r="C12" s="1"/>
      <c r="D12" s="1"/>
      <c r="E12" s="128"/>
      <c r="F12" s="128"/>
    </row>
    <row r="13" spans="2:9" ht="15.75" x14ac:dyDescent="0.25">
      <c r="B13" s="118" t="s">
        <v>92</v>
      </c>
      <c r="C13" s="87">
        <v>0.27</v>
      </c>
      <c r="D13" s="1"/>
    </row>
    <row r="14" spans="2:9" x14ac:dyDescent="0.25">
      <c r="B14" s="1"/>
      <c r="C14" s="1"/>
      <c r="D14" s="1"/>
    </row>
    <row r="15" spans="2:9" ht="15.75" x14ac:dyDescent="0.25">
      <c r="B15" s="127" t="s">
        <v>140</v>
      </c>
      <c r="C15" s="127"/>
      <c r="D15" s="127"/>
    </row>
    <row r="16" spans="2:9" x14ac:dyDescent="0.25">
      <c r="B16" s="89" t="s">
        <v>141</v>
      </c>
      <c r="C16" s="89" t="s">
        <v>134</v>
      </c>
      <c r="D16" s="89" t="s">
        <v>133</v>
      </c>
    </row>
    <row r="17" spans="2:15" x14ac:dyDescent="0.25">
      <c r="B17" s="84" t="s">
        <v>130</v>
      </c>
      <c r="C17" s="84">
        <v>6</v>
      </c>
      <c r="D17" s="84">
        <v>2</v>
      </c>
    </row>
    <row r="18" spans="2:15" x14ac:dyDescent="0.25">
      <c r="B18" s="84" t="s">
        <v>131</v>
      </c>
      <c r="C18" s="84">
        <v>7</v>
      </c>
      <c r="D18" s="84">
        <v>2</v>
      </c>
      <c r="O18" s="6"/>
    </row>
    <row r="19" spans="2:15" ht="51.75" customHeight="1" x14ac:dyDescent="0.25">
      <c r="B19" s="129" t="s">
        <v>135</v>
      </c>
      <c r="C19" s="129"/>
      <c r="D19" s="129"/>
    </row>
    <row r="22" spans="2:15" x14ac:dyDescent="0.25">
      <c r="B22" s="8"/>
      <c r="C22" s="8"/>
      <c r="D22" s="8"/>
    </row>
  </sheetData>
  <mergeCells count="8">
    <mergeCell ref="H4:I4"/>
    <mergeCell ref="E11:F12"/>
    <mergeCell ref="B2:I2"/>
    <mergeCell ref="B19:D19"/>
    <mergeCell ref="B15:D15"/>
    <mergeCell ref="E4:F4"/>
    <mergeCell ref="B4:C4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9ADB-E0B4-4E04-8DF6-5E2432F6C7DF}">
  <sheetPr>
    <tabColor rgb="FF0070C0"/>
  </sheetPr>
  <dimension ref="B2:J20"/>
  <sheetViews>
    <sheetView showGridLines="0" zoomScale="130" zoomScaleNormal="130" workbookViewId="0">
      <selection activeCell="G13" sqref="G13"/>
    </sheetView>
  </sheetViews>
  <sheetFormatPr baseColWidth="10" defaultRowHeight="15" x14ac:dyDescent="0.25"/>
  <cols>
    <col min="1" max="1" width="7.42578125" customWidth="1"/>
    <col min="2" max="2" width="3" bestFit="1" customWidth="1"/>
    <col min="3" max="3" width="53.140625" bestFit="1" customWidth="1"/>
    <col min="4" max="4" width="20.42578125" bestFit="1" customWidth="1"/>
    <col min="5" max="5" width="8.85546875" bestFit="1" customWidth="1"/>
    <col min="6" max="6" width="21" bestFit="1" customWidth="1"/>
    <col min="7" max="7" width="23.7109375" bestFit="1" customWidth="1"/>
    <col min="8" max="8" width="11.85546875" bestFit="1" customWidth="1"/>
    <col min="9" max="9" width="2" bestFit="1" customWidth="1"/>
  </cols>
  <sheetData>
    <row r="2" spans="2:10" ht="21" x14ac:dyDescent="0.35">
      <c r="B2" s="123" t="s">
        <v>144</v>
      </c>
      <c r="C2" s="123"/>
      <c r="D2" s="123"/>
      <c r="E2" s="123"/>
      <c r="F2" s="123"/>
      <c r="G2" s="123"/>
    </row>
    <row r="3" spans="2:10" x14ac:dyDescent="0.25">
      <c r="C3" s="56"/>
      <c r="D3" s="56"/>
      <c r="E3" s="56"/>
      <c r="F3" s="56"/>
      <c r="G3" s="56"/>
      <c r="H3" s="56"/>
      <c r="I3" s="56"/>
      <c r="J3" s="56"/>
    </row>
    <row r="4" spans="2:10" ht="15.75" x14ac:dyDescent="0.25">
      <c r="B4" s="115" t="s">
        <v>149</v>
      </c>
      <c r="C4" s="116" t="s">
        <v>145</v>
      </c>
      <c r="D4" s="117" t="s">
        <v>147</v>
      </c>
      <c r="E4" s="117" t="s">
        <v>146</v>
      </c>
      <c r="F4" s="117" t="s">
        <v>160</v>
      </c>
      <c r="G4" s="117" t="s">
        <v>161</v>
      </c>
      <c r="H4" s="117" t="s">
        <v>157</v>
      </c>
    </row>
    <row r="5" spans="2:10" x14ac:dyDescent="0.25">
      <c r="B5" s="74">
        <v>1</v>
      </c>
      <c r="C5" s="75" t="s">
        <v>23</v>
      </c>
      <c r="D5" s="76">
        <f>'Activo Fijos y Nominales'!D6</f>
        <v>969990</v>
      </c>
      <c r="E5" s="130">
        <f>Complementario!$C$17</f>
        <v>6</v>
      </c>
      <c r="F5" s="76">
        <f>D5/$E$5</f>
        <v>161665</v>
      </c>
      <c r="G5" s="76">
        <f>F5/12</f>
        <v>13472.083333333334</v>
      </c>
      <c r="H5" s="76">
        <v>0</v>
      </c>
      <c r="I5" s="6"/>
      <c r="J5" s="6"/>
    </row>
    <row r="6" spans="2:10" x14ac:dyDescent="0.25">
      <c r="B6" s="74">
        <v>2</v>
      </c>
      <c r="C6" s="75" t="s">
        <v>25</v>
      </c>
      <c r="D6" s="76">
        <f>'Activo Fijos y Nominales'!D7</f>
        <v>86990</v>
      </c>
      <c r="E6" s="130"/>
      <c r="F6" s="76">
        <f t="shared" ref="F6:F10" si="0">D6/$E$5</f>
        <v>14498.333333333334</v>
      </c>
      <c r="G6" s="76">
        <f t="shared" ref="G6:G19" si="1">F6/12</f>
        <v>1208.1944444444446</v>
      </c>
      <c r="H6" s="76">
        <v>0</v>
      </c>
      <c r="I6" s="6"/>
      <c r="J6" s="6"/>
    </row>
    <row r="7" spans="2:10" x14ac:dyDescent="0.25">
      <c r="B7" s="74">
        <v>4</v>
      </c>
      <c r="C7" s="75" t="s">
        <v>27</v>
      </c>
      <c r="D7" s="76">
        <f>'Activo Fijos y Nominales'!D8</f>
        <v>13290</v>
      </c>
      <c r="E7" s="130"/>
      <c r="F7" s="76">
        <f t="shared" si="0"/>
        <v>2215</v>
      </c>
      <c r="G7" s="76">
        <f t="shared" si="1"/>
        <v>184.58333333333334</v>
      </c>
      <c r="H7" s="76">
        <v>0</v>
      </c>
    </row>
    <row r="8" spans="2:10" x14ac:dyDescent="0.25">
      <c r="B8" s="74">
        <v>5</v>
      </c>
      <c r="C8" s="75" t="s">
        <v>29</v>
      </c>
      <c r="D8" s="76">
        <f>'Activo Fijos y Nominales'!D9</f>
        <v>4990</v>
      </c>
      <c r="E8" s="130"/>
      <c r="F8" s="76">
        <f t="shared" si="0"/>
        <v>831.66666666666663</v>
      </c>
      <c r="G8" s="76">
        <f t="shared" si="1"/>
        <v>69.305555555555557</v>
      </c>
      <c r="H8" s="76">
        <v>0</v>
      </c>
    </row>
    <row r="9" spans="2:10" x14ac:dyDescent="0.25">
      <c r="B9" s="74">
        <v>6</v>
      </c>
      <c r="C9" s="75" t="s">
        <v>65</v>
      </c>
      <c r="D9" s="76">
        <f>'Activo Fijos y Nominales'!D10</f>
        <v>94990</v>
      </c>
      <c r="E9" s="130"/>
      <c r="F9" s="76">
        <f t="shared" si="0"/>
        <v>15831.666666666666</v>
      </c>
      <c r="G9" s="76">
        <f t="shared" si="1"/>
        <v>1319.3055555555554</v>
      </c>
      <c r="H9" s="76">
        <v>0</v>
      </c>
    </row>
    <row r="10" spans="2:10" ht="15.75" thickBot="1" x14ac:dyDescent="0.3">
      <c r="B10" s="77">
        <v>7</v>
      </c>
      <c r="C10" s="78" t="s">
        <v>118</v>
      </c>
      <c r="D10" s="79">
        <f>'Activo Fijos y Nominales'!D11</f>
        <v>533490</v>
      </c>
      <c r="E10" s="131"/>
      <c r="F10" s="79">
        <f t="shared" si="0"/>
        <v>88915</v>
      </c>
      <c r="G10" s="79">
        <f t="shared" si="1"/>
        <v>7409.583333333333</v>
      </c>
      <c r="H10" s="79">
        <v>0</v>
      </c>
    </row>
    <row r="11" spans="2:10" x14ac:dyDescent="0.25">
      <c r="B11" s="74">
        <v>8</v>
      </c>
      <c r="C11" s="75" t="s">
        <v>35</v>
      </c>
      <c r="D11" s="76">
        <f>'Activo Fijos y Nominales'!F16</f>
        <v>1639800</v>
      </c>
      <c r="E11" s="130">
        <f>Complementario!$C$18</f>
        <v>7</v>
      </c>
      <c r="F11" s="76">
        <f>D11/$E$11</f>
        <v>234257.14285714287</v>
      </c>
      <c r="G11" s="76">
        <f t="shared" si="1"/>
        <v>19521.428571428572</v>
      </c>
      <c r="H11" s="76">
        <f>D11-F11</f>
        <v>1405542.857142857</v>
      </c>
    </row>
    <row r="12" spans="2:10" x14ac:dyDescent="0.25">
      <c r="B12" s="74">
        <v>9</v>
      </c>
      <c r="C12" s="75" t="s">
        <v>37</v>
      </c>
      <c r="D12" s="76">
        <f>'Activo Fijos y Nominales'!F17</f>
        <v>1599800</v>
      </c>
      <c r="E12" s="130"/>
      <c r="F12" s="76">
        <f t="shared" ref="F12:F18" si="2">D12/$E$11</f>
        <v>228542.85714285713</v>
      </c>
      <c r="G12" s="76">
        <f t="shared" si="1"/>
        <v>19045.238095238095</v>
      </c>
      <c r="H12" s="76">
        <f>D12-F12</f>
        <v>1371257.142857143</v>
      </c>
    </row>
    <row r="13" spans="2:10" x14ac:dyDescent="0.25">
      <c r="B13" s="74">
        <v>10</v>
      </c>
      <c r="C13" s="75" t="s">
        <v>38</v>
      </c>
      <c r="D13" s="76">
        <f>'Activo Fijos y Nominales'!F18</f>
        <v>839970</v>
      </c>
      <c r="E13" s="130"/>
      <c r="F13" s="76">
        <f>D13/$E$5</f>
        <v>139995</v>
      </c>
      <c r="G13" s="76">
        <f t="shared" si="1"/>
        <v>11666.25</v>
      </c>
      <c r="H13" s="76">
        <f t="shared" ref="H12:H19" si="3">D13-F13</f>
        <v>699975</v>
      </c>
      <c r="I13" t="s">
        <v>198</v>
      </c>
    </row>
    <row r="14" spans="2:10" x14ac:dyDescent="0.25">
      <c r="B14" s="74">
        <v>11</v>
      </c>
      <c r="C14" s="75" t="s">
        <v>39</v>
      </c>
      <c r="D14" s="76">
        <f>'Activo Fijos y Nominales'!F19</f>
        <v>89970</v>
      </c>
      <c r="E14" s="130"/>
      <c r="F14" s="76">
        <f t="shared" si="2"/>
        <v>12852.857142857143</v>
      </c>
      <c r="G14" s="76">
        <f t="shared" si="1"/>
        <v>1071.0714285714287</v>
      </c>
      <c r="H14" s="76">
        <f t="shared" si="3"/>
        <v>77117.142857142855</v>
      </c>
    </row>
    <row r="15" spans="2:10" x14ac:dyDescent="0.25">
      <c r="B15" s="74">
        <v>12</v>
      </c>
      <c r="C15" s="75" t="s">
        <v>42</v>
      </c>
      <c r="D15" s="76">
        <f>'Activo Fijos y Nominales'!F20</f>
        <v>639920</v>
      </c>
      <c r="E15" s="130"/>
      <c r="F15" s="76">
        <f t="shared" si="2"/>
        <v>91417.142857142855</v>
      </c>
      <c r="G15" s="76">
        <f t="shared" si="1"/>
        <v>7618.0952380952376</v>
      </c>
      <c r="H15" s="76">
        <f t="shared" si="3"/>
        <v>548502.85714285716</v>
      </c>
    </row>
    <row r="16" spans="2:10" x14ac:dyDescent="0.25">
      <c r="B16" s="74">
        <v>13</v>
      </c>
      <c r="C16" s="75" t="s">
        <v>49</v>
      </c>
      <c r="D16" s="76">
        <f>'Activo Fijos y Nominales'!F21</f>
        <v>209970</v>
      </c>
      <c r="E16" s="130"/>
      <c r="F16" s="76">
        <f t="shared" si="2"/>
        <v>29995.714285714286</v>
      </c>
      <c r="G16" s="76">
        <f t="shared" si="1"/>
        <v>2499.6428571428573</v>
      </c>
      <c r="H16" s="76">
        <f t="shared" si="3"/>
        <v>179974.28571428571</v>
      </c>
    </row>
    <row r="17" spans="2:9" x14ac:dyDescent="0.25">
      <c r="B17" s="74">
        <v>14</v>
      </c>
      <c r="C17" s="75" t="s">
        <v>44</v>
      </c>
      <c r="D17" s="76">
        <f>'Activo Fijos y Nominales'!F22</f>
        <v>2399970</v>
      </c>
      <c r="E17" s="130"/>
      <c r="F17" s="76">
        <f>D17/$E$5</f>
        <v>399995</v>
      </c>
      <c r="G17" s="76">
        <f t="shared" si="1"/>
        <v>33332.916666666664</v>
      </c>
      <c r="H17" s="76">
        <f>D17-F17</f>
        <v>1999975</v>
      </c>
      <c r="I17" t="s">
        <v>198</v>
      </c>
    </row>
    <row r="18" spans="2:9" x14ac:dyDescent="0.25">
      <c r="B18" s="74">
        <v>15</v>
      </c>
      <c r="C18" s="75" t="s">
        <v>46</v>
      </c>
      <c r="D18" s="76">
        <f>'Activo Fijos y Nominales'!F23</f>
        <v>799960</v>
      </c>
      <c r="E18" s="130"/>
      <c r="F18" s="76">
        <f t="shared" si="2"/>
        <v>114280</v>
      </c>
      <c r="G18" s="76">
        <f t="shared" si="1"/>
        <v>9523.3333333333339</v>
      </c>
      <c r="H18" s="76">
        <f t="shared" si="3"/>
        <v>685680</v>
      </c>
    </row>
    <row r="19" spans="2:9" x14ac:dyDescent="0.25">
      <c r="B19" s="74">
        <v>16</v>
      </c>
      <c r="C19" s="75" t="s">
        <v>48</v>
      </c>
      <c r="D19" s="76">
        <f>'Activo Fijos y Nominales'!F24</f>
        <v>599800</v>
      </c>
      <c r="E19" s="130"/>
      <c r="F19" s="76">
        <f>D19/$E$11</f>
        <v>85685.71428571429</v>
      </c>
      <c r="G19" s="76">
        <f t="shared" si="1"/>
        <v>7140.4761904761908</v>
      </c>
      <c r="H19" s="76">
        <f t="shared" si="3"/>
        <v>514114.28571428568</v>
      </c>
    </row>
    <row r="20" spans="2:9" x14ac:dyDescent="0.25">
      <c r="D20" s="6"/>
      <c r="G20" s="146" t="s">
        <v>162</v>
      </c>
      <c r="H20" s="147">
        <f>SUM(H11,H12,H14,H15,H16,H18,H19)</f>
        <v>4782188.5714285709</v>
      </c>
    </row>
  </sheetData>
  <mergeCells count="3">
    <mergeCell ref="B2:G2"/>
    <mergeCell ref="E5:E10"/>
    <mergeCell ref="E11:E19"/>
  </mergeCells>
  <pageMargins left="0.7" right="0.7" top="0.75" bottom="0.75" header="0.3" footer="0.3"/>
  <pageSetup orientation="portrait" r:id="rId1"/>
  <ignoredErrors>
    <ignoredError sqref="F13 F1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9ADD-80B6-4042-9F51-6A795213A138}">
  <sheetPr>
    <tabColor rgb="FF002060"/>
  </sheetPr>
  <dimension ref="B3:J40"/>
  <sheetViews>
    <sheetView showGridLines="0" topLeftCell="A13" workbookViewId="0">
      <selection activeCell="H33" sqref="H33"/>
    </sheetView>
  </sheetViews>
  <sheetFormatPr baseColWidth="10" defaultRowHeight="15" x14ac:dyDescent="0.25"/>
  <cols>
    <col min="2" max="2" width="3.140625" bestFit="1" customWidth="1"/>
    <col min="3" max="3" width="53.140625" bestFit="1" customWidth="1"/>
    <col min="4" max="4" width="20.7109375" bestFit="1" customWidth="1"/>
    <col min="5" max="5" width="22.5703125" bestFit="1" customWidth="1"/>
    <col min="6" max="6" width="21.42578125" bestFit="1" customWidth="1"/>
    <col min="8" max="8" width="25.7109375" bestFit="1" customWidth="1"/>
    <col min="9" max="9" width="18.42578125" bestFit="1" customWidth="1"/>
    <col min="10" max="10" width="21.42578125" bestFit="1" customWidth="1"/>
  </cols>
  <sheetData>
    <row r="3" spans="2:10" ht="21" x14ac:dyDescent="0.35">
      <c r="B3" s="123" t="s">
        <v>165</v>
      </c>
      <c r="C3" s="123"/>
      <c r="D3" s="123"/>
      <c r="E3" s="123"/>
      <c r="F3" s="123"/>
      <c r="G3" s="123"/>
    </row>
    <row r="5" spans="2:10" ht="15.75" x14ac:dyDescent="0.25">
      <c r="C5" s="142" t="s">
        <v>138</v>
      </c>
      <c r="D5" s="142"/>
      <c r="E5" s="142"/>
      <c r="F5" s="142"/>
      <c r="J5" s="141"/>
    </row>
    <row r="6" spans="2:10" x14ac:dyDescent="0.25">
      <c r="B6" s="9"/>
      <c r="C6" s="73" t="s">
        <v>12</v>
      </c>
      <c r="D6" s="73" t="s">
        <v>158</v>
      </c>
      <c r="E6" s="73" t="s">
        <v>159</v>
      </c>
      <c r="F6" s="73" t="s">
        <v>148</v>
      </c>
      <c r="J6" s="140"/>
    </row>
    <row r="7" spans="2:10" x14ac:dyDescent="0.25">
      <c r="B7" s="69"/>
      <c r="C7" s="72" t="s">
        <v>35</v>
      </c>
      <c r="D7" s="132">
        <f>'Despreciacion Activo Fijos '!D11</f>
        <v>1639800</v>
      </c>
      <c r="E7" s="135">
        <v>7</v>
      </c>
      <c r="F7" s="132">
        <f>D7/$E$7</f>
        <v>234257.14285714287</v>
      </c>
      <c r="J7" s="9"/>
    </row>
    <row r="8" spans="2:10" x14ac:dyDescent="0.25">
      <c r="B8" s="69"/>
      <c r="C8" s="72" t="s">
        <v>37</v>
      </c>
      <c r="D8" s="132">
        <f>'Despreciacion Activo Fijos '!D12</f>
        <v>1599800</v>
      </c>
      <c r="E8" s="135"/>
      <c r="F8" s="132">
        <f t="shared" ref="F8:F15" si="0">D8/$E$7</f>
        <v>228542.85714285713</v>
      </c>
      <c r="J8" s="9"/>
    </row>
    <row r="9" spans="2:10" x14ac:dyDescent="0.25">
      <c r="B9" s="69"/>
      <c r="C9" s="72" t="s">
        <v>38</v>
      </c>
      <c r="D9" s="132">
        <f>'Despreciacion Activo Fijos '!D13</f>
        <v>839970</v>
      </c>
      <c r="E9" s="135"/>
      <c r="F9" s="132">
        <f t="shared" si="0"/>
        <v>119995.71428571429</v>
      </c>
      <c r="J9" s="9"/>
    </row>
    <row r="10" spans="2:10" x14ac:dyDescent="0.25">
      <c r="B10" s="69"/>
      <c r="C10" s="72" t="s">
        <v>39</v>
      </c>
      <c r="D10" s="132">
        <f>'Despreciacion Activo Fijos '!D14</f>
        <v>89970</v>
      </c>
      <c r="E10" s="135"/>
      <c r="F10" s="132">
        <f t="shared" si="0"/>
        <v>12852.857142857143</v>
      </c>
      <c r="J10" s="9"/>
    </row>
    <row r="11" spans="2:10" x14ac:dyDescent="0.25">
      <c r="B11" s="69"/>
      <c r="C11" s="72" t="s">
        <v>42</v>
      </c>
      <c r="D11" s="132">
        <f>'Despreciacion Activo Fijos '!D15</f>
        <v>639920</v>
      </c>
      <c r="E11" s="135"/>
      <c r="F11" s="132">
        <f t="shared" si="0"/>
        <v>91417.142857142855</v>
      </c>
      <c r="J11" s="9"/>
    </row>
    <row r="12" spans="2:10" x14ac:dyDescent="0.25">
      <c r="B12" s="69"/>
      <c r="C12" s="72" t="s">
        <v>49</v>
      </c>
      <c r="D12" s="132">
        <f>'Despreciacion Activo Fijos '!D16</f>
        <v>209970</v>
      </c>
      <c r="E12" s="135"/>
      <c r="F12" s="132">
        <f t="shared" si="0"/>
        <v>29995.714285714286</v>
      </c>
    </row>
    <row r="13" spans="2:10" x14ac:dyDescent="0.25">
      <c r="B13" s="69"/>
      <c r="C13" s="72" t="s">
        <v>44</v>
      </c>
      <c r="D13" s="132">
        <f>'Despreciacion Activo Fijos '!D17</f>
        <v>2399970</v>
      </c>
      <c r="E13" s="135"/>
      <c r="F13" s="132">
        <f t="shared" si="0"/>
        <v>342852.85714285716</v>
      </c>
    </row>
    <row r="14" spans="2:10" x14ac:dyDescent="0.25">
      <c r="B14" s="69"/>
      <c r="C14" s="72" t="s">
        <v>46</v>
      </c>
      <c r="D14" s="132">
        <f>'Despreciacion Activo Fijos '!D18</f>
        <v>799960</v>
      </c>
      <c r="E14" s="135"/>
      <c r="F14" s="132">
        <f t="shared" si="0"/>
        <v>114280</v>
      </c>
    </row>
    <row r="15" spans="2:10" x14ac:dyDescent="0.25">
      <c r="B15" s="69"/>
      <c r="C15" s="72" t="s">
        <v>48</v>
      </c>
      <c r="D15" s="132">
        <f>'Despreciacion Activo Fijos '!D19</f>
        <v>599800</v>
      </c>
      <c r="E15" s="135"/>
      <c r="F15" s="132">
        <f t="shared" si="0"/>
        <v>85685.71428571429</v>
      </c>
    </row>
    <row r="16" spans="2:10" x14ac:dyDescent="0.25">
      <c r="B16" s="9"/>
      <c r="C16" s="133"/>
      <c r="D16" s="134"/>
      <c r="E16" s="137" t="s">
        <v>164</v>
      </c>
      <c r="F16" s="138">
        <f>SUM(F7:F15)</f>
        <v>1259880.0000000002</v>
      </c>
    </row>
    <row r="18" spans="3:6" ht="15.75" x14ac:dyDescent="0.25">
      <c r="C18" s="142" t="s">
        <v>166</v>
      </c>
      <c r="D18" s="142"/>
    </row>
    <row r="19" spans="3:6" x14ac:dyDescent="0.25">
      <c r="C19" s="73" t="s">
        <v>172</v>
      </c>
      <c r="D19" s="73" t="s">
        <v>173</v>
      </c>
    </row>
    <row r="20" spans="3:6" x14ac:dyDescent="0.25">
      <c r="C20" s="136" t="s">
        <v>174</v>
      </c>
      <c r="D20" s="143">
        <f>'Activo Fijos y Nominales'!$F$25</f>
        <v>8819160</v>
      </c>
    </row>
    <row r="21" spans="3:6" x14ac:dyDescent="0.25">
      <c r="C21" s="136" t="s">
        <v>168</v>
      </c>
      <c r="D21" s="143">
        <f>'Despreciacion Activo Fijos '!$H$20</f>
        <v>4782188.5714285709</v>
      </c>
      <c r="F21" s="139"/>
    </row>
    <row r="22" spans="3:6" x14ac:dyDescent="0.25">
      <c r="C22" s="72" t="s">
        <v>169</v>
      </c>
      <c r="D22" s="143">
        <f>D20-D21</f>
        <v>4036971.4285714291</v>
      </c>
      <c r="F22" s="139"/>
    </row>
    <row r="23" spans="3:6" x14ac:dyDescent="0.25">
      <c r="C23" s="72" t="s">
        <v>170</v>
      </c>
      <c r="D23" s="144">
        <f>Complementario!C13</f>
        <v>0.27</v>
      </c>
      <c r="F23" s="139"/>
    </row>
    <row r="24" spans="3:6" x14ac:dyDescent="0.25">
      <c r="C24" s="72" t="s">
        <v>171</v>
      </c>
      <c r="D24" s="143">
        <f>D22*D23</f>
        <v>1089982.2857142859</v>
      </c>
      <c r="F24" s="139"/>
    </row>
    <row r="25" spans="3:6" x14ac:dyDescent="0.25">
      <c r="C25" s="136" t="s">
        <v>163</v>
      </c>
      <c r="D25" s="143">
        <f>$F$16</f>
        <v>1259880.0000000002</v>
      </c>
      <c r="F25" s="139"/>
    </row>
    <row r="26" spans="3:6" x14ac:dyDescent="0.25">
      <c r="C26" s="137" t="s">
        <v>167</v>
      </c>
      <c r="D26" s="145">
        <f>D24+D25</f>
        <v>2349862.2857142864</v>
      </c>
      <c r="E26" s="139"/>
      <c r="F26" s="139"/>
    </row>
    <row r="27" spans="3:6" x14ac:dyDescent="0.25">
      <c r="C27" s="139"/>
      <c r="D27" s="139"/>
      <c r="E27" s="139"/>
      <c r="F27" s="139"/>
    </row>
    <row r="28" spans="3:6" x14ac:dyDescent="0.25">
      <c r="C28" s="139"/>
      <c r="D28" s="139"/>
      <c r="E28" s="139"/>
      <c r="F28" s="139"/>
    </row>
    <row r="29" spans="3:6" ht="15.75" x14ac:dyDescent="0.25">
      <c r="C29" s="142" t="s">
        <v>175</v>
      </c>
      <c r="D29" s="142"/>
      <c r="E29" s="142"/>
      <c r="F29" s="139"/>
    </row>
    <row r="30" spans="3:6" x14ac:dyDescent="0.25">
      <c r="C30" s="73" t="s">
        <v>12</v>
      </c>
      <c r="D30" s="73" t="s">
        <v>158</v>
      </c>
      <c r="E30" s="73" t="s">
        <v>180</v>
      </c>
      <c r="F30" s="139"/>
    </row>
    <row r="31" spans="3:6" x14ac:dyDescent="0.25">
      <c r="C31" s="72" t="s">
        <v>35</v>
      </c>
      <c r="D31" s="132">
        <f>'Despreciacion Activo Fijos '!D11</f>
        <v>1639800</v>
      </c>
      <c r="E31" s="132">
        <v>900000</v>
      </c>
    </row>
    <row r="32" spans="3:6" x14ac:dyDescent="0.25">
      <c r="C32" s="72" t="s">
        <v>37</v>
      </c>
      <c r="D32" s="132">
        <f>'Despreciacion Activo Fijos '!D12</f>
        <v>1599800</v>
      </c>
      <c r="E32" s="132">
        <v>1200000</v>
      </c>
    </row>
    <row r="33" spans="3:5" x14ac:dyDescent="0.25">
      <c r="C33" s="72" t="s">
        <v>38</v>
      </c>
      <c r="D33" s="132">
        <f>'Despreciacion Activo Fijos '!D13</f>
        <v>839970</v>
      </c>
      <c r="E33" s="132">
        <v>600000</v>
      </c>
    </row>
    <row r="34" spans="3:5" x14ac:dyDescent="0.25">
      <c r="C34" s="72" t="s">
        <v>39</v>
      </c>
      <c r="D34" s="132">
        <f>'Despreciacion Activo Fijos '!D14</f>
        <v>89970</v>
      </c>
      <c r="E34" s="132">
        <v>60000</v>
      </c>
    </row>
    <row r="35" spans="3:5" x14ac:dyDescent="0.25">
      <c r="C35" s="72" t="s">
        <v>42</v>
      </c>
      <c r="D35" s="132">
        <f>'Despreciacion Activo Fijos '!D15</f>
        <v>639920</v>
      </c>
      <c r="E35" s="132">
        <v>320000</v>
      </c>
    </row>
    <row r="36" spans="3:5" x14ac:dyDescent="0.25">
      <c r="C36" s="72" t="s">
        <v>49</v>
      </c>
      <c r="D36" s="132">
        <f>'Despreciacion Activo Fijos '!D16</f>
        <v>209970</v>
      </c>
      <c r="E36" s="132">
        <v>150000</v>
      </c>
    </row>
    <row r="37" spans="3:5" x14ac:dyDescent="0.25">
      <c r="C37" s="72" t="s">
        <v>44</v>
      </c>
      <c r="D37" s="132">
        <f>'Despreciacion Activo Fijos '!D17</f>
        <v>2399970</v>
      </c>
      <c r="E37" s="132">
        <v>690000</v>
      </c>
    </row>
    <row r="38" spans="3:5" x14ac:dyDescent="0.25">
      <c r="C38" s="72" t="s">
        <v>46</v>
      </c>
      <c r="D38" s="132">
        <f>'Despreciacion Activo Fijos '!D18</f>
        <v>799960</v>
      </c>
      <c r="E38" s="132">
        <v>200000</v>
      </c>
    </row>
    <row r="39" spans="3:5" x14ac:dyDescent="0.25">
      <c r="C39" s="72" t="s">
        <v>48</v>
      </c>
      <c r="D39" s="132">
        <f>'Despreciacion Activo Fijos '!D19</f>
        <v>599800</v>
      </c>
      <c r="E39" s="132">
        <v>400000</v>
      </c>
    </row>
    <row r="40" spans="3:5" x14ac:dyDescent="0.25">
      <c r="C40" s="149"/>
      <c r="D40" s="137" t="s">
        <v>178</v>
      </c>
      <c r="E40" s="138">
        <f>SUM(E31:E39)</f>
        <v>4520000</v>
      </c>
    </row>
  </sheetData>
  <mergeCells count="5">
    <mergeCell ref="C18:D18"/>
    <mergeCell ref="C29:E29"/>
    <mergeCell ref="B3:G3"/>
    <mergeCell ref="E7:E15"/>
    <mergeCell ref="C5:F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FDEE-6942-44F6-8BD0-77C98CC873B9}">
  <sheetPr>
    <tabColor rgb="FF7030A0"/>
  </sheetPr>
  <dimension ref="B7:H14"/>
  <sheetViews>
    <sheetView showGridLines="0" zoomScale="130" zoomScaleNormal="130" workbookViewId="0">
      <selection activeCell="F20" sqref="F20"/>
    </sheetView>
  </sheetViews>
  <sheetFormatPr baseColWidth="10" defaultRowHeight="15" x14ac:dyDescent="0.25"/>
  <cols>
    <col min="2" max="2" width="12.7109375" bestFit="1" customWidth="1"/>
    <col min="3" max="8" width="13.7109375" bestFit="1" customWidth="1"/>
  </cols>
  <sheetData>
    <row r="7" spans="2:8" ht="21" x14ac:dyDescent="0.25">
      <c r="B7" s="125" t="s">
        <v>179</v>
      </c>
      <c r="C7" s="125"/>
      <c r="D7" s="125"/>
      <c r="E7" s="125"/>
      <c r="F7" s="125"/>
      <c r="G7" s="125"/>
      <c r="H7" s="125"/>
    </row>
    <row r="8" spans="2:8" ht="18.75" x14ac:dyDescent="0.3">
      <c r="B8" s="22"/>
      <c r="C8" s="22"/>
      <c r="D8" s="22"/>
      <c r="E8" s="22"/>
      <c r="F8" s="22"/>
      <c r="G8" s="22"/>
      <c r="H8" s="22"/>
    </row>
    <row r="9" spans="2:8" ht="15.75" x14ac:dyDescent="0.25">
      <c r="B9" s="80" t="s">
        <v>0</v>
      </c>
      <c r="C9" s="81">
        <v>0</v>
      </c>
      <c r="D9" s="81">
        <v>1</v>
      </c>
      <c r="E9" s="81">
        <v>2</v>
      </c>
      <c r="F9" s="81">
        <v>3</v>
      </c>
      <c r="G9" s="81">
        <v>4</v>
      </c>
      <c r="H9" s="81">
        <v>5</v>
      </c>
    </row>
    <row r="10" spans="2:8" x14ac:dyDescent="0.25">
      <c r="B10" s="90" t="s">
        <v>67</v>
      </c>
      <c r="C10" s="91">
        <v>0</v>
      </c>
      <c r="D10" s="91">
        <f>PMT(Complementario!$I$9,Complementario!$I$5,-Amortizacion!$C$13)</f>
        <v>114999127.70232336</v>
      </c>
      <c r="E10" s="91">
        <f>PMT(Complementario!$I$9,Complementario!$I$5,-Amortizacion!$C$13)</f>
        <v>114999127.70232336</v>
      </c>
      <c r="F10" s="91">
        <f>PMT(Complementario!$I$9,Complementario!$I$5,-Amortizacion!$C$13)</f>
        <v>114999127.70232336</v>
      </c>
      <c r="G10" s="91">
        <f>PMT(Complementario!$I$9,Complementario!$I$5,-Amortizacion!$C$13)</f>
        <v>114999127.70232336</v>
      </c>
      <c r="H10" s="91">
        <f>PMT(Complementario!$I$9,Complementario!$I$5,-Amortizacion!$C$13)</f>
        <v>114999127.70232336</v>
      </c>
    </row>
    <row r="11" spans="2:8" x14ac:dyDescent="0.25">
      <c r="B11" s="90" t="s">
        <v>17</v>
      </c>
      <c r="C11" s="91">
        <v>0</v>
      </c>
      <c r="D11" s="91">
        <f>+Complementario!I9*Amortizacion!$C$13</f>
        <v>8250000</v>
      </c>
      <c r="E11" s="91">
        <f>+Complementario!I9*$D$13</f>
        <v>6648763.0844651489</v>
      </c>
      <c r="F11" s="91">
        <f>+Complementario!I9*Amortizacion!$E$13</f>
        <v>5023507.6151972758</v>
      </c>
      <c r="G11" s="91">
        <f>+Complementario!I9*$F$13</f>
        <v>3373873.3138903845</v>
      </c>
      <c r="H11" s="91">
        <f>+Complementario!I9*Amortizacion!$G$13</f>
        <v>1699494.49806389</v>
      </c>
    </row>
    <row r="12" spans="2:8" x14ac:dyDescent="0.25">
      <c r="B12" s="90" t="s">
        <v>60</v>
      </c>
      <c r="C12" s="91">
        <v>0</v>
      </c>
      <c r="D12" s="91">
        <f>+D10-D11</f>
        <v>106749127.70232336</v>
      </c>
      <c r="E12" s="91">
        <f>+E10-E11</f>
        <v>108350364.61785822</v>
      </c>
      <c r="F12" s="91">
        <f>+F10-F11</f>
        <v>109975620.08712609</v>
      </c>
      <c r="G12" s="91">
        <f>+G10-G11</f>
        <v>111625254.38843298</v>
      </c>
      <c r="H12" s="91">
        <f>+H10-H11</f>
        <v>113299633.20425947</v>
      </c>
    </row>
    <row r="13" spans="2:8" x14ac:dyDescent="0.25">
      <c r="B13" s="90" t="s">
        <v>68</v>
      </c>
      <c r="C13" s="92">
        <f>Complementario!I8</f>
        <v>550000000</v>
      </c>
      <c r="D13" s="91">
        <f>+C13-D12</f>
        <v>443250872.29767662</v>
      </c>
      <c r="E13" s="91">
        <f>+D13-E12</f>
        <v>334900507.67981839</v>
      </c>
      <c r="F13" s="91">
        <f>+E13-F12</f>
        <v>224924887.59269232</v>
      </c>
      <c r="G13" s="91">
        <f>+F13-G12</f>
        <v>113299633.20425934</v>
      </c>
      <c r="H13" s="91">
        <f>+G13-H12</f>
        <v>-1.3411045074462891E-7</v>
      </c>
    </row>
    <row r="14" spans="2:8" x14ac:dyDescent="0.25">
      <c r="B14" s="90" t="s">
        <v>69</v>
      </c>
      <c r="C14" s="91">
        <v>0</v>
      </c>
      <c r="D14" s="91">
        <f>+D12+C14</f>
        <v>106749127.70232336</v>
      </c>
      <c r="E14" s="91">
        <f>+E12+D14</f>
        <v>215099492.32018158</v>
      </c>
      <c r="F14" s="91">
        <f>+F12+E14</f>
        <v>325075112.40730768</v>
      </c>
      <c r="G14" s="91">
        <f>+G12+F14</f>
        <v>436700366.79574066</v>
      </c>
      <c r="H14" s="91">
        <f>+H12+G14</f>
        <v>550000000.00000012</v>
      </c>
    </row>
  </sheetData>
  <mergeCells count="1">
    <mergeCell ref="B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Caja</vt:lpstr>
      <vt:lpstr>Flujo 1</vt:lpstr>
      <vt:lpstr>Costos de desarrollo</vt:lpstr>
      <vt:lpstr>Costo de Implementacion</vt:lpstr>
      <vt:lpstr>Activo Fijos y Nominales</vt:lpstr>
      <vt:lpstr>Complementario</vt:lpstr>
      <vt:lpstr>Despreciacion Activo Fijos </vt:lpstr>
      <vt:lpstr>Valor Desecho</vt:lpstr>
      <vt:lpstr>Amortizacion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2019-07-01T17:37:21Z</dcterms:modified>
</cp:coreProperties>
</file>