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A3E94267-7386-469F-992B-8D4E7ACA82B8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Flujo de caj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1" l="1"/>
  <c r="F26" i="1" s="1"/>
  <c r="G26" i="1" s="1"/>
  <c r="H26" i="1" s="1"/>
  <c r="I26" i="1" s="1"/>
  <c r="J26" i="1" s="1"/>
  <c r="K26" i="1" s="1"/>
  <c r="L26" i="1" s="1"/>
  <c r="M26" i="1" s="1"/>
  <c r="D26" i="1"/>
  <c r="C26" i="1"/>
  <c r="E25" i="1"/>
  <c r="F25" i="1"/>
  <c r="G25" i="1"/>
  <c r="H25" i="1"/>
  <c r="I25" i="1"/>
  <c r="J25" i="1"/>
  <c r="K25" i="1"/>
  <c r="L25" i="1"/>
  <c r="M25" i="1"/>
  <c r="D25" i="1"/>
  <c r="C25" i="1"/>
  <c r="C9" i="1"/>
  <c r="C8" i="1"/>
  <c r="D7" i="1"/>
  <c r="L31" i="1"/>
  <c r="C19" i="1"/>
  <c r="C6" i="1"/>
  <c r="T30" i="1"/>
  <c r="R31" i="1"/>
  <c r="D17" i="1" s="1"/>
  <c r="Q33" i="1"/>
  <c r="U30" i="1" s="1"/>
  <c r="AI29" i="1"/>
  <c r="AI28" i="1"/>
  <c r="AI30" i="1" s="1"/>
  <c r="C22" i="1" s="1"/>
  <c r="AI21" i="1"/>
  <c r="AI24" i="1"/>
  <c r="AI23" i="1"/>
  <c r="AI22" i="1"/>
  <c r="AI19" i="1"/>
  <c r="AI20" i="1"/>
  <c r="AI18" i="1"/>
  <c r="AI17" i="1"/>
  <c r="AI16" i="1"/>
  <c r="AI11" i="1"/>
  <c r="AI10" i="1"/>
  <c r="AI9" i="1"/>
  <c r="AI8" i="1"/>
  <c r="AI7" i="1"/>
  <c r="AI6" i="1"/>
  <c r="Z6" i="1"/>
  <c r="Z5" i="1"/>
  <c r="T6" i="1"/>
  <c r="T7" i="1"/>
  <c r="T8" i="1"/>
  <c r="T9" i="1"/>
  <c r="T10" i="1"/>
  <c r="T5" i="1"/>
  <c r="R30" i="1" l="1"/>
  <c r="R32" i="1" s="1"/>
  <c r="D18" i="1" s="1"/>
  <c r="S30" i="1"/>
  <c r="AI13" i="1"/>
  <c r="V30" i="1"/>
  <c r="E7" i="1"/>
  <c r="E8" i="1" s="1"/>
  <c r="E9" i="1" s="1"/>
  <c r="E10" i="1" s="1"/>
  <c r="D8" i="1"/>
  <c r="D9" i="1" s="1"/>
  <c r="D10" i="1" s="1"/>
  <c r="AA5" i="1"/>
  <c r="H14" i="1" s="1"/>
  <c r="AI25" i="1"/>
  <c r="G14" i="1"/>
  <c r="U5" i="1"/>
  <c r="F13" i="1" s="1"/>
  <c r="I14" i="1"/>
  <c r="M13" i="1"/>
  <c r="L13" i="1"/>
  <c r="R34" i="1" l="1"/>
  <c r="F14" i="1"/>
  <c r="AI31" i="1"/>
  <c r="D32" i="1"/>
  <c r="H32" i="1"/>
  <c r="H16" i="1"/>
  <c r="G32" i="1"/>
  <c r="E32" i="1"/>
  <c r="I32" i="1"/>
  <c r="E16" i="1"/>
  <c r="I16" i="1"/>
  <c r="C21" i="1"/>
  <c r="G16" i="1"/>
  <c r="D16" i="1"/>
  <c r="F32" i="1"/>
  <c r="C32" i="1"/>
  <c r="F16" i="1"/>
  <c r="J16" i="1"/>
  <c r="E31" i="1"/>
  <c r="C31" i="1"/>
  <c r="E15" i="1"/>
  <c r="I15" i="1"/>
  <c r="F31" i="1"/>
  <c r="F15" i="1"/>
  <c r="D15" i="1"/>
  <c r="H31" i="1"/>
  <c r="H15" i="1"/>
  <c r="C20" i="1"/>
  <c r="G31" i="1"/>
  <c r="G15" i="1"/>
  <c r="D31" i="1"/>
  <c r="J14" i="1"/>
  <c r="M14" i="1"/>
  <c r="E14" i="1"/>
  <c r="D14" i="1"/>
  <c r="L14" i="1"/>
  <c r="K14" i="1"/>
  <c r="R33" i="1"/>
  <c r="S31" i="1" s="1"/>
  <c r="F7" i="1"/>
  <c r="J13" i="1"/>
  <c r="D13" i="1"/>
  <c r="H13" i="1"/>
  <c r="G13" i="1"/>
  <c r="E13" i="1"/>
  <c r="K13" i="1"/>
  <c r="I13" i="1"/>
  <c r="G7" i="1" l="1"/>
  <c r="F8" i="1"/>
  <c r="F9" i="1" s="1"/>
  <c r="F10" i="1" s="1"/>
  <c r="E17" i="1"/>
  <c r="S32" i="1"/>
  <c r="H7" i="1" l="1"/>
  <c r="G8" i="1"/>
  <c r="G9" i="1" s="1"/>
  <c r="G10" i="1" s="1"/>
  <c r="E18" i="1"/>
  <c r="S34" i="1"/>
  <c r="S33" i="1"/>
  <c r="I7" i="1" l="1"/>
  <c r="H8" i="1"/>
  <c r="H9" i="1" s="1"/>
  <c r="H10" i="1" s="1"/>
  <c r="T31" i="1"/>
  <c r="J7" i="1" l="1"/>
  <c r="I8" i="1"/>
  <c r="I9" i="1" s="1"/>
  <c r="I10" i="1" s="1"/>
  <c r="T32" i="1"/>
  <c r="F17" i="1"/>
  <c r="K7" i="1" l="1"/>
  <c r="J8" i="1"/>
  <c r="J9" i="1" s="1"/>
  <c r="J10" i="1" s="1"/>
  <c r="F18" i="1"/>
  <c r="T34" i="1"/>
  <c r="T33" i="1"/>
  <c r="L7" i="1" l="1"/>
  <c r="K8" i="1"/>
  <c r="K9" i="1" s="1"/>
  <c r="K10" i="1" s="1"/>
  <c r="U31" i="1"/>
  <c r="M7" i="1" l="1"/>
  <c r="M8" i="1" s="1"/>
  <c r="M9" i="1" s="1"/>
  <c r="M10" i="1" s="1"/>
  <c r="L8" i="1"/>
  <c r="L9" i="1" s="1"/>
  <c r="L10" i="1" s="1"/>
  <c r="U32" i="1"/>
  <c r="G17" i="1"/>
  <c r="U34" i="1" l="1"/>
  <c r="G18" i="1"/>
  <c r="U33" i="1"/>
  <c r="V31" i="1" l="1"/>
  <c r="V32" i="1" l="1"/>
  <c r="H17" i="1"/>
  <c r="V34" i="1" l="1"/>
  <c r="H18" i="1"/>
  <c r="V33" i="1"/>
</calcChain>
</file>

<file path=xl/sharedStrings.xml><?xml version="1.0" encoding="utf-8"?>
<sst xmlns="http://schemas.openxmlformats.org/spreadsheetml/2006/main" count="151" uniqueCount="128">
  <si>
    <t>Determinacion de los flujos de efectivo</t>
  </si>
  <si>
    <t>Año</t>
  </si>
  <si>
    <t>Evaluacion Financiera de VA-RV (Vision artificial para reconocimiento vehicular) a 10 años</t>
  </si>
  <si>
    <t>Detalle de ingreso</t>
  </si>
  <si>
    <t>Detalle de egreso</t>
  </si>
  <si>
    <t>Electricidad</t>
  </si>
  <si>
    <t>Agua</t>
  </si>
  <si>
    <t>Inversion inicial</t>
  </si>
  <si>
    <r>
      <rPr>
        <b/>
        <sz val="11"/>
        <color theme="1"/>
        <rFont val="Calibri"/>
        <family val="2"/>
        <scheme val="minor"/>
      </rPr>
      <t>Oficina</t>
    </r>
    <r>
      <rPr>
        <sz val="11"/>
        <color theme="1"/>
        <rFont val="Calibri"/>
        <family val="2"/>
        <scheme val="minor"/>
      </rPr>
      <t xml:space="preserve"> (Torre nueva Barcelona, Barcelona 2116, Providencia RM)</t>
    </r>
  </si>
  <si>
    <r>
      <rPr>
        <b/>
        <sz val="11"/>
        <color theme="1"/>
        <rFont val="Calibri"/>
        <family val="2"/>
        <scheme val="minor"/>
      </rPr>
      <t>Telecomunicaciones</t>
    </r>
    <r>
      <rPr>
        <sz val="11"/>
        <color theme="1"/>
        <rFont val="Calibri"/>
        <family val="2"/>
        <scheme val="minor"/>
      </rPr>
      <t xml:space="preserve"> (TRIPLEPACK negocios conectado VTR)</t>
    </r>
  </si>
  <si>
    <r>
      <rPr>
        <b/>
        <sz val="11"/>
        <color theme="1"/>
        <rFont val="Calibri"/>
        <family val="2"/>
        <scheme val="minor"/>
      </rPr>
      <t>Contabilidad</t>
    </r>
    <r>
      <rPr>
        <sz val="11"/>
        <color theme="1"/>
        <rFont val="Calibri"/>
        <family val="2"/>
        <scheme val="minor"/>
      </rPr>
      <t xml:space="preserve"> (www.masqueuno.cl Contabilidad Pyme)</t>
    </r>
  </si>
  <si>
    <t>Costos Fijos Mensual</t>
  </si>
  <si>
    <t>Costos Variables Mensual</t>
  </si>
  <si>
    <t>Costos Fijos Anuales</t>
  </si>
  <si>
    <t>No aplica</t>
  </si>
  <si>
    <t>Programador Planta</t>
  </si>
  <si>
    <t>Cantidad</t>
  </si>
  <si>
    <t>DBA Planta</t>
  </si>
  <si>
    <t>Sys Admin Planta</t>
  </si>
  <si>
    <t>Item</t>
  </si>
  <si>
    <t>Costo total por item</t>
  </si>
  <si>
    <t>Total global</t>
  </si>
  <si>
    <t>Varianza</t>
  </si>
  <si>
    <t>Costo mas varianza</t>
  </si>
  <si>
    <t>Costo Variables Anuales</t>
  </si>
  <si>
    <t>Intereses</t>
  </si>
  <si>
    <t>Amortización</t>
  </si>
  <si>
    <t>Link</t>
  </si>
  <si>
    <t>Precio unitario</t>
  </si>
  <si>
    <t>Cantidad requerida</t>
  </si>
  <si>
    <t>Costo total</t>
  </si>
  <si>
    <t>https://www.pcfactory.cl/producto/27947-lenovo-rs160-intel-xeon-e3-1220-v6-3-0ghz-3-5ghz-tb--2x1tb-3-5-hdd-8gb-sr</t>
  </si>
  <si>
    <t>Lenovo RS160</t>
  </si>
  <si>
    <t>https://www.pcfactory.cl/producto/10608-exelink-rack-19-12u-600x450-ws1-6412</t>
  </si>
  <si>
    <t>Exelink Rack 19" 12U 600x450</t>
  </si>
  <si>
    <t>https://www.pcfactory.cl/producto/26955-dell-memoria-ram-certificada-8-gb--1rx8-udimm-2400mhz</t>
  </si>
  <si>
    <t>Dell Memoria RAM 8GB UDIMM 2400MHZ</t>
  </si>
  <si>
    <t>https://www.pcfactory.cl/producto/20234-logitech-combo-teclado--mouse-mk120-usb</t>
  </si>
  <si>
    <t>Logitech Combo Teclado + Mouse MK120 USB</t>
  </si>
  <si>
    <t>https://www.pcfactory.cl/producto/6254-kensington-mouse-pad--apoya-muneca-wrist-pillow</t>
  </si>
  <si>
    <t>Kensington Mouse Pad</t>
  </si>
  <si>
    <t>https://www.pcfactory.cl/producto/29871-gear-monitor-23-8-mc2435a-slim-bezel-full-hd</t>
  </si>
  <si>
    <t>Total</t>
  </si>
  <si>
    <t xml:space="preserve">Item </t>
  </si>
  <si>
    <t>Inversion en inmueble</t>
  </si>
  <si>
    <t>Inversion en tecnologia</t>
  </si>
  <si>
    <t>https://www.sodimac.cl/sodimac-cl/product/315498X/Escritorio-Naira-120x56x76-cm-blanco-y-oak/315498X</t>
  </si>
  <si>
    <t>Escritorio Naira 120x56x76</t>
  </si>
  <si>
    <t>https://www.sodimac.cl/sodimac-cl/product/2671115/Silla-para-PC-63x104-cm-negro/2671115</t>
  </si>
  <si>
    <t>Silla para PC 63x104</t>
  </si>
  <si>
    <t>https://www.sodimac.cl/sodimac-cl/product/3737446/LED-55-NU7100-4K-Ultra-HD-Smart-TV/3737446</t>
  </si>
  <si>
    <t>LED 55" NU7100 4k Ultra HD Smart TV Samsung</t>
  </si>
  <si>
    <t>Kit soporte 15° abrazadera doble 32 " a 55" Dairu</t>
  </si>
  <si>
    <t>https://www.sodimac.cl/sodimac-cl/product/2922401/Kit-soporte-15%C2%B0-abrazadera-doble-32-a-55-/2922401</t>
  </si>
  <si>
    <t>https://www.sodimac.cl/sodimac-cl/product/3774627/Sillon-pouf-90x60x140-cm-azul/3774627</t>
  </si>
  <si>
    <t>Sillon puf 90x60x140 cm azul White Market</t>
  </si>
  <si>
    <t>https://www.sodimac.cl/sodimac-cl/product/3450112/Aire-acondicionado-split-inverter-24000-BTU-blanco/3450112</t>
  </si>
  <si>
    <t>Aire acondicionado split inverter 24000 BTU blanco Kendal</t>
  </si>
  <si>
    <t>https://www.sodimac.cl/sodimac-cl/product/2841800/Mesa-de-comedor-76x90x150-cm-nogal/2841800</t>
  </si>
  <si>
    <t>Mesa de comedor 76x90x150 cm nogal Homy</t>
  </si>
  <si>
    <t>https://www.sodimac.cl/sodimac-cl/product/2906961/Silla-100x47x60-cm-beige/2906953</t>
  </si>
  <si>
    <t>Silla 100x47x60 cm chocolate Homy</t>
  </si>
  <si>
    <t>Futon 82x182x103 cm negro Just Home Collection</t>
  </si>
  <si>
    <t>https://www.sodimac.cl/sodimac-cl/product/3104672</t>
  </si>
  <si>
    <t>Inversion en servicios</t>
  </si>
  <si>
    <t>Monto en garantia</t>
  </si>
  <si>
    <t>https://inmueble.mercadolibre.cl/MLC-474796236-torre-nueva-barcelona-_JM</t>
  </si>
  <si>
    <t>Arriendo de oficina Barcelona 2116 Providencia, Rm (Metropolitana)</t>
  </si>
  <si>
    <t>TRIPLEPACK negocios conectado VTR (Internet+TV+Telefono)</t>
  </si>
  <si>
    <t>https://vtr.com/productos/NegociosPacks/triple-pack-banda-ancha-television-telefonia?gclid=CjwKCAjwza_mBRBTEiwASDWVvoKp3c596mUtit0kXx4XMJC-PCZ9zJGq3x5N35mDz_BhaexT3GGc6hoCXB8QAvD_BwE</t>
  </si>
  <si>
    <t>Total Global</t>
  </si>
  <si>
    <t>Depreciacion tecnologica</t>
  </si>
  <si>
    <t>Depreciacion de mobiliario</t>
  </si>
  <si>
    <t>Genericos (22- Muebles y enseres)</t>
  </si>
  <si>
    <t>Activos genericos (23- Sistemas computaciones)</t>
  </si>
  <si>
    <t>Depreciacion Acelerada</t>
  </si>
  <si>
    <t>En esta oportunidad la depreciacion sera normal</t>
  </si>
  <si>
    <t>Tabla de depreciacion (años)</t>
  </si>
  <si>
    <t xml:space="preserve">Vida util normal </t>
  </si>
  <si>
    <t>Clase</t>
  </si>
  <si>
    <t>Prestamo</t>
  </si>
  <si>
    <t>Costos operacionales</t>
  </si>
  <si>
    <t>Amortizacion</t>
  </si>
  <si>
    <t>Cuotas</t>
  </si>
  <si>
    <t>Semestral</t>
  </si>
  <si>
    <t>Fijas</t>
  </si>
  <si>
    <t>Interes (Mensual)</t>
  </si>
  <si>
    <t>Costos de desarrollo</t>
  </si>
  <si>
    <t>Valor de desecho</t>
  </si>
  <si>
    <t>Valor de desecho tecnologico</t>
  </si>
  <si>
    <t>Valor de desecho mobiliario</t>
  </si>
  <si>
    <t>Desarrollo de software</t>
  </si>
  <si>
    <t>Inversion en inmuebles</t>
  </si>
  <si>
    <t>Gear Monitor 23,8" MC2435A Slim Bezel Full HD</t>
  </si>
  <si>
    <t>Prestamo Frances</t>
  </si>
  <si>
    <t>Servicios varios</t>
  </si>
  <si>
    <t>Anualidad</t>
  </si>
  <si>
    <t>Cap. Vivo</t>
  </si>
  <si>
    <t>Cap. Amort.</t>
  </si>
  <si>
    <t>UF</t>
  </si>
  <si>
    <t>Cambio a la fecha</t>
  </si>
  <si>
    <t>UTM</t>
  </si>
  <si>
    <t>Dólar</t>
  </si>
  <si>
    <t>Euro</t>
  </si>
  <si>
    <t>Yuan</t>
  </si>
  <si>
    <t>Monto CLP</t>
  </si>
  <si>
    <t>Plazo (Años)</t>
  </si>
  <si>
    <t>Tabla de amortizacion</t>
  </si>
  <si>
    <t>Inversion</t>
  </si>
  <si>
    <t>Costo de software de pruebas (pendiente)</t>
  </si>
  <si>
    <t>Utilidad antes de impuesto</t>
  </si>
  <si>
    <t>Utilidad despues de impuesto</t>
  </si>
  <si>
    <t>Precios</t>
  </si>
  <si>
    <t>M^2</t>
  </si>
  <si>
    <t>Km^2</t>
  </si>
  <si>
    <t>Coste (km^2)</t>
  </si>
  <si>
    <t>Alcance (km^2)</t>
  </si>
  <si>
    <t>Rublo</t>
  </si>
  <si>
    <t>Superficie Km^2</t>
  </si>
  <si>
    <t>Region metropolitana</t>
  </si>
  <si>
    <t>Valparaiso</t>
  </si>
  <si>
    <t>Antofagasta</t>
  </si>
  <si>
    <t>Forma de pago</t>
  </si>
  <si>
    <t>Deposito</t>
  </si>
  <si>
    <t>Impuestos</t>
  </si>
  <si>
    <t>Balance</t>
  </si>
  <si>
    <t>Flujo de efectivo</t>
  </si>
  <si>
    <t>Flujo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</si>
</sst>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5" formatCode="_ &quot;$&quot;* #,##0_ ;_ &quot;$&quot;* \-#,##0_ ;_ &quot;$&quot;* &quot;-&quot;??_ ;_ @_ "/>
    <numFmt numFmtId="171" formatCode="0.0%"/>
  </numFmts>
  <fonts count="1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202124"/>
      <name val="Arial"/>
      <family val="2"/>
    </font>
    <font>
      <b/>
      <sz val="11"/>
      <color rgb="FF9C000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indexed="64"/>
      </bottom>
      <diagonal/>
    </border>
  </borders>
  <cellStyleXfs count="17">
    <xf numFmtId="0" fontId="0" fillId="0" borderId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4" applyNumberFormat="0" applyAlignment="0" applyProtection="0"/>
    <xf numFmtId="0" fontId="7" fillId="6" borderId="5" applyNumberFormat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1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14" borderId="0" xfId="0" applyFill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42" fontId="0" fillId="0" borderId="0" xfId="2" applyFont="1"/>
    <xf numFmtId="165" fontId="0" fillId="0" borderId="0" xfId="1" applyNumberFormat="1" applyFont="1" applyBorder="1"/>
    <xf numFmtId="165" fontId="0" fillId="0" borderId="0" xfId="0" applyNumberFormat="1" applyBorder="1"/>
    <xf numFmtId="165" fontId="0" fillId="0" borderId="11" xfId="1" applyNumberFormat="1" applyFont="1" applyBorder="1"/>
    <xf numFmtId="0" fontId="8" fillId="0" borderId="10" xfId="0" applyFont="1" applyBorder="1"/>
    <xf numFmtId="42" fontId="0" fillId="0" borderId="0" xfId="2" applyFont="1" applyBorder="1"/>
    <xf numFmtId="0" fontId="8" fillId="0" borderId="12" xfId="0" applyFont="1" applyBorder="1"/>
    <xf numFmtId="42" fontId="0" fillId="0" borderId="13" xfId="2" applyFont="1" applyBorder="1"/>
    <xf numFmtId="165" fontId="0" fillId="0" borderId="13" xfId="0" applyNumberFormat="1" applyBorder="1"/>
    <xf numFmtId="0" fontId="5" fillId="4" borderId="0" xfId="6" applyBorder="1"/>
    <xf numFmtId="0" fontId="5" fillId="4" borderId="0" xfId="6" applyBorder="1" applyAlignment="1"/>
    <xf numFmtId="0" fontId="8" fillId="0" borderId="0" xfId="0" applyFont="1" applyBorder="1"/>
    <xf numFmtId="0" fontId="10" fillId="2" borderId="1" xfId="4" applyFont="1" applyBorder="1" applyAlignment="1">
      <alignment horizontal="center"/>
    </xf>
    <xf numFmtId="0" fontId="10" fillId="2" borderId="2" xfId="4" applyFont="1" applyBorder="1" applyAlignment="1">
      <alignment horizontal="center"/>
    </xf>
    <xf numFmtId="0" fontId="10" fillId="2" borderId="3" xfId="4" applyFont="1" applyBorder="1" applyAlignment="1">
      <alignment horizontal="center"/>
    </xf>
    <xf numFmtId="0" fontId="9" fillId="4" borderId="1" xfId="6" applyFont="1" applyBorder="1" applyAlignment="1">
      <alignment horizontal="center"/>
    </xf>
    <xf numFmtId="0" fontId="9" fillId="4" borderId="2" xfId="6" applyFont="1" applyBorder="1" applyAlignment="1">
      <alignment horizontal="center"/>
    </xf>
    <xf numFmtId="0" fontId="9" fillId="4" borderId="3" xfId="6" applyFont="1" applyBorder="1" applyAlignment="1">
      <alignment horizontal="center"/>
    </xf>
    <xf numFmtId="0" fontId="0" fillId="0" borderId="0" xfId="0" applyFill="1" applyBorder="1"/>
    <xf numFmtId="0" fontId="2" fillId="8" borderId="13" xfId="10" applyBorder="1" applyAlignment="1">
      <alignment horizontal="center"/>
    </xf>
    <xf numFmtId="0" fontId="2" fillId="7" borderId="1" xfId="9" applyBorder="1"/>
    <xf numFmtId="0" fontId="2" fillId="7" borderId="2" xfId="9" applyBorder="1"/>
    <xf numFmtId="0" fontId="2" fillId="7" borderId="3" xfId="9" applyBorder="1"/>
    <xf numFmtId="0" fontId="2" fillId="7" borderId="0" xfId="9" applyBorder="1"/>
    <xf numFmtId="0" fontId="2" fillId="12" borderId="1" xfId="14" applyBorder="1"/>
    <xf numFmtId="0" fontId="2" fillId="12" borderId="2" xfId="14" applyBorder="1"/>
    <xf numFmtId="0" fontId="2" fillId="12" borderId="3" xfId="14" applyBorder="1"/>
    <xf numFmtId="0" fontId="2" fillId="12" borderId="0" xfId="14" applyBorder="1"/>
    <xf numFmtId="0" fontId="2" fillId="10" borderId="1" xfId="12" applyBorder="1"/>
    <xf numFmtId="0" fontId="2" fillId="10" borderId="2" xfId="12" applyBorder="1"/>
    <xf numFmtId="0" fontId="2" fillId="10" borderId="3" xfId="12" applyBorder="1"/>
    <xf numFmtId="0" fontId="2" fillId="10" borderId="0" xfId="12" applyBorder="1"/>
    <xf numFmtId="165" fontId="2" fillId="10" borderId="0" xfId="12" applyNumberForma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8" borderId="12" xfId="10" applyBorder="1" applyAlignment="1">
      <alignment horizontal="center"/>
    </xf>
    <xf numFmtId="0" fontId="2" fillId="8" borderId="14" xfId="10" applyBorder="1" applyAlignment="1">
      <alignment horizontal="center"/>
    </xf>
    <xf numFmtId="0" fontId="2" fillId="7" borderId="10" xfId="9" applyBorder="1"/>
    <xf numFmtId="0" fontId="12" fillId="7" borderId="0" xfId="16" applyFill="1" applyBorder="1"/>
    <xf numFmtId="165" fontId="2" fillId="7" borderId="0" xfId="9" applyNumberFormat="1" applyBorder="1"/>
    <xf numFmtId="165" fontId="2" fillId="7" borderId="11" xfId="9" applyNumberFormat="1" applyBorder="1" applyAlignment="1"/>
    <xf numFmtId="0" fontId="2" fillId="7" borderId="11" xfId="9" applyBorder="1"/>
    <xf numFmtId="0" fontId="2" fillId="13" borderId="10" xfId="15" applyBorder="1" applyAlignment="1">
      <alignment horizontal="center"/>
    </xf>
    <xf numFmtId="0" fontId="2" fillId="13" borderId="0" xfId="15" applyBorder="1" applyAlignment="1">
      <alignment horizontal="center"/>
    </xf>
    <xf numFmtId="0" fontId="2" fillId="13" borderId="11" xfId="15" applyBorder="1" applyAlignment="1">
      <alignment horizontal="center"/>
    </xf>
    <xf numFmtId="0" fontId="2" fillId="12" borderId="10" xfId="14" applyBorder="1"/>
    <xf numFmtId="165" fontId="2" fillId="12" borderId="0" xfId="14" applyNumberFormat="1" applyBorder="1"/>
    <xf numFmtId="165" fontId="2" fillId="12" borderId="11" xfId="14" applyNumberFormat="1" applyBorder="1"/>
    <xf numFmtId="0" fontId="2" fillId="11" borderId="10" xfId="13" applyBorder="1" applyAlignment="1">
      <alignment horizontal="center"/>
    </xf>
    <xf numFmtId="0" fontId="2" fillId="11" borderId="0" xfId="13" applyBorder="1" applyAlignment="1">
      <alignment horizontal="center"/>
    </xf>
    <xf numFmtId="0" fontId="2" fillId="11" borderId="11" xfId="13" applyBorder="1" applyAlignment="1">
      <alignment horizontal="center"/>
    </xf>
    <xf numFmtId="0" fontId="2" fillId="10" borderId="10" xfId="12" applyBorder="1"/>
    <xf numFmtId="165" fontId="2" fillId="10" borderId="11" xfId="12" applyNumberFormat="1" applyBorder="1"/>
    <xf numFmtId="0" fontId="1" fillId="0" borderId="9" xfId="0" applyFont="1" applyBorder="1" applyAlignment="1">
      <alignment horizontal="center"/>
    </xf>
    <xf numFmtId="0" fontId="0" fillId="0" borderId="17" xfId="0" applyBorder="1"/>
    <xf numFmtId="0" fontId="0" fillId="0" borderId="6" xfId="0" applyBorder="1" applyAlignment="1"/>
    <xf numFmtId="0" fontId="0" fillId="0" borderId="15" xfId="0" applyBorder="1"/>
    <xf numFmtId="0" fontId="0" fillId="0" borderId="16" xfId="0" applyBorder="1"/>
    <xf numFmtId="0" fontId="0" fillId="0" borderId="6" xfId="0" applyBorder="1"/>
    <xf numFmtId="0" fontId="0" fillId="0" borderId="7" xfId="0" applyBorder="1"/>
    <xf numFmtId="9" fontId="0" fillId="0" borderId="0" xfId="3" applyFont="1" applyBorder="1"/>
    <xf numFmtId="0" fontId="13" fillId="0" borderId="0" xfId="0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2" fillId="10" borderId="7" xfId="12" applyBorder="1"/>
    <xf numFmtId="0" fontId="2" fillId="10" borderId="8" xfId="12" applyBorder="1"/>
    <xf numFmtId="165" fontId="2" fillId="10" borderId="8" xfId="12" applyNumberFormat="1" applyBorder="1"/>
    <xf numFmtId="165" fontId="2" fillId="10" borderId="9" xfId="12" applyNumberFormat="1" applyBorder="1"/>
    <xf numFmtId="0" fontId="14" fillId="0" borderId="0" xfId="0" applyFont="1"/>
    <xf numFmtId="0" fontId="14" fillId="0" borderId="0" xfId="0" applyFont="1" applyAlignment="1">
      <alignment horizontal="center"/>
    </xf>
    <xf numFmtId="3" fontId="0" fillId="0" borderId="11" xfId="0" applyNumberFormat="1" applyBorder="1"/>
    <xf numFmtId="0" fontId="16" fillId="3" borderId="13" xfId="5" applyFont="1" applyBorder="1"/>
    <xf numFmtId="165" fontId="16" fillId="3" borderId="14" xfId="5" applyNumberFormat="1" applyFont="1" applyBorder="1"/>
    <xf numFmtId="165" fontId="0" fillId="0" borderId="2" xfId="0" applyNumberFormat="1" applyBorder="1"/>
    <xf numFmtId="0" fontId="8" fillId="0" borderId="6" xfId="0" applyFont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0" fontId="2" fillId="9" borderId="1" xfId="11" applyBorder="1" applyAlignment="1">
      <alignment horizontal="center"/>
    </xf>
    <xf numFmtId="0" fontId="2" fillId="9" borderId="2" xfId="11" applyBorder="1" applyAlignment="1">
      <alignment horizontal="center"/>
    </xf>
    <xf numFmtId="0" fontId="2" fillId="9" borderId="3" xfId="11" applyBorder="1" applyAlignment="1">
      <alignment horizontal="center"/>
    </xf>
    <xf numFmtId="165" fontId="0" fillId="0" borderId="14" xfId="0" applyNumberFormat="1" applyBorder="1"/>
    <xf numFmtId="0" fontId="8" fillId="0" borderId="7" xfId="0" applyFont="1" applyBorder="1"/>
    <xf numFmtId="165" fontId="15" fillId="0" borderId="11" xfId="1" applyNumberFormat="1" applyFont="1" applyBorder="1"/>
    <xf numFmtId="0" fontId="8" fillId="0" borderId="12" xfId="0" applyFont="1" applyFill="1" applyBorder="1"/>
    <xf numFmtId="42" fontId="0" fillId="0" borderId="14" xfId="2" applyFont="1" applyBorder="1"/>
    <xf numFmtId="3" fontId="0" fillId="0" borderId="9" xfId="0" applyNumberFormat="1" applyBorder="1"/>
    <xf numFmtId="3" fontId="0" fillId="0" borderId="14" xfId="0" applyNumberFormat="1" applyBorder="1"/>
    <xf numFmtId="171" fontId="0" fillId="0" borderId="11" xfId="3" applyNumberFormat="1" applyFont="1" applyBorder="1"/>
    <xf numFmtId="0" fontId="0" fillId="0" borderId="12" xfId="0" applyFill="1" applyBorder="1"/>
    <xf numFmtId="9" fontId="0" fillId="0" borderId="3" xfId="3" applyFont="1" applyBorder="1"/>
    <xf numFmtId="0" fontId="0" fillId="0" borderId="1" xfId="0" applyBorder="1" applyAlignment="1">
      <alignment horizontal="center"/>
    </xf>
    <xf numFmtId="0" fontId="6" fillId="5" borderId="18" xfId="7" applyBorder="1" applyAlignment="1">
      <alignment horizontal="center"/>
    </xf>
    <xf numFmtId="0" fontId="6" fillId="5" borderId="19" xfId="7" applyBorder="1" applyAlignment="1">
      <alignment horizontal="center"/>
    </xf>
    <xf numFmtId="0" fontId="6" fillId="5" borderId="20" xfId="7" applyBorder="1" applyAlignment="1">
      <alignment horizontal="center"/>
    </xf>
    <xf numFmtId="42" fontId="0" fillId="0" borderId="8" xfId="0" applyNumberFormat="1" applyBorder="1"/>
    <xf numFmtId="42" fontId="0" fillId="0" borderId="9" xfId="0" applyNumberFormat="1" applyBorder="1"/>
    <xf numFmtId="42" fontId="7" fillId="6" borderId="21" xfId="8" applyNumberFormat="1" applyBorder="1"/>
    <xf numFmtId="42" fontId="7" fillId="6" borderId="22" xfId="8" applyNumberFormat="1" applyBorder="1"/>
    <xf numFmtId="42" fontId="0" fillId="0" borderId="8" xfId="2" applyFont="1" applyBorder="1"/>
    <xf numFmtId="42" fontId="0" fillId="0" borderId="9" xfId="2" applyFont="1" applyBorder="1"/>
    <xf numFmtId="42" fontId="0" fillId="0" borderId="11" xfId="2" applyFont="1" applyBorder="1"/>
    <xf numFmtId="42" fontId="0" fillId="0" borderId="0" xfId="0" applyNumberFormat="1" applyBorder="1"/>
    <xf numFmtId="42" fontId="0" fillId="0" borderId="11" xfId="0" applyNumberFormat="1" applyBorder="1"/>
    <xf numFmtId="42" fontId="0" fillId="0" borderId="13" xfId="0" applyNumberFormat="1" applyBorder="1"/>
    <xf numFmtId="42" fontId="0" fillId="0" borderId="14" xfId="0" applyNumberFormat="1" applyBorder="1"/>
  </cellXfs>
  <cellStyles count="17">
    <cellStyle name="20% - Énfasis1" xfId="9" builtinId="30"/>
    <cellStyle name="20% - Énfasis4" xfId="12" builtinId="42"/>
    <cellStyle name="20% - Énfasis6" xfId="14" builtinId="50"/>
    <cellStyle name="40% - Énfasis2" xfId="11" builtinId="35"/>
    <cellStyle name="60% - Énfasis1" xfId="10" builtinId="32"/>
    <cellStyle name="60% - Énfasis4" xfId="13" builtinId="44"/>
    <cellStyle name="60% - Énfasis6" xfId="15" builtinId="52"/>
    <cellStyle name="Bueno" xfId="4" builtinId="26"/>
    <cellStyle name="Entrada" xfId="7" builtinId="20"/>
    <cellStyle name="Hipervínculo" xfId="16" builtinId="8"/>
    <cellStyle name="Incorrecto" xfId="5" builtinId="27"/>
    <cellStyle name="Moneda" xfId="1" builtinId="4"/>
    <cellStyle name="Moneda [0]" xfId="2" builtinId="7"/>
    <cellStyle name="Neutral" xfId="6" builtinId="28"/>
    <cellStyle name="Normal" xfId="0" builtinId="0"/>
    <cellStyle name="Porcentaje" xfId="3" builtinId="5"/>
    <cellStyle name="Salida" xfId="8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odimac.cl/sodimac-cl/product/2671115/Silla-para-PC-63x104-cm-negro/2671115" TargetMode="External"/><Relationship Id="rId13" Type="http://schemas.openxmlformats.org/officeDocument/2006/relationships/hyperlink" Target="https://www.sodimac.cl/sodimac-cl/product/2841800/Mesa-de-comedor-76x90x150-cm-nogal/2841800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pcfactory.cl/producto/26955-dell-memoria-ram-certificada-8-gb--1rx8-udimm-2400mhz" TargetMode="External"/><Relationship Id="rId7" Type="http://schemas.openxmlformats.org/officeDocument/2006/relationships/hyperlink" Target="https://www.sodimac.cl/sodimac-cl/product/315498X/Escritorio-Naira-120x56x76-cm-blanco-y-oak/315498X" TargetMode="External"/><Relationship Id="rId12" Type="http://schemas.openxmlformats.org/officeDocument/2006/relationships/hyperlink" Target="https://www.sodimac.cl/sodimac-cl/product/3450112/Aire-acondicionado-split-inverter-24000-BTU-blanco/3450112" TargetMode="External"/><Relationship Id="rId17" Type="http://schemas.openxmlformats.org/officeDocument/2006/relationships/hyperlink" Target="https://vtr.com/productos/NegociosPacks/triple-pack-banda-ancha-television-telefonia?gclid=CjwKCAjwza_mBRBTEiwASDWVvoKp3c596mUtit0kXx4XMJC-PCZ9zJGq3x5N35mDz_BhaexT3GGc6hoCXB8QAvD_BwE" TargetMode="External"/><Relationship Id="rId2" Type="http://schemas.openxmlformats.org/officeDocument/2006/relationships/hyperlink" Target="https://www.pcfactory.cl/producto/10608-exelink-rack-19-12u-600x450-ws1-6412" TargetMode="External"/><Relationship Id="rId16" Type="http://schemas.openxmlformats.org/officeDocument/2006/relationships/hyperlink" Target="https://inmueble.mercadolibre.cl/MLC-474796236-torre-nueva-barcelona-_JM" TargetMode="External"/><Relationship Id="rId1" Type="http://schemas.openxmlformats.org/officeDocument/2006/relationships/hyperlink" Target="https://www.pcfactory.cl/producto/27947-lenovo-rs160-intel-xeon-e3-1220-v6-3-0ghz-3-5ghz-tb--2x1tb-3-5-hdd-8gb-sr" TargetMode="External"/><Relationship Id="rId6" Type="http://schemas.openxmlformats.org/officeDocument/2006/relationships/hyperlink" Target="https://www.pcfactory.cl/producto/29871-gear-monitor-23-8-mc2435a-slim-bezel-full-hd" TargetMode="External"/><Relationship Id="rId11" Type="http://schemas.openxmlformats.org/officeDocument/2006/relationships/hyperlink" Target="https://www.sodimac.cl/sodimac-cl/product/3774627/Sillon-pouf-90x60x140-cm-azul/3774627" TargetMode="External"/><Relationship Id="rId5" Type="http://schemas.openxmlformats.org/officeDocument/2006/relationships/hyperlink" Target="https://www.pcfactory.cl/producto/6254-kensington-mouse-pad--apoya-muneca-wrist-pillow" TargetMode="External"/><Relationship Id="rId15" Type="http://schemas.openxmlformats.org/officeDocument/2006/relationships/hyperlink" Target="https://www.sodimac.cl/sodimac-cl/product/3104672" TargetMode="External"/><Relationship Id="rId10" Type="http://schemas.openxmlformats.org/officeDocument/2006/relationships/hyperlink" Target="https://www.sodimac.cl/sodimac-cl/product/2922401/Kit-soporte-15%C2%B0-abrazadera-doble-32-a-55-/2922401" TargetMode="External"/><Relationship Id="rId4" Type="http://schemas.openxmlformats.org/officeDocument/2006/relationships/hyperlink" Target="https://www.pcfactory.cl/producto/20234-logitech-combo-teclado--mouse-mk120-usb" TargetMode="External"/><Relationship Id="rId9" Type="http://schemas.openxmlformats.org/officeDocument/2006/relationships/hyperlink" Target="https://www.sodimac.cl/sodimac-cl/product/3737446/LED-55-NU7100-4K-Ultra-HD-Smart-TV/3737446" TargetMode="External"/><Relationship Id="rId14" Type="http://schemas.openxmlformats.org/officeDocument/2006/relationships/hyperlink" Target="https://www.sodimac.cl/sodimac-cl/product/2906961/Silla-100x47x60-cm-beige/29069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M37"/>
  <sheetViews>
    <sheetView tabSelected="1" workbookViewId="0">
      <selection activeCell="A15" sqref="A15"/>
    </sheetView>
  </sheetViews>
  <sheetFormatPr baseColWidth="10" defaultColWidth="8.88671875" defaultRowHeight="14.4" x14ac:dyDescent="0.3"/>
  <cols>
    <col min="2" max="2" width="31.109375" customWidth="1"/>
    <col min="3" max="3" width="14.88671875" customWidth="1"/>
    <col min="4" max="4" width="13" customWidth="1"/>
    <col min="5" max="5" width="13.44140625" customWidth="1"/>
    <col min="6" max="6" width="12.44140625" customWidth="1"/>
    <col min="7" max="7" width="13.5546875" customWidth="1"/>
    <col min="8" max="8" width="12.5546875" customWidth="1"/>
    <col min="9" max="9" width="19" customWidth="1"/>
    <col min="10" max="10" width="16.109375" customWidth="1"/>
    <col min="11" max="11" width="16.44140625" customWidth="1"/>
    <col min="12" max="12" width="14.77734375" customWidth="1"/>
    <col min="13" max="13" width="17.33203125" customWidth="1"/>
    <col min="16" max="16" width="15.77734375" customWidth="1"/>
    <col min="17" max="17" width="19.44140625" customWidth="1"/>
    <col min="18" max="18" width="15.44140625" customWidth="1"/>
    <col min="19" max="19" width="15.33203125" customWidth="1"/>
    <col min="20" max="20" width="21.109375" customWidth="1"/>
    <col min="21" max="21" width="14.44140625" customWidth="1"/>
    <col min="22" max="22" width="22.88671875" customWidth="1"/>
    <col min="23" max="23" width="21.5546875" customWidth="1"/>
    <col min="24" max="24" width="23.21875" customWidth="1"/>
    <col min="25" max="25" width="14.6640625" customWidth="1"/>
    <col min="26" max="26" width="18.109375" customWidth="1"/>
    <col min="27" max="27" width="12.5546875" customWidth="1"/>
    <col min="28" max="28" width="13.6640625" customWidth="1"/>
    <col min="29" max="29" width="12" customWidth="1"/>
    <col min="30" max="30" width="12.6640625" customWidth="1"/>
    <col min="31" max="31" width="42.21875" customWidth="1"/>
    <col min="32" max="32" width="24.33203125" customWidth="1"/>
    <col min="33" max="33" width="18.88671875" customWidth="1"/>
    <col min="34" max="34" width="20.88671875" customWidth="1"/>
    <col min="35" max="35" width="16.5546875" customWidth="1"/>
    <col min="36" max="36" width="11.5546875" customWidth="1"/>
    <col min="37" max="37" width="43.33203125" customWidth="1"/>
    <col min="38" max="38" width="16" customWidth="1"/>
    <col min="39" max="39" width="21" customWidth="1"/>
    <col min="41" max="41" width="16.88671875" customWidth="1"/>
    <col min="42" max="42" width="14.44140625" bestFit="1" customWidth="1"/>
  </cols>
  <sheetData>
    <row r="2" spans="2:39" x14ac:dyDescent="0.3">
      <c r="B2" s="4" t="s">
        <v>2</v>
      </c>
      <c r="C2" s="4"/>
      <c r="D2" s="4"/>
      <c r="E2" s="4"/>
      <c r="F2" s="4"/>
      <c r="G2" s="4"/>
      <c r="H2" s="4"/>
      <c r="I2" s="4"/>
      <c r="AK2" t="s">
        <v>109</v>
      </c>
      <c r="AL2" s="13">
        <v>24000000</v>
      </c>
    </row>
    <row r="3" spans="2:39" ht="21" x14ac:dyDescent="0.4">
      <c r="B3" s="80" t="s">
        <v>0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3"/>
      <c r="P3" s="77" t="s">
        <v>81</v>
      </c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9"/>
      <c r="AE3" s="46" t="s">
        <v>7</v>
      </c>
      <c r="AF3" s="47"/>
      <c r="AG3" s="47"/>
      <c r="AH3" s="47"/>
      <c r="AI3" s="66"/>
      <c r="AK3" s="89" t="s">
        <v>87</v>
      </c>
      <c r="AL3" s="89"/>
      <c r="AM3" s="89"/>
    </row>
    <row r="4" spans="2:39" x14ac:dyDescent="0.3">
      <c r="B4" s="1" t="s">
        <v>1</v>
      </c>
      <c r="C4" s="2">
        <v>0</v>
      </c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3">
        <v>10</v>
      </c>
      <c r="P4" s="9"/>
      <c r="Q4" s="22" t="s">
        <v>19</v>
      </c>
      <c r="R4" s="23" t="s">
        <v>11</v>
      </c>
      <c r="S4" s="22" t="s">
        <v>16</v>
      </c>
      <c r="T4" s="22" t="s">
        <v>20</v>
      </c>
      <c r="U4" s="23" t="s">
        <v>21</v>
      </c>
      <c r="V4" s="7"/>
      <c r="W4" s="23" t="s">
        <v>19</v>
      </c>
      <c r="X4" s="23" t="s">
        <v>12</v>
      </c>
      <c r="Y4" s="23" t="s">
        <v>22</v>
      </c>
      <c r="Z4" s="23" t="s">
        <v>23</v>
      </c>
      <c r="AA4" s="23" t="s">
        <v>21</v>
      </c>
      <c r="AB4" s="8"/>
      <c r="AE4" s="48" t="s">
        <v>45</v>
      </c>
      <c r="AF4" s="32"/>
      <c r="AG4" s="32"/>
      <c r="AH4" s="32"/>
      <c r="AI4" s="49"/>
    </row>
    <row r="5" spans="2:39" x14ac:dyDescent="0.3">
      <c r="B5" s="25" t="s">
        <v>3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7"/>
      <c r="P5" s="9"/>
      <c r="Q5" s="7" t="s">
        <v>8</v>
      </c>
      <c r="R5" s="14">
        <v>96573</v>
      </c>
      <c r="S5" s="7">
        <v>1</v>
      </c>
      <c r="T5" s="15">
        <f>R5*S5</f>
        <v>96573</v>
      </c>
      <c r="U5" s="14">
        <f>SUM(T5:T10)</f>
        <v>11626808</v>
      </c>
      <c r="V5" s="7"/>
      <c r="W5" s="24" t="s">
        <v>5</v>
      </c>
      <c r="X5" s="14">
        <v>80000</v>
      </c>
      <c r="Y5" s="73">
        <v>0.3</v>
      </c>
      <c r="Z5" s="14">
        <f>(X5*Y5)+X5</f>
        <v>104000</v>
      </c>
      <c r="AA5" s="15">
        <f>SUM(Z5:Z6)</f>
        <v>143000</v>
      </c>
      <c r="AB5" s="8"/>
      <c r="AE5" s="33" t="s">
        <v>19</v>
      </c>
      <c r="AF5" s="34" t="s">
        <v>27</v>
      </c>
      <c r="AG5" s="34" t="s">
        <v>28</v>
      </c>
      <c r="AH5" s="34" t="s">
        <v>29</v>
      </c>
      <c r="AI5" s="35" t="s">
        <v>30</v>
      </c>
      <c r="AJ5" s="31"/>
    </row>
    <row r="6" spans="2:39" x14ac:dyDescent="0.3">
      <c r="B6" s="72" t="s">
        <v>108</v>
      </c>
      <c r="C6" s="118">
        <f>Q22</f>
        <v>8500000</v>
      </c>
      <c r="D6" s="118">
        <v>0</v>
      </c>
      <c r="E6" s="118">
        <v>0</v>
      </c>
      <c r="F6" s="118">
        <v>0</v>
      </c>
      <c r="G6" s="118">
        <v>0</v>
      </c>
      <c r="H6" s="118">
        <v>0</v>
      </c>
      <c r="I6" s="118">
        <v>0</v>
      </c>
      <c r="J6" s="118">
        <v>0</v>
      </c>
      <c r="K6" s="118">
        <v>0</v>
      </c>
      <c r="L6" s="118">
        <v>0</v>
      </c>
      <c r="M6" s="119">
        <v>0</v>
      </c>
      <c r="P6" s="9"/>
      <c r="Q6" s="7" t="s">
        <v>9</v>
      </c>
      <c r="R6" s="14">
        <v>52990</v>
      </c>
      <c r="S6" s="7">
        <v>1</v>
      </c>
      <c r="T6" s="15">
        <f t="shared" ref="T6:T7" si="0">R6*S6</f>
        <v>52990</v>
      </c>
      <c r="U6" s="7"/>
      <c r="V6" s="7"/>
      <c r="W6" s="24" t="s">
        <v>6</v>
      </c>
      <c r="X6" s="14">
        <v>30000</v>
      </c>
      <c r="Y6" s="73">
        <v>0.3</v>
      </c>
      <c r="Z6" s="14">
        <f t="shared" ref="Z6" si="1">(X6*Y6)+X6</f>
        <v>39000</v>
      </c>
      <c r="AA6" s="7"/>
      <c r="AB6" s="8"/>
      <c r="AE6" s="50" t="s">
        <v>32</v>
      </c>
      <c r="AF6" s="51" t="s">
        <v>31</v>
      </c>
      <c r="AG6" s="52">
        <v>969990</v>
      </c>
      <c r="AH6" s="36">
        <v>4</v>
      </c>
      <c r="AI6" s="53">
        <f>AG6*AH6</f>
        <v>3879960</v>
      </c>
    </row>
    <row r="7" spans="2:39" x14ac:dyDescent="0.3">
      <c r="B7" s="9" t="s">
        <v>116</v>
      </c>
      <c r="C7" s="18">
        <v>0</v>
      </c>
      <c r="D7" s="7">
        <f>$C$35/10</f>
        <v>1540.3</v>
      </c>
      <c r="E7" s="7">
        <f>$D$7+D7</f>
        <v>3080.6</v>
      </c>
      <c r="F7" s="7">
        <f t="shared" ref="F7:M7" si="2">$D$7+E7</f>
        <v>4620.8999999999996</v>
      </c>
      <c r="G7" s="7">
        <f t="shared" si="2"/>
        <v>6161.2</v>
      </c>
      <c r="H7" s="7">
        <f t="shared" si="2"/>
        <v>7701.5</v>
      </c>
      <c r="I7" s="7">
        <f t="shared" si="2"/>
        <v>9241.7999999999993</v>
      </c>
      <c r="J7" s="7">
        <f t="shared" si="2"/>
        <v>10782.099999999999</v>
      </c>
      <c r="K7" s="7">
        <f t="shared" si="2"/>
        <v>12322.399999999998</v>
      </c>
      <c r="L7" s="7">
        <f t="shared" si="2"/>
        <v>13862.699999999997</v>
      </c>
      <c r="M7" s="8">
        <f t="shared" si="2"/>
        <v>15402.999999999996</v>
      </c>
      <c r="P7" s="9"/>
      <c r="Q7" s="7" t="s">
        <v>10</v>
      </c>
      <c r="R7" s="14">
        <v>77245</v>
      </c>
      <c r="S7" s="7">
        <v>1</v>
      </c>
      <c r="T7" s="15">
        <f t="shared" si="0"/>
        <v>77245</v>
      </c>
      <c r="U7" s="7"/>
      <c r="V7" s="7"/>
      <c r="W7" s="24"/>
      <c r="X7" s="14"/>
      <c r="Y7" s="73"/>
      <c r="Z7" s="14"/>
      <c r="AA7" s="7"/>
      <c r="AB7" s="8"/>
      <c r="AE7" s="50" t="s">
        <v>34</v>
      </c>
      <c r="AF7" s="36" t="s">
        <v>33</v>
      </c>
      <c r="AG7" s="52">
        <v>86990</v>
      </c>
      <c r="AH7" s="36">
        <v>1</v>
      </c>
      <c r="AI7" s="53">
        <f>AG7*AH7</f>
        <v>86990</v>
      </c>
    </row>
    <row r="8" spans="2:39" x14ac:dyDescent="0.3">
      <c r="B8" s="9" t="s">
        <v>115</v>
      </c>
      <c r="C8" s="18">
        <f>$L$30*C7</f>
        <v>0</v>
      </c>
      <c r="D8" s="18">
        <f>$L$30*D7</f>
        <v>130925500</v>
      </c>
      <c r="E8" s="18">
        <f>$L$30*E7</f>
        <v>261851000</v>
      </c>
      <c r="F8" s="18">
        <f>$L$30*F7</f>
        <v>392776499.99999994</v>
      </c>
      <c r="G8" s="18">
        <f>$L$30*G7</f>
        <v>523702000</v>
      </c>
      <c r="H8" s="18">
        <f>$L$30*H7</f>
        <v>654627500</v>
      </c>
      <c r="I8" s="18">
        <f>$L$30*I7</f>
        <v>785552999.99999988</v>
      </c>
      <c r="J8" s="18">
        <f>$L$30*J7</f>
        <v>916478499.99999988</v>
      </c>
      <c r="K8" s="18">
        <f>$L$30*K7</f>
        <v>1047403999.9999998</v>
      </c>
      <c r="L8" s="18">
        <f>$L$30*L7</f>
        <v>1178329499.9999998</v>
      </c>
      <c r="M8" s="120">
        <f>$L$30*M7</f>
        <v>1309254999.9999998</v>
      </c>
      <c r="P8" s="9"/>
      <c r="Q8" s="24" t="s">
        <v>15</v>
      </c>
      <c r="R8" s="18">
        <v>2200000</v>
      </c>
      <c r="S8" s="7">
        <v>3</v>
      </c>
      <c r="T8" s="15">
        <f>R8*S8</f>
        <v>6600000</v>
      </c>
      <c r="U8" s="7"/>
      <c r="V8" s="7"/>
      <c r="W8" s="7"/>
      <c r="X8" s="7"/>
      <c r="Y8" s="7"/>
      <c r="Z8" s="7"/>
      <c r="AA8" s="7"/>
      <c r="AB8" s="8"/>
      <c r="AE8" s="50" t="s">
        <v>36</v>
      </c>
      <c r="AF8" s="51" t="s">
        <v>35</v>
      </c>
      <c r="AG8" s="52">
        <v>145490</v>
      </c>
      <c r="AH8" s="36">
        <v>4</v>
      </c>
      <c r="AI8" s="53">
        <f>AG8*AH8</f>
        <v>581960</v>
      </c>
    </row>
    <row r="9" spans="2:39" x14ac:dyDescent="0.3">
      <c r="B9" s="9" t="s">
        <v>110</v>
      </c>
      <c r="C9" s="18">
        <f>A8</f>
        <v>0</v>
      </c>
      <c r="D9" s="121">
        <f>D8</f>
        <v>130925500</v>
      </c>
      <c r="E9" s="121">
        <f t="shared" ref="E9:M9" si="3">E8</f>
        <v>261851000</v>
      </c>
      <c r="F9" s="121">
        <f t="shared" si="3"/>
        <v>392776499.99999994</v>
      </c>
      <c r="G9" s="121">
        <f t="shared" si="3"/>
        <v>523702000</v>
      </c>
      <c r="H9" s="121">
        <f t="shared" si="3"/>
        <v>654627500</v>
      </c>
      <c r="I9" s="121">
        <f t="shared" si="3"/>
        <v>785552999.99999988</v>
      </c>
      <c r="J9" s="121">
        <f t="shared" si="3"/>
        <v>916478499.99999988</v>
      </c>
      <c r="K9" s="121">
        <f t="shared" si="3"/>
        <v>1047403999.9999998</v>
      </c>
      <c r="L9" s="121">
        <f t="shared" si="3"/>
        <v>1178329499.9999998</v>
      </c>
      <c r="M9" s="122">
        <f t="shared" si="3"/>
        <v>1309254999.9999998</v>
      </c>
      <c r="P9" s="9"/>
      <c r="Q9" s="24" t="s">
        <v>17</v>
      </c>
      <c r="R9" s="18">
        <v>1700000</v>
      </c>
      <c r="S9" s="7">
        <v>2</v>
      </c>
      <c r="T9" s="15">
        <f>R9*S9</f>
        <v>3400000</v>
      </c>
      <c r="U9" s="7"/>
      <c r="V9" s="7"/>
      <c r="W9" s="7"/>
      <c r="X9" s="7"/>
      <c r="Y9" s="7"/>
      <c r="Z9" s="7"/>
      <c r="AA9" s="7"/>
      <c r="AB9" s="8"/>
      <c r="AE9" s="50" t="s">
        <v>38</v>
      </c>
      <c r="AF9" s="36" t="s">
        <v>37</v>
      </c>
      <c r="AG9" s="52">
        <v>13290</v>
      </c>
      <c r="AH9" s="36">
        <v>7</v>
      </c>
      <c r="AI9" s="53">
        <f>AG9*AH9</f>
        <v>93030</v>
      </c>
    </row>
    <row r="10" spans="2:39" x14ac:dyDescent="0.3">
      <c r="B10" s="10" t="s">
        <v>111</v>
      </c>
      <c r="C10" s="20">
        <v>0</v>
      </c>
      <c r="D10" s="123">
        <f>D9-(D9*$F$34)</f>
        <v>95575615</v>
      </c>
      <c r="E10" s="123">
        <f>E9-(E9*$F$34)</f>
        <v>191151230</v>
      </c>
      <c r="F10" s="123">
        <f>F9-(F9*$F$34)</f>
        <v>286726844.99999994</v>
      </c>
      <c r="G10" s="123">
        <f>G9-(G9*$F$34)</f>
        <v>382302460</v>
      </c>
      <c r="H10" s="123">
        <f>H9-(H9*$F$34)</f>
        <v>477878075</v>
      </c>
      <c r="I10" s="123">
        <f>I9-(I9*$F$34)</f>
        <v>573453689.99999988</v>
      </c>
      <c r="J10" s="123">
        <f>J9-(J9*$F$34)</f>
        <v>669029304.99999988</v>
      </c>
      <c r="K10" s="123">
        <f>K9-(K9*$F$34)</f>
        <v>764604919.99999976</v>
      </c>
      <c r="L10" s="123">
        <f>L9-(L9*$F$34)</f>
        <v>860180534.99999976</v>
      </c>
      <c r="M10" s="124">
        <f>M9-(M9*$F$34)</f>
        <v>955756149.99999976</v>
      </c>
      <c r="P10" s="9"/>
      <c r="Q10" s="24" t="s">
        <v>18</v>
      </c>
      <c r="R10" s="18">
        <v>1400000</v>
      </c>
      <c r="S10" s="7">
        <v>1</v>
      </c>
      <c r="T10" s="15">
        <f>R10*S10</f>
        <v>1400000</v>
      </c>
      <c r="U10" s="7"/>
      <c r="V10" s="7"/>
      <c r="W10" s="7"/>
      <c r="X10" s="7"/>
      <c r="Y10" s="7"/>
      <c r="Z10" s="7"/>
      <c r="AA10" s="7"/>
      <c r="AB10" s="8"/>
      <c r="AE10" s="50" t="s">
        <v>40</v>
      </c>
      <c r="AF10" s="36" t="s">
        <v>39</v>
      </c>
      <c r="AG10" s="52">
        <v>4990</v>
      </c>
      <c r="AH10" s="36">
        <v>6</v>
      </c>
      <c r="AI10" s="53">
        <f>AG10*AH10</f>
        <v>29940</v>
      </c>
    </row>
    <row r="11" spans="2:39" x14ac:dyDescent="0.3">
      <c r="P11" s="10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2"/>
      <c r="AE11" s="50" t="s">
        <v>93</v>
      </c>
      <c r="AF11" s="36" t="s">
        <v>41</v>
      </c>
      <c r="AG11" s="52">
        <v>94990</v>
      </c>
      <c r="AH11" s="36">
        <v>6</v>
      </c>
      <c r="AI11" s="53">
        <f>AG11*AH11</f>
        <v>569940</v>
      </c>
    </row>
    <row r="12" spans="2:39" x14ac:dyDescent="0.3">
      <c r="B12" s="28" t="s">
        <v>4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30"/>
      <c r="AE12" s="50"/>
      <c r="AF12" s="36"/>
      <c r="AG12" s="36"/>
      <c r="AH12" s="36"/>
      <c r="AI12" s="54"/>
    </row>
    <row r="13" spans="2:39" x14ac:dyDescent="0.3">
      <c r="B13" s="72" t="s">
        <v>13</v>
      </c>
      <c r="C13" s="5" t="s">
        <v>14</v>
      </c>
      <c r="D13" s="118">
        <f>$U$5*12</f>
        <v>139521696</v>
      </c>
      <c r="E13" s="118">
        <f t="shared" ref="E13:M13" si="4">$U$5*12</f>
        <v>139521696</v>
      </c>
      <c r="F13" s="118">
        <f t="shared" si="4"/>
        <v>139521696</v>
      </c>
      <c r="G13" s="118">
        <f t="shared" si="4"/>
        <v>139521696</v>
      </c>
      <c r="H13" s="118">
        <f t="shared" si="4"/>
        <v>139521696</v>
      </c>
      <c r="I13" s="118">
        <f t="shared" si="4"/>
        <v>139521696</v>
      </c>
      <c r="J13" s="118">
        <f t="shared" si="4"/>
        <v>139521696</v>
      </c>
      <c r="K13" s="118">
        <f t="shared" si="4"/>
        <v>139521696</v>
      </c>
      <c r="L13" s="118">
        <f t="shared" si="4"/>
        <v>139521696</v>
      </c>
      <c r="M13" s="119">
        <f t="shared" si="4"/>
        <v>139521696</v>
      </c>
      <c r="AE13" s="9"/>
      <c r="AF13" s="7"/>
      <c r="AG13" s="7"/>
      <c r="AH13" s="36" t="s">
        <v>42</v>
      </c>
      <c r="AI13" s="53">
        <f>SUM(AI6:AI11)</f>
        <v>5241820</v>
      </c>
    </row>
    <row r="14" spans="2:39" x14ac:dyDescent="0.3">
      <c r="B14" s="9" t="s">
        <v>24</v>
      </c>
      <c r="C14" s="7" t="s">
        <v>14</v>
      </c>
      <c r="D14" s="18">
        <f>$AA$5*12</f>
        <v>1716000</v>
      </c>
      <c r="E14" s="18">
        <f t="shared" ref="E14:M14" si="5">$AA$5*12</f>
        <v>1716000</v>
      </c>
      <c r="F14" s="18">
        <f t="shared" si="5"/>
        <v>1716000</v>
      </c>
      <c r="G14" s="18">
        <f t="shared" si="5"/>
        <v>1716000</v>
      </c>
      <c r="H14" s="18">
        <f t="shared" si="5"/>
        <v>1716000</v>
      </c>
      <c r="I14" s="18">
        <f t="shared" si="5"/>
        <v>1716000</v>
      </c>
      <c r="J14" s="18">
        <f t="shared" si="5"/>
        <v>1716000</v>
      </c>
      <c r="K14" s="18">
        <f t="shared" si="5"/>
        <v>1716000</v>
      </c>
      <c r="L14" s="18">
        <f t="shared" si="5"/>
        <v>1716000</v>
      </c>
      <c r="M14" s="120">
        <f t="shared" si="5"/>
        <v>1716000</v>
      </c>
      <c r="AE14" s="55" t="s">
        <v>44</v>
      </c>
      <c r="AF14" s="56"/>
      <c r="AG14" s="56"/>
      <c r="AH14" s="56"/>
      <c r="AI14" s="57"/>
    </row>
    <row r="15" spans="2:39" x14ac:dyDescent="0.3">
      <c r="B15" s="9" t="s">
        <v>71</v>
      </c>
      <c r="C15" s="7" t="s">
        <v>14</v>
      </c>
      <c r="D15" s="18">
        <f>$AI$13/6</f>
        <v>873636.66666666663</v>
      </c>
      <c r="E15" s="18">
        <f t="shared" ref="E15:I15" si="6">$AI$13/6</f>
        <v>873636.66666666663</v>
      </c>
      <c r="F15" s="18">
        <f t="shared" si="6"/>
        <v>873636.66666666663</v>
      </c>
      <c r="G15" s="18">
        <f t="shared" si="6"/>
        <v>873636.66666666663</v>
      </c>
      <c r="H15" s="18">
        <f t="shared" si="6"/>
        <v>873636.66666666663</v>
      </c>
      <c r="I15" s="18">
        <f t="shared" si="6"/>
        <v>873636.66666666663</v>
      </c>
      <c r="J15" s="18">
        <v>0</v>
      </c>
      <c r="K15" s="18">
        <v>0</v>
      </c>
      <c r="L15" s="18">
        <v>0</v>
      </c>
      <c r="M15" s="120">
        <v>0</v>
      </c>
      <c r="AE15" s="37" t="s">
        <v>43</v>
      </c>
      <c r="AF15" s="38" t="s">
        <v>27</v>
      </c>
      <c r="AG15" s="38" t="s">
        <v>28</v>
      </c>
      <c r="AH15" s="38" t="s">
        <v>29</v>
      </c>
      <c r="AI15" s="39" t="s">
        <v>30</v>
      </c>
    </row>
    <row r="16" spans="2:39" ht="18" x14ac:dyDescent="0.35">
      <c r="B16" s="9" t="s">
        <v>72</v>
      </c>
      <c r="C16" s="7" t="s">
        <v>14</v>
      </c>
      <c r="D16" s="18">
        <f>$AI$25/7</f>
        <v>387392.85714285716</v>
      </c>
      <c r="E16" s="18">
        <f t="shared" ref="E16:J16" si="7">$AI$25/7</f>
        <v>387392.85714285716</v>
      </c>
      <c r="F16" s="18">
        <f t="shared" si="7"/>
        <v>387392.85714285716</v>
      </c>
      <c r="G16" s="18">
        <f t="shared" si="7"/>
        <v>387392.85714285716</v>
      </c>
      <c r="H16" s="18">
        <f t="shared" si="7"/>
        <v>387392.85714285716</v>
      </c>
      <c r="I16" s="18">
        <f t="shared" si="7"/>
        <v>387392.85714285716</v>
      </c>
      <c r="J16" s="18">
        <f t="shared" si="7"/>
        <v>387392.85714285716</v>
      </c>
      <c r="K16" s="18">
        <v>0</v>
      </c>
      <c r="L16" s="18">
        <v>0</v>
      </c>
      <c r="M16" s="120">
        <v>0</v>
      </c>
      <c r="P16" s="88" t="s">
        <v>94</v>
      </c>
      <c r="Q16" s="88"/>
      <c r="R16" s="88"/>
      <c r="AE16" s="58" t="s">
        <v>47</v>
      </c>
      <c r="AF16" s="40" t="s">
        <v>46</v>
      </c>
      <c r="AG16" s="59">
        <v>81990</v>
      </c>
      <c r="AH16" s="40">
        <v>6</v>
      </c>
      <c r="AI16" s="60">
        <f>AG16*AH16</f>
        <v>491940</v>
      </c>
    </row>
    <row r="17" spans="2:35" x14ac:dyDescent="0.3">
      <c r="B17" s="9" t="s">
        <v>25</v>
      </c>
      <c r="C17" s="7" t="s">
        <v>14</v>
      </c>
      <c r="D17" s="18">
        <f>R31</f>
        <v>127500</v>
      </c>
      <c r="E17" s="18">
        <f>S31</f>
        <v>102753.61130537049</v>
      </c>
      <c r="F17" s="18">
        <f>T31</f>
        <v>77636.026780321539</v>
      </c>
      <c r="G17" s="18">
        <f>U31</f>
        <v>52141.678487396865</v>
      </c>
      <c r="H17" s="18">
        <f>V31</f>
        <v>26264.914970078313</v>
      </c>
      <c r="I17" s="18">
        <v>0</v>
      </c>
      <c r="J17" s="18">
        <v>0</v>
      </c>
      <c r="K17" s="18">
        <v>0</v>
      </c>
      <c r="L17" s="18">
        <v>0</v>
      </c>
      <c r="M17" s="120">
        <v>0</v>
      </c>
      <c r="AE17" s="58" t="s">
        <v>49</v>
      </c>
      <c r="AF17" s="40" t="s">
        <v>48</v>
      </c>
      <c r="AG17" s="59">
        <v>79990</v>
      </c>
      <c r="AH17" s="40">
        <v>6</v>
      </c>
      <c r="AI17" s="60">
        <f>AG17*AH17</f>
        <v>479940</v>
      </c>
    </row>
    <row r="18" spans="2:35" ht="18" x14ac:dyDescent="0.35">
      <c r="B18" s="9" t="s">
        <v>26</v>
      </c>
      <c r="C18" s="7" t="s">
        <v>14</v>
      </c>
      <c r="D18" s="18">
        <f>R32</f>
        <v>1649759.2463086336</v>
      </c>
      <c r="E18" s="18">
        <f>S32</f>
        <v>1674505.6350032631</v>
      </c>
      <c r="F18" s="18">
        <f>T32</f>
        <v>1699623.2195283121</v>
      </c>
      <c r="G18" s="18">
        <f>U32</f>
        <v>1725117.5678212368</v>
      </c>
      <c r="H18" s="18">
        <f>V32</f>
        <v>1750994.3313385553</v>
      </c>
      <c r="I18" s="18">
        <v>0</v>
      </c>
      <c r="J18" s="18">
        <v>0</v>
      </c>
      <c r="K18" s="18">
        <v>0</v>
      </c>
      <c r="L18" s="18">
        <v>0</v>
      </c>
      <c r="M18" s="120">
        <v>0</v>
      </c>
      <c r="P18" s="75" t="s">
        <v>80</v>
      </c>
      <c r="Q18" s="76"/>
      <c r="T18" s="77" t="s">
        <v>77</v>
      </c>
      <c r="U18" s="78"/>
      <c r="V18" s="79"/>
      <c r="Y18" s="77" t="s">
        <v>100</v>
      </c>
      <c r="Z18" s="79"/>
      <c r="AE18" s="58" t="s">
        <v>51</v>
      </c>
      <c r="AF18" s="40" t="s">
        <v>50</v>
      </c>
      <c r="AG18" s="59">
        <v>299990</v>
      </c>
      <c r="AH18" s="40">
        <v>1</v>
      </c>
      <c r="AI18" s="60">
        <f>AG18*AH18</f>
        <v>299990</v>
      </c>
    </row>
    <row r="19" spans="2:35" x14ac:dyDescent="0.3">
      <c r="B19" s="9" t="s">
        <v>91</v>
      </c>
      <c r="C19" s="18">
        <f>AL2</f>
        <v>24000000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20">
        <v>0</v>
      </c>
      <c r="P19" s="9" t="s">
        <v>106</v>
      </c>
      <c r="Q19" s="8">
        <v>5</v>
      </c>
      <c r="T19" s="71" t="s">
        <v>79</v>
      </c>
      <c r="U19" s="68" t="s">
        <v>78</v>
      </c>
      <c r="V19" s="71" t="s">
        <v>75</v>
      </c>
      <c r="Y19" s="17" t="s">
        <v>99</v>
      </c>
      <c r="Z19" s="102">
        <v>27551.56</v>
      </c>
      <c r="AE19" s="58" t="s">
        <v>52</v>
      </c>
      <c r="AF19" s="40" t="s">
        <v>53</v>
      </c>
      <c r="AG19" s="59">
        <v>29990</v>
      </c>
      <c r="AH19" s="40">
        <v>1</v>
      </c>
      <c r="AI19" s="60">
        <f t="shared" ref="AI19:AI23" si="8">AG19*AH19</f>
        <v>29990</v>
      </c>
    </row>
    <row r="20" spans="2:35" x14ac:dyDescent="0.3">
      <c r="B20" s="9" t="s">
        <v>45</v>
      </c>
      <c r="C20" s="18">
        <f>AI13</f>
        <v>5241820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20">
        <v>0</v>
      </c>
      <c r="P20" s="9" t="s">
        <v>82</v>
      </c>
      <c r="Q20" s="8" t="s">
        <v>84</v>
      </c>
      <c r="T20" s="69" t="s">
        <v>73</v>
      </c>
      <c r="U20" s="70">
        <v>7</v>
      </c>
      <c r="V20" s="69">
        <v>2</v>
      </c>
      <c r="Y20" s="17" t="s">
        <v>101</v>
      </c>
      <c r="Z20" s="102">
        <v>48305</v>
      </c>
      <c r="AE20" s="58" t="s">
        <v>55</v>
      </c>
      <c r="AF20" s="40" t="s">
        <v>54</v>
      </c>
      <c r="AG20" s="59">
        <v>79990</v>
      </c>
      <c r="AH20" s="40">
        <v>2</v>
      </c>
      <c r="AI20" s="60">
        <f t="shared" si="8"/>
        <v>159980</v>
      </c>
    </row>
    <row r="21" spans="2:35" x14ac:dyDescent="0.3">
      <c r="B21" s="9" t="s">
        <v>92</v>
      </c>
      <c r="C21" s="18">
        <f>AI25</f>
        <v>2711750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20">
        <v>0</v>
      </c>
      <c r="P21" s="9" t="s">
        <v>83</v>
      </c>
      <c r="Q21" s="8" t="s">
        <v>85</v>
      </c>
      <c r="T21" s="67" t="s">
        <v>74</v>
      </c>
      <c r="U21" s="67">
        <v>6</v>
      </c>
      <c r="V21" s="67">
        <v>2</v>
      </c>
      <c r="Y21" s="17" t="s">
        <v>102</v>
      </c>
      <c r="Z21" s="16">
        <v>678</v>
      </c>
      <c r="AE21" s="58" t="s">
        <v>62</v>
      </c>
      <c r="AF21" s="40" t="s">
        <v>63</v>
      </c>
      <c r="AG21" s="59">
        <v>69990</v>
      </c>
      <c r="AH21" s="40">
        <v>1</v>
      </c>
      <c r="AI21" s="60">
        <f t="shared" si="8"/>
        <v>69990</v>
      </c>
    </row>
    <row r="22" spans="2:35" x14ac:dyDescent="0.3">
      <c r="B22" s="10" t="s">
        <v>95</v>
      </c>
      <c r="C22" s="20">
        <f>AI30</f>
        <v>246136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104">
        <v>0</v>
      </c>
      <c r="P22" s="9" t="s">
        <v>105</v>
      </c>
      <c r="Q22" s="16">
        <v>8500000</v>
      </c>
      <c r="Y22" s="17" t="s">
        <v>103</v>
      </c>
      <c r="Z22" s="16">
        <v>759.02</v>
      </c>
      <c r="AE22" s="58" t="s">
        <v>57</v>
      </c>
      <c r="AF22" s="40" t="s">
        <v>56</v>
      </c>
      <c r="AG22" s="59">
        <v>799990</v>
      </c>
      <c r="AH22" s="40">
        <v>1</v>
      </c>
      <c r="AI22" s="60">
        <f>AG22*AH22</f>
        <v>799990</v>
      </c>
    </row>
    <row r="23" spans="2:35" x14ac:dyDescent="0.3">
      <c r="P23" s="9" t="s">
        <v>86</v>
      </c>
      <c r="Q23" s="107">
        <v>1.4999999999999999E-2</v>
      </c>
      <c r="Y23" s="17" t="s">
        <v>104</v>
      </c>
      <c r="Z23" s="16">
        <v>100.53</v>
      </c>
      <c r="AE23" s="58" t="s">
        <v>59</v>
      </c>
      <c r="AF23" s="40" t="s">
        <v>58</v>
      </c>
      <c r="AG23" s="59">
        <v>199990</v>
      </c>
      <c r="AH23" s="40">
        <v>1</v>
      </c>
      <c r="AI23" s="60">
        <f>AG23*AH23</f>
        <v>199990</v>
      </c>
    </row>
    <row r="24" spans="2:35" x14ac:dyDescent="0.3">
      <c r="B24" s="111" t="s">
        <v>125</v>
      </c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3"/>
      <c r="P24" s="108" t="s">
        <v>122</v>
      </c>
      <c r="Q24" s="12" t="s">
        <v>123</v>
      </c>
      <c r="Y24" s="103" t="s">
        <v>117</v>
      </c>
      <c r="Z24" s="104">
        <v>10.4</v>
      </c>
      <c r="AE24" s="58" t="s">
        <v>61</v>
      </c>
      <c r="AF24" s="40" t="s">
        <v>60</v>
      </c>
      <c r="AG24" s="59">
        <v>29990</v>
      </c>
      <c r="AH24" s="40">
        <v>6</v>
      </c>
      <c r="AI24" s="60">
        <f>AG24*AH24</f>
        <v>179940</v>
      </c>
    </row>
    <row r="25" spans="2:35" x14ac:dyDescent="0.3">
      <c r="B25" s="72" t="s">
        <v>126</v>
      </c>
      <c r="C25" s="114">
        <f>C6-C19-C20-C21-C22</f>
        <v>-23699706</v>
      </c>
      <c r="D25" s="114">
        <f>D10-SUM(D13,D14,D18,D19,D20,D21,D22)</f>
        <v>-47311840.246308625</v>
      </c>
      <c r="E25" s="114">
        <f t="shared" ref="E25:M25" si="9">E10-SUM(E13,E14,E18,E19,E20,E21,E22)</f>
        <v>48239028.364996731</v>
      </c>
      <c r="F25" s="114">
        <f t="shared" si="9"/>
        <v>143789525.78047162</v>
      </c>
      <c r="G25" s="114">
        <f t="shared" si="9"/>
        <v>239339646.43217877</v>
      </c>
      <c r="H25" s="114">
        <f t="shared" si="9"/>
        <v>334889384.66866148</v>
      </c>
      <c r="I25" s="114">
        <f t="shared" si="9"/>
        <v>432215993.99999988</v>
      </c>
      <c r="J25" s="114">
        <f t="shared" si="9"/>
        <v>527791608.99999988</v>
      </c>
      <c r="K25" s="114">
        <f t="shared" si="9"/>
        <v>623367223.99999976</v>
      </c>
      <c r="L25" s="114">
        <f t="shared" si="9"/>
        <v>718942838.99999976</v>
      </c>
      <c r="M25" s="115">
        <f t="shared" si="9"/>
        <v>814518453.99999976</v>
      </c>
      <c r="AE25" s="9"/>
      <c r="AF25" s="7"/>
      <c r="AG25" s="7"/>
      <c r="AH25" s="40" t="s">
        <v>42</v>
      </c>
      <c r="AI25" s="60">
        <f>SUM(AI16:AI24)</f>
        <v>2711750</v>
      </c>
    </row>
    <row r="26" spans="2:35" x14ac:dyDescent="0.3">
      <c r="B26" s="10" t="s">
        <v>127</v>
      </c>
      <c r="C26" s="116">
        <f>C25</f>
        <v>-23699706</v>
      </c>
      <c r="D26" s="116">
        <f>D25+C26</f>
        <v>-71011546.246308625</v>
      </c>
      <c r="E26" s="116">
        <f t="shared" ref="E26:M26" si="10">E25+D26</f>
        <v>-22772517.881311893</v>
      </c>
      <c r="F26" s="116">
        <f t="shared" si="10"/>
        <v>121017007.89915973</v>
      </c>
      <c r="G26" s="116">
        <f t="shared" si="10"/>
        <v>360356654.33133852</v>
      </c>
      <c r="H26" s="116">
        <f t="shared" si="10"/>
        <v>695246039</v>
      </c>
      <c r="I26" s="116">
        <f t="shared" si="10"/>
        <v>1127462033</v>
      </c>
      <c r="J26" s="116">
        <f t="shared" si="10"/>
        <v>1655253642</v>
      </c>
      <c r="K26" s="116">
        <f t="shared" si="10"/>
        <v>2278620866</v>
      </c>
      <c r="L26" s="116">
        <f t="shared" si="10"/>
        <v>2997563705</v>
      </c>
      <c r="M26" s="117">
        <f t="shared" si="10"/>
        <v>3812082159</v>
      </c>
      <c r="P26" s="74" t="s">
        <v>76</v>
      </c>
      <c r="AE26" s="61" t="s">
        <v>64</v>
      </c>
      <c r="AF26" s="62"/>
      <c r="AG26" s="62"/>
      <c r="AH26" s="62"/>
      <c r="AI26" s="63"/>
    </row>
    <row r="27" spans="2:35" x14ac:dyDescent="0.3">
      <c r="AE27" s="41" t="s">
        <v>19</v>
      </c>
      <c r="AF27" s="42" t="s">
        <v>27</v>
      </c>
      <c r="AG27" s="42" t="s">
        <v>28</v>
      </c>
      <c r="AH27" s="42" t="s">
        <v>65</v>
      </c>
      <c r="AI27" s="43" t="s">
        <v>30</v>
      </c>
    </row>
    <row r="28" spans="2:35" ht="18" x14ac:dyDescent="0.35">
      <c r="P28" s="77" t="s">
        <v>107</v>
      </c>
      <c r="Q28" s="78"/>
      <c r="R28" s="78"/>
      <c r="S28" s="78"/>
      <c r="T28" s="78"/>
      <c r="U28" s="78"/>
      <c r="V28" s="79"/>
      <c r="AE28" s="84" t="s">
        <v>67</v>
      </c>
      <c r="AF28" s="85" t="s">
        <v>66</v>
      </c>
      <c r="AG28" s="86">
        <v>96573</v>
      </c>
      <c r="AH28" s="86">
        <v>96573</v>
      </c>
      <c r="AI28" s="87">
        <f>SUM(AG28:AH28)</f>
        <v>193146</v>
      </c>
    </row>
    <row r="29" spans="2:35" ht="18" x14ac:dyDescent="0.35">
      <c r="B29" s="97" t="s">
        <v>88</v>
      </c>
      <c r="C29" s="98"/>
      <c r="D29" s="98"/>
      <c r="E29" s="98"/>
      <c r="F29" s="98"/>
      <c r="G29" s="98"/>
      <c r="H29" s="98"/>
      <c r="I29" s="99"/>
      <c r="K29" s="77" t="s">
        <v>112</v>
      </c>
      <c r="L29" s="79"/>
      <c r="P29" s="94" t="s">
        <v>1</v>
      </c>
      <c r="Q29" s="2">
        <v>0</v>
      </c>
      <c r="R29" s="2">
        <v>1</v>
      </c>
      <c r="S29" s="2">
        <v>2</v>
      </c>
      <c r="T29" s="2">
        <v>3</v>
      </c>
      <c r="U29" s="2">
        <v>4</v>
      </c>
      <c r="V29" s="3">
        <v>5</v>
      </c>
      <c r="AE29" s="64" t="s">
        <v>68</v>
      </c>
      <c r="AF29" s="44" t="s">
        <v>69</v>
      </c>
      <c r="AG29" s="45">
        <v>52990</v>
      </c>
      <c r="AH29" s="45">
        <v>0</v>
      </c>
      <c r="AI29" s="65">
        <f>SUM(AG29:AH29)</f>
        <v>52990</v>
      </c>
    </row>
    <row r="30" spans="2:35" x14ac:dyDescent="0.3">
      <c r="B30" s="101" t="s">
        <v>1</v>
      </c>
      <c r="C30" s="5">
        <v>1</v>
      </c>
      <c r="D30" s="5">
        <v>2</v>
      </c>
      <c r="E30" s="5">
        <v>3</v>
      </c>
      <c r="F30" s="5">
        <v>4</v>
      </c>
      <c r="G30" s="5">
        <v>5</v>
      </c>
      <c r="H30" s="5">
        <v>6</v>
      </c>
      <c r="I30" s="6">
        <v>7</v>
      </c>
      <c r="K30" s="72" t="s">
        <v>114</v>
      </c>
      <c r="L30" s="105">
        <v>85000</v>
      </c>
      <c r="P30" s="94" t="s">
        <v>96</v>
      </c>
      <c r="Q30" s="95">
        <v>0</v>
      </c>
      <c r="R30" s="95">
        <f>PMT($Q$23,$Q$19,-$Q$33)</f>
        <v>1777259.2463086336</v>
      </c>
      <c r="S30" s="95">
        <f>PMT($Q$23,$Q$19,-$Q$33)</f>
        <v>1777259.2463086336</v>
      </c>
      <c r="T30" s="95">
        <f>PMT($Q$23,$Q$19,-$Q$33)</f>
        <v>1777259.2463086336</v>
      </c>
      <c r="U30" s="95">
        <f>PMT($Q$23,$Q$19,-$Q$33)</f>
        <v>1777259.2463086336</v>
      </c>
      <c r="V30" s="96">
        <f>PMT($Q$23,$Q$19,-$Q$33)</f>
        <v>1777259.2463086336</v>
      </c>
      <c r="AE30" s="9"/>
      <c r="AF30" s="7"/>
      <c r="AG30" s="7"/>
      <c r="AH30" s="44" t="s">
        <v>42</v>
      </c>
      <c r="AI30" s="65">
        <f>SUM(AI28:AI29)</f>
        <v>246136</v>
      </c>
    </row>
    <row r="31" spans="2:35" x14ac:dyDescent="0.3">
      <c r="B31" s="17" t="s">
        <v>89</v>
      </c>
      <c r="C31" s="15">
        <f>$AI$13/$U$21</f>
        <v>873636.66666666663</v>
      </c>
      <c r="D31" s="15">
        <f t="shared" ref="D31:H31" si="11">$AI$13/$U$21</f>
        <v>873636.66666666663</v>
      </c>
      <c r="E31" s="15">
        <f t="shared" si="11"/>
        <v>873636.66666666663</v>
      </c>
      <c r="F31" s="15">
        <f t="shared" si="11"/>
        <v>873636.66666666663</v>
      </c>
      <c r="G31" s="15">
        <f t="shared" si="11"/>
        <v>873636.66666666663</v>
      </c>
      <c r="H31" s="15">
        <f t="shared" si="11"/>
        <v>873636.66666666663</v>
      </c>
      <c r="I31" s="16">
        <v>0</v>
      </c>
      <c r="K31" s="10" t="s">
        <v>113</v>
      </c>
      <c r="L31" s="106">
        <f>L30/1000</f>
        <v>85</v>
      </c>
      <c r="P31" s="94" t="s">
        <v>25</v>
      </c>
      <c r="Q31" s="95">
        <v>0</v>
      </c>
      <c r="R31" s="95">
        <f>+Q33*$Q$23</f>
        <v>127500</v>
      </c>
      <c r="S31" s="95">
        <f>+R33*$Q$23</f>
        <v>102753.61130537049</v>
      </c>
      <c r="T31" s="95">
        <f>+S33*$Q$23</f>
        <v>77636.026780321539</v>
      </c>
      <c r="U31" s="95">
        <f>+T33*$Q$23</f>
        <v>52141.678487396865</v>
      </c>
      <c r="V31" s="96">
        <f>+U33*$Q$23</f>
        <v>26264.914970078313</v>
      </c>
      <c r="AE31" s="10"/>
      <c r="AF31" s="11"/>
      <c r="AG31" s="11"/>
      <c r="AH31" s="91" t="s">
        <v>70</v>
      </c>
      <c r="AI31" s="92">
        <f>SUM(AI30,AI25,AI13)</f>
        <v>8199706</v>
      </c>
    </row>
    <row r="32" spans="2:35" x14ac:dyDescent="0.3">
      <c r="B32" s="19" t="s">
        <v>90</v>
      </c>
      <c r="C32" s="21">
        <f>$AI$25/$U$20</f>
        <v>387392.85714285716</v>
      </c>
      <c r="D32" s="21">
        <f t="shared" ref="D32:I32" si="12">$AI$25/$U$20</f>
        <v>387392.85714285716</v>
      </c>
      <c r="E32" s="21">
        <f t="shared" si="12"/>
        <v>387392.85714285716</v>
      </c>
      <c r="F32" s="21">
        <f t="shared" si="12"/>
        <v>387392.85714285716</v>
      </c>
      <c r="G32" s="21">
        <f t="shared" si="12"/>
        <v>387392.85714285716</v>
      </c>
      <c r="H32" s="21">
        <f t="shared" si="12"/>
        <v>387392.85714285716</v>
      </c>
      <c r="I32" s="100">
        <f t="shared" si="12"/>
        <v>387392.85714285716</v>
      </c>
      <c r="P32" s="94" t="s">
        <v>82</v>
      </c>
      <c r="Q32" s="95">
        <v>0</v>
      </c>
      <c r="R32" s="95">
        <f>+R30-R31</f>
        <v>1649759.2463086336</v>
      </c>
      <c r="S32" s="95">
        <f>+S30-S31</f>
        <v>1674505.6350032631</v>
      </c>
      <c r="T32" s="95">
        <f>+T30-T31</f>
        <v>1699623.2195283121</v>
      </c>
      <c r="U32" s="95">
        <f>+U30-U31</f>
        <v>1725117.5678212368</v>
      </c>
      <c r="V32" s="96">
        <f>+V30-V31</f>
        <v>1750994.3313385553</v>
      </c>
    </row>
    <row r="33" spans="2:22" x14ac:dyDescent="0.3">
      <c r="P33" s="94" t="s">
        <v>97</v>
      </c>
      <c r="Q33" s="93">
        <f>Q22</f>
        <v>8500000</v>
      </c>
      <c r="R33" s="95">
        <f>+Q33-R32</f>
        <v>6850240.7536913659</v>
      </c>
      <c r="S33" s="95">
        <f>+R33-S32</f>
        <v>5175735.1186881028</v>
      </c>
      <c r="T33" s="95">
        <f>+S33-T32</f>
        <v>3476111.8991597909</v>
      </c>
      <c r="U33" s="95">
        <f>+T33-U32</f>
        <v>1750994.3313385542</v>
      </c>
      <c r="V33" s="96">
        <f>+U33-V32</f>
        <v>0</v>
      </c>
    </row>
    <row r="34" spans="2:22" x14ac:dyDescent="0.3">
      <c r="B34" s="110" t="s">
        <v>118</v>
      </c>
      <c r="C34" s="82"/>
      <c r="E34" s="1" t="s">
        <v>124</v>
      </c>
      <c r="F34" s="109">
        <v>0.27</v>
      </c>
      <c r="P34" s="94" t="s">
        <v>98</v>
      </c>
      <c r="Q34" s="95">
        <v>0</v>
      </c>
      <c r="R34" s="95">
        <f>+R32+Q34</f>
        <v>1649759.2463086336</v>
      </c>
      <c r="S34" s="95">
        <f>+S32+R34</f>
        <v>3324264.8813118967</v>
      </c>
      <c r="T34" s="95">
        <f>+T32+S34</f>
        <v>5023888.1008402091</v>
      </c>
      <c r="U34" s="95">
        <f>+U32+T34</f>
        <v>6749005.6686614454</v>
      </c>
      <c r="V34" s="96">
        <f>+V32+U34</f>
        <v>8500000</v>
      </c>
    </row>
    <row r="35" spans="2:22" x14ac:dyDescent="0.3">
      <c r="B35" s="72" t="s">
        <v>119</v>
      </c>
      <c r="C35" s="105">
        <v>15403</v>
      </c>
    </row>
    <row r="36" spans="2:22" x14ac:dyDescent="0.3">
      <c r="B36" s="9" t="s">
        <v>120</v>
      </c>
      <c r="C36" s="90">
        <v>16396</v>
      </c>
    </row>
    <row r="37" spans="2:22" x14ac:dyDescent="0.3">
      <c r="B37" s="10" t="s">
        <v>121</v>
      </c>
      <c r="C37" s="106">
        <v>126049</v>
      </c>
    </row>
  </sheetData>
  <mergeCells count="17">
    <mergeCell ref="B24:M24"/>
    <mergeCell ref="B29:I29"/>
    <mergeCell ref="K29:L29"/>
    <mergeCell ref="P28:V28"/>
    <mergeCell ref="P18:Q18"/>
    <mergeCell ref="AK3:AM3"/>
    <mergeCell ref="Y18:Z18"/>
    <mergeCell ref="AE26:AI26"/>
    <mergeCell ref="AE3:AI3"/>
    <mergeCell ref="T18:V18"/>
    <mergeCell ref="P3:AB3"/>
    <mergeCell ref="AE4:AI4"/>
    <mergeCell ref="B5:M5"/>
    <mergeCell ref="B12:M12"/>
    <mergeCell ref="AE14:AI14"/>
    <mergeCell ref="B2:I2"/>
    <mergeCell ref="B3:M3"/>
  </mergeCells>
  <hyperlinks>
    <hyperlink ref="AF6" r:id="rId1" xr:uid="{6D76B733-6FED-4565-9634-7EA9162D0F57}"/>
    <hyperlink ref="AF7" r:id="rId2" xr:uid="{667A3B4B-FD30-4000-A713-1B94783530D2}"/>
    <hyperlink ref="AF8" r:id="rId3" xr:uid="{42A0548E-8832-49B5-B045-6A5E0D664167}"/>
    <hyperlink ref="AF9" r:id="rId4" xr:uid="{13F905CE-2EB5-4B35-B44F-90FBA54E9CCF}"/>
    <hyperlink ref="AF10" r:id="rId5" xr:uid="{87B3DCFE-ED7B-471E-8D09-D252030424C0}"/>
    <hyperlink ref="AF11" r:id="rId6" xr:uid="{5D800F4E-D3DC-41C8-AC75-C8A2BEAB4B69}"/>
    <hyperlink ref="AF16" r:id="rId7" xr:uid="{FA54AD1C-A7BF-42BA-9156-C12A6EE0E01B}"/>
    <hyperlink ref="AF17" r:id="rId8" xr:uid="{12BF7F31-7FE1-4960-B6E9-166E47D36B66}"/>
    <hyperlink ref="AF18" r:id="rId9" xr:uid="{6D703D76-C593-49F0-A234-98C15D41866C}"/>
    <hyperlink ref="AF19" r:id="rId10" xr:uid="{3FF83D8F-593C-4599-9368-4A0F2FF6B8B5}"/>
    <hyperlink ref="AF20" r:id="rId11" xr:uid="{BE47B76F-3EB1-4022-9E61-8F8CBE1B5676}"/>
    <hyperlink ref="AF22" r:id="rId12" xr:uid="{957EC630-CE3C-4BE7-ACDF-262B3AF31FC7}"/>
    <hyperlink ref="AF23" r:id="rId13" xr:uid="{3BB76C5E-3924-48E9-89A2-3D0DE76DB32E}"/>
    <hyperlink ref="AF24" r:id="rId14" xr:uid="{1EA1FF47-E2B9-4897-95A8-6BD721916037}"/>
    <hyperlink ref="AF21" r:id="rId15" xr:uid="{05989B02-A311-468E-B131-EA428FA919D9}"/>
    <hyperlink ref="AF28" r:id="rId16" xr:uid="{4E6BDC8B-825B-40E8-B342-84044F92B51D}"/>
    <hyperlink ref="AF29" r:id="rId17" xr:uid="{62582AAB-FC15-4C36-9A83-A7A09A047CDA}"/>
  </hyperlinks>
  <pageMargins left="0.7" right="0.7" top="0.75" bottom="0.75" header="0.3" footer="0.3"/>
  <pageSetup orientation="portrait" horizontalDpi="0" verticalDpi="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Flujo de caja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2019-05-04T02:57:02Z</dcterms:modified>
</cp:coreProperties>
</file>