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E9C43CE-D874-45E8-9165-B63CBA568A3E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Flujo de caja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2" i="1" l="1"/>
  <c r="AC13" i="1"/>
  <c r="AB28" i="1"/>
  <c r="AA29" i="1"/>
  <c r="AA28" i="1"/>
  <c r="AM6" i="1"/>
  <c r="AO6" i="1" s="1"/>
  <c r="AM7" i="1"/>
  <c r="AO7" i="1" s="1"/>
  <c r="AM8" i="1"/>
  <c r="AM9" i="1"/>
  <c r="AO9" i="1" s="1"/>
  <c r="AM10" i="1"/>
  <c r="AM11" i="1"/>
  <c r="AO11" i="1" s="1"/>
  <c r="AM12" i="1"/>
  <c r="AM13" i="1"/>
  <c r="AM14" i="1"/>
  <c r="AM15" i="1"/>
  <c r="AM16" i="1"/>
  <c r="AM17" i="1"/>
  <c r="AO17" i="1" s="1"/>
  <c r="AM18" i="1"/>
  <c r="AM19" i="1"/>
  <c r="AM20" i="1"/>
  <c r="AM21" i="1"/>
  <c r="AM22" i="1"/>
  <c r="AM23" i="1"/>
  <c r="AO23" i="1" s="1"/>
  <c r="AM24" i="1"/>
  <c r="AM5" i="1"/>
  <c r="AO5" i="1" s="1"/>
  <c r="AO8" i="1"/>
  <c r="AO12" i="1"/>
  <c r="AO16" i="1"/>
  <c r="AO19" i="1"/>
  <c r="AO20" i="1"/>
  <c r="AO15" i="1"/>
  <c r="AO10" i="1"/>
  <c r="AO13" i="1"/>
  <c r="AO14" i="1"/>
  <c r="AO18" i="1"/>
  <c r="AO21" i="1"/>
  <c r="AO22" i="1"/>
  <c r="AO24" i="1"/>
  <c r="AO25" i="1" l="1"/>
  <c r="C19" i="1" s="1"/>
  <c r="C9" i="1"/>
  <c r="C8" i="1"/>
  <c r="D7" i="1"/>
  <c r="L30" i="1"/>
  <c r="C6" i="1"/>
  <c r="R29" i="1"/>
  <c r="V26" i="1" s="1"/>
  <c r="AC29" i="1"/>
  <c r="AC28" i="1"/>
  <c r="AC21" i="1"/>
  <c r="AC24" i="1"/>
  <c r="AC23" i="1"/>
  <c r="AC22" i="1"/>
  <c r="AC19" i="1"/>
  <c r="AC20" i="1"/>
  <c r="AC18" i="1"/>
  <c r="AC17" i="1"/>
  <c r="AC16" i="1"/>
  <c r="AC11" i="1"/>
  <c r="AC10" i="1"/>
  <c r="AC9" i="1"/>
  <c r="AC8" i="1"/>
  <c r="AC7" i="1"/>
  <c r="AC6" i="1"/>
  <c r="T15" i="1"/>
  <c r="T14" i="1"/>
  <c r="T6" i="1"/>
  <c r="T7" i="1"/>
  <c r="T8" i="1"/>
  <c r="T9" i="1"/>
  <c r="T10" i="1"/>
  <c r="T5" i="1"/>
  <c r="AC30" i="1" l="1"/>
  <c r="C22" i="1" s="1"/>
  <c r="U26" i="1"/>
  <c r="S27" i="1"/>
  <c r="D17" i="1" s="1"/>
  <c r="S26" i="1"/>
  <c r="T26" i="1"/>
  <c r="W26" i="1"/>
  <c r="E7" i="1"/>
  <c r="E8" i="1" s="1"/>
  <c r="E9" i="1" s="1"/>
  <c r="E10" i="1" s="1"/>
  <c r="D8" i="1"/>
  <c r="D9" i="1" s="1"/>
  <c r="D10" i="1" s="1"/>
  <c r="U14" i="1"/>
  <c r="H14" i="1" s="1"/>
  <c r="AC25" i="1"/>
  <c r="D16" i="1" s="1"/>
  <c r="U5" i="1"/>
  <c r="F13" i="1" s="1"/>
  <c r="M13" i="1" l="1"/>
  <c r="I14" i="1"/>
  <c r="L13" i="1"/>
  <c r="G14" i="1"/>
  <c r="S28" i="1"/>
  <c r="D18" i="1" s="1"/>
  <c r="F14" i="1"/>
  <c r="AC31" i="1"/>
  <c r="D31" i="1"/>
  <c r="H31" i="1"/>
  <c r="H16" i="1"/>
  <c r="G31" i="1"/>
  <c r="E31" i="1"/>
  <c r="I31" i="1"/>
  <c r="E16" i="1"/>
  <c r="I16" i="1"/>
  <c r="C21" i="1"/>
  <c r="G16" i="1"/>
  <c r="F31" i="1"/>
  <c r="C31" i="1"/>
  <c r="F16" i="1"/>
  <c r="J16" i="1"/>
  <c r="E30" i="1"/>
  <c r="C30" i="1"/>
  <c r="E15" i="1"/>
  <c r="I15" i="1"/>
  <c r="F30" i="1"/>
  <c r="F15" i="1"/>
  <c r="D15" i="1"/>
  <c r="H30" i="1"/>
  <c r="H15" i="1"/>
  <c r="C20" i="1"/>
  <c r="G30" i="1"/>
  <c r="G15" i="1"/>
  <c r="D30" i="1"/>
  <c r="J14" i="1"/>
  <c r="M14" i="1"/>
  <c r="E14" i="1"/>
  <c r="D14" i="1"/>
  <c r="L14" i="1"/>
  <c r="K14" i="1"/>
  <c r="F7" i="1"/>
  <c r="J13" i="1"/>
  <c r="D13" i="1"/>
  <c r="H13" i="1"/>
  <c r="G13" i="1"/>
  <c r="E13" i="1"/>
  <c r="K13" i="1"/>
  <c r="I13" i="1"/>
  <c r="C25" i="1" l="1"/>
  <c r="C26" i="1" s="1"/>
  <c r="D25" i="1"/>
  <c r="S30" i="1"/>
  <c r="S29" i="1"/>
  <c r="T27" i="1" s="1"/>
  <c r="E17" i="1" s="1"/>
  <c r="G7" i="1"/>
  <c r="F8" i="1"/>
  <c r="F9" i="1" s="1"/>
  <c r="F10" i="1" s="1"/>
  <c r="D26" i="1" l="1"/>
  <c r="T28" i="1"/>
  <c r="E18" i="1" s="1"/>
  <c r="E25" i="1" s="1"/>
  <c r="H7" i="1"/>
  <c r="G8" i="1"/>
  <c r="G9" i="1" s="1"/>
  <c r="G10" i="1" s="1"/>
  <c r="E26" i="1" l="1"/>
  <c r="T29" i="1"/>
  <c r="U27" i="1" s="1"/>
  <c r="T30" i="1"/>
  <c r="I7" i="1"/>
  <c r="H8" i="1"/>
  <c r="H9" i="1" s="1"/>
  <c r="H10" i="1" s="1"/>
  <c r="J7" i="1" l="1"/>
  <c r="I8" i="1"/>
  <c r="I9" i="1" s="1"/>
  <c r="I10" i="1" s="1"/>
  <c r="I25" i="1" s="1"/>
  <c r="U28" i="1"/>
  <c r="F17" i="1"/>
  <c r="K7" i="1" l="1"/>
  <c r="J8" i="1"/>
  <c r="J9" i="1" s="1"/>
  <c r="J10" i="1" s="1"/>
  <c r="J25" i="1" s="1"/>
  <c r="F18" i="1"/>
  <c r="F25" i="1" s="1"/>
  <c r="F26" i="1" s="1"/>
  <c r="U30" i="1"/>
  <c r="U29" i="1"/>
  <c r="L7" i="1" l="1"/>
  <c r="K8" i="1"/>
  <c r="K9" i="1" s="1"/>
  <c r="K10" i="1" s="1"/>
  <c r="K25" i="1" s="1"/>
  <c r="V27" i="1"/>
  <c r="M7" i="1" l="1"/>
  <c r="M8" i="1" s="1"/>
  <c r="M9" i="1" s="1"/>
  <c r="M10" i="1" s="1"/>
  <c r="M25" i="1" s="1"/>
  <c r="L8" i="1"/>
  <c r="L9" i="1" s="1"/>
  <c r="L10" i="1" s="1"/>
  <c r="L25" i="1" s="1"/>
  <c r="V28" i="1"/>
  <c r="G17" i="1"/>
  <c r="V30" i="1" l="1"/>
  <c r="G18" i="1"/>
  <c r="G25" i="1" s="1"/>
  <c r="G26" i="1" s="1"/>
  <c r="V29" i="1"/>
  <c r="W27" i="1" l="1"/>
  <c r="W28" i="1" l="1"/>
  <c r="H17" i="1"/>
  <c r="W30" i="1" l="1"/>
  <c r="H18" i="1"/>
  <c r="H25" i="1" s="1"/>
  <c r="H26" i="1" s="1"/>
  <c r="I26" i="1" s="1"/>
  <c r="J26" i="1" s="1"/>
  <c r="K26" i="1" s="1"/>
  <c r="L26" i="1" s="1"/>
  <c r="M26" i="1" s="1"/>
  <c r="W29" i="1"/>
</calcChain>
</file>

<file path=xl/sharedStrings.xml><?xml version="1.0" encoding="utf-8"?>
<sst xmlns="http://schemas.openxmlformats.org/spreadsheetml/2006/main" count="226" uniqueCount="172">
  <si>
    <t>Determinacion de los flujos de efectivo</t>
  </si>
  <si>
    <t>Año</t>
  </si>
  <si>
    <t>Detalle de ingreso</t>
  </si>
  <si>
    <t>Detalle de egreso</t>
  </si>
  <si>
    <t>Electricidad</t>
  </si>
  <si>
    <t>Agua</t>
  </si>
  <si>
    <t>Inversion inicial</t>
  </si>
  <si>
    <r>
      <rPr>
        <b/>
        <sz val="11"/>
        <color theme="1"/>
        <rFont val="Calibri"/>
        <family val="2"/>
        <scheme val="minor"/>
      </rPr>
      <t>Oficina</t>
    </r>
    <r>
      <rPr>
        <sz val="11"/>
        <color theme="1"/>
        <rFont val="Calibri"/>
        <family val="2"/>
        <scheme val="minor"/>
      </rPr>
      <t xml:space="preserve"> (Torre nueva Barcelona, Barcelona 2116, Providencia RM)</t>
    </r>
  </si>
  <si>
    <r>
      <rPr>
        <b/>
        <sz val="11"/>
        <color theme="1"/>
        <rFont val="Calibri"/>
        <family val="2"/>
        <scheme val="minor"/>
      </rPr>
      <t>Telecomunicaciones</t>
    </r>
    <r>
      <rPr>
        <sz val="11"/>
        <color theme="1"/>
        <rFont val="Calibri"/>
        <family val="2"/>
        <scheme val="minor"/>
      </rPr>
      <t xml:space="preserve"> (TRIPLEPACK negocios conectado VTR)</t>
    </r>
  </si>
  <si>
    <t>Costos Fijos Mensual</t>
  </si>
  <si>
    <t>Costos Variables Mensual</t>
  </si>
  <si>
    <t>Costos Fijos Anuales</t>
  </si>
  <si>
    <t>No aplica</t>
  </si>
  <si>
    <t>Programador Planta</t>
  </si>
  <si>
    <t>Cantidad</t>
  </si>
  <si>
    <t>DBA Planta</t>
  </si>
  <si>
    <t>Sys Admin Planta</t>
  </si>
  <si>
    <t>Item</t>
  </si>
  <si>
    <t>Costo total por item</t>
  </si>
  <si>
    <t>Total global</t>
  </si>
  <si>
    <t>Varianza</t>
  </si>
  <si>
    <t>Costo mas varianza</t>
  </si>
  <si>
    <t>Costo Variables Anuales</t>
  </si>
  <si>
    <t>Intereses</t>
  </si>
  <si>
    <t>Amortización</t>
  </si>
  <si>
    <t>Link</t>
  </si>
  <si>
    <t>Precio unitario</t>
  </si>
  <si>
    <t>Cantidad requerida</t>
  </si>
  <si>
    <t>Costo total</t>
  </si>
  <si>
    <t>https://www.pcfactory.cl/producto/27947-lenovo-rs160-intel-xeon-e3-1220-v6-3-0ghz-3-5ghz-tb--2x1tb-3-5-hdd-8gb-sr</t>
  </si>
  <si>
    <t>Lenovo RS160</t>
  </si>
  <si>
    <t>https://www.pcfactory.cl/producto/10608-exelink-rack-19-12u-600x450-ws1-6412</t>
  </si>
  <si>
    <t>Exelink Rack 19" 12U 600x450</t>
  </si>
  <si>
    <t>https://www.pcfactory.cl/producto/26955-dell-memoria-ram-certificada-8-gb--1rx8-udimm-2400mhz</t>
  </si>
  <si>
    <t>Dell Memoria RAM 8GB UDIMM 2400MHZ</t>
  </si>
  <si>
    <t>https://www.pcfactory.cl/producto/20234-logitech-combo-teclado--mouse-mk120-usb</t>
  </si>
  <si>
    <t>Logitech Combo Teclado + Mouse MK120 USB</t>
  </si>
  <si>
    <t>https://www.pcfactory.cl/producto/6254-kensington-mouse-pad--apoya-muneca-wrist-pillow</t>
  </si>
  <si>
    <t>Kensington Mouse Pad</t>
  </si>
  <si>
    <t>https://www.pcfactory.cl/producto/29871-gear-monitor-23-8-mc2435a-slim-bezel-full-hd</t>
  </si>
  <si>
    <t>Total</t>
  </si>
  <si>
    <t xml:space="preserve">Item </t>
  </si>
  <si>
    <t>Inversion en inmueble</t>
  </si>
  <si>
    <t>Inversion en tecnologia</t>
  </si>
  <si>
    <t>https://www.sodimac.cl/sodimac-cl/product/315498X/Escritorio-Naira-120x56x76-cm-blanco-y-oak/315498X</t>
  </si>
  <si>
    <t>Escritorio Naira 120x56x76</t>
  </si>
  <si>
    <t>https://www.sodimac.cl/sodimac-cl/product/2671115/Silla-para-PC-63x104-cm-negro/2671115</t>
  </si>
  <si>
    <t>Silla para PC 63x104</t>
  </si>
  <si>
    <t>https://www.sodimac.cl/sodimac-cl/product/3737446/LED-55-NU7100-4K-Ultra-HD-Smart-TV/3737446</t>
  </si>
  <si>
    <t>LED 55" NU7100 4k Ultra HD Smart TV Samsung</t>
  </si>
  <si>
    <t>Kit soporte 15° abrazadera doble 32 " a 55" Dairu</t>
  </si>
  <si>
    <t>https://www.sodimac.cl/sodimac-cl/product/2922401/Kit-soporte-15%C2%B0-abrazadera-doble-32-a-55-/2922401</t>
  </si>
  <si>
    <t>https://www.sodimac.cl/sodimac-cl/product/3774627/Sillon-pouf-90x60x140-cm-azul/3774627</t>
  </si>
  <si>
    <t>Sillon puf 90x60x140 cm azul White Market</t>
  </si>
  <si>
    <t>https://www.sodimac.cl/sodimac-cl/product/3450112/Aire-acondicionado-split-inverter-24000-BTU-blanco/3450112</t>
  </si>
  <si>
    <t>Aire acondicionado split inverter 24000 BTU blanco Kendal</t>
  </si>
  <si>
    <t>https://www.sodimac.cl/sodimac-cl/product/2841800/Mesa-de-comedor-76x90x150-cm-nogal/2841800</t>
  </si>
  <si>
    <t>Mesa de comedor 76x90x150 cm nogal Homy</t>
  </si>
  <si>
    <t>https://www.sodimac.cl/sodimac-cl/product/2906961/Silla-100x47x60-cm-beige/2906953</t>
  </si>
  <si>
    <t>Silla 100x47x60 cm chocolate Homy</t>
  </si>
  <si>
    <t>Futon 82x182x103 cm negro Just Home Collection</t>
  </si>
  <si>
    <t>https://www.sodimac.cl/sodimac-cl/product/3104672</t>
  </si>
  <si>
    <t>Inversion en servicios</t>
  </si>
  <si>
    <t>Monto en garantia</t>
  </si>
  <si>
    <t>https://inmueble.mercadolibre.cl/MLC-474796236-torre-nueva-barcelona-_JM</t>
  </si>
  <si>
    <t>Arriendo de oficina Barcelona 2116 Providencia, Rm (Metropolitana)</t>
  </si>
  <si>
    <t>TRIPLEPACK negocios conectado VTR (Internet+TV+Telefono)</t>
  </si>
  <si>
    <t>https://vtr.com/productos/NegociosPacks/triple-pack-banda-ancha-television-telefonia?gclid=CjwKCAjwza_mBRBTEiwASDWVvoKp3c596mUtit0kXx4XMJC-PCZ9zJGq3x5N35mDz_BhaexT3GGc6hoCXB8QAvD_BwE</t>
  </si>
  <si>
    <t>Total Global</t>
  </si>
  <si>
    <t>Depreciacion tecnologica</t>
  </si>
  <si>
    <t>Depreciacion de mobiliario</t>
  </si>
  <si>
    <t>Genericos (22- Muebles y enseres)</t>
  </si>
  <si>
    <t>Activos genericos (23- Sistemas computaciones)</t>
  </si>
  <si>
    <t>Depreciacion Acelerada</t>
  </si>
  <si>
    <t>En esta oportunidad la depreciacion sera normal</t>
  </si>
  <si>
    <t>Tabla de depreciacion (años)</t>
  </si>
  <si>
    <t xml:space="preserve">Vida util normal </t>
  </si>
  <si>
    <t>Clase</t>
  </si>
  <si>
    <t>Prestamo</t>
  </si>
  <si>
    <t>Costos operacionales</t>
  </si>
  <si>
    <t>Amortizacion</t>
  </si>
  <si>
    <t>Cuotas</t>
  </si>
  <si>
    <t>Fijas</t>
  </si>
  <si>
    <t>Interes (Mensual)</t>
  </si>
  <si>
    <t>Valor de desecho</t>
  </si>
  <si>
    <t>Valor de desecho tecnologico</t>
  </si>
  <si>
    <t>Valor de desecho mobiliario</t>
  </si>
  <si>
    <t>Desarrollo de software</t>
  </si>
  <si>
    <t>Inversion en inmuebles</t>
  </si>
  <si>
    <t>Gear Monitor 23,8" MC2435A Slim Bezel Full HD</t>
  </si>
  <si>
    <t>Prestamo Frances</t>
  </si>
  <si>
    <t>Servicios varios</t>
  </si>
  <si>
    <t>Anualidad</t>
  </si>
  <si>
    <t>Cap. Vivo</t>
  </si>
  <si>
    <t>Cap. Amort.</t>
  </si>
  <si>
    <t>UF</t>
  </si>
  <si>
    <t>Cambio a la fecha</t>
  </si>
  <si>
    <t>UTM</t>
  </si>
  <si>
    <t>Dólar</t>
  </si>
  <si>
    <t>Euro</t>
  </si>
  <si>
    <t>Yuan</t>
  </si>
  <si>
    <t>Monto CLP</t>
  </si>
  <si>
    <t>Plazo (Años)</t>
  </si>
  <si>
    <t>Tabla de amortizacion</t>
  </si>
  <si>
    <t>Inversion</t>
  </si>
  <si>
    <t>Utilidad antes de impuesto</t>
  </si>
  <si>
    <t>Utilidad despues de impuesto</t>
  </si>
  <si>
    <t>Precios</t>
  </si>
  <si>
    <t>M^2</t>
  </si>
  <si>
    <t>Km^2</t>
  </si>
  <si>
    <t>Coste (km^2)</t>
  </si>
  <si>
    <t>Alcance (km^2)</t>
  </si>
  <si>
    <t>Rublo</t>
  </si>
  <si>
    <t>Superficie Km^2</t>
  </si>
  <si>
    <t>Region metropolitana</t>
  </si>
  <si>
    <t>Valparaiso</t>
  </si>
  <si>
    <t>Antofagasta</t>
  </si>
  <si>
    <t>Forma de pago</t>
  </si>
  <si>
    <t>Deposito</t>
  </si>
  <si>
    <t>Impuestos</t>
  </si>
  <si>
    <t>Balance</t>
  </si>
  <si>
    <t>Flujo de efectivo</t>
  </si>
  <si>
    <t>Flujo acumulado</t>
  </si>
  <si>
    <t>Nombre</t>
  </si>
  <si>
    <t>Rol</t>
  </si>
  <si>
    <t>Fecha de inicio</t>
  </si>
  <si>
    <t>Fecha de termino</t>
  </si>
  <si>
    <t>Horas diarias normales</t>
  </si>
  <si>
    <t>Acum. Horas extra</t>
  </si>
  <si>
    <t>Fecha de termino extraordinario</t>
  </si>
  <si>
    <t>Evaluacion Financiera de VA-RV (Vision artificial para reconocimiento vehicular) a 10 años a partir de 07/05/2019</t>
  </si>
  <si>
    <t>Anual</t>
  </si>
  <si>
    <t>No definido</t>
  </si>
  <si>
    <r>
      <rPr>
        <b/>
        <sz val="11"/>
        <color theme="1"/>
        <rFont val="Calibri"/>
        <family val="2"/>
        <scheme val="minor"/>
      </rPr>
      <t>Contabilidad</t>
    </r>
    <r>
      <rPr>
        <sz val="11"/>
        <color theme="1"/>
        <rFont val="Calibri"/>
        <family val="2"/>
        <scheme val="minor"/>
      </rPr>
      <t xml:space="preserve"> (www.masqueuno.cl Plan Contabilidad Empresa)</t>
    </r>
  </si>
  <si>
    <t xml:space="preserve">Costos de desarrollo Metodologia Scrum Ciclo de vida Prototype - Vision Artificial Para Reconocimiento Vehicular </t>
  </si>
  <si>
    <t>Carta Gantt</t>
  </si>
  <si>
    <t>Actividad</t>
  </si>
  <si>
    <t>Scrum Master</t>
  </si>
  <si>
    <t>Product owner</t>
  </si>
  <si>
    <t>Programador</t>
  </si>
  <si>
    <t>DBA</t>
  </si>
  <si>
    <t>Sys admin</t>
  </si>
  <si>
    <t>Jefe de programacion</t>
  </si>
  <si>
    <t>Inicio</t>
  </si>
  <si>
    <t>Fin</t>
  </si>
  <si>
    <t>Definicion de proyecto</t>
  </si>
  <si>
    <t>Planeacion de proyecto</t>
  </si>
  <si>
    <t>Investigacion de factibilidad</t>
  </si>
  <si>
    <t>Recopilacion de requerimientos</t>
  </si>
  <si>
    <t>Iteracion 1 sobre los requerimientos</t>
  </si>
  <si>
    <t>Iteracion 1 sobre la programacion</t>
  </si>
  <si>
    <t>Iteracion 2 sobre la programacion</t>
  </si>
  <si>
    <t>Iteracion 2 sobre los requerimientos</t>
  </si>
  <si>
    <t>Iteracion 3 sobre la programacion</t>
  </si>
  <si>
    <t>Iteracion 3 sobre los requerimientos</t>
  </si>
  <si>
    <t>Iteracion 4 sobre la programacion</t>
  </si>
  <si>
    <t>Iteracion 1 de pruebas</t>
  </si>
  <si>
    <t>Iteracion 4 de pruebas</t>
  </si>
  <si>
    <t>Iteracion 3 de pruebas</t>
  </si>
  <si>
    <t>Iteracion 2 de pruebas</t>
  </si>
  <si>
    <t>Fase de implementacion</t>
  </si>
  <si>
    <t>fase de marcha blanca</t>
  </si>
  <si>
    <t>Inicio de mantencion</t>
  </si>
  <si>
    <t>QA</t>
  </si>
  <si>
    <t>Jefe de QA</t>
  </si>
  <si>
    <t>Jefe de DB</t>
  </si>
  <si>
    <t>Costo hora</t>
  </si>
  <si>
    <t>Dias a la semana trabajados</t>
  </si>
  <si>
    <t>Horas totales trabajadas</t>
  </si>
  <si>
    <t>Costo final</t>
  </si>
  <si>
    <t>https://www.pcfactory.cl/producto/32507-acer-notebook-ultraliviano-swift-3-14-intel-i5-8250u-8gb-256gb-ssd-fhd-windows-10-sf314-54-51j6-1</t>
  </si>
  <si>
    <t>Notebook Acer Swift 3 14"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</si>
</sst>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 &quot;$&quot;* #,##0_ ;_ &quot;$&quot;* \-#,##0_ ;_ &quot;$&quot;* &quot;-&quot;??_ ;_ @_ 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</borders>
  <cellStyleXfs count="20">
    <xf numFmtId="0" fontId="0" fillId="0" borderId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4" applyNumberFormat="0" applyAlignment="0" applyProtection="0"/>
    <xf numFmtId="0" fontId="7" fillId="6" borderId="5" applyNumberFormat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2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2" fillId="17" borderId="0" applyNumberFormat="0" applyBorder="0" applyAlignment="0" applyProtection="0"/>
  </cellStyleXfs>
  <cellXfs count="1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2" fontId="0" fillId="0" borderId="0" xfId="2" applyFont="1"/>
    <xf numFmtId="164" fontId="0" fillId="0" borderId="0" xfId="1" applyNumberFormat="1" applyFont="1" applyBorder="1"/>
    <xf numFmtId="164" fontId="0" fillId="0" borderId="0" xfId="0" applyNumberFormat="1" applyBorder="1"/>
    <xf numFmtId="164" fontId="0" fillId="0" borderId="11" xfId="1" applyNumberFormat="1" applyFont="1" applyBorder="1"/>
    <xf numFmtId="0" fontId="8" fillId="0" borderId="10" xfId="0" applyFont="1" applyBorder="1"/>
    <xf numFmtId="42" fontId="0" fillId="0" borderId="0" xfId="2" applyFont="1" applyBorder="1"/>
    <xf numFmtId="0" fontId="8" fillId="0" borderId="12" xfId="0" applyFont="1" applyBorder="1"/>
    <xf numFmtId="42" fontId="0" fillId="0" borderId="13" xfId="2" applyFont="1" applyBorder="1"/>
    <xf numFmtId="164" fontId="0" fillId="0" borderId="13" xfId="0" applyNumberFormat="1" applyBorder="1"/>
    <xf numFmtId="0" fontId="5" fillId="4" borderId="0" xfId="6" applyBorder="1"/>
    <xf numFmtId="0" fontId="5" fillId="4" borderId="0" xfId="6" applyBorder="1" applyAlignment="1"/>
    <xf numFmtId="0" fontId="2" fillId="7" borderId="1" xfId="9" applyBorder="1"/>
    <xf numFmtId="0" fontId="2" fillId="7" borderId="2" xfId="9" applyBorder="1"/>
    <xf numFmtId="0" fontId="2" fillId="7" borderId="3" xfId="9" applyBorder="1"/>
    <xf numFmtId="0" fontId="2" fillId="7" borderId="0" xfId="9" applyBorder="1"/>
    <xf numFmtId="0" fontId="2" fillId="12" borderId="1" xfId="14" applyBorder="1"/>
    <xf numFmtId="0" fontId="2" fillId="12" borderId="2" xfId="14" applyBorder="1"/>
    <xf numFmtId="0" fontId="2" fillId="12" borderId="3" xfId="14" applyBorder="1"/>
    <xf numFmtId="0" fontId="2" fillId="12" borderId="0" xfId="14" applyBorder="1"/>
    <xf numFmtId="0" fontId="2" fillId="10" borderId="1" xfId="12" applyBorder="1"/>
    <xf numFmtId="0" fontId="2" fillId="10" borderId="2" xfId="12" applyBorder="1"/>
    <xf numFmtId="0" fontId="2" fillId="10" borderId="3" xfId="12" applyBorder="1"/>
    <xf numFmtId="0" fontId="2" fillId="10" borderId="0" xfId="12" applyBorder="1"/>
    <xf numFmtId="164" fontId="2" fillId="10" borderId="0" xfId="12" applyNumberFormat="1" applyBorder="1"/>
    <xf numFmtId="0" fontId="2" fillId="7" borderId="10" xfId="9" applyBorder="1"/>
    <xf numFmtId="0" fontId="12" fillId="7" borderId="0" xfId="16" applyFill="1" applyBorder="1"/>
    <xf numFmtId="164" fontId="2" fillId="7" borderId="0" xfId="9" applyNumberFormat="1" applyBorder="1"/>
    <xf numFmtId="164" fontId="2" fillId="7" borderId="11" xfId="9" applyNumberFormat="1" applyBorder="1" applyAlignment="1"/>
    <xf numFmtId="0" fontId="2" fillId="12" borderId="10" xfId="14" applyBorder="1"/>
    <xf numFmtId="164" fontId="2" fillId="12" borderId="0" xfId="14" applyNumberFormat="1" applyBorder="1"/>
    <xf numFmtId="164" fontId="2" fillId="12" borderId="11" xfId="14" applyNumberFormat="1" applyBorder="1"/>
    <xf numFmtId="0" fontId="2" fillId="10" borderId="10" xfId="12" applyBorder="1"/>
    <xf numFmtId="164" fontId="2" fillId="10" borderId="11" xfId="12" applyNumberFormat="1" applyBorder="1"/>
    <xf numFmtId="0" fontId="0" fillId="0" borderId="17" xfId="0" applyBorder="1"/>
    <xf numFmtId="0" fontId="0" fillId="0" borderId="6" xfId="0" applyBorder="1" applyAlignment="1"/>
    <xf numFmtId="0" fontId="0" fillId="0" borderId="15" xfId="0" applyBorder="1"/>
    <xf numFmtId="0" fontId="0" fillId="0" borderId="16" xfId="0" applyBorder="1"/>
    <xf numFmtId="0" fontId="0" fillId="0" borderId="6" xfId="0" applyBorder="1"/>
    <xf numFmtId="0" fontId="0" fillId="0" borderId="7" xfId="0" applyBorder="1"/>
    <xf numFmtId="9" fontId="0" fillId="0" borderId="0" xfId="3" applyFont="1" applyBorder="1"/>
    <xf numFmtId="0" fontId="13" fillId="0" borderId="0" xfId="0" applyFont="1"/>
    <xf numFmtId="0" fontId="2" fillId="10" borderId="7" xfId="12" applyBorder="1"/>
    <xf numFmtId="0" fontId="2" fillId="10" borderId="8" xfId="12" applyBorder="1"/>
    <xf numFmtId="164" fontId="2" fillId="10" borderId="8" xfId="12" applyNumberFormat="1" applyBorder="1"/>
    <xf numFmtId="164" fontId="2" fillId="10" borderId="9" xfId="12" applyNumberFormat="1" applyBorder="1"/>
    <xf numFmtId="3" fontId="0" fillId="0" borderId="11" xfId="0" applyNumberFormat="1" applyBorder="1"/>
    <xf numFmtId="0" fontId="16" fillId="3" borderId="13" xfId="5" applyFont="1" applyBorder="1"/>
    <xf numFmtId="164" fontId="16" fillId="3" borderId="14" xfId="5" applyNumberFormat="1" applyFont="1" applyBorder="1"/>
    <xf numFmtId="164" fontId="0" fillId="0" borderId="2" xfId="0" applyNumberFormat="1" applyBorder="1"/>
    <xf numFmtId="0" fontId="8" fillId="0" borderId="6" xfId="0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14" xfId="0" applyNumberFormat="1" applyBorder="1"/>
    <xf numFmtId="0" fontId="8" fillId="0" borderId="7" xfId="0" applyFont="1" applyBorder="1"/>
    <xf numFmtId="164" fontId="15" fillId="0" borderId="11" xfId="1" applyNumberFormat="1" applyFont="1" applyBorder="1"/>
    <xf numFmtId="0" fontId="8" fillId="0" borderId="12" xfId="0" applyFont="1" applyFill="1" applyBorder="1"/>
    <xf numFmtId="42" fontId="0" fillId="0" borderId="14" xfId="2" applyFont="1" applyBorder="1"/>
    <xf numFmtId="3" fontId="0" fillId="0" borderId="9" xfId="0" applyNumberFormat="1" applyBorder="1"/>
    <xf numFmtId="3" fontId="0" fillId="0" borderId="14" xfId="0" applyNumberFormat="1" applyBorder="1"/>
    <xf numFmtId="165" fontId="0" fillId="0" borderId="11" xfId="3" applyNumberFormat="1" applyFont="1" applyBorder="1"/>
    <xf numFmtId="0" fontId="0" fillId="0" borderId="12" xfId="0" applyFill="1" applyBorder="1"/>
    <xf numFmtId="9" fontId="0" fillId="0" borderId="3" xfId="3" applyFont="1" applyBorder="1"/>
    <xf numFmtId="42" fontId="0" fillId="0" borderId="8" xfId="2" applyFont="1" applyBorder="1"/>
    <xf numFmtId="42" fontId="0" fillId="0" borderId="9" xfId="2" applyFont="1" applyBorder="1"/>
    <xf numFmtId="42" fontId="0" fillId="0" borderId="11" xfId="2" applyFont="1" applyBorder="1"/>
    <xf numFmtId="42" fontId="0" fillId="0" borderId="0" xfId="0" applyNumberFormat="1" applyBorder="1"/>
    <xf numFmtId="42" fontId="0" fillId="0" borderId="11" xfId="0" applyNumberFormat="1" applyBorder="1"/>
    <xf numFmtId="42" fontId="0" fillId="0" borderId="13" xfId="0" applyNumberFormat="1" applyBorder="1"/>
    <xf numFmtId="42" fontId="0" fillId="0" borderId="14" xfId="0" applyNumberFormat="1" applyBorder="1"/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5" fillId="4" borderId="8" xfId="6" applyBorder="1" applyAlignment="1"/>
    <xf numFmtId="0" fontId="5" fillId="4" borderId="9" xfId="6" applyBorder="1" applyAlignment="1"/>
    <xf numFmtId="0" fontId="5" fillId="4" borderId="7" xfId="6" applyBorder="1" applyAlignment="1"/>
    <xf numFmtId="164" fontId="0" fillId="0" borderId="11" xfId="0" applyNumberFormat="1" applyBorder="1"/>
    <xf numFmtId="0" fontId="5" fillId="4" borderId="10" xfId="6" applyBorder="1"/>
    <xf numFmtId="0" fontId="5" fillId="4" borderId="11" xfId="6" applyBorder="1" applyAlignment="1"/>
    <xf numFmtId="0" fontId="17" fillId="15" borderId="0" xfId="17" applyFont="1" applyBorder="1"/>
    <xf numFmtId="15" fontId="0" fillId="0" borderId="0" xfId="0" applyNumberFormat="1"/>
    <xf numFmtId="42" fontId="0" fillId="0" borderId="6" xfId="0" applyNumberFormat="1" applyBorder="1"/>
    <xf numFmtId="42" fontId="19" fillId="6" borderId="6" xfId="8" applyNumberFormat="1" applyFont="1" applyBorder="1"/>
    <xf numFmtId="14" fontId="0" fillId="0" borderId="0" xfId="0" applyNumberFormat="1"/>
    <xf numFmtId="0" fontId="18" fillId="16" borderId="0" xfId="18" applyBorder="1"/>
    <xf numFmtId="0" fontId="2" fillId="17" borderId="7" xfId="19" applyBorder="1"/>
    <xf numFmtId="0" fontId="2" fillId="17" borderId="10" xfId="19" applyBorder="1"/>
    <xf numFmtId="0" fontId="2" fillId="17" borderId="12" xfId="19" applyBorder="1"/>
    <xf numFmtId="0" fontId="2" fillId="17" borderId="15" xfId="19" applyBorder="1"/>
    <xf numFmtId="0" fontId="2" fillId="17" borderId="16" xfId="19" applyBorder="1"/>
    <xf numFmtId="0" fontId="2" fillId="17" borderId="17" xfId="19" applyBorder="1"/>
    <xf numFmtId="14" fontId="2" fillId="17" borderId="15" xfId="19" applyNumberFormat="1" applyBorder="1"/>
    <xf numFmtId="14" fontId="2" fillId="17" borderId="16" xfId="19" applyNumberFormat="1" applyBorder="1"/>
    <xf numFmtId="14" fontId="2" fillId="17" borderId="17" xfId="19" applyNumberFormat="1" applyBorder="1"/>
    <xf numFmtId="42" fontId="2" fillId="17" borderId="15" xfId="2" applyFill="1" applyBorder="1"/>
    <xf numFmtId="42" fontId="2" fillId="17" borderId="8" xfId="2" applyFill="1" applyBorder="1"/>
    <xf numFmtId="42" fontId="2" fillId="17" borderId="0" xfId="2" applyFill="1" applyBorder="1"/>
    <xf numFmtId="42" fontId="2" fillId="17" borderId="13" xfId="2" applyFill="1" applyBorder="1"/>
    <xf numFmtId="42" fontId="2" fillId="17" borderId="16" xfId="2" applyFill="1" applyBorder="1"/>
    <xf numFmtId="42" fontId="2" fillId="17" borderId="17" xfId="2" applyFill="1" applyBorder="1"/>
    <xf numFmtId="42" fontId="0" fillId="0" borderId="0" xfId="0" applyNumberFormat="1"/>
    <xf numFmtId="0" fontId="0" fillId="0" borderId="0" xfId="0" applyNumberFormat="1"/>
    <xf numFmtId="0" fontId="12" fillId="0" borderId="0" xfId="16"/>
    <xf numFmtId="0" fontId="19" fillId="6" borderId="5" xfId="8" applyFont="1"/>
    <xf numFmtId="42" fontId="19" fillId="6" borderId="5" xfId="8" applyNumberFormat="1" applyFont="1"/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1" fillId="5" borderId="18" xfId="7" applyFont="1" applyBorder="1" applyAlignment="1">
      <alignment horizontal="center"/>
    </xf>
    <xf numFmtId="0" fontId="21" fillId="5" borderId="19" xfId="7" applyFont="1" applyBorder="1" applyAlignment="1">
      <alignment horizontal="center"/>
    </xf>
    <xf numFmtId="0" fontId="21" fillId="5" borderId="20" xfId="7" applyFont="1" applyBorder="1" applyAlignment="1">
      <alignment horizontal="center"/>
    </xf>
    <xf numFmtId="0" fontId="2" fillId="11" borderId="10" xfId="13" applyBorder="1" applyAlignment="1">
      <alignment horizontal="center"/>
    </xf>
    <xf numFmtId="0" fontId="2" fillId="11" borderId="0" xfId="13" applyBorder="1" applyAlignment="1">
      <alignment horizontal="center"/>
    </xf>
    <xf numFmtId="0" fontId="2" fillId="11" borderId="11" xfId="13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8" borderId="12" xfId="10" applyBorder="1" applyAlignment="1">
      <alignment horizontal="center"/>
    </xf>
    <xf numFmtId="0" fontId="2" fillId="8" borderId="13" xfId="10" applyBorder="1" applyAlignment="1">
      <alignment horizontal="center"/>
    </xf>
    <xf numFmtId="0" fontId="2" fillId="8" borderId="14" xfId="10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4" fillId="9" borderId="1" xfId="11" applyFont="1" applyBorder="1" applyAlignment="1">
      <alignment horizontal="center"/>
    </xf>
    <xf numFmtId="0" fontId="14" fillId="9" borderId="2" xfId="11" applyFont="1" applyBorder="1" applyAlignment="1">
      <alignment horizontal="center"/>
    </xf>
    <xf numFmtId="0" fontId="14" fillId="9" borderId="3" xfId="11" applyFont="1" applyBorder="1" applyAlignment="1">
      <alignment horizontal="center"/>
    </xf>
    <xf numFmtId="0" fontId="10" fillId="2" borderId="1" xfId="4" applyFont="1" applyBorder="1" applyAlignment="1">
      <alignment horizontal="center"/>
    </xf>
    <xf numFmtId="0" fontId="10" fillId="2" borderId="2" xfId="4" applyFont="1" applyBorder="1" applyAlignment="1">
      <alignment horizontal="center"/>
    </xf>
    <xf numFmtId="0" fontId="10" fillId="2" borderId="3" xfId="4" applyFont="1" applyBorder="1" applyAlignment="1">
      <alignment horizontal="center"/>
    </xf>
    <xf numFmtId="0" fontId="9" fillId="4" borderId="1" xfId="6" applyFont="1" applyBorder="1" applyAlignment="1">
      <alignment horizontal="center"/>
    </xf>
    <xf numFmtId="0" fontId="9" fillId="4" borderId="2" xfId="6" applyFont="1" applyBorder="1" applyAlignment="1">
      <alignment horizontal="center"/>
    </xf>
    <xf numFmtId="0" fontId="9" fillId="4" borderId="3" xfId="6" applyFont="1" applyBorder="1" applyAlignment="1">
      <alignment horizontal="center"/>
    </xf>
    <xf numFmtId="0" fontId="2" fillId="13" borderId="10" xfId="15" applyBorder="1" applyAlignment="1">
      <alignment horizontal="center"/>
    </xf>
    <xf numFmtId="0" fontId="2" fillId="13" borderId="0" xfId="15" applyBorder="1" applyAlignment="1">
      <alignment horizontal="center"/>
    </xf>
    <xf numFmtId="0" fontId="2" fillId="13" borderId="11" xfId="15" applyBorder="1" applyAlignment="1">
      <alignment horizontal="center"/>
    </xf>
    <xf numFmtId="0" fontId="0" fillId="14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</cellXfs>
  <cellStyles count="20">
    <cellStyle name="20% - Énfasis1" xfId="9" builtinId="30"/>
    <cellStyle name="20% - Énfasis2" xfId="19" builtinId="34"/>
    <cellStyle name="20% - Énfasis4" xfId="12" builtinId="42"/>
    <cellStyle name="20% - Énfasis6" xfId="14" builtinId="50"/>
    <cellStyle name="40% - Énfasis2" xfId="11" builtinId="35"/>
    <cellStyle name="60% - Énfasis1" xfId="10" builtinId="32"/>
    <cellStyle name="60% - Énfasis4" xfId="13" builtinId="44"/>
    <cellStyle name="60% - Énfasis6" xfId="15" builtinId="52"/>
    <cellStyle name="Bueno" xfId="4" builtinId="26"/>
    <cellStyle name="Énfasis1" xfId="17" builtinId="29"/>
    <cellStyle name="Énfasis2" xfId="18" builtinId="33"/>
    <cellStyle name="Entrada" xfId="7" builtinId="20"/>
    <cellStyle name="Hipervínculo" xfId="16" builtinId="8"/>
    <cellStyle name="Incorrecto" xfId="5" builtinId="27"/>
    <cellStyle name="Moneda" xfId="1" builtinId="4"/>
    <cellStyle name="Moneda [0]" xfId="2" builtinId="7"/>
    <cellStyle name="Neutral" xfId="6" builtinId="28"/>
    <cellStyle name="Normal" xfId="0" builtinId="0"/>
    <cellStyle name="Porcentaje" xfId="3" builtinId="5"/>
    <cellStyle name="Salida" xfId="8" builtinId="21"/>
  </cellStyles>
  <dxfs count="3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dimac.cl/sodimac-cl/product/2671115/Silla-para-PC-63x104-cm-negro/2671115" TargetMode="External"/><Relationship Id="rId13" Type="http://schemas.openxmlformats.org/officeDocument/2006/relationships/hyperlink" Target="https://www.sodimac.cl/sodimac-cl/product/2841800/Mesa-de-comedor-76x90x150-cm-nogal/2841800" TargetMode="External"/><Relationship Id="rId18" Type="http://schemas.openxmlformats.org/officeDocument/2006/relationships/hyperlink" Target="https://www.pcfactory.cl/producto/32507-acer-notebook-ultraliviano-swift-3-14-intel-i5-8250u-8gb-256gb-ssd-fhd-windows-10-sf314-54-51j6-1" TargetMode="External"/><Relationship Id="rId3" Type="http://schemas.openxmlformats.org/officeDocument/2006/relationships/hyperlink" Target="https://www.pcfactory.cl/producto/26955-dell-memoria-ram-certificada-8-gb--1rx8-udimm-2400mhz" TargetMode="External"/><Relationship Id="rId7" Type="http://schemas.openxmlformats.org/officeDocument/2006/relationships/hyperlink" Target="https://www.sodimac.cl/sodimac-cl/product/315498X/Escritorio-Naira-120x56x76-cm-blanco-y-oak/315498X" TargetMode="External"/><Relationship Id="rId12" Type="http://schemas.openxmlformats.org/officeDocument/2006/relationships/hyperlink" Target="https://www.sodimac.cl/sodimac-cl/product/3450112/Aire-acondicionado-split-inverter-24000-BTU-blanco/3450112" TargetMode="External"/><Relationship Id="rId17" Type="http://schemas.openxmlformats.org/officeDocument/2006/relationships/hyperlink" Target="https://vtr.com/productos/NegociosPacks/triple-pack-banda-ancha-television-telefonia?gclid=CjwKCAjwza_mBRBTEiwASDWVvoKp3c596mUtit0kXx4XMJC-PCZ9zJGq3x5N35mDz_BhaexT3GGc6hoCXB8QAvD_BwE" TargetMode="External"/><Relationship Id="rId2" Type="http://schemas.openxmlformats.org/officeDocument/2006/relationships/hyperlink" Target="https://www.pcfactory.cl/producto/10608-exelink-rack-19-12u-600x450-ws1-6412" TargetMode="External"/><Relationship Id="rId16" Type="http://schemas.openxmlformats.org/officeDocument/2006/relationships/hyperlink" Target="https://inmueble.mercadolibre.cl/MLC-474796236-torre-nueva-barcelona-_JM" TargetMode="External"/><Relationship Id="rId1" Type="http://schemas.openxmlformats.org/officeDocument/2006/relationships/hyperlink" Target="https://www.pcfactory.cl/producto/27947-lenovo-rs160-intel-xeon-e3-1220-v6-3-0ghz-3-5ghz-tb--2x1tb-3-5-hdd-8gb-sr" TargetMode="External"/><Relationship Id="rId6" Type="http://schemas.openxmlformats.org/officeDocument/2006/relationships/hyperlink" Target="https://www.pcfactory.cl/producto/29871-gear-monitor-23-8-mc2435a-slim-bezel-full-hd" TargetMode="External"/><Relationship Id="rId11" Type="http://schemas.openxmlformats.org/officeDocument/2006/relationships/hyperlink" Target="https://www.sodimac.cl/sodimac-cl/product/3774627/Sillon-pouf-90x60x140-cm-azul/3774627" TargetMode="External"/><Relationship Id="rId5" Type="http://schemas.openxmlformats.org/officeDocument/2006/relationships/hyperlink" Target="https://www.pcfactory.cl/producto/6254-kensington-mouse-pad--apoya-muneca-wrist-pillow" TargetMode="External"/><Relationship Id="rId15" Type="http://schemas.openxmlformats.org/officeDocument/2006/relationships/hyperlink" Target="https://www.sodimac.cl/sodimac-cl/product/3104672" TargetMode="External"/><Relationship Id="rId10" Type="http://schemas.openxmlformats.org/officeDocument/2006/relationships/hyperlink" Target="https://www.sodimac.cl/sodimac-cl/product/2922401/Kit-soporte-15%C2%B0-abrazadera-doble-32-a-55-/2922401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pcfactory.cl/producto/20234-logitech-combo-teclado--mouse-mk120-usb" TargetMode="External"/><Relationship Id="rId9" Type="http://schemas.openxmlformats.org/officeDocument/2006/relationships/hyperlink" Target="https://www.sodimac.cl/sodimac-cl/product/3737446/LED-55-NU7100-4K-Ultra-HD-Smart-TV/3737446" TargetMode="External"/><Relationship Id="rId14" Type="http://schemas.openxmlformats.org/officeDocument/2006/relationships/hyperlink" Target="https://www.sodimac.cl/sodimac-cl/product/2906961/Silla-100x47x60-cm-beige/2906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Y38"/>
  <sheetViews>
    <sheetView tabSelected="1" topLeftCell="J1" workbookViewId="0">
      <selection activeCell="R16" sqref="R16"/>
    </sheetView>
  </sheetViews>
  <sheetFormatPr baseColWidth="10" defaultColWidth="8.88671875" defaultRowHeight="14.4" x14ac:dyDescent="0.3"/>
  <cols>
    <col min="2" max="2" width="31.109375" customWidth="1"/>
    <col min="3" max="3" width="14.88671875" customWidth="1"/>
    <col min="4" max="4" width="20.88671875" customWidth="1"/>
    <col min="5" max="5" width="13.44140625" customWidth="1"/>
    <col min="6" max="6" width="13.88671875" customWidth="1"/>
    <col min="7" max="7" width="13.5546875" customWidth="1"/>
    <col min="8" max="8" width="15.44140625" customWidth="1"/>
    <col min="9" max="9" width="19" customWidth="1"/>
    <col min="10" max="10" width="16.109375" customWidth="1"/>
    <col min="11" max="11" width="16.44140625" customWidth="1"/>
    <col min="12" max="12" width="14.77734375" customWidth="1"/>
    <col min="13" max="13" width="17.33203125" customWidth="1"/>
    <col min="16" max="16" width="15.77734375" customWidth="1"/>
    <col min="17" max="17" width="19.44140625" customWidth="1"/>
    <col min="18" max="18" width="15.44140625" customWidth="1"/>
    <col min="19" max="19" width="15.33203125" customWidth="1"/>
    <col min="20" max="20" width="21.109375" customWidth="1"/>
    <col min="21" max="21" width="14.44140625" customWidth="1"/>
    <col min="22" max="22" width="22.88671875" customWidth="1"/>
    <col min="23" max="23" width="21.5546875" customWidth="1"/>
    <col min="24" max="24" width="23.21875" customWidth="1"/>
    <col min="25" max="25" width="43.33203125" customWidth="1"/>
    <col min="26" max="26" width="23.5546875" customWidth="1"/>
    <col min="27" max="27" width="12.5546875" customWidth="1"/>
    <col min="28" max="28" width="13.6640625" customWidth="1"/>
    <col min="29" max="29" width="12" customWidth="1"/>
    <col min="30" max="30" width="12.6640625" customWidth="1"/>
    <col min="31" max="31" width="31.6640625" customWidth="1"/>
    <col min="32" max="32" width="24.33203125" customWidth="1"/>
    <col min="33" max="33" width="18.88671875" customWidth="1"/>
    <col min="34" max="34" width="20.88671875" customWidth="1"/>
    <col min="35" max="35" width="30.21875" customWidth="1"/>
    <col min="36" max="36" width="27.5546875" customWidth="1"/>
    <col min="37" max="37" width="21" customWidth="1"/>
    <col min="38" max="38" width="17.44140625" customWidth="1"/>
    <col min="39" max="39" width="23.44140625" customWidth="1"/>
    <col min="40" max="40" width="15.88671875" customWidth="1"/>
    <col min="41" max="41" width="13.6640625" customWidth="1"/>
    <col min="42" max="42" width="11.88671875" customWidth="1"/>
    <col min="43" max="43" width="10.33203125" customWidth="1"/>
    <col min="44" max="44" width="12.109375" customWidth="1"/>
    <col min="45" max="45" width="13.77734375" customWidth="1"/>
    <col min="46" max="46" width="34.6640625" customWidth="1"/>
    <col min="47" max="47" width="13.88671875" customWidth="1"/>
    <col min="48" max="48" width="15.5546875" customWidth="1"/>
    <col min="49" max="49" width="12.5546875" customWidth="1"/>
    <col min="50" max="50" width="8.5546875" customWidth="1"/>
    <col min="51" max="51" width="12.6640625" customWidth="1"/>
  </cols>
  <sheetData>
    <row r="2" spans="2:51" x14ac:dyDescent="0.3">
      <c r="B2" s="144" t="s">
        <v>130</v>
      </c>
      <c r="C2" s="144"/>
      <c r="D2" s="144"/>
      <c r="E2" s="144"/>
      <c r="F2" s="144"/>
      <c r="G2" s="144"/>
      <c r="H2" s="144"/>
      <c r="I2" s="144"/>
      <c r="AF2" s="12"/>
    </row>
    <row r="3" spans="2:51" ht="21" x14ac:dyDescent="0.4">
      <c r="B3" s="145" t="s">
        <v>0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7"/>
      <c r="Q3" s="115" t="s">
        <v>79</v>
      </c>
      <c r="R3" s="117"/>
      <c r="S3" s="117"/>
      <c r="T3" s="117"/>
      <c r="U3" s="116"/>
      <c r="Y3" s="125" t="s">
        <v>6</v>
      </c>
      <c r="Z3" s="126"/>
      <c r="AA3" s="126"/>
      <c r="AB3" s="126"/>
      <c r="AC3" s="127"/>
      <c r="AE3" s="115" t="s">
        <v>134</v>
      </c>
      <c r="AF3" s="117"/>
      <c r="AG3" s="117"/>
      <c r="AH3" s="117"/>
      <c r="AI3" s="117"/>
      <c r="AJ3" s="117"/>
      <c r="AK3" s="117"/>
      <c r="AL3" s="117"/>
      <c r="AM3" s="117"/>
      <c r="AN3" s="117"/>
      <c r="AO3" s="116"/>
      <c r="AT3" s="118" t="s">
        <v>135</v>
      </c>
      <c r="AU3" s="118"/>
      <c r="AV3" s="118"/>
    </row>
    <row r="4" spans="2:51" x14ac:dyDescent="0.3">
      <c r="B4" s="1" t="s">
        <v>1</v>
      </c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3">
        <v>10</v>
      </c>
      <c r="P4" s="6"/>
      <c r="Q4" s="87" t="s">
        <v>17</v>
      </c>
      <c r="R4" s="22" t="s">
        <v>9</v>
      </c>
      <c r="S4" s="21" t="s">
        <v>14</v>
      </c>
      <c r="T4" s="21" t="s">
        <v>18</v>
      </c>
      <c r="U4" s="88" t="s">
        <v>19</v>
      </c>
      <c r="Y4" s="128" t="s">
        <v>43</v>
      </c>
      <c r="Z4" s="129"/>
      <c r="AA4" s="129"/>
      <c r="AB4" s="129"/>
      <c r="AC4" s="130"/>
      <c r="AE4" s="94" t="s">
        <v>123</v>
      </c>
      <c r="AF4" s="94" t="s">
        <v>124</v>
      </c>
      <c r="AG4" s="94" t="s">
        <v>125</v>
      </c>
      <c r="AH4" s="94" t="s">
        <v>126</v>
      </c>
      <c r="AI4" s="94" t="s">
        <v>129</v>
      </c>
      <c r="AJ4" s="94" t="s">
        <v>167</v>
      </c>
      <c r="AK4" s="94" t="s">
        <v>127</v>
      </c>
      <c r="AL4" s="94" t="s">
        <v>128</v>
      </c>
      <c r="AM4" s="94" t="s">
        <v>168</v>
      </c>
      <c r="AN4" s="94" t="s">
        <v>166</v>
      </c>
      <c r="AO4" s="94" t="s">
        <v>28</v>
      </c>
      <c r="AT4" s="89" t="s">
        <v>136</v>
      </c>
      <c r="AU4" s="89" t="s">
        <v>143</v>
      </c>
      <c r="AV4" s="89" t="s">
        <v>144</v>
      </c>
      <c r="AW4" s="90"/>
      <c r="AX4" s="90"/>
      <c r="AY4" s="90"/>
    </row>
    <row r="5" spans="2:51" x14ac:dyDescent="0.3">
      <c r="B5" s="135" t="s">
        <v>2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7"/>
      <c r="P5" s="6"/>
      <c r="Q5" s="8" t="s">
        <v>7</v>
      </c>
      <c r="R5" s="13">
        <v>96573</v>
      </c>
      <c r="S5" s="6">
        <v>3</v>
      </c>
      <c r="T5" s="14">
        <f>R5*S5</f>
        <v>289719</v>
      </c>
      <c r="U5" s="15">
        <f>SUM(T5:T10)</f>
        <v>12124623.379999999</v>
      </c>
      <c r="Y5" s="23" t="s">
        <v>17</v>
      </c>
      <c r="Z5" s="24" t="s">
        <v>25</v>
      </c>
      <c r="AA5" s="24" t="s">
        <v>26</v>
      </c>
      <c r="AB5" s="24" t="s">
        <v>27</v>
      </c>
      <c r="AC5" s="25" t="s">
        <v>28</v>
      </c>
      <c r="AE5" s="98" t="s">
        <v>132</v>
      </c>
      <c r="AF5" s="98" t="s">
        <v>137</v>
      </c>
      <c r="AG5" s="101">
        <v>43538</v>
      </c>
      <c r="AH5" s="101">
        <v>43827</v>
      </c>
      <c r="AI5" s="98"/>
      <c r="AJ5" s="98">
        <v>7</v>
      </c>
      <c r="AK5" s="98">
        <v>6</v>
      </c>
      <c r="AL5" s="95">
        <v>0</v>
      </c>
      <c r="AM5" s="98">
        <f>((AH5-AG5)*6)+AL5</f>
        <v>1734</v>
      </c>
      <c r="AN5" s="105">
        <v>17000</v>
      </c>
      <c r="AO5" s="104">
        <f>AM5*AN5</f>
        <v>29478000</v>
      </c>
      <c r="AT5" t="s">
        <v>145</v>
      </c>
      <c r="AU5" s="93">
        <v>43538</v>
      </c>
      <c r="AV5" s="93">
        <v>43545</v>
      </c>
    </row>
    <row r="6" spans="2:51" x14ac:dyDescent="0.3">
      <c r="B6" s="50" t="s">
        <v>104</v>
      </c>
      <c r="C6" s="74">
        <f>U36</f>
        <v>800000000</v>
      </c>
      <c r="D6" s="74">
        <v>0</v>
      </c>
      <c r="E6" s="74">
        <v>0</v>
      </c>
      <c r="F6" s="74">
        <v>0</v>
      </c>
      <c r="G6" s="74">
        <v>0</v>
      </c>
      <c r="H6" s="74">
        <v>0</v>
      </c>
      <c r="I6" s="74">
        <v>0</v>
      </c>
      <c r="J6" s="74">
        <v>0</v>
      </c>
      <c r="K6" s="74">
        <v>0</v>
      </c>
      <c r="L6" s="74">
        <v>0</v>
      </c>
      <c r="M6" s="75">
        <v>0</v>
      </c>
      <c r="P6" s="6"/>
      <c r="Q6" s="8" t="s">
        <v>8</v>
      </c>
      <c r="R6" s="13">
        <v>52990</v>
      </c>
      <c r="S6" s="6">
        <v>3</v>
      </c>
      <c r="T6" s="14">
        <f t="shared" ref="T6:T7" si="0">R6*S6</f>
        <v>158970</v>
      </c>
      <c r="U6" s="7"/>
      <c r="Y6" s="36" t="s">
        <v>30</v>
      </c>
      <c r="Z6" s="37" t="s">
        <v>29</v>
      </c>
      <c r="AA6" s="38">
        <v>969990</v>
      </c>
      <c r="AB6" s="26">
        <v>4</v>
      </c>
      <c r="AC6" s="39">
        <f t="shared" ref="AC6:AC12" si="1">AA6*AB6</f>
        <v>3879960</v>
      </c>
      <c r="AE6" s="99" t="s">
        <v>132</v>
      </c>
      <c r="AF6" s="99" t="s">
        <v>138</v>
      </c>
      <c r="AG6" s="102">
        <v>43539</v>
      </c>
      <c r="AH6" s="102">
        <v>43827</v>
      </c>
      <c r="AI6" s="99"/>
      <c r="AJ6" s="99">
        <v>7</v>
      </c>
      <c r="AK6" s="99">
        <v>6</v>
      </c>
      <c r="AL6" s="96">
        <v>0</v>
      </c>
      <c r="AM6" s="99">
        <f t="shared" ref="AM6:AM24" si="2">((AH6-AG6)*6)+AL6</f>
        <v>1728</v>
      </c>
      <c r="AN6" s="106">
        <v>16500</v>
      </c>
      <c r="AO6" s="108">
        <f t="shared" ref="AO6:AO24" si="3">AM6*AN6</f>
        <v>28512000</v>
      </c>
      <c r="AT6" t="s">
        <v>146</v>
      </c>
      <c r="AU6" s="93">
        <v>43525</v>
      </c>
      <c r="AV6" s="93">
        <v>43532</v>
      </c>
    </row>
    <row r="7" spans="2:51" x14ac:dyDescent="0.3">
      <c r="B7" s="8" t="s">
        <v>111</v>
      </c>
      <c r="C7" s="17">
        <v>0</v>
      </c>
      <c r="D7" s="6">
        <f>$L$34/10</f>
        <v>1540.3</v>
      </c>
      <c r="E7" s="6">
        <f>$D$7+D7</f>
        <v>3080.6</v>
      </c>
      <c r="F7" s="6">
        <f t="shared" ref="F7:M7" si="4">$D$7+E7</f>
        <v>4620.8999999999996</v>
      </c>
      <c r="G7" s="6">
        <f t="shared" si="4"/>
        <v>6161.2</v>
      </c>
      <c r="H7" s="6">
        <f t="shared" si="4"/>
        <v>7701.5</v>
      </c>
      <c r="I7" s="6">
        <f t="shared" si="4"/>
        <v>9241.7999999999993</v>
      </c>
      <c r="J7" s="6">
        <f t="shared" si="4"/>
        <v>10782.099999999999</v>
      </c>
      <c r="K7" s="6">
        <f t="shared" si="4"/>
        <v>12322.399999999998</v>
      </c>
      <c r="L7" s="6">
        <f t="shared" si="4"/>
        <v>13862.699999999997</v>
      </c>
      <c r="M7" s="7">
        <f t="shared" si="4"/>
        <v>15402.999999999996</v>
      </c>
      <c r="P7" s="6"/>
      <c r="Q7" s="8" t="s">
        <v>133</v>
      </c>
      <c r="R7" s="13">
        <v>137967.19</v>
      </c>
      <c r="S7" s="6">
        <v>2</v>
      </c>
      <c r="T7" s="14">
        <f t="shared" si="0"/>
        <v>275934.38</v>
      </c>
      <c r="U7" s="7"/>
      <c r="Y7" s="36" t="s">
        <v>32</v>
      </c>
      <c r="Z7" s="26" t="s">
        <v>31</v>
      </c>
      <c r="AA7" s="38">
        <v>86990</v>
      </c>
      <c r="AB7" s="26">
        <v>1</v>
      </c>
      <c r="AC7" s="39">
        <f t="shared" si="1"/>
        <v>86990</v>
      </c>
      <c r="AE7" s="99" t="s">
        <v>132</v>
      </c>
      <c r="AF7" s="99" t="s">
        <v>142</v>
      </c>
      <c r="AG7" s="102">
        <v>43560</v>
      </c>
      <c r="AH7" s="102">
        <v>43827</v>
      </c>
      <c r="AI7" s="99"/>
      <c r="AJ7" s="99">
        <v>7</v>
      </c>
      <c r="AK7" s="99">
        <v>6</v>
      </c>
      <c r="AL7" s="96">
        <v>0</v>
      </c>
      <c r="AM7" s="99">
        <f t="shared" si="2"/>
        <v>1602</v>
      </c>
      <c r="AN7" s="106">
        <v>15000</v>
      </c>
      <c r="AO7" s="108">
        <f t="shared" si="3"/>
        <v>24030000</v>
      </c>
      <c r="AT7" t="s">
        <v>147</v>
      </c>
      <c r="AU7" s="93">
        <v>43533</v>
      </c>
      <c r="AV7" s="93">
        <v>43559</v>
      </c>
    </row>
    <row r="8" spans="2:51" x14ac:dyDescent="0.3">
      <c r="B8" s="8" t="s">
        <v>110</v>
      </c>
      <c r="C8" s="17">
        <f t="shared" ref="C8:M8" si="5">$L$29*C7</f>
        <v>0</v>
      </c>
      <c r="D8" s="17">
        <f t="shared" si="5"/>
        <v>130925500</v>
      </c>
      <c r="E8" s="17">
        <f t="shared" si="5"/>
        <v>261851000</v>
      </c>
      <c r="F8" s="17">
        <f t="shared" si="5"/>
        <v>392776499.99999994</v>
      </c>
      <c r="G8" s="17">
        <f t="shared" si="5"/>
        <v>523702000</v>
      </c>
      <c r="H8" s="17">
        <f t="shared" si="5"/>
        <v>654627500</v>
      </c>
      <c r="I8" s="17">
        <f t="shared" si="5"/>
        <v>785552999.99999988</v>
      </c>
      <c r="J8" s="17">
        <f t="shared" si="5"/>
        <v>916478499.99999988</v>
      </c>
      <c r="K8" s="17">
        <f t="shared" si="5"/>
        <v>1047403999.9999998</v>
      </c>
      <c r="L8" s="17">
        <f t="shared" si="5"/>
        <v>1178329499.9999998</v>
      </c>
      <c r="M8" s="76">
        <f t="shared" si="5"/>
        <v>1309254999.9999998</v>
      </c>
      <c r="P8" s="6"/>
      <c r="Q8" s="16" t="s">
        <v>13</v>
      </c>
      <c r="R8" s="17">
        <v>2200000</v>
      </c>
      <c r="S8" s="6">
        <v>3</v>
      </c>
      <c r="T8" s="14">
        <f>R8*S8</f>
        <v>6600000</v>
      </c>
      <c r="U8" s="7"/>
      <c r="Y8" s="36" t="s">
        <v>34</v>
      </c>
      <c r="Z8" s="37" t="s">
        <v>33</v>
      </c>
      <c r="AA8" s="38">
        <v>145490</v>
      </c>
      <c r="AB8" s="26">
        <v>4</v>
      </c>
      <c r="AC8" s="39">
        <f t="shared" si="1"/>
        <v>581960</v>
      </c>
      <c r="AE8" s="99" t="s">
        <v>132</v>
      </c>
      <c r="AF8" s="99" t="s">
        <v>139</v>
      </c>
      <c r="AG8" s="102">
        <v>43588</v>
      </c>
      <c r="AH8" s="102">
        <v>43827</v>
      </c>
      <c r="AI8" s="99"/>
      <c r="AJ8" s="99">
        <v>7</v>
      </c>
      <c r="AK8" s="99">
        <v>6</v>
      </c>
      <c r="AL8" s="96">
        <v>0</v>
      </c>
      <c r="AM8" s="99">
        <f t="shared" si="2"/>
        <v>1434</v>
      </c>
      <c r="AN8" s="106">
        <v>14000</v>
      </c>
      <c r="AO8" s="108">
        <f t="shared" si="3"/>
        <v>20076000</v>
      </c>
      <c r="AT8" t="s">
        <v>148</v>
      </c>
      <c r="AU8" s="93">
        <v>43560</v>
      </c>
      <c r="AV8" s="93">
        <v>43595</v>
      </c>
    </row>
    <row r="9" spans="2:51" x14ac:dyDescent="0.3">
      <c r="B9" s="8" t="s">
        <v>105</v>
      </c>
      <c r="C9" s="17">
        <f>A8</f>
        <v>0</v>
      </c>
      <c r="D9" s="77">
        <f>D8</f>
        <v>130925500</v>
      </c>
      <c r="E9" s="77">
        <f t="shared" ref="E9:M9" si="6">E8</f>
        <v>261851000</v>
      </c>
      <c r="F9" s="77">
        <f t="shared" si="6"/>
        <v>392776499.99999994</v>
      </c>
      <c r="G9" s="77">
        <f t="shared" si="6"/>
        <v>523702000</v>
      </c>
      <c r="H9" s="77">
        <f t="shared" si="6"/>
        <v>654627500</v>
      </c>
      <c r="I9" s="77">
        <f t="shared" si="6"/>
        <v>785552999.99999988</v>
      </c>
      <c r="J9" s="77">
        <f t="shared" si="6"/>
        <v>916478499.99999988</v>
      </c>
      <c r="K9" s="77">
        <f t="shared" si="6"/>
        <v>1047403999.9999998</v>
      </c>
      <c r="L9" s="77">
        <f t="shared" si="6"/>
        <v>1178329499.9999998</v>
      </c>
      <c r="M9" s="78">
        <f t="shared" si="6"/>
        <v>1309254999.9999998</v>
      </c>
      <c r="P9" s="6"/>
      <c r="Q9" s="16" t="s">
        <v>15</v>
      </c>
      <c r="R9" s="17">
        <v>1700000</v>
      </c>
      <c r="S9" s="6">
        <v>2</v>
      </c>
      <c r="T9" s="14">
        <f>R9*S9</f>
        <v>3400000</v>
      </c>
      <c r="U9" s="7"/>
      <c r="Y9" s="36" t="s">
        <v>36</v>
      </c>
      <c r="Z9" s="26" t="s">
        <v>35</v>
      </c>
      <c r="AA9" s="38">
        <v>13290</v>
      </c>
      <c r="AB9" s="26">
        <v>21</v>
      </c>
      <c r="AC9" s="39">
        <f t="shared" si="1"/>
        <v>279090</v>
      </c>
      <c r="AE9" s="99" t="s">
        <v>132</v>
      </c>
      <c r="AF9" s="99" t="s">
        <v>139</v>
      </c>
      <c r="AG9" s="102">
        <v>43588</v>
      </c>
      <c r="AH9" s="102">
        <v>43827</v>
      </c>
      <c r="AI9" s="99"/>
      <c r="AJ9" s="99">
        <v>7</v>
      </c>
      <c r="AK9" s="99">
        <v>6</v>
      </c>
      <c r="AL9" s="96">
        <v>0</v>
      </c>
      <c r="AM9" s="99">
        <f t="shared" si="2"/>
        <v>1434</v>
      </c>
      <c r="AN9" s="106">
        <v>14000</v>
      </c>
      <c r="AO9" s="108">
        <f t="shared" si="3"/>
        <v>20076000</v>
      </c>
      <c r="AT9" t="s">
        <v>150</v>
      </c>
      <c r="AU9" s="93">
        <v>43596</v>
      </c>
      <c r="AV9" s="93">
        <v>43617</v>
      </c>
    </row>
    <row r="10" spans="2:51" x14ac:dyDescent="0.3">
      <c r="B10" s="9" t="s">
        <v>106</v>
      </c>
      <c r="C10" s="19">
        <v>0</v>
      </c>
      <c r="D10" s="79">
        <f t="shared" ref="D10:M10" si="7">D9-(D9*$L$38)</f>
        <v>95575615</v>
      </c>
      <c r="E10" s="79">
        <f t="shared" si="7"/>
        <v>191151230</v>
      </c>
      <c r="F10" s="79">
        <f t="shared" si="7"/>
        <v>286726844.99999994</v>
      </c>
      <c r="G10" s="79">
        <f t="shared" si="7"/>
        <v>382302460</v>
      </c>
      <c r="H10" s="79">
        <f t="shared" si="7"/>
        <v>477878075</v>
      </c>
      <c r="I10" s="79">
        <f t="shared" si="7"/>
        <v>573453689.99999988</v>
      </c>
      <c r="J10" s="79">
        <f t="shared" si="7"/>
        <v>669029304.99999988</v>
      </c>
      <c r="K10" s="79">
        <f t="shared" si="7"/>
        <v>764604919.99999976</v>
      </c>
      <c r="L10" s="79">
        <f t="shared" si="7"/>
        <v>860180534.99999976</v>
      </c>
      <c r="M10" s="80">
        <f t="shared" si="7"/>
        <v>955756149.99999976</v>
      </c>
      <c r="P10" s="6"/>
      <c r="Q10" s="16" t="s">
        <v>16</v>
      </c>
      <c r="R10" s="17">
        <v>1400000</v>
      </c>
      <c r="S10" s="6">
        <v>1</v>
      </c>
      <c r="T10" s="14">
        <f>R10*S10</f>
        <v>1400000</v>
      </c>
      <c r="U10" s="7"/>
      <c r="Y10" s="36" t="s">
        <v>38</v>
      </c>
      <c r="Z10" s="26" t="s">
        <v>37</v>
      </c>
      <c r="AA10" s="38">
        <v>4990</v>
      </c>
      <c r="AB10" s="26">
        <v>20</v>
      </c>
      <c r="AC10" s="39">
        <f t="shared" si="1"/>
        <v>99800</v>
      </c>
      <c r="AE10" s="99" t="s">
        <v>132</v>
      </c>
      <c r="AF10" s="99" t="s">
        <v>139</v>
      </c>
      <c r="AG10" s="102">
        <v>43588</v>
      </c>
      <c r="AH10" s="102">
        <v>43827</v>
      </c>
      <c r="AI10" s="99"/>
      <c r="AJ10" s="99">
        <v>7</v>
      </c>
      <c r="AK10" s="99">
        <v>6</v>
      </c>
      <c r="AL10" s="96">
        <v>0</v>
      </c>
      <c r="AM10" s="99">
        <f t="shared" si="2"/>
        <v>1434</v>
      </c>
      <c r="AN10" s="106">
        <v>14000</v>
      </c>
      <c r="AO10" s="108">
        <f t="shared" si="3"/>
        <v>20076000</v>
      </c>
      <c r="AT10" t="s">
        <v>156</v>
      </c>
      <c r="AU10" s="93">
        <v>43618</v>
      </c>
      <c r="AV10" s="93">
        <v>43623</v>
      </c>
    </row>
    <row r="11" spans="2:51" x14ac:dyDescent="0.3">
      <c r="P11" s="6"/>
      <c r="Q11" s="9"/>
      <c r="R11" s="10"/>
      <c r="S11" s="10"/>
      <c r="T11" s="10"/>
      <c r="U11" s="11"/>
      <c r="Y11" s="36" t="s">
        <v>89</v>
      </c>
      <c r="Z11" s="26" t="s">
        <v>39</v>
      </c>
      <c r="AA11" s="38">
        <v>94990</v>
      </c>
      <c r="AB11" s="26">
        <v>20</v>
      </c>
      <c r="AC11" s="39">
        <f t="shared" si="1"/>
        <v>1899800</v>
      </c>
      <c r="AE11" s="99" t="s">
        <v>132</v>
      </c>
      <c r="AF11" s="99" t="s">
        <v>139</v>
      </c>
      <c r="AG11" s="102">
        <v>43588</v>
      </c>
      <c r="AH11" s="102">
        <v>43827</v>
      </c>
      <c r="AI11" s="99"/>
      <c r="AJ11" s="99">
        <v>7</v>
      </c>
      <c r="AK11" s="99">
        <v>6</v>
      </c>
      <c r="AL11" s="96">
        <v>0</v>
      </c>
      <c r="AM11" s="99">
        <f t="shared" si="2"/>
        <v>1434</v>
      </c>
      <c r="AN11" s="106">
        <v>14000</v>
      </c>
      <c r="AO11" s="108">
        <f t="shared" si="3"/>
        <v>20076000</v>
      </c>
      <c r="AT11" t="s">
        <v>149</v>
      </c>
      <c r="AU11" s="93">
        <v>43624</v>
      </c>
      <c r="AV11" s="93">
        <v>8</v>
      </c>
    </row>
    <row r="12" spans="2:51" x14ac:dyDescent="0.3">
      <c r="B12" s="138" t="s">
        <v>3</v>
      </c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40"/>
      <c r="Q12" s="8"/>
      <c r="R12" s="6"/>
      <c r="S12" s="6"/>
      <c r="T12" s="6"/>
      <c r="U12" s="7"/>
      <c r="Y12" s="36" t="s">
        <v>171</v>
      </c>
      <c r="Z12" s="112" t="s">
        <v>170</v>
      </c>
      <c r="AA12" s="38">
        <v>533490</v>
      </c>
      <c r="AB12" s="26">
        <v>20</v>
      </c>
      <c r="AC12" s="39">
        <f t="shared" si="1"/>
        <v>10669800</v>
      </c>
      <c r="AE12" s="99" t="s">
        <v>132</v>
      </c>
      <c r="AF12" s="99" t="s">
        <v>139</v>
      </c>
      <c r="AG12" s="102">
        <v>43588</v>
      </c>
      <c r="AH12" s="102">
        <v>43827</v>
      </c>
      <c r="AI12" s="99"/>
      <c r="AJ12" s="99">
        <v>7</v>
      </c>
      <c r="AK12" s="99">
        <v>6</v>
      </c>
      <c r="AL12" s="96">
        <v>0</v>
      </c>
      <c r="AM12" s="99">
        <f t="shared" si="2"/>
        <v>1434</v>
      </c>
      <c r="AN12" s="106">
        <v>14000</v>
      </c>
      <c r="AO12" s="108">
        <f t="shared" si="3"/>
        <v>20076000</v>
      </c>
      <c r="AT12" t="s">
        <v>151</v>
      </c>
      <c r="AU12" s="93">
        <v>43625</v>
      </c>
      <c r="AV12" s="93">
        <v>43645</v>
      </c>
    </row>
    <row r="13" spans="2:51" x14ac:dyDescent="0.3">
      <c r="B13" s="50" t="s">
        <v>11</v>
      </c>
      <c r="C13" s="4" t="s">
        <v>12</v>
      </c>
      <c r="D13" s="74">
        <f>$U$5*12</f>
        <v>145495480.56</v>
      </c>
      <c r="E13" s="74">
        <f t="shared" ref="E13:M13" si="8">$U$5*12</f>
        <v>145495480.56</v>
      </c>
      <c r="F13" s="74">
        <f t="shared" si="8"/>
        <v>145495480.56</v>
      </c>
      <c r="G13" s="74">
        <f t="shared" si="8"/>
        <v>145495480.56</v>
      </c>
      <c r="H13" s="74">
        <f t="shared" si="8"/>
        <v>145495480.56</v>
      </c>
      <c r="I13" s="74">
        <f t="shared" si="8"/>
        <v>145495480.56</v>
      </c>
      <c r="J13" s="74">
        <f t="shared" si="8"/>
        <v>145495480.56</v>
      </c>
      <c r="K13" s="74">
        <f t="shared" si="8"/>
        <v>145495480.56</v>
      </c>
      <c r="L13" s="74">
        <f t="shared" si="8"/>
        <v>145495480.56</v>
      </c>
      <c r="M13" s="75">
        <f t="shared" si="8"/>
        <v>145495480.56</v>
      </c>
      <c r="Q13" s="85" t="s">
        <v>17</v>
      </c>
      <c r="R13" s="83" t="s">
        <v>10</v>
      </c>
      <c r="S13" s="83" t="s">
        <v>20</v>
      </c>
      <c r="T13" s="83" t="s">
        <v>21</v>
      </c>
      <c r="U13" s="84" t="s">
        <v>19</v>
      </c>
      <c r="Y13" s="8"/>
      <c r="Z13" s="6"/>
      <c r="AA13" s="6"/>
      <c r="AB13" s="26" t="s">
        <v>40</v>
      </c>
      <c r="AC13" s="39">
        <f>SUM(AC6:AC12)</f>
        <v>17497400</v>
      </c>
      <c r="AE13" s="99" t="s">
        <v>132</v>
      </c>
      <c r="AF13" s="99" t="s">
        <v>139</v>
      </c>
      <c r="AG13" s="102">
        <v>43588</v>
      </c>
      <c r="AH13" s="102">
        <v>43827</v>
      </c>
      <c r="AI13" s="99"/>
      <c r="AJ13" s="99">
        <v>7</v>
      </c>
      <c r="AK13" s="99">
        <v>6</v>
      </c>
      <c r="AL13" s="96">
        <v>0</v>
      </c>
      <c r="AM13" s="99">
        <f t="shared" si="2"/>
        <v>1434</v>
      </c>
      <c r="AN13" s="106">
        <v>14000</v>
      </c>
      <c r="AO13" s="108">
        <f t="shared" si="3"/>
        <v>20076000</v>
      </c>
      <c r="AT13" t="s">
        <v>159</v>
      </c>
      <c r="AU13" s="93">
        <v>43646</v>
      </c>
      <c r="AV13" s="93">
        <v>43651</v>
      </c>
    </row>
    <row r="14" spans="2:51" x14ac:dyDescent="0.3">
      <c r="B14" s="8" t="s">
        <v>22</v>
      </c>
      <c r="C14" s="6" t="s">
        <v>12</v>
      </c>
      <c r="D14" s="17">
        <f t="shared" ref="D14:M14" si="9">$U$14*12</f>
        <v>2964000</v>
      </c>
      <c r="E14" s="17">
        <f t="shared" si="9"/>
        <v>2964000</v>
      </c>
      <c r="F14" s="17">
        <f t="shared" si="9"/>
        <v>2964000</v>
      </c>
      <c r="G14" s="17">
        <f t="shared" si="9"/>
        <v>2964000</v>
      </c>
      <c r="H14" s="17">
        <f t="shared" si="9"/>
        <v>2964000</v>
      </c>
      <c r="I14" s="17">
        <f t="shared" si="9"/>
        <v>2964000</v>
      </c>
      <c r="J14" s="17">
        <f t="shared" si="9"/>
        <v>2964000</v>
      </c>
      <c r="K14" s="17">
        <f t="shared" si="9"/>
        <v>2964000</v>
      </c>
      <c r="L14" s="17">
        <f t="shared" si="9"/>
        <v>2964000</v>
      </c>
      <c r="M14" s="76">
        <f t="shared" si="9"/>
        <v>2964000</v>
      </c>
      <c r="Q14" s="16" t="s">
        <v>4</v>
      </c>
      <c r="R14" s="13">
        <v>120000</v>
      </c>
      <c r="S14" s="51">
        <v>0.3</v>
      </c>
      <c r="T14" s="13">
        <f>(R14*S14)+R14</f>
        <v>156000</v>
      </c>
      <c r="U14" s="86">
        <f>SUM(T14:T15)</f>
        <v>247000</v>
      </c>
      <c r="Y14" s="141" t="s">
        <v>42</v>
      </c>
      <c r="Z14" s="142"/>
      <c r="AA14" s="142"/>
      <c r="AB14" s="142"/>
      <c r="AC14" s="143"/>
      <c r="AE14" s="99" t="s">
        <v>132</v>
      </c>
      <c r="AF14" s="99" t="s">
        <v>139</v>
      </c>
      <c r="AG14" s="102">
        <v>43588</v>
      </c>
      <c r="AH14" s="102">
        <v>43827</v>
      </c>
      <c r="AI14" s="99"/>
      <c r="AJ14" s="99">
        <v>7</v>
      </c>
      <c r="AK14" s="99">
        <v>6</v>
      </c>
      <c r="AL14" s="96">
        <v>0</v>
      </c>
      <c r="AM14" s="99">
        <f t="shared" si="2"/>
        <v>1434</v>
      </c>
      <c r="AN14" s="106">
        <v>14000</v>
      </c>
      <c r="AO14" s="108">
        <f t="shared" si="3"/>
        <v>20076000</v>
      </c>
      <c r="AT14" t="s">
        <v>152</v>
      </c>
      <c r="AU14" s="93">
        <v>43652</v>
      </c>
      <c r="AV14" s="93">
        <v>43652</v>
      </c>
    </row>
    <row r="15" spans="2:51" x14ac:dyDescent="0.3">
      <c r="B15" s="8" t="s">
        <v>69</v>
      </c>
      <c r="C15" s="6" t="s">
        <v>12</v>
      </c>
      <c r="D15" s="17">
        <f t="shared" ref="D15:I15" si="10">$AC$13/6</f>
        <v>2916233.3333333335</v>
      </c>
      <c r="E15" s="17">
        <f t="shared" si="10"/>
        <v>2916233.3333333335</v>
      </c>
      <c r="F15" s="17">
        <f t="shared" si="10"/>
        <v>2916233.3333333335</v>
      </c>
      <c r="G15" s="17">
        <f t="shared" si="10"/>
        <v>2916233.3333333335</v>
      </c>
      <c r="H15" s="17">
        <f t="shared" si="10"/>
        <v>2916233.3333333335</v>
      </c>
      <c r="I15" s="17">
        <f t="shared" si="10"/>
        <v>2916233.3333333335</v>
      </c>
      <c r="J15" s="17">
        <v>0</v>
      </c>
      <c r="K15" s="17">
        <v>0</v>
      </c>
      <c r="L15" s="17">
        <v>0</v>
      </c>
      <c r="M15" s="76">
        <v>0</v>
      </c>
      <c r="Q15" s="16" t="s">
        <v>5</v>
      </c>
      <c r="R15" s="13">
        <v>70000</v>
      </c>
      <c r="S15" s="51">
        <v>0.3</v>
      </c>
      <c r="T15" s="13">
        <f t="shared" ref="T15" si="11">(R15*S15)+R15</f>
        <v>91000</v>
      </c>
      <c r="U15" s="7"/>
      <c r="Y15" s="27" t="s">
        <v>41</v>
      </c>
      <c r="Z15" s="28" t="s">
        <v>25</v>
      </c>
      <c r="AA15" s="28" t="s">
        <v>26</v>
      </c>
      <c r="AB15" s="28" t="s">
        <v>27</v>
      </c>
      <c r="AC15" s="29" t="s">
        <v>28</v>
      </c>
      <c r="AE15" s="99" t="s">
        <v>132</v>
      </c>
      <c r="AF15" s="99" t="s">
        <v>139</v>
      </c>
      <c r="AG15" s="102">
        <v>43588</v>
      </c>
      <c r="AH15" s="102">
        <v>43827</v>
      </c>
      <c r="AI15" s="99"/>
      <c r="AJ15" s="99">
        <v>7</v>
      </c>
      <c r="AK15" s="99">
        <v>6</v>
      </c>
      <c r="AL15" s="96">
        <v>0</v>
      </c>
      <c r="AM15" s="99">
        <f t="shared" si="2"/>
        <v>1434</v>
      </c>
      <c r="AN15" s="106">
        <v>14000</v>
      </c>
      <c r="AO15" s="108">
        <f t="shared" si="3"/>
        <v>20076000</v>
      </c>
      <c r="AT15" t="s">
        <v>153</v>
      </c>
      <c r="AU15" s="93">
        <v>43653</v>
      </c>
      <c r="AV15" s="93">
        <v>43676</v>
      </c>
    </row>
    <row r="16" spans="2:51" x14ac:dyDescent="0.3">
      <c r="B16" s="8" t="s">
        <v>70</v>
      </c>
      <c r="C16" s="6" t="s">
        <v>12</v>
      </c>
      <c r="D16" s="17">
        <f t="shared" ref="D16:J16" si="12">$AC$25/7</f>
        <v>1097028.5714285714</v>
      </c>
      <c r="E16" s="17">
        <f t="shared" si="12"/>
        <v>1097028.5714285714</v>
      </c>
      <c r="F16" s="17">
        <f t="shared" si="12"/>
        <v>1097028.5714285714</v>
      </c>
      <c r="G16" s="17">
        <f t="shared" si="12"/>
        <v>1097028.5714285714</v>
      </c>
      <c r="H16" s="17">
        <f t="shared" si="12"/>
        <v>1097028.5714285714</v>
      </c>
      <c r="I16" s="17">
        <f t="shared" si="12"/>
        <v>1097028.5714285714</v>
      </c>
      <c r="J16" s="17">
        <f t="shared" si="12"/>
        <v>1097028.5714285714</v>
      </c>
      <c r="K16" s="17">
        <v>0</v>
      </c>
      <c r="L16" s="17">
        <v>0</v>
      </c>
      <c r="M16" s="76">
        <v>0</v>
      </c>
      <c r="Q16" s="16"/>
      <c r="R16" s="13"/>
      <c r="S16" s="51"/>
      <c r="T16" s="13"/>
      <c r="U16" s="7"/>
      <c r="Y16" s="40" t="s">
        <v>45</v>
      </c>
      <c r="Z16" s="30" t="s">
        <v>44</v>
      </c>
      <c r="AA16" s="41">
        <v>81990</v>
      </c>
      <c r="AB16" s="30">
        <v>20</v>
      </c>
      <c r="AC16" s="42">
        <f>AA16*AB16</f>
        <v>1639800</v>
      </c>
      <c r="AE16" s="99" t="s">
        <v>132</v>
      </c>
      <c r="AF16" s="99" t="s">
        <v>139</v>
      </c>
      <c r="AG16" s="102">
        <v>43588</v>
      </c>
      <c r="AH16" s="102">
        <v>43827</v>
      </c>
      <c r="AI16" s="99"/>
      <c r="AJ16" s="99">
        <v>7</v>
      </c>
      <c r="AK16" s="99">
        <v>6</v>
      </c>
      <c r="AL16" s="96">
        <v>0</v>
      </c>
      <c r="AM16" s="99">
        <f t="shared" si="2"/>
        <v>1434</v>
      </c>
      <c r="AN16" s="106">
        <v>14000</v>
      </c>
      <c r="AO16" s="108">
        <f t="shared" si="3"/>
        <v>20076000</v>
      </c>
      <c r="AT16" t="s">
        <v>158</v>
      </c>
      <c r="AU16" s="93">
        <v>43677</v>
      </c>
      <c r="AV16" s="93">
        <v>43682</v>
      </c>
    </row>
    <row r="17" spans="2:48" x14ac:dyDescent="0.3">
      <c r="B17" s="8" t="s">
        <v>23</v>
      </c>
      <c r="C17" s="6" t="s">
        <v>12</v>
      </c>
      <c r="D17" s="17">
        <f t="shared" ref="D17:H18" si="13">S27</f>
        <v>12000000</v>
      </c>
      <c r="E17" s="17">
        <f t="shared" si="13"/>
        <v>9670928.1228583995</v>
      </c>
      <c r="F17" s="17">
        <f t="shared" si="13"/>
        <v>7306920.1675596759</v>
      </c>
      <c r="G17" s="17">
        <f t="shared" si="13"/>
        <v>4907452.0929314708</v>
      </c>
      <c r="H17" s="17">
        <f t="shared" si="13"/>
        <v>2471991.9971838421</v>
      </c>
      <c r="I17" s="17">
        <v>0</v>
      </c>
      <c r="J17" s="17">
        <v>0</v>
      </c>
      <c r="K17" s="17">
        <v>0</v>
      </c>
      <c r="L17" s="17">
        <v>0</v>
      </c>
      <c r="M17" s="76">
        <v>0</v>
      </c>
      <c r="Q17" s="8"/>
      <c r="R17" s="6"/>
      <c r="S17" s="6"/>
      <c r="T17" s="6"/>
      <c r="U17" s="7"/>
      <c r="Y17" s="40" t="s">
        <v>47</v>
      </c>
      <c r="Z17" s="30" t="s">
        <v>46</v>
      </c>
      <c r="AA17" s="41">
        <v>79990</v>
      </c>
      <c r="AB17" s="30">
        <v>20</v>
      </c>
      <c r="AC17" s="42">
        <f>AA17*AB17</f>
        <v>1599800</v>
      </c>
      <c r="AE17" s="99" t="s">
        <v>132</v>
      </c>
      <c r="AF17" s="99" t="s">
        <v>164</v>
      </c>
      <c r="AG17" s="102">
        <v>43588</v>
      </c>
      <c r="AH17" s="102">
        <v>43827</v>
      </c>
      <c r="AI17" s="99"/>
      <c r="AJ17" s="99">
        <v>7</v>
      </c>
      <c r="AK17" s="99">
        <v>6</v>
      </c>
      <c r="AL17" s="96">
        <v>0</v>
      </c>
      <c r="AM17" s="99">
        <f t="shared" si="2"/>
        <v>1434</v>
      </c>
      <c r="AN17" s="106">
        <v>15000</v>
      </c>
      <c r="AO17" s="108">
        <f t="shared" si="3"/>
        <v>21510000</v>
      </c>
      <c r="AT17" t="s">
        <v>154</v>
      </c>
      <c r="AU17" s="93">
        <v>43683</v>
      </c>
      <c r="AV17" s="93">
        <v>43683</v>
      </c>
    </row>
    <row r="18" spans="2:48" x14ac:dyDescent="0.3">
      <c r="B18" s="8" t="s">
        <v>24</v>
      </c>
      <c r="C18" s="6" t="s">
        <v>12</v>
      </c>
      <c r="D18" s="17">
        <f t="shared" si="13"/>
        <v>155271458.4761067</v>
      </c>
      <c r="E18" s="17">
        <f t="shared" si="13"/>
        <v>157600530.3532483</v>
      </c>
      <c r="F18" s="17">
        <f t="shared" si="13"/>
        <v>159964538.30854702</v>
      </c>
      <c r="G18" s="17">
        <f t="shared" si="13"/>
        <v>162364006.38317522</v>
      </c>
      <c r="H18" s="17">
        <f t="shared" si="13"/>
        <v>164799466.47892287</v>
      </c>
      <c r="I18" s="17">
        <v>0</v>
      </c>
      <c r="J18" s="17">
        <v>0</v>
      </c>
      <c r="K18" s="17">
        <v>0</v>
      </c>
      <c r="L18" s="17">
        <v>0</v>
      </c>
      <c r="M18" s="76">
        <v>0</v>
      </c>
      <c r="Q18" s="8"/>
      <c r="R18" s="6"/>
      <c r="S18" s="6"/>
      <c r="T18" s="6"/>
      <c r="U18" s="7"/>
      <c r="Y18" s="40" t="s">
        <v>49</v>
      </c>
      <c r="Z18" s="30" t="s">
        <v>48</v>
      </c>
      <c r="AA18" s="41">
        <v>299990</v>
      </c>
      <c r="AB18" s="30">
        <v>2</v>
      </c>
      <c r="AC18" s="42">
        <f>AA18*AB18</f>
        <v>599980</v>
      </c>
      <c r="AE18" s="99" t="s">
        <v>132</v>
      </c>
      <c r="AF18" s="99" t="s">
        <v>163</v>
      </c>
      <c r="AG18" s="102">
        <v>43588</v>
      </c>
      <c r="AH18" s="102">
        <v>43827</v>
      </c>
      <c r="AI18" s="99"/>
      <c r="AJ18" s="99">
        <v>7</v>
      </c>
      <c r="AK18" s="99">
        <v>6</v>
      </c>
      <c r="AL18" s="96">
        <v>0</v>
      </c>
      <c r="AM18" s="99">
        <f t="shared" si="2"/>
        <v>1434</v>
      </c>
      <c r="AN18" s="106">
        <v>14000</v>
      </c>
      <c r="AO18" s="108">
        <f t="shared" si="3"/>
        <v>20076000</v>
      </c>
      <c r="AT18" t="s">
        <v>155</v>
      </c>
      <c r="AU18" s="93">
        <v>43684</v>
      </c>
      <c r="AV18" s="93">
        <v>43707</v>
      </c>
    </row>
    <row r="19" spans="2:48" x14ac:dyDescent="0.3">
      <c r="B19" s="8" t="s">
        <v>87</v>
      </c>
      <c r="C19" s="17">
        <f>AO25</f>
        <v>404172000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76">
        <v>0</v>
      </c>
      <c r="Q19" s="8"/>
      <c r="R19" s="6"/>
      <c r="S19" s="6"/>
      <c r="T19" s="6"/>
      <c r="U19" s="7"/>
      <c r="Y19" s="40" t="s">
        <v>50</v>
      </c>
      <c r="Z19" s="30" t="s">
        <v>51</v>
      </c>
      <c r="AA19" s="41">
        <v>29990</v>
      </c>
      <c r="AB19" s="30">
        <v>2</v>
      </c>
      <c r="AC19" s="42">
        <f t="shared" ref="AC19:AC21" si="14">AA19*AB19</f>
        <v>59980</v>
      </c>
      <c r="AE19" s="99" t="s">
        <v>132</v>
      </c>
      <c r="AF19" s="99" t="s">
        <v>163</v>
      </c>
      <c r="AG19" s="102">
        <v>43588</v>
      </c>
      <c r="AH19" s="102">
        <v>43827</v>
      </c>
      <c r="AI19" s="99"/>
      <c r="AJ19" s="99">
        <v>7</v>
      </c>
      <c r="AK19" s="99">
        <v>6</v>
      </c>
      <c r="AL19" s="96">
        <v>0</v>
      </c>
      <c r="AM19" s="99">
        <f t="shared" si="2"/>
        <v>1434</v>
      </c>
      <c r="AN19" s="106">
        <v>14000</v>
      </c>
      <c r="AO19" s="108">
        <f t="shared" si="3"/>
        <v>20076000</v>
      </c>
      <c r="AT19" t="s">
        <v>157</v>
      </c>
      <c r="AU19" s="93">
        <v>43708</v>
      </c>
      <c r="AV19" s="93">
        <v>43718</v>
      </c>
    </row>
    <row r="20" spans="2:48" x14ac:dyDescent="0.3">
      <c r="B20" s="8" t="s">
        <v>43</v>
      </c>
      <c r="C20" s="17">
        <f>AC13</f>
        <v>17497400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76">
        <v>0</v>
      </c>
      <c r="Q20" s="9"/>
      <c r="R20" s="10"/>
      <c r="S20" s="10"/>
      <c r="T20" s="10"/>
      <c r="U20" s="11"/>
      <c r="Y20" s="40" t="s">
        <v>53</v>
      </c>
      <c r="Z20" s="30" t="s">
        <v>52</v>
      </c>
      <c r="AA20" s="41">
        <v>79990</v>
      </c>
      <c r="AB20" s="30">
        <v>8</v>
      </c>
      <c r="AC20" s="42">
        <f t="shared" si="14"/>
        <v>639920</v>
      </c>
      <c r="AE20" s="99" t="s">
        <v>132</v>
      </c>
      <c r="AF20" s="99" t="s">
        <v>165</v>
      </c>
      <c r="AG20" s="102">
        <v>43588</v>
      </c>
      <c r="AH20" s="102">
        <v>43827</v>
      </c>
      <c r="AI20" s="99"/>
      <c r="AJ20" s="99">
        <v>7</v>
      </c>
      <c r="AK20" s="99">
        <v>6</v>
      </c>
      <c r="AL20" s="96">
        <v>0</v>
      </c>
      <c r="AM20" s="99">
        <f t="shared" si="2"/>
        <v>1434</v>
      </c>
      <c r="AN20" s="106">
        <v>15000</v>
      </c>
      <c r="AO20" s="108">
        <f t="shared" si="3"/>
        <v>21510000</v>
      </c>
      <c r="AT20" t="s">
        <v>160</v>
      </c>
      <c r="AU20" s="93">
        <v>43719</v>
      </c>
      <c r="AV20" s="93">
        <v>43748</v>
      </c>
    </row>
    <row r="21" spans="2:48" x14ac:dyDescent="0.3">
      <c r="B21" s="8" t="s">
        <v>88</v>
      </c>
      <c r="C21" s="17">
        <f>AC25</f>
        <v>7679200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76">
        <v>0</v>
      </c>
      <c r="Y21" s="40" t="s">
        <v>60</v>
      </c>
      <c r="Z21" s="30" t="s">
        <v>61</v>
      </c>
      <c r="AA21" s="41">
        <v>69990</v>
      </c>
      <c r="AB21" s="30">
        <v>2</v>
      </c>
      <c r="AC21" s="42">
        <f t="shared" si="14"/>
        <v>139980</v>
      </c>
      <c r="AE21" s="99" t="s">
        <v>132</v>
      </c>
      <c r="AF21" s="99" t="s">
        <v>140</v>
      </c>
      <c r="AG21" s="102">
        <v>43588</v>
      </c>
      <c r="AH21" s="102">
        <v>43827</v>
      </c>
      <c r="AI21" s="99"/>
      <c r="AJ21" s="99">
        <v>7</v>
      </c>
      <c r="AK21" s="99">
        <v>6</v>
      </c>
      <c r="AL21" s="96">
        <v>0</v>
      </c>
      <c r="AM21" s="99">
        <f t="shared" si="2"/>
        <v>1434</v>
      </c>
      <c r="AN21" s="106">
        <v>14000</v>
      </c>
      <c r="AO21" s="108">
        <f t="shared" si="3"/>
        <v>20076000</v>
      </c>
      <c r="AT21" t="s">
        <v>161</v>
      </c>
      <c r="AU21" s="93">
        <v>43749</v>
      </c>
      <c r="AV21" s="93">
        <v>43827</v>
      </c>
    </row>
    <row r="22" spans="2:48" ht="23.4" x14ac:dyDescent="0.45">
      <c r="B22" s="9" t="s">
        <v>91</v>
      </c>
      <c r="C22" s="19">
        <f>AC30</f>
        <v>738408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68">
        <v>0</v>
      </c>
      <c r="Q22" s="131" t="s">
        <v>90</v>
      </c>
      <c r="R22" s="131"/>
      <c r="Y22" s="40" t="s">
        <v>55</v>
      </c>
      <c r="Z22" s="30" t="s">
        <v>54</v>
      </c>
      <c r="AA22" s="41">
        <v>799990</v>
      </c>
      <c r="AB22" s="30">
        <v>2</v>
      </c>
      <c r="AC22" s="42">
        <f>AA22*AB22</f>
        <v>1599980</v>
      </c>
      <c r="AE22" s="99" t="s">
        <v>132</v>
      </c>
      <c r="AF22" s="99" t="s">
        <v>140</v>
      </c>
      <c r="AG22" s="102">
        <v>43588</v>
      </c>
      <c r="AH22" s="102">
        <v>43827</v>
      </c>
      <c r="AI22" s="99"/>
      <c r="AJ22" s="99">
        <v>7</v>
      </c>
      <c r="AK22" s="99">
        <v>6</v>
      </c>
      <c r="AL22" s="96">
        <v>0</v>
      </c>
      <c r="AM22" s="99">
        <f t="shared" si="2"/>
        <v>1434</v>
      </c>
      <c r="AN22" s="106">
        <v>14000</v>
      </c>
      <c r="AO22" s="108">
        <f t="shared" si="3"/>
        <v>20076000</v>
      </c>
      <c r="AT22" t="s">
        <v>162</v>
      </c>
      <c r="AU22" s="93">
        <v>43828</v>
      </c>
    </row>
    <row r="23" spans="2:48" x14ac:dyDescent="0.3">
      <c r="Y23" s="40" t="s">
        <v>57</v>
      </c>
      <c r="Z23" s="30" t="s">
        <v>56</v>
      </c>
      <c r="AA23" s="41">
        <v>199990</v>
      </c>
      <c r="AB23" s="30">
        <v>4</v>
      </c>
      <c r="AC23" s="42">
        <f>AA23*AB23</f>
        <v>799960</v>
      </c>
      <c r="AE23" s="99" t="s">
        <v>132</v>
      </c>
      <c r="AF23" s="99" t="s">
        <v>141</v>
      </c>
      <c r="AG23" s="102">
        <v>43719</v>
      </c>
      <c r="AH23" s="102">
        <v>43827</v>
      </c>
      <c r="AI23" s="99"/>
      <c r="AJ23" s="99">
        <v>7</v>
      </c>
      <c r="AK23" s="99">
        <v>6</v>
      </c>
      <c r="AL23" s="96">
        <v>0</v>
      </c>
      <c r="AM23" s="99">
        <f t="shared" si="2"/>
        <v>648</v>
      </c>
      <c r="AN23" s="106">
        <v>14000</v>
      </c>
      <c r="AO23" s="108">
        <f t="shared" si="3"/>
        <v>9072000</v>
      </c>
    </row>
    <row r="24" spans="2:48" ht="18" x14ac:dyDescent="0.35">
      <c r="B24" s="119" t="s">
        <v>120</v>
      </c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1"/>
      <c r="Q24" s="115" t="s">
        <v>103</v>
      </c>
      <c r="R24" s="117"/>
      <c r="S24" s="117"/>
      <c r="T24" s="117"/>
      <c r="U24" s="117"/>
      <c r="V24" s="117"/>
      <c r="W24" s="116"/>
      <c r="Y24" s="40" t="s">
        <v>59</v>
      </c>
      <c r="Z24" s="30" t="s">
        <v>58</v>
      </c>
      <c r="AA24" s="41">
        <v>29990</v>
      </c>
      <c r="AB24" s="30">
        <v>20</v>
      </c>
      <c r="AC24" s="42">
        <f>AA24*AB24</f>
        <v>599800</v>
      </c>
      <c r="AE24" s="100" t="s">
        <v>132</v>
      </c>
      <c r="AF24" s="100" t="s">
        <v>141</v>
      </c>
      <c r="AG24" s="103">
        <v>43719</v>
      </c>
      <c r="AH24" s="103">
        <v>43827</v>
      </c>
      <c r="AI24" s="100"/>
      <c r="AJ24" s="100">
        <v>7</v>
      </c>
      <c r="AK24" s="100">
        <v>6</v>
      </c>
      <c r="AL24" s="97">
        <v>0</v>
      </c>
      <c r="AM24" s="100">
        <f t="shared" si="2"/>
        <v>648</v>
      </c>
      <c r="AN24" s="107">
        <v>14000</v>
      </c>
      <c r="AO24" s="109">
        <f t="shared" si="3"/>
        <v>9072000</v>
      </c>
    </row>
    <row r="25" spans="2:48" x14ac:dyDescent="0.3">
      <c r="B25" s="50" t="s">
        <v>121</v>
      </c>
      <c r="C25" s="91">
        <f>C6-C19-C20-C21-C22</f>
        <v>369912992</v>
      </c>
      <c r="D25" s="91">
        <f>D10-SUM(D13,D14,D18,D19,D20,D21,D22)</f>
        <v>-208155324.03610671</v>
      </c>
      <c r="E25" s="91">
        <f t="shared" ref="E25:M25" si="15">E10-SUM(E13,E14,E18,E19,E20,E21,E22)</f>
        <v>-114908780.9132483</v>
      </c>
      <c r="F25" s="91">
        <f t="shared" si="15"/>
        <v>-21697173.868547082</v>
      </c>
      <c r="G25" s="91">
        <f t="shared" si="15"/>
        <v>71478973.056824803</v>
      </c>
      <c r="H25" s="91">
        <f t="shared" si="15"/>
        <v>164619127.96107709</v>
      </c>
      <c r="I25" s="91">
        <f t="shared" si="15"/>
        <v>424994209.43999988</v>
      </c>
      <c r="J25" s="91">
        <f t="shared" si="15"/>
        <v>520569824.43999988</v>
      </c>
      <c r="K25" s="91">
        <f t="shared" si="15"/>
        <v>616145439.43999982</v>
      </c>
      <c r="L25" s="91">
        <f t="shared" si="15"/>
        <v>711721054.43999982</v>
      </c>
      <c r="M25" s="91">
        <f t="shared" si="15"/>
        <v>807296669.43999982</v>
      </c>
      <c r="Q25" s="61" t="s">
        <v>1</v>
      </c>
      <c r="R25" s="2">
        <v>0</v>
      </c>
      <c r="S25" s="2">
        <v>1</v>
      </c>
      <c r="T25" s="2">
        <v>2</v>
      </c>
      <c r="U25" s="2">
        <v>3</v>
      </c>
      <c r="V25" s="2">
        <v>4</v>
      </c>
      <c r="W25" s="3">
        <v>5</v>
      </c>
      <c r="Y25" s="8"/>
      <c r="Z25" s="6"/>
      <c r="AA25" s="6"/>
      <c r="AB25" s="30" t="s">
        <v>40</v>
      </c>
      <c r="AC25" s="42">
        <f>SUM(AC16:AC24)</f>
        <v>7679200</v>
      </c>
      <c r="AN25" s="113" t="s">
        <v>169</v>
      </c>
      <c r="AO25" s="114">
        <f>SUM(AO5:AO24)</f>
        <v>404172000</v>
      </c>
    </row>
    <row r="26" spans="2:48" x14ac:dyDescent="0.3">
      <c r="B26" s="9" t="s">
        <v>122</v>
      </c>
      <c r="C26" s="92">
        <f>C25</f>
        <v>369912992</v>
      </c>
      <c r="D26" s="92">
        <f>D25+C26</f>
        <v>161757667.96389329</v>
      </c>
      <c r="E26" s="92">
        <f t="shared" ref="E26:M26" si="16">E25+D26</f>
        <v>46848887.050644994</v>
      </c>
      <c r="F26" s="92">
        <f t="shared" si="16"/>
        <v>25151713.182097912</v>
      </c>
      <c r="G26" s="92">
        <f t="shared" si="16"/>
        <v>96630686.238922715</v>
      </c>
      <c r="H26" s="92">
        <f t="shared" si="16"/>
        <v>261249814.19999981</v>
      </c>
      <c r="I26" s="92">
        <f t="shared" si="16"/>
        <v>686244023.63999963</v>
      </c>
      <c r="J26" s="92">
        <f t="shared" si="16"/>
        <v>1206813848.0799994</v>
      </c>
      <c r="K26" s="92">
        <f t="shared" si="16"/>
        <v>1822959287.5199993</v>
      </c>
      <c r="L26" s="92">
        <f t="shared" si="16"/>
        <v>2534680341.9599991</v>
      </c>
      <c r="M26" s="92">
        <f t="shared" si="16"/>
        <v>3341977011.3999987</v>
      </c>
      <c r="Q26" s="61" t="s">
        <v>92</v>
      </c>
      <c r="R26" s="62">
        <v>0</v>
      </c>
      <c r="S26" s="62">
        <f>PMT($U$37,$U$33,-$R$29)</f>
        <v>167271458.4761067</v>
      </c>
      <c r="T26" s="62">
        <f>PMT($U$37,$U$33,-$R$29)</f>
        <v>167271458.4761067</v>
      </c>
      <c r="U26" s="62">
        <f>PMT($U$37,$U$33,-$R$29)</f>
        <v>167271458.4761067</v>
      </c>
      <c r="V26" s="62">
        <f>PMT($U$37,$U$33,-$R$29)</f>
        <v>167271458.4761067</v>
      </c>
      <c r="W26" s="63">
        <f>PMT($U$37,$U$33,-$R$29)</f>
        <v>167271458.4761067</v>
      </c>
      <c r="Y26" s="122" t="s">
        <v>62</v>
      </c>
      <c r="Z26" s="123"/>
      <c r="AA26" s="123"/>
      <c r="AB26" s="123"/>
      <c r="AC26" s="124"/>
    </row>
    <row r="27" spans="2:48" x14ac:dyDescent="0.3">
      <c r="Q27" s="61" t="s">
        <v>23</v>
      </c>
      <c r="R27" s="62">
        <v>0</v>
      </c>
      <c r="S27" s="62">
        <f>+R29*$U$37</f>
        <v>12000000</v>
      </c>
      <c r="T27" s="62">
        <f>+S29*$U$37</f>
        <v>9670928.1228583995</v>
      </c>
      <c r="U27" s="62">
        <f>+T29*$U$37</f>
        <v>7306920.1675596759</v>
      </c>
      <c r="V27" s="62">
        <f>+U29*$U$37</f>
        <v>4907452.0929314708</v>
      </c>
      <c r="W27" s="63">
        <f>+V29*$U$37</f>
        <v>2471991.9971838421</v>
      </c>
      <c r="Y27" s="31" t="s">
        <v>17</v>
      </c>
      <c r="Z27" s="32" t="s">
        <v>25</v>
      </c>
      <c r="AA27" s="32" t="s">
        <v>26</v>
      </c>
      <c r="AB27" s="32" t="s">
        <v>63</v>
      </c>
      <c r="AC27" s="33" t="s">
        <v>28</v>
      </c>
    </row>
    <row r="28" spans="2:48" ht="18" x14ac:dyDescent="0.35">
      <c r="B28" s="132" t="s">
        <v>84</v>
      </c>
      <c r="C28" s="133"/>
      <c r="D28" s="133"/>
      <c r="E28" s="133"/>
      <c r="F28" s="133"/>
      <c r="G28" s="133"/>
      <c r="H28" s="133"/>
      <c r="I28" s="134"/>
      <c r="K28" s="81" t="s">
        <v>107</v>
      </c>
      <c r="L28" s="82"/>
      <c r="Q28" s="61" t="s">
        <v>80</v>
      </c>
      <c r="R28" s="62">
        <v>0</v>
      </c>
      <c r="S28" s="62">
        <f>+S26-S27</f>
        <v>155271458.4761067</v>
      </c>
      <c r="T28" s="62">
        <f>+T26-T27</f>
        <v>157600530.3532483</v>
      </c>
      <c r="U28" s="62">
        <f>+U26-U27</f>
        <v>159964538.30854702</v>
      </c>
      <c r="V28" s="62">
        <f>+V26-V27</f>
        <v>162364006.38317522</v>
      </c>
      <c r="W28" s="63">
        <f>+W26-W27</f>
        <v>164799466.47892287</v>
      </c>
      <c r="Y28" s="53" t="s">
        <v>65</v>
      </c>
      <c r="Z28" s="54" t="s">
        <v>64</v>
      </c>
      <c r="AA28" s="55">
        <f>T5</f>
        <v>289719</v>
      </c>
      <c r="AB28" s="55">
        <f>AA28</f>
        <v>289719</v>
      </c>
      <c r="AC28" s="56">
        <f>SUM(AA28:AB28)</f>
        <v>579438</v>
      </c>
      <c r="AH28" s="111"/>
      <c r="AI28" s="110"/>
    </row>
    <row r="29" spans="2:48" x14ac:dyDescent="0.3">
      <c r="B29" s="65" t="s">
        <v>1</v>
      </c>
      <c r="C29" s="4">
        <v>1</v>
      </c>
      <c r="D29" s="4">
        <v>2</v>
      </c>
      <c r="E29" s="4">
        <v>3</v>
      </c>
      <c r="F29" s="4">
        <v>4</v>
      </c>
      <c r="G29" s="4">
        <v>5</v>
      </c>
      <c r="H29" s="4">
        <v>6</v>
      </c>
      <c r="I29" s="5">
        <v>7</v>
      </c>
      <c r="K29" s="50" t="s">
        <v>109</v>
      </c>
      <c r="L29" s="69">
        <v>85000</v>
      </c>
      <c r="Q29" s="61" t="s">
        <v>93</v>
      </c>
      <c r="R29" s="60">
        <f>U36</f>
        <v>800000000</v>
      </c>
      <c r="S29" s="62">
        <f>+R29-S28</f>
        <v>644728541.52389336</v>
      </c>
      <c r="T29" s="62">
        <f>+S29-T28</f>
        <v>487128011.17064506</v>
      </c>
      <c r="U29" s="62">
        <f>+T29-U28</f>
        <v>327163472.86209804</v>
      </c>
      <c r="V29" s="62">
        <f>+U29-V28</f>
        <v>164799466.47892281</v>
      </c>
      <c r="W29" s="63">
        <f>+V29-W28</f>
        <v>0</v>
      </c>
      <c r="Y29" s="43" t="s">
        <v>66</v>
      </c>
      <c r="Z29" s="34" t="s">
        <v>67</v>
      </c>
      <c r="AA29" s="35">
        <f>T6</f>
        <v>158970</v>
      </c>
      <c r="AB29" s="35">
        <v>0</v>
      </c>
      <c r="AC29" s="44">
        <f>SUM(AA29:AB29)</f>
        <v>158970</v>
      </c>
    </row>
    <row r="30" spans="2:48" x14ac:dyDescent="0.3">
      <c r="B30" s="16" t="s">
        <v>85</v>
      </c>
      <c r="C30" s="14">
        <f t="shared" ref="C30:H30" si="17">$AC$13/$C$36</f>
        <v>2916233.3333333335</v>
      </c>
      <c r="D30" s="14">
        <f t="shared" si="17"/>
        <v>2916233.3333333335</v>
      </c>
      <c r="E30" s="14">
        <f t="shared" si="17"/>
        <v>2916233.3333333335</v>
      </c>
      <c r="F30" s="14">
        <f t="shared" si="17"/>
        <v>2916233.3333333335</v>
      </c>
      <c r="G30" s="14">
        <f t="shared" si="17"/>
        <v>2916233.3333333335</v>
      </c>
      <c r="H30" s="14">
        <f t="shared" si="17"/>
        <v>2916233.3333333335</v>
      </c>
      <c r="I30" s="15">
        <v>0</v>
      </c>
      <c r="K30" s="9" t="s">
        <v>108</v>
      </c>
      <c r="L30" s="70">
        <f>L29/1000</f>
        <v>85</v>
      </c>
      <c r="Q30" s="61" t="s">
        <v>94</v>
      </c>
      <c r="R30" s="62">
        <v>0</v>
      </c>
      <c r="S30" s="62">
        <f>+S28+R30</f>
        <v>155271458.4761067</v>
      </c>
      <c r="T30" s="62">
        <f>+T28+S30</f>
        <v>312871988.829355</v>
      </c>
      <c r="U30" s="62">
        <f>+U28+T30</f>
        <v>472836527.13790202</v>
      </c>
      <c r="V30" s="62">
        <f>+V28+U30</f>
        <v>635200533.52107728</v>
      </c>
      <c r="W30" s="63">
        <f>+W28+V30</f>
        <v>800000000.00000012</v>
      </c>
      <c r="Y30" s="8"/>
      <c r="Z30" s="6"/>
      <c r="AA30" s="6"/>
      <c r="AB30" s="34" t="s">
        <v>40</v>
      </c>
      <c r="AC30" s="44">
        <f>SUM(AC28:AC29)</f>
        <v>738408</v>
      </c>
    </row>
    <row r="31" spans="2:48" x14ac:dyDescent="0.3">
      <c r="B31" s="18" t="s">
        <v>86</v>
      </c>
      <c r="C31" s="20">
        <f t="shared" ref="C31:I31" si="18">$AC$25/$C$35</f>
        <v>1097028.5714285714</v>
      </c>
      <c r="D31" s="20">
        <f t="shared" si="18"/>
        <v>1097028.5714285714</v>
      </c>
      <c r="E31" s="20">
        <f t="shared" si="18"/>
        <v>1097028.5714285714</v>
      </c>
      <c r="F31" s="20">
        <f t="shared" si="18"/>
        <v>1097028.5714285714</v>
      </c>
      <c r="G31" s="20">
        <f t="shared" si="18"/>
        <v>1097028.5714285714</v>
      </c>
      <c r="H31" s="20">
        <f t="shared" si="18"/>
        <v>1097028.5714285714</v>
      </c>
      <c r="I31" s="64">
        <f t="shared" si="18"/>
        <v>1097028.5714285714</v>
      </c>
      <c r="Y31" s="9"/>
      <c r="Z31" s="10"/>
      <c r="AA31" s="10"/>
      <c r="AB31" s="58" t="s">
        <v>68</v>
      </c>
      <c r="AC31" s="59">
        <f>SUM(AC30,AC25,AC13)</f>
        <v>25915008</v>
      </c>
    </row>
    <row r="32" spans="2:48" ht="18" x14ac:dyDescent="0.35">
      <c r="Q32" s="115" t="s">
        <v>96</v>
      </c>
      <c r="R32" s="116"/>
      <c r="T32" s="115" t="s">
        <v>78</v>
      </c>
      <c r="U32" s="116"/>
    </row>
    <row r="33" spans="2:21" ht="18" x14ac:dyDescent="0.35">
      <c r="B33" s="115" t="s">
        <v>75</v>
      </c>
      <c r="C33" s="117"/>
      <c r="D33" s="116"/>
      <c r="K33" s="115" t="s">
        <v>113</v>
      </c>
      <c r="L33" s="116"/>
      <c r="Q33" s="16" t="s">
        <v>95</v>
      </c>
      <c r="R33" s="66">
        <v>27551.56</v>
      </c>
      <c r="T33" s="8" t="s">
        <v>102</v>
      </c>
      <c r="U33" s="7">
        <v>5</v>
      </c>
    </row>
    <row r="34" spans="2:21" x14ac:dyDescent="0.3">
      <c r="B34" s="49" t="s">
        <v>77</v>
      </c>
      <c r="C34" s="46" t="s">
        <v>76</v>
      </c>
      <c r="D34" s="49" t="s">
        <v>73</v>
      </c>
      <c r="K34" s="50" t="s">
        <v>114</v>
      </c>
      <c r="L34" s="69">
        <v>15403</v>
      </c>
      <c r="Q34" s="16" t="s">
        <v>97</v>
      </c>
      <c r="R34" s="66">
        <v>48305</v>
      </c>
      <c r="T34" s="8" t="s">
        <v>80</v>
      </c>
      <c r="U34" s="7" t="s">
        <v>131</v>
      </c>
    </row>
    <row r="35" spans="2:21" x14ac:dyDescent="0.3">
      <c r="B35" s="47" t="s">
        <v>71</v>
      </c>
      <c r="C35" s="48">
        <v>7</v>
      </c>
      <c r="D35" s="47">
        <v>2</v>
      </c>
      <c r="K35" s="8" t="s">
        <v>115</v>
      </c>
      <c r="L35" s="57">
        <v>16396</v>
      </c>
      <c r="Q35" s="16" t="s">
        <v>98</v>
      </c>
      <c r="R35" s="15">
        <v>678</v>
      </c>
      <c r="T35" s="8" t="s">
        <v>81</v>
      </c>
      <c r="U35" s="7" t="s">
        <v>82</v>
      </c>
    </row>
    <row r="36" spans="2:21" x14ac:dyDescent="0.3">
      <c r="B36" s="45" t="s">
        <v>72</v>
      </c>
      <c r="C36" s="45">
        <v>6</v>
      </c>
      <c r="D36" s="45">
        <v>2</v>
      </c>
      <c r="K36" s="9" t="s">
        <v>116</v>
      </c>
      <c r="L36" s="70">
        <v>126049</v>
      </c>
      <c r="Q36" s="16" t="s">
        <v>99</v>
      </c>
      <c r="R36" s="15">
        <v>759.02</v>
      </c>
      <c r="T36" s="8" t="s">
        <v>101</v>
      </c>
      <c r="U36" s="15">
        <v>800000000</v>
      </c>
    </row>
    <row r="37" spans="2:21" x14ac:dyDescent="0.3">
      <c r="Q37" s="16" t="s">
        <v>100</v>
      </c>
      <c r="R37" s="15">
        <v>100.53</v>
      </c>
      <c r="T37" s="8" t="s">
        <v>83</v>
      </c>
      <c r="U37" s="71">
        <v>1.4999999999999999E-2</v>
      </c>
    </row>
    <row r="38" spans="2:21" x14ac:dyDescent="0.3">
      <c r="B38" s="52" t="s">
        <v>74</v>
      </c>
      <c r="K38" s="1" t="s">
        <v>119</v>
      </c>
      <c r="L38" s="73">
        <v>0.27</v>
      </c>
      <c r="Q38" s="67" t="s">
        <v>112</v>
      </c>
      <c r="R38" s="68">
        <v>10.4</v>
      </c>
      <c r="T38" s="72" t="s">
        <v>117</v>
      </c>
      <c r="U38" s="11" t="s">
        <v>118</v>
      </c>
    </row>
  </sheetData>
  <mergeCells count="19">
    <mergeCell ref="B2:I2"/>
    <mergeCell ref="B3:M3"/>
    <mergeCell ref="B24:M24"/>
    <mergeCell ref="Y26:AC26"/>
    <mergeCell ref="Y3:AC3"/>
    <mergeCell ref="Y4:AC4"/>
    <mergeCell ref="B33:D33"/>
    <mergeCell ref="Q22:R22"/>
    <mergeCell ref="K33:L33"/>
    <mergeCell ref="B28:I28"/>
    <mergeCell ref="Q3:U3"/>
    <mergeCell ref="B5:M5"/>
    <mergeCell ref="B12:M12"/>
    <mergeCell ref="Y14:AC14"/>
    <mergeCell ref="Q32:R32"/>
    <mergeCell ref="T32:U32"/>
    <mergeCell ref="AE3:AO3"/>
    <mergeCell ref="AT3:AV3"/>
    <mergeCell ref="Q24:W24"/>
  </mergeCells>
  <conditionalFormatting sqref="C25:M2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hyperlinks>
    <hyperlink ref="Z6" r:id="rId1" xr:uid="{6D76B733-6FED-4565-9634-7EA9162D0F57}"/>
    <hyperlink ref="Z7" r:id="rId2" xr:uid="{667A3B4B-FD30-4000-A713-1B94783530D2}"/>
    <hyperlink ref="Z8" r:id="rId3" xr:uid="{42A0548E-8832-49B5-B045-6A5E0D664167}"/>
    <hyperlink ref="Z9" r:id="rId4" xr:uid="{13F905CE-2EB5-4B35-B44F-90FBA54E9CCF}"/>
    <hyperlink ref="Z10" r:id="rId5" xr:uid="{87B3DCFE-ED7B-471E-8D09-D252030424C0}"/>
    <hyperlink ref="Z11" r:id="rId6" xr:uid="{5D800F4E-D3DC-41C8-AC75-C8A2BEAB4B69}"/>
    <hyperlink ref="Z16" r:id="rId7" xr:uid="{FA54AD1C-A7BF-42BA-9156-C12A6EE0E01B}"/>
    <hyperlink ref="Z17" r:id="rId8" xr:uid="{12BF7F31-7FE1-4960-B6E9-166E47D36B66}"/>
    <hyperlink ref="Z18" r:id="rId9" xr:uid="{6D703D76-C593-49F0-A234-98C15D41866C}"/>
    <hyperlink ref="Z19" r:id="rId10" xr:uid="{3FF83D8F-593C-4599-9368-4A0F2FF6B8B5}"/>
    <hyperlink ref="Z20" r:id="rId11" xr:uid="{BE47B76F-3EB1-4022-9E61-8F8CBE1B5676}"/>
    <hyperlink ref="Z22" r:id="rId12" xr:uid="{957EC630-CE3C-4BE7-ACDF-262B3AF31FC7}"/>
    <hyperlink ref="Z23" r:id="rId13" xr:uid="{3BB76C5E-3924-48E9-89A2-3D0DE76DB32E}"/>
    <hyperlink ref="Z24" r:id="rId14" xr:uid="{1EA1FF47-E2B9-4897-95A8-6BD721916037}"/>
    <hyperlink ref="Z21" r:id="rId15" xr:uid="{05989B02-A311-468E-B131-EA428FA919D9}"/>
    <hyperlink ref="Z28" r:id="rId16" xr:uid="{4E6BDC8B-825B-40E8-B342-84044F92B51D}"/>
    <hyperlink ref="Z29" r:id="rId17" xr:uid="{62582AAB-FC15-4C36-9A83-A7A09A047CDA}"/>
    <hyperlink ref="Z12" r:id="rId18" xr:uid="{A84E4438-0BB5-45E5-BE69-FF8DA726BBC4}"/>
  </hyperlinks>
  <pageMargins left="0.7" right="0.7" top="0.75" bottom="0.75" header="0.3" footer="0.3"/>
  <pageSetup orientation="portrait" horizontalDpi="0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6225-FA6C-4A8A-A39C-F7CAFF8FC7F7}">
  <dimension ref="A1"/>
  <sheetViews>
    <sheetView workbookViewId="0">
      <selection activeCell="C13" sqref="A1:C13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Flujo de caja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2019-05-05T23:06:14Z</dcterms:modified>
</cp:coreProperties>
</file>