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7gc-my.sharepoint.com/personal/adam_smith_ec_gc_ca/Documents/Carleton/JuliaClarke/"/>
    </mc:Choice>
  </mc:AlternateContent>
  <xr:revisionPtr revIDLastSave="336" documentId="13_ncr:1_{6FC6692C-A06A-4965-A37B-36743A8C80F5}" xr6:coauthVersionLast="47" xr6:coauthVersionMax="47" xr10:uidLastSave="{E2B5CA13-FF3C-43FE-81B7-DBD03A49581A}"/>
  <bookViews>
    <workbookView xWindow="15360" yWindow="-16320" windowWidth="29040" windowHeight="15720" xr2:uid="{34799AEB-E648-4432-9AD1-3782E8B19258}"/>
  </bookViews>
  <sheets>
    <sheet name="FINAL" sheetId="1" r:id="rId1"/>
    <sheet name="old_version_do_not_use" sheetId="3" r:id="rId2"/>
  </sheets>
  <definedNames>
    <definedName name="_xlnm._FilterDatabase" localSheetId="0" hidden="1">FINAL!$A$1:$AT$62</definedName>
    <definedName name="_xlnm._FilterDatabase" localSheetId="1" hidden="1">old_version_do_not_use!$A$1:$L$28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M27" i="1"/>
  <c r="L27" i="1"/>
  <c r="M26" i="1"/>
  <c r="L26" i="1"/>
  <c r="M16" i="1"/>
  <c r="L16" i="1"/>
  <c r="M15" i="1"/>
  <c r="L15" i="1"/>
  <c r="M13" i="1"/>
  <c r="L13" i="1"/>
  <c r="M24" i="1"/>
  <c r="L24" i="1"/>
  <c r="M22" i="1"/>
  <c r="L22" i="1"/>
  <c r="M21" i="1"/>
  <c r="L21" i="1"/>
  <c r="M19" i="1"/>
  <c r="L19" i="1"/>
  <c r="M18" i="1"/>
  <c r="L18" i="1"/>
  <c r="M11" i="1"/>
  <c r="L11" i="1"/>
  <c r="M12" i="1"/>
  <c r="L12" i="1"/>
  <c r="M7" i="1"/>
  <c r="L7" i="1"/>
  <c r="M6" i="1"/>
  <c r="L6" i="1"/>
  <c r="M5" i="1"/>
  <c r="L5" i="1"/>
  <c r="M4" i="1"/>
  <c r="L4" i="1"/>
  <c r="M28" i="1"/>
  <c r="L28" i="1"/>
  <c r="M25" i="1"/>
  <c r="L25" i="1"/>
  <c r="M23" i="1"/>
  <c r="L23" i="1"/>
  <c r="M20" i="1"/>
  <c r="L20" i="1"/>
  <c r="M17" i="1"/>
  <c r="L17" i="1"/>
  <c r="M14" i="1"/>
  <c r="L14" i="1"/>
  <c r="M10" i="1"/>
  <c r="L10" i="1"/>
  <c r="M9" i="1"/>
  <c r="L9" i="1"/>
  <c r="M8" i="1"/>
  <c r="L8" i="1"/>
  <c r="M3" i="1"/>
  <c r="L3" i="1"/>
  <c r="M2" i="1"/>
  <c r="L2" i="1"/>
  <c r="G28" i="1"/>
  <c r="G27" i="1"/>
  <c r="G24" i="1"/>
  <c r="G23" i="1"/>
  <c r="G20" i="1"/>
  <c r="G16" i="1"/>
  <c r="G15" i="1"/>
  <c r="G11" i="1"/>
  <c r="G12" i="1"/>
  <c r="G25" i="1"/>
  <c r="G22" i="1"/>
  <c r="G21" i="1"/>
  <c r="G14" i="1"/>
  <c r="G7" i="1"/>
  <c r="G6" i="1"/>
  <c r="G5" i="1"/>
  <c r="G4" i="1"/>
  <c r="G26" i="1"/>
  <c r="G19" i="1"/>
  <c r="G18" i="1"/>
  <c r="G17" i="1"/>
  <c r="G13" i="1"/>
  <c r="G10" i="1"/>
  <c r="G9" i="1"/>
  <c r="G8" i="1"/>
  <c r="G3" i="1"/>
  <c r="G2" i="1"/>
  <c r="C27" i="3"/>
  <c r="W23" i="1"/>
  <c r="W21" i="1"/>
  <c r="C28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B3" i="1"/>
  <c r="AB8" i="1"/>
  <c r="AB9" i="1"/>
  <c r="AB10" i="1"/>
  <c r="AB13" i="1"/>
  <c r="AB17" i="1"/>
  <c r="AB18" i="1"/>
  <c r="AB19" i="1"/>
  <c r="AB26" i="1"/>
  <c r="AB2" i="1"/>
  <c r="Z3" i="1"/>
  <c r="Z8" i="1"/>
  <c r="Z9" i="1"/>
  <c r="Z10" i="1"/>
  <c r="Z12" i="1"/>
  <c r="Z11" i="1"/>
  <c r="Z15" i="1"/>
  <c r="Z16" i="1"/>
  <c r="Z17" i="1"/>
  <c r="Z18" i="1"/>
  <c r="Z19" i="1"/>
  <c r="Z20" i="1"/>
  <c r="Z23" i="1"/>
  <c r="Z24" i="1"/>
  <c r="Z26" i="1"/>
  <c r="Z27" i="1"/>
  <c r="Z28" i="1"/>
  <c r="Z2" i="1"/>
  <c r="AA2" i="1"/>
  <c r="X2" i="1"/>
  <c r="X3" i="1"/>
  <c r="X4" i="1"/>
  <c r="X5" i="1"/>
  <c r="X6" i="1"/>
  <c r="X7" i="1"/>
  <c r="X8" i="1"/>
  <c r="X9" i="1"/>
  <c r="X10" i="1"/>
  <c r="X12" i="1"/>
  <c r="X11" i="1"/>
  <c r="X14" i="1"/>
  <c r="X15" i="1"/>
  <c r="X16" i="1"/>
  <c r="X17" i="1"/>
  <c r="X21" i="1"/>
  <c r="X22" i="1"/>
  <c r="X23" i="1"/>
  <c r="X24" i="1"/>
  <c r="X25" i="1"/>
  <c r="X26" i="1"/>
  <c r="X27" i="1"/>
  <c r="X28" i="1"/>
  <c r="D2" i="1"/>
  <c r="W2" i="1"/>
  <c r="Y2" i="1"/>
  <c r="D3" i="1"/>
  <c r="W3" i="1"/>
  <c r="Y3" i="1"/>
  <c r="AA3" i="1"/>
  <c r="D4" i="1"/>
  <c r="W4" i="1"/>
  <c r="D5" i="1"/>
  <c r="W5" i="1"/>
  <c r="D6" i="1"/>
  <c r="W6" i="1"/>
  <c r="D7" i="1"/>
  <c r="W7" i="1"/>
  <c r="D8" i="1"/>
  <c r="W8" i="1"/>
  <c r="Y8" i="1"/>
  <c r="AA8" i="1"/>
  <c r="D9" i="1"/>
  <c r="W9" i="1"/>
  <c r="Y9" i="1"/>
  <c r="AA9" i="1"/>
  <c r="D10" i="1"/>
  <c r="W10" i="1"/>
  <c r="Y10" i="1"/>
  <c r="AA10" i="1"/>
  <c r="D12" i="1"/>
  <c r="W12" i="1"/>
  <c r="Y12" i="1"/>
  <c r="D11" i="1"/>
  <c r="W11" i="1"/>
  <c r="Y11" i="1"/>
  <c r="D13" i="1"/>
  <c r="AA13" i="1"/>
  <c r="D14" i="1"/>
  <c r="W14" i="1"/>
  <c r="D15" i="1"/>
  <c r="W15" i="1"/>
  <c r="Y15" i="1"/>
  <c r="D16" i="1"/>
  <c r="W16" i="1"/>
  <c r="Y16" i="1"/>
  <c r="D17" i="1"/>
  <c r="W17" i="1"/>
  <c r="Y17" i="1"/>
  <c r="AA17" i="1"/>
  <c r="D18" i="1"/>
  <c r="Y18" i="1"/>
  <c r="AA18" i="1"/>
  <c r="D19" i="1"/>
  <c r="Y19" i="1"/>
  <c r="AA19" i="1"/>
  <c r="D20" i="1"/>
  <c r="Y20" i="1"/>
  <c r="D21" i="1"/>
  <c r="D22" i="1"/>
  <c r="W22" i="1"/>
  <c r="D23" i="1"/>
  <c r="Y23" i="1"/>
  <c r="D24" i="1"/>
  <c r="W24" i="1"/>
  <c r="Y24" i="1"/>
  <c r="D25" i="1"/>
  <c r="W25" i="1"/>
  <c r="D26" i="1"/>
  <c r="W26" i="1"/>
  <c r="Y26" i="1"/>
  <c r="AA26" i="1"/>
  <c r="W27" i="1"/>
  <c r="Y27" i="1"/>
  <c r="D28" i="1"/>
  <c r="W28" i="1"/>
  <c r="Y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tc={E82E87F5-2625-455C-865A-281188BE31F4}</author>
    <author>tc={8155D558-A551-4716-AFA9-8D89FD199F24}</author>
    <author>tc={E41D5434-9176-4EB1-819C-8E205AE636BA}</author>
    <author>tc={A132BE48-4956-44C6-9448-0FE37815AABE}</author>
    <author>tc={249544BC-93F4-4153-A758-2E1B310BE54D}</author>
    <author>tc={3FDD9F4A-959F-4F65-9D1C-FCB1D71562BC}</author>
    <author>tc={DBAA1CBD-C4BD-4C53-A558-3BDC68DCF525}</author>
    <author>tc={0701EB1D-10AB-4121-A69A-2EDF405F083F}</author>
    <author>Julia Clarke</author>
    <author>tc={7BFF81EA-533C-4537-AF7E-F00F298B920A}</author>
    <author>tc={F2EBACB5-A14F-4E93-8FDC-8D58B66C8B56}</author>
  </authors>
  <commentList>
    <comment ref="F1" authorId="0" shapeId="0" xr:uid="{E82E87F5-2625-455C-865A-281188BE31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from an earlier dataset, not drawn from anywhere else in this spreadsheet</t>
      </text>
    </comment>
    <comment ref="H1" authorId="1" shapeId="0" xr:uid="{8155D558-A551-4716-AFA9-8D89FD199F2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from an earlier dataset, not drawn from anywhere else in this spreadsheet</t>
      </text>
    </comment>
    <comment ref="I1" authorId="2" shapeId="0" xr:uid="{E41D5434-9176-4EB1-819C-8E205AE636B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Generation for the post-rescue He estimate</t>
      </text>
    </comment>
    <comment ref="K1" authorId="3" shapeId="0" xr:uid="{A132BE48-4956-44C6-9448-0FE37815AA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about these values. The regular use of 0.5 seems strange. Especially given the range of values of fit statistics (SE = 0.5 when the estimate = 728 seems wrong).</t>
      </text>
    </comment>
    <comment ref="M1" authorId="4" shapeId="0" xr:uid="{249544BC-93F4-4153-A758-2E1B310BE54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for column Predfit_SD. These values can't be correct.</t>
      </text>
    </comment>
    <comment ref="N1" authorId="5" shapeId="0" xr:uid="{3FDD9F4A-959F-4F65-9D1C-FCB1D71562BC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Generation for the post-rescue fit estimate</t>
      </text>
    </comment>
    <comment ref="P1" authorId="6" shapeId="0" xr:uid="{DBAA1CBD-C4BD-4C53-A558-3BDC68DCF525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Everything from here to the left is what I (Adam) think are likely the correct data to use (post rescue information drawn from last available generation - see columns gen_post_he and gen_post_fit). Everything to the right is the information from the original datasheet (including some of the more detailed information by generation post rescue).</t>
      </text>
    </comment>
    <comment ref="O13" authorId="7" shapeId="0" xr:uid="{0701EB1D-10AB-4121-A69A-2EDF405F08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was originally "RS", but it was the only row with that value. Is it supposed to be SR? (was RS a typo?)
</t>
      </text>
    </comment>
    <comment ref="O18" authorId="8" shapeId="0" xr:uid="{0D0CC9DA-8847-411E-835F-D91BB88AB783}">
      <text>
        <r>
          <rPr>
            <b/>
            <sz val="9"/>
            <color indexed="81"/>
            <rFont val="Tahoma"/>
            <family val="2"/>
          </rPr>
          <t>Julia Clarke:</t>
        </r>
        <r>
          <rPr>
            <sz val="9"/>
            <color indexed="81"/>
            <rFont val="Tahoma"/>
            <family val="2"/>
          </rPr>
          <t xml:space="preserve">
maybe do the inverse? We WANT this value to decrease. </t>
        </r>
      </text>
    </comment>
    <comment ref="A21" authorId="9" shapeId="0" xr:uid="{7BFF81EA-533C-4537-AF7E-F00F298B920A}">
      <text>
        <t>[Threaded comment]
Your version of Excel allows you to read this threaded comment; however, any edits to it will get removed if the file is opened in a newer version of Excel. Learn more: https://go.microsoft.com/fwlink/?linkid=870924
Comment:
    waiting on supp info</t>
      </text>
    </comment>
    <comment ref="B21" authorId="10" shapeId="0" xr:uid="{F2EBACB5-A14F-4E93-8FDC-8D58B66C8B56}">
      <text>
        <t>[Threaded comment]
Your version of Excel allows you to read this threaded comment; however, any edits to it will get removed if the file is opened in a newer version of Excel. Learn more: https://go.microsoft.com/fwlink/?linkid=870924
Comment:
    waiting on supp info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tc={30D751BF-F564-4545-A899-648450ABFBBF}</author>
    <author>tc={F29F0ED1-3A38-4BBE-B426-C950426508AC}</author>
    <author>tc={F688F5C6-ADE1-445A-8BE6-5ABD6B06ABA6}</author>
  </authors>
  <commentList>
    <comment ref="C1" authorId="0" shapeId="0" xr:uid="{30D751BF-F564-4545-A899-648450ABF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ratio of how many were translocated over how many residents there were.</t>
      </text>
    </comment>
    <comment ref="F1" authorId="1" shapeId="0" xr:uid="{F29F0ED1-3A38-4BBE-B426-C950426508AC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generation data not yet used in model.</t>
      </text>
    </comment>
    <comment ref="A21" authorId="2" shapeId="0" xr:uid="{F688F5C6-ADE1-445A-8BE6-5ABD6B06ABA6}">
      <text>
        <t>[Threaded comment]
Your version of Excel allows you to read this threaded comment; however, any edits to it will get removed if the file is opened in a newer version of Excel. Learn more: https://go.microsoft.com/fwlink/?linkid=870924
Comment:
    waiting on supp info</t>
      </text>
    </comment>
  </commentList>
</comments>
</file>

<file path=xl/sharedStrings.xml><?xml version="1.0" encoding="utf-8"?>
<sst xmlns="http://schemas.openxmlformats.org/spreadsheetml/2006/main" count="183" uniqueCount="68">
  <si>
    <t>PS</t>
  </si>
  <si>
    <t>SR</t>
  </si>
  <si>
    <t>IR</t>
  </si>
  <si>
    <t>RS</t>
  </si>
  <si>
    <t>dGRf3</t>
  </si>
  <si>
    <t>dGRf2</t>
  </si>
  <si>
    <t>dGRf1</t>
  </si>
  <si>
    <t>fitF3_SD</t>
  </si>
  <si>
    <t>fit_F3</t>
  </si>
  <si>
    <t>fitF2_SD</t>
  </si>
  <si>
    <t>fit_F2</t>
  </si>
  <si>
    <t>fitF1_SD</t>
  </si>
  <si>
    <t>fit_F1</t>
  </si>
  <si>
    <t>dHe3</t>
  </si>
  <si>
    <t>dHe2</t>
  </si>
  <si>
    <t>dHe1</t>
  </si>
  <si>
    <t>He3_SD</t>
  </si>
  <si>
    <t xml:space="preserve">He3 </t>
  </si>
  <si>
    <t>He2_SD</t>
  </si>
  <si>
    <t>He2</t>
  </si>
  <si>
    <t>He1_SD</t>
  </si>
  <si>
    <t>He1</t>
  </si>
  <si>
    <t>tran_R</t>
  </si>
  <si>
    <t>Class</t>
  </si>
  <si>
    <t xml:space="preserve">Study </t>
  </si>
  <si>
    <t>dHe</t>
  </si>
  <si>
    <t>dGR</t>
  </si>
  <si>
    <t>fit_par</t>
  </si>
  <si>
    <t>dHE_er</t>
  </si>
  <si>
    <t>dHe1_sd</t>
  </si>
  <si>
    <t>dHe2_sd</t>
  </si>
  <si>
    <t>dHe3_sd</t>
  </si>
  <si>
    <t>Gen_He</t>
  </si>
  <si>
    <t>Gen_GR</t>
  </si>
  <si>
    <t>smd_GR</t>
  </si>
  <si>
    <t>smd_GR_er</t>
  </si>
  <si>
    <t>Kronenberger (2018)</t>
  </si>
  <si>
    <t>Robinson (2017)</t>
  </si>
  <si>
    <t>Fitzpatrick (2016)</t>
  </si>
  <si>
    <t>Ranke (2020)</t>
  </si>
  <si>
    <t>Heber (2013)</t>
  </si>
  <si>
    <t>Mussman (2016)</t>
  </si>
  <si>
    <t>Bateson (2014)</t>
  </si>
  <si>
    <t>Weeks (2017)</t>
  </si>
  <si>
    <t>Miller (2020)</t>
  </si>
  <si>
    <t>Johnson (2010)</t>
  </si>
  <si>
    <t>Arrendal (2004)</t>
  </si>
  <si>
    <t>Vila (2002)</t>
  </si>
  <si>
    <t>Olson (2012)</t>
  </si>
  <si>
    <t>Quinn (2019)</t>
  </si>
  <si>
    <t>Gustafson (2017)</t>
  </si>
  <si>
    <t>Hasselgren (2018)</t>
  </si>
  <si>
    <t>Poirier (2019)</t>
  </si>
  <si>
    <t>Hedrick (2004)</t>
  </si>
  <si>
    <t>Madsen (2020)</t>
  </si>
  <si>
    <t>fit_par_original</t>
  </si>
  <si>
    <t>OT</t>
  </si>
  <si>
    <t>Pre_He</t>
  </si>
  <si>
    <t>gen_post_fit</t>
  </si>
  <si>
    <t>gen_post_He</t>
  </si>
  <si>
    <t>Study_n</t>
  </si>
  <si>
    <t>Post_He</t>
  </si>
  <si>
    <t>Pre_fit</t>
  </si>
  <si>
    <t>Post_fit</t>
  </si>
  <si>
    <t>PreHe_SE</t>
  </si>
  <si>
    <t>PostHe_SE</t>
  </si>
  <si>
    <t>Prefit_SE</t>
  </si>
  <si>
    <t>Postfit_SE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</si>
</sst>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2" borderId="1" xfId="0" applyFill="1" applyBorder="1"/>
    <xf numFmtId="0" fontId="4" fillId="0" borderId="3" xfId="0" applyFont="1" applyBorder="1"/>
    <xf numFmtId="0" fontId="5" fillId="0" borderId="0" xfId="0" applyFont="1"/>
    <xf numFmtId="0" fontId="6" fillId="3" borderId="0" xfId="1"/>
    <xf numFmtId="0" fontId="6" fillId="3" borderId="1" xfId="1" applyBorder="1"/>
    <xf numFmtId="0" fontId="0" fillId="4" borderId="0" xfId="0" applyFill="1"/>
    <xf numFmtId="0" fontId="0" fillId="5" borderId="0" xfId="0" applyFill="1"/>
    <xf numFmtId="0" fontId="7" fillId="0" borderId="0" xfId="0" applyFont="1"/>
    <xf numFmtId="0" fontId="8" fillId="5" borderId="0" xfId="0" applyFont="1" applyFill="1"/>
    <xf numFmtId="0" fontId="9" fillId="0" borderId="0" xfId="0" applyFont="1"/>
    <xf numFmtId="0" fontId="0" fillId="5" borderId="2" xfId="0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0" fontId="9" fillId="5" borderId="0" xfId="0" applyFont="1" applyFill="1"/>
    <xf numFmtId="0" fontId="5" fillId="5" borderId="0" xfId="0" applyFont="1" applyFill="1"/>
    <xf numFmtId="0" fontId="10" fillId="0" borderId="0" xfId="0" applyFont="1"/>
    <xf numFmtId="0" fontId="10" fillId="5" borderId="0" xfId="0" applyFont="1" applyFill="1"/>
    <xf numFmtId="0" fontId="6" fillId="6" borderId="0" xfId="1" applyFill="1" applyBorder="1"/>
    <xf numFmtId="0" fontId="0" fillId="6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 Clarke" id="{481CF593-1F32-4A03-B390-93278AE21931}" userId="Julia Clarke" providerId="None"/>
  <person displayName="Julia Clarke" id="{BAC36CEE-84F0-4F2F-A6B4-4F044B939892}" userId="447a4d6341998ed3" providerId="Windows Live"/>
  <person displayName="Smith,Adam (il, le, lui | he, him, his) (ECCC)" id="{4DCE623C-32AB-49B2-9FE6-866AC1C23E82}" userId="Smith,Adam (il, le, lui | he, him, his) (ECCC)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2-26T15:49:09.91" personId="{4DCE623C-32AB-49B2-9FE6-866AC1C23E82}" id="{E82E87F5-2625-455C-865A-281188BE31F4}">
    <text>These are from an earlier dataset, not drawn from anywhere else in this spreadsheet</text>
  </threadedComment>
  <threadedComment ref="H1" dT="2024-02-26T15:49:15.14" personId="{4DCE623C-32AB-49B2-9FE6-866AC1C23E82}" id="{8155D558-A551-4716-AFA9-8D89FD199F24}">
    <text>These are from an earlier dataset, not drawn from anywhere else in this spreadsheet</text>
  </threadedComment>
  <threadedComment ref="I1" dT="2024-02-26T16:09:09.44" personId="{4DCE623C-32AB-49B2-9FE6-866AC1C23E82}" id="{E41D5434-9176-4EB1-819C-8E205AE636BA}">
    <text>Generation for the post-rescue He estimate</text>
  </threadedComment>
  <threadedComment ref="K1" dT="2024-02-26T15:45:07.34" personId="{4DCE623C-32AB-49B2-9FE6-866AC1C23E82}" id="{A132BE48-4956-44C6-9448-0FE37815AABE}">
    <text>Not sure about these values. The regular use of 0.5 seems strange. Especially given the range of values of fit statistics (SE = 0.5 when the estimate = 728 seems wrong).</text>
  </threadedComment>
  <threadedComment ref="M1" dT="2024-02-26T15:45:40.76" personId="{4DCE623C-32AB-49B2-9FE6-866AC1C23E82}" id="{249544BC-93F4-4153-A758-2E1B310BE54D}">
    <text>Same as for column Predfit_SD. These values can't be correct.</text>
  </threadedComment>
  <threadedComment ref="N1" dT="2024-02-26T16:08:08.24" personId="{4DCE623C-32AB-49B2-9FE6-866AC1C23E82}" id="{3FDD9F4A-959F-4F65-9D1C-FCB1D71562BC}">
    <text>Generation for the post-rescue fit estimate</text>
  </threadedComment>
  <threadedComment ref="P1" dT="2024-02-26T15:52:41.64" personId="{4DCE623C-32AB-49B2-9FE6-866AC1C23E82}" id="{DBAA1CBD-C4BD-4C53-A558-3BDC68DCF525}">
    <text>Everything from here to the left is what I (Adam) think are likely the correct data to use (post rescue information drawn from last available generation - see columns gen_post_he and gen_post_fit). Everything to the right is the information from the original datasheet (including some of the more detailed information by generation post rescue).</text>
  </threadedComment>
  <threadedComment ref="O13" dT="2024-02-26T16:10:25.86" personId="{4DCE623C-32AB-49B2-9FE6-866AC1C23E82}" id="{0701EB1D-10AB-4121-A69A-2EDF405F083F}">
    <text xml:space="preserve">This was originally "RS", but it was the only row with that value. Is it supposed to be SR? (was RS a typo?)
</text>
  </threadedComment>
  <threadedComment ref="A21" dT="2021-08-06T14:43:43.69" personId="{481CF593-1F32-4A03-B390-93278AE21931}" id="{7BFF81EA-533C-4537-AF7E-F00F298B920A}">
    <text>waiting on supp info</text>
  </threadedComment>
  <threadedComment ref="B21" dT="2021-08-06T14:43:43.69" personId="{481CF593-1F32-4A03-B390-93278AE21931}" id="{F2EBACB5-A14F-4E93-8FDC-8D58B66C8B56}">
    <text>waiting on supp info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10-21T16:32:32.61" personId="{BAC36CEE-84F0-4F2F-A6B4-4F044B939892}" id="{30D751BF-F564-4545-A899-648450ABFBBF}">
    <text>this is a ratio of how many were translocated over how many residents there were.</text>
  </threadedComment>
  <threadedComment ref="F1" dT="2021-10-21T16:32:53.21" personId="{BAC36CEE-84F0-4F2F-A6B4-4F044B939892}" id="{F29F0ED1-3A38-4BBE-B426-C950426508AC}">
    <text>generation data not yet used in model.</text>
  </threadedComment>
  <threadedComment ref="A21" dT="2021-08-06T14:43:43.69" personId="{481CF593-1F32-4A03-B390-93278AE21931}" id="{F688F5C6-ADE1-445A-8BE6-5ABD6B06ABA6}">
    <text>waiting on supp info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77A3-19A2-4035-B448-B8FC0B79121C}">
  <dimension ref="A1:AT62"/>
  <sheetViews>
    <sheetView tabSelected="1" zoomScale="80" zoomScaleNormal="80" workbookViewId="0">
      <selection activeCell="AJ16" sqref="AJ16"/>
    </sheetView>
  </sheetViews>
  <sheetFormatPr defaultRowHeight="14.4" x14ac:dyDescent="0.55000000000000004"/>
  <cols>
    <col min="1" max="1" width="20.05078125" customWidth="1"/>
    <col min="11" max="13" width="8.83984375" customWidth="1"/>
    <col min="16" max="16" width="8.83984375" style="23"/>
    <col min="18" max="18" width="8.83984375" style="14"/>
    <col min="20" max="20" width="8.83984375" style="14"/>
    <col min="22" max="22" width="8.83984375" style="14"/>
    <col min="34" max="34" width="17.734375" customWidth="1"/>
  </cols>
  <sheetData>
    <row r="1" spans="1:46" x14ac:dyDescent="0.55000000000000004">
      <c r="A1" t="s">
        <v>24</v>
      </c>
      <c r="B1" t="s">
        <v>60</v>
      </c>
      <c r="C1" s="2" t="s">
        <v>23</v>
      </c>
      <c r="D1" s="8" t="s">
        <v>22</v>
      </c>
      <c r="E1" s="8" t="s">
        <v>57</v>
      </c>
      <c r="F1" s="8" t="s">
        <v>64</v>
      </c>
      <c r="G1" s="8" t="s">
        <v>61</v>
      </c>
      <c r="H1" s="8" t="s">
        <v>65</v>
      </c>
      <c r="I1" s="8" t="s">
        <v>59</v>
      </c>
      <c r="J1" s="8" t="s">
        <v>62</v>
      </c>
      <c r="K1" s="8" t="s">
        <v>66</v>
      </c>
      <c r="L1" s="8" t="s">
        <v>63</v>
      </c>
      <c r="M1" s="8" t="s">
        <v>67</v>
      </c>
      <c r="N1" s="8" t="s">
        <v>58</v>
      </c>
      <c r="O1" s="9" t="s">
        <v>27</v>
      </c>
      <c r="P1" s="22"/>
      <c r="Q1" t="s">
        <v>21</v>
      </c>
      <c r="R1" s="14" t="s">
        <v>20</v>
      </c>
      <c r="S1" t="s">
        <v>19</v>
      </c>
      <c r="T1" s="14" t="s">
        <v>18</v>
      </c>
      <c r="U1" t="s">
        <v>17</v>
      </c>
      <c r="V1" s="14" t="s">
        <v>16</v>
      </c>
      <c r="W1" t="s">
        <v>15</v>
      </c>
      <c r="X1" t="s">
        <v>29</v>
      </c>
      <c r="Y1" t="s">
        <v>14</v>
      </c>
      <c r="Z1" t="s">
        <v>30</v>
      </c>
      <c r="AA1" t="s">
        <v>13</v>
      </c>
      <c r="AB1" t="s">
        <v>31</v>
      </c>
      <c r="AC1" t="s">
        <v>12</v>
      </c>
      <c r="AD1" t="s">
        <v>11</v>
      </c>
      <c r="AE1" t="s">
        <v>10</v>
      </c>
      <c r="AF1" t="s">
        <v>9</v>
      </c>
      <c r="AG1" t="s">
        <v>8</v>
      </c>
      <c r="AH1" t="s">
        <v>7</v>
      </c>
      <c r="AI1" t="s">
        <v>6</v>
      </c>
      <c r="AJ1" t="s">
        <v>5</v>
      </c>
      <c r="AK1" t="s">
        <v>4</v>
      </c>
      <c r="AR1" s="2"/>
      <c r="AS1" s="2"/>
      <c r="AT1" s="2"/>
    </row>
    <row r="2" spans="1:46" x14ac:dyDescent="0.55000000000000004">
      <c r="A2" s="3" t="s">
        <v>36</v>
      </c>
      <c r="B2" s="3">
        <v>1</v>
      </c>
      <c r="C2" s="2">
        <v>1</v>
      </c>
      <c r="D2">
        <f>14/16</f>
        <v>0.875</v>
      </c>
      <c r="E2" s="12">
        <v>0.71</v>
      </c>
      <c r="F2" s="13">
        <v>0.09</v>
      </c>
      <c r="G2" s="12">
        <f>U2</f>
        <v>0.78</v>
      </c>
      <c r="H2" s="13">
        <v>7.4999999999999997E-2</v>
      </c>
      <c r="I2">
        <v>3</v>
      </c>
      <c r="J2">
        <v>29.47</v>
      </c>
      <c r="K2" s="20">
        <v>0.87502000000000002</v>
      </c>
      <c r="L2">
        <f>AG2</f>
        <v>23.423999999999999</v>
      </c>
      <c r="M2" s="20">
        <f>AH2</f>
        <v>0.875</v>
      </c>
      <c r="N2">
        <v>3</v>
      </c>
      <c r="O2" s="2" t="s">
        <v>0</v>
      </c>
      <c r="Q2">
        <v>0.72299999999999998</v>
      </c>
      <c r="R2" s="14">
        <v>0.48023431780746362</v>
      </c>
      <c r="S2" s="2">
        <v>0.76200000000000001</v>
      </c>
      <c r="T2" s="14">
        <v>0.48023431780746362</v>
      </c>
      <c r="U2">
        <v>0.78</v>
      </c>
      <c r="V2" s="14">
        <v>0.48023431780746362</v>
      </c>
      <c r="W2">
        <f t="shared" ref="W2:W12" si="0">(Q2-E2)/SQRT((F2^2 + R2^2)/2)</f>
        <v>3.7627849571260683E-2</v>
      </c>
      <c r="X2">
        <f t="shared" ref="X2:X12" si="1">SQRT((F2^2 + R2^2)/2)</f>
        <v>0.3454887841884306</v>
      </c>
      <c r="Y2">
        <f>(S2-E2)/SQRT((T2^2+F2^2)/2)</f>
        <v>0.15051139828504273</v>
      </c>
      <c r="Z2">
        <f>SQRT((T2^2 + F2^2)/2)</f>
        <v>0.3454887841884306</v>
      </c>
      <c r="AA2">
        <f>(U2-E2)/SQRT((V2^2+F2^2)/2)</f>
        <v>0.20261149769140366</v>
      </c>
      <c r="AB2">
        <f>SQRT((V2^2 + F2^2)/2)</f>
        <v>0.3454887841884306</v>
      </c>
      <c r="AC2">
        <v>31.83</v>
      </c>
      <c r="AD2">
        <v>0.75</v>
      </c>
      <c r="AE2">
        <v>28.689340000000001</v>
      </c>
      <c r="AF2">
        <v>0.875</v>
      </c>
      <c r="AG2">
        <v>23.423999999999999</v>
      </c>
      <c r="AH2">
        <v>0.875</v>
      </c>
      <c r="AI2">
        <v>8.0081438751272466E-2</v>
      </c>
      <c r="AJ2">
        <v>-2.6489989820156008E-2</v>
      </c>
      <c r="AK2">
        <v>-0.20515778758059042</v>
      </c>
      <c r="AR2" s="2"/>
      <c r="AS2" s="2"/>
      <c r="AT2" s="2"/>
    </row>
    <row r="3" spans="1:46" s="11" customFormat="1" x14ac:dyDescent="0.55000000000000004">
      <c r="A3" s="15" t="s">
        <v>36</v>
      </c>
      <c r="B3" s="15">
        <v>1</v>
      </c>
      <c r="C3" s="16">
        <v>1</v>
      </c>
      <c r="D3" s="11">
        <f>14/16</f>
        <v>0.875</v>
      </c>
      <c r="E3" s="17">
        <v>0.75</v>
      </c>
      <c r="F3" s="13">
        <v>0.12</v>
      </c>
      <c r="G3" s="17">
        <f>U3</f>
        <v>0.75</v>
      </c>
      <c r="H3" s="13">
        <v>7.4999999999999997E-2</v>
      </c>
      <c r="I3" s="11">
        <v>3</v>
      </c>
      <c r="J3" s="11">
        <v>37.97</v>
      </c>
      <c r="K3" s="21">
        <v>1</v>
      </c>
      <c r="L3" s="11">
        <f>AG3</f>
        <v>28.923999999999999</v>
      </c>
      <c r="M3" s="21">
        <f>AH3</f>
        <v>1</v>
      </c>
      <c r="N3" s="11">
        <v>3</v>
      </c>
      <c r="O3" s="16" t="s">
        <v>0</v>
      </c>
      <c r="P3" s="23"/>
      <c r="Q3" s="11">
        <v>0.749</v>
      </c>
      <c r="R3" s="18">
        <v>1.2594641717809998</v>
      </c>
      <c r="S3" s="16">
        <v>0.75700000000000001</v>
      </c>
      <c r="T3" s="18">
        <v>1.2594641717809998</v>
      </c>
      <c r="U3" s="11">
        <v>0.75</v>
      </c>
      <c r="V3" s="18">
        <v>1.2594641717809998</v>
      </c>
      <c r="W3" s="11">
        <f t="shared" si="0"/>
        <v>-1.1178069572672447E-3</v>
      </c>
      <c r="X3" s="11">
        <f t="shared" si="1"/>
        <v>0.89460885307490656</v>
      </c>
      <c r="Y3" s="11">
        <f>(S3-E3)/SQRT((T3^2+F3^2)/2)</f>
        <v>7.8246487008707122E-3</v>
      </c>
      <c r="Z3" s="11">
        <f>SQRT((T3^2 + F3^2)/2)</f>
        <v>0.89460885307490656</v>
      </c>
      <c r="AA3" s="11">
        <f>(U3-E3)/SQRT((V3^2+F3^2)/2)</f>
        <v>0</v>
      </c>
      <c r="AB3" s="11">
        <f>SQRT((V3^2 + F3^2)/2)</f>
        <v>0.89460885307490656</v>
      </c>
      <c r="AC3" s="11">
        <v>35.204999999999998</v>
      </c>
      <c r="AD3" s="11">
        <v>0.625</v>
      </c>
      <c r="AE3" s="11">
        <v>34.064</v>
      </c>
      <c r="AF3" s="11">
        <v>1</v>
      </c>
      <c r="AG3" s="11">
        <v>28.923999999999999</v>
      </c>
      <c r="AH3" s="11">
        <v>1</v>
      </c>
      <c r="AI3" s="11">
        <v>-7.2820647879905206E-2</v>
      </c>
      <c r="AJ3" s="11">
        <v>-0.10287068738477743</v>
      </c>
      <c r="AK3" s="11">
        <v>-0.23824071635501712</v>
      </c>
      <c r="AR3" s="16"/>
      <c r="AS3" s="16"/>
      <c r="AT3" s="16"/>
    </row>
    <row r="4" spans="1:46" x14ac:dyDescent="0.55000000000000004">
      <c r="A4" s="3" t="s">
        <v>37</v>
      </c>
      <c r="B4" s="3">
        <v>2</v>
      </c>
      <c r="C4" s="2">
        <v>1</v>
      </c>
      <c r="D4" s="5">
        <f>10/268</f>
        <v>3.7313432835820892E-2</v>
      </c>
      <c r="E4" s="12">
        <v>0.54200000000000004</v>
      </c>
      <c r="F4" s="13">
        <v>8.5000000000000006E-2</v>
      </c>
      <c r="G4" s="12">
        <f>Q4</f>
        <v>0.629</v>
      </c>
      <c r="H4" s="13">
        <v>8.5000000000000006E-2</v>
      </c>
      <c r="I4">
        <v>1</v>
      </c>
      <c r="J4">
        <v>268</v>
      </c>
      <c r="K4" s="20">
        <v>0.5</v>
      </c>
      <c r="L4">
        <f t="shared" ref="L4:M7" si="2">AC4</f>
        <v>374</v>
      </c>
      <c r="M4" s="20">
        <f t="shared" si="2"/>
        <v>0.5</v>
      </c>
      <c r="N4">
        <v>1</v>
      </c>
      <c r="O4" s="2" t="s">
        <v>0</v>
      </c>
      <c r="Q4">
        <v>0.629</v>
      </c>
      <c r="R4" s="14">
        <v>0.60104076400856543</v>
      </c>
      <c r="W4">
        <f t="shared" si="0"/>
        <v>0.20268902644463677</v>
      </c>
      <c r="X4">
        <f t="shared" si="1"/>
        <v>0.42922895988038834</v>
      </c>
      <c r="AC4">
        <v>374</v>
      </c>
      <c r="AD4">
        <v>0.5</v>
      </c>
      <c r="AI4">
        <v>0.39552238805970147</v>
      </c>
      <c r="AR4" s="2"/>
      <c r="AS4" s="2"/>
      <c r="AT4" s="2"/>
    </row>
    <row r="5" spans="1:46" x14ac:dyDescent="0.55000000000000004">
      <c r="A5" s="3" t="s">
        <v>37</v>
      </c>
      <c r="B5" s="3">
        <v>2</v>
      </c>
      <c r="C5" s="2">
        <v>1</v>
      </c>
      <c r="D5" s="2">
        <f>10/83</f>
        <v>0.12048192771084337</v>
      </c>
      <c r="E5" s="12">
        <v>0.56499999999999995</v>
      </c>
      <c r="F5" s="13">
        <v>5.8999999999999997E-2</v>
      </c>
      <c r="G5" s="12">
        <f>Q5</f>
        <v>0.64900000000000002</v>
      </c>
      <c r="H5" s="13">
        <v>4.2000000000000003E-2</v>
      </c>
      <c r="I5">
        <v>1</v>
      </c>
      <c r="J5">
        <v>84</v>
      </c>
      <c r="K5" s="20">
        <v>0.5</v>
      </c>
      <c r="L5">
        <f t="shared" si="2"/>
        <v>529</v>
      </c>
      <c r="M5" s="20">
        <f t="shared" si="2"/>
        <v>0.5</v>
      </c>
      <c r="N5">
        <v>1</v>
      </c>
      <c r="O5" s="2" t="s">
        <v>0</v>
      </c>
      <c r="Q5">
        <v>0.64900000000000002</v>
      </c>
      <c r="R5" s="14">
        <v>0.21823840175367856</v>
      </c>
      <c r="W5">
        <f t="shared" si="0"/>
        <v>0.5254671755753858</v>
      </c>
      <c r="X5">
        <f t="shared" si="1"/>
        <v>0.15985774926477603</v>
      </c>
      <c r="AC5">
        <v>529</v>
      </c>
      <c r="AD5">
        <v>0.5</v>
      </c>
      <c r="AI5">
        <v>5.2976190476190474</v>
      </c>
      <c r="AR5" s="2"/>
      <c r="AS5" s="2"/>
      <c r="AT5" s="2"/>
    </row>
    <row r="6" spans="1:46" x14ac:dyDescent="0.55000000000000004">
      <c r="A6" s="3" t="s">
        <v>37</v>
      </c>
      <c r="B6" s="3">
        <v>2</v>
      </c>
      <c r="C6" s="2">
        <v>1</v>
      </c>
      <c r="D6" s="5">
        <f>10/366</f>
        <v>2.7322404371584699E-2</v>
      </c>
      <c r="E6" s="12">
        <v>0.73099999999999998</v>
      </c>
      <c r="F6" s="13">
        <v>4.8000000000000001E-2</v>
      </c>
      <c r="G6" s="12">
        <f>Q6</f>
        <v>0.752</v>
      </c>
      <c r="H6" s="13">
        <v>4.1000000000000002E-2</v>
      </c>
      <c r="I6">
        <v>1</v>
      </c>
      <c r="J6">
        <v>366</v>
      </c>
      <c r="K6" s="20">
        <v>0.5</v>
      </c>
      <c r="L6">
        <f t="shared" si="2"/>
        <v>474</v>
      </c>
      <c r="M6" s="20">
        <f t="shared" si="2"/>
        <v>0.5</v>
      </c>
      <c r="N6">
        <v>1</v>
      </c>
      <c r="O6" s="2" t="s">
        <v>0</v>
      </c>
      <c r="Q6">
        <v>0.752</v>
      </c>
      <c r="R6" s="14">
        <v>0.39111507258094774</v>
      </c>
      <c r="W6">
        <f t="shared" si="0"/>
        <v>7.5367398303889291E-2</v>
      </c>
      <c r="X6">
        <f t="shared" si="1"/>
        <v>0.27863506599134291</v>
      </c>
      <c r="AC6">
        <v>474</v>
      </c>
      <c r="AD6">
        <v>0.5</v>
      </c>
      <c r="AI6">
        <v>0.29508196721311475</v>
      </c>
      <c r="AR6" s="2"/>
      <c r="AS6" s="2"/>
      <c r="AT6" s="2"/>
    </row>
    <row r="7" spans="1:46" x14ac:dyDescent="0.55000000000000004">
      <c r="A7" s="3" t="s">
        <v>37</v>
      </c>
      <c r="B7" s="3">
        <v>2</v>
      </c>
      <c r="C7" s="2">
        <v>1</v>
      </c>
      <c r="D7" s="2">
        <f>10/728</f>
        <v>1.3736263736263736E-2</v>
      </c>
      <c r="E7" s="12">
        <v>0.71199999999999997</v>
      </c>
      <c r="F7" s="13">
        <v>5.2999999999999999E-2</v>
      </c>
      <c r="G7" s="12">
        <f>Q7</f>
        <v>0.73499999999999999</v>
      </c>
      <c r="H7" s="13">
        <v>5.1999999999999998E-2</v>
      </c>
      <c r="I7">
        <v>1</v>
      </c>
      <c r="J7">
        <v>728</v>
      </c>
      <c r="K7" s="20">
        <v>0.5</v>
      </c>
      <c r="L7">
        <f t="shared" si="2"/>
        <v>1147</v>
      </c>
      <c r="M7" s="20">
        <f t="shared" si="2"/>
        <v>0.5</v>
      </c>
      <c r="N7">
        <v>1</v>
      </c>
      <c r="O7" s="2" t="s">
        <v>0</v>
      </c>
      <c r="Q7">
        <v>0.73499999999999999</v>
      </c>
      <c r="R7" s="14">
        <v>1.0176600611206081</v>
      </c>
      <c r="W7">
        <f t="shared" si="0"/>
        <v>3.191919430540735E-2</v>
      </c>
      <c r="X7">
        <f t="shared" si="1"/>
        <v>0.72056956638481473</v>
      </c>
      <c r="AC7">
        <v>1147</v>
      </c>
      <c r="AD7">
        <v>0.5</v>
      </c>
      <c r="AI7">
        <v>0.5755494505494505</v>
      </c>
      <c r="AR7" s="2"/>
      <c r="AS7" s="2"/>
      <c r="AT7" s="2"/>
    </row>
    <row r="8" spans="1:46" x14ac:dyDescent="0.55000000000000004">
      <c r="A8" s="4" t="s">
        <v>38</v>
      </c>
      <c r="B8" s="4">
        <v>3</v>
      </c>
      <c r="C8" s="2">
        <v>1</v>
      </c>
      <c r="D8" s="2">
        <f>150/21.25</f>
        <v>7.0588235294117645</v>
      </c>
      <c r="E8" s="12">
        <v>0.43</v>
      </c>
      <c r="F8" s="13">
        <v>7.0999999999999994E-2</v>
      </c>
      <c r="G8" s="12">
        <f>U8</f>
        <v>0.59699999999999998</v>
      </c>
      <c r="H8" s="13">
        <v>7.4999999999999997E-2</v>
      </c>
      <c r="I8">
        <v>3</v>
      </c>
      <c r="J8">
        <v>26</v>
      </c>
      <c r="K8" s="20">
        <v>0.33400999999999997</v>
      </c>
      <c r="L8">
        <f t="shared" ref="L8:M10" si="3">AG8</f>
        <v>283</v>
      </c>
      <c r="M8" s="20">
        <f t="shared" si="3"/>
        <v>0.1585</v>
      </c>
      <c r="N8">
        <v>3</v>
      </c>
      <c r="O8" s="2" t="s">
        <v>0</v>
      </c>
      <c r="Q8">
        <v>0.35</v>
      </c>
      <c r="R8" s="14">
        <v>0.5</v>
      </c>
      <c r="S8">
        <v>0.45400000000000001</v>
      </c>
      <c r="T8" s="14">
        <v>0.5</v>
      </c>
      <c r="U8">
        <v>0.59699999999999998</v>
      </c>
      <c r="V8" s="14">
        <v>0.5</v>
      </c>
      <c r="W8">
        <f t="shared" si="0"/>
        <v>-0.22402680417037238</v>
      </c>
      <c r="X8">
        <f t="shared" si="1"/>
        <v>0.35710012601509961</v>
      </c>
      <c r="Y8">
        <f>(S8-E8)/SQRT((T8^2+F8^2)/2)</f>
        <v>6.7208041251111753E-2</v>
      </c>
      <c r="Z8">
        <f>SQRT((T8^2 + F8^2)/2)</f>
        <v>0.35710012601509961</v>
      </c>
      <c r="AA8">
        <f>(U8-E8)/SQRT((V8^2+F8^2)/2)</f>
        <v>0.46765595370565216</v>
      </c>
      <c r="AB8">
        <f>SQRT((V8^2 + F8^2)/2)</f>
        <v>0.35710012601509961</v>
      </c>
      <c r="AC8">
        <v>429</v>
      </c>
      <c r="AD8">
        <v>0.1245</v>
      </c>
      <c r="AE8">
        <v>398</v>
      </c>
      <c r="AF8">
        <v>0.31130000000000002</v>
      </c>
      <c r="AG8">
        <v>283</v>
      </c>
      <c r="AH8">
        <v>0.1585</v>
      </c>
      <c r="AI8">
        <v>15.5</v>
      </c>
      <c r="AJ8">
        <v>14.307692307692308</v>
      </c>
      <c r="AK8">
        <v>9.884615384615385</v>
      </c>
      <c r="AS8" s="2"/>
    </row>
    <row r="9" spans="1:46" x14ac:dyDescent="0.55000000000000004">
      <c r="A9" s="4" t="s">
        <v>38</v>
      </c>
      <c r="B9" s="4">
        <v>3</v>
      </c>
      <c r="C9" s="2">
        <v>1</v>
      </c>
      <c r="D9" s="5">
        <f>150/14.57</f>
        <v>10.295126973232669</v>
      </c>
      <c r="E9" s="12">
        <v>0.4</v>
      </c>
      <c r="F9" s="13">
        <v>0.06</v>
      </c>
      <c r="G9" s="12">
        <f>U9</f>
        <v>0.85799999999999998</v>
      </c>
      <c r="H9" s="13">
        <v>7.4999999999999997E-2</v>
      </c>
      <c r="I9">
        <v>3</v>
      </c>
      <c r="J9">
        <v>18</v>
      </c>
      <c r="K9" s="20">
        <v>0.113</v>
      </c>
      <c r="L9">
        <f t="shared" si="3"/>
        <v>192</v>
      </c>
      <c r="M9" s="20">
        <f t="shared" si="3"/>
        <v>5.0999999999999997E-2</v>
      </c>
      <c r="N9">
        <v>3</v>
      </c>
      <c r="O9" s="2" t="s">
        <v>0</v>
      </c>
      <c r="Q9">
        <v>0.42599999999999999</v>
      </c>
      <c r="R9" s="14">
        <v>0.5</v>
      </c>
      <c r="S9">
        <v>0.76700000000000002</v>
      </c>
      <c r="T9" s="14">
        <v>0.5</v>
      </c>
      <c r="U9">
        <v>0.85799999999999998</v>
      </c>
      <c r="V9" s="14">
        <v>0.5</v>
      </c>
      <c r="W9">
        <f t="shared" si="0"/>
        <v>7.3015274319224874E-2</v>
      </c>
      <c r="X9">
        <f t="shared" si="1"/>
        <v>0.35608987629529709</v>
      </c>
      <c r="Y9">
        <f>(S9-E9)/SQRT((T9^2+F9^2)/2)</f>
        <v>1.0306386798136755</v>
      </c>
      <c r="Z9">
        <f>SQRT((T9^2 + F9^2)/2)</f>
        <v>0.35608987629529709</v>
      </c>
      <c r="AA9">
        <f>(U9-E9)/SQRT((V9^2+F9^2)/2)</f>
        <v>1.2861921399309628</v>
      </c>
      <c r="AB9">
        <f>SQRT((V9^2 + F9^2)/2)</f>
        <v>0.35608987629529709</v>
      </c>
      <c r="AC9">
        <v>242</v>
      </c>
      <c r="AD9">
        <v>7.3300000000000004E-2</v>
      </c>
      <c r="AE9">
        <v>328</v>
      </c>
      <c r="AF9">
        <v>0.113</v>
      </c>
      <c r="AG9">
        <v>192</v>
      </c>
      <c r="AH9">
        <v>5.0999999999999997E-2</v>
      </c>
      <c r="AI9">
        <v>12.444444444444445</v>
      </c>
      <c r="AJ9">
        <v>17.222222222222221</v>
      </c>
      <c r="AK9">
        <v>9.6666666666666661</v>
      </c>
      <c r="AS9" s="2"/>
    </row>
    <row r="10" spans="1:46" x14ac:dyDescent="0.55000000000000004">
      <c r="A10" s="4" t="s">
        <v>39</v>
      </c>
      <c r="B10" s="4">
        <v>4</v>
      </c>
      <c r="C10" s="2">
        <v>2</v>
      </c>
      <c r="D10">
        <f>64/99</f>
        <v>0.64646464646464652</v>
      </c>
      <c r="E10" s="12">
        <v>0.82</v>
      </c>
      <c r="F10" s="13">
        <v>2.8000000000000001E-2</v>
      </c>
      <c r="G10" s="12">
        <f>U10</f>
        <v>0.80120000000000002</v>
      </c>
      <c r="H10" s="13">
        <v>3.9199999999999999E-2</v>
      </c>
      <c r="I10">
        <v>3</v>
      </c>
      <c r="J10">
        <v>163</v>
      </c>
      <c r="K10" s="20">
        <v>0.5</v>
      </c>
      <c r="L10">
        <f t="shared" si="3"/>
        <v>118</v>
      </c>
      <c r="M10" s="20">
        <f t="shared" si="3"/>
        <v>0.5</v>
      </c>
      <c r="N10">
        <v>3</v>
      </c>
      <c r="O10" s="2" t="s">
        <v>0</v>
      </c>
      <c r="Q10">
        <v>0.82199999999999995</v>
      </c>
      <c r="R10" s="14">
        <v>0.25943448113155659</v>
      </c>
      <c r="S10">
        <v>0.82509999999999994</v>
      </c>
      <c r="T10" s="14">
        <v>0.22677080940897135</v>
      </c>
      <c r="U10">
        <v>0.80120000000000002</v>
      </c>
      <c r="V10" s="14">
        <v>0.32561965542638854</v>
      </c>
      <c r="W10">
        <f t="shared" si="0"/>
        <v>1.0839332263232287E-2</v>
      </c>
      <c r="X10">
        <f t="shared" si="1"/>
        <v>0.18451321090913789</v>
      </c>
      <c r="Y10">
        <f>(S10-E10)/SQRT((T10^2+F10^2)/2)</f>
        <v>3.1565486444755611E-2</v>
      </c>
      <c r="Z10">
        <f>SQRT((T10^2 + F10^2)/2)</f>
        <v>0.16156887076414195</v>
      </c>
      <c r="AA10">
        <f>(U10-E10)/SQRT((V10^2+F10^2)/2)</f>
        <v>-8.1350925530767018E-2</v>
      </c>
      <c r="AB10">
        <f>SQRT((V10^2 + F10^2)/2)</f>
        <v>0.23109755515798952</v>
      </c>
      <c r="AC10">
        <v>158</v>
      </c>
      <c r="AD10">
        <v>0.5</v>
      </c>
      <c r="AE10">
        <v>115</v>
      </c>
      <c r="AF10">
        <v>0.5</v>
      </c>
      <c r="AG10">
        <v>118</v>
      </c>
      <c r="AH10">
        <v>0.5</v>
      </c>
      <c r="AI10">
        <v>-3.0674846625766871E-2</v>
      </c>
      <c r="AJ10">
        <v>-0.29447852760736198</v>
      </c>
      <c r="AK10">
        <v>-0.27607361963190186</v>
      </c>
      <c r="AR10" s="2"/>
      <c r="AS10" s="2"/>
      <c r="AT10" s="2"/>
    </row>
    <row r="11" spans="1:46" x14ac:dyDescent="0.55000000000000004">
      <c r="A11" s="3" t="s">
        <v>40</v>
      </c>
      <c r="B11" s="3">
        <v>5</v>
      </c>
      <c r="C11" s="2">
        <v>2</v>
      </c>
      <c r="D11">
        <f>10/60</f>
        <v>0.16666666666666666</v>
      </c>
      <c r="E11" s="12">
        <v>0.48899999999999999</v>
      </c>
      <c r="F11" s="13">
        <v>5.0000000000000001E-3</v>
      </c>
      <c r="G11" s="12">
        <f>S11</f>
        <v>0.52700000000000002</v>
      </c>
      <c r="H11" s="13">
        <v>0.02</v>
      </c>
      <c r="I11">
        <v>2</v>
      </c>
      <c r="J11">
        <v>0.29099999999999998</v>
      </c>
      <c r="K11" s="20">
        <v>0.1011</v>
      </c>
      <c r="L11">
        <f>AC11</f>
        <v>0.75800000000000001</v>
      </c>
      <c r="M11" s="20">
        <f>AD11</f>
        <v>0.14099999999999999</v>
      </c>
      <c r="N11">
        <v>1</v>
      </c>
      <c r="O11" s="2" t="s">
        <v>1</v>
      </c>
      <c r="Q11">
        <v>0.52100000000000002</v>
      </c>
      <c r="R11" s="14">
        <v>0.16733200530681511</v>
      </c>
      <c r="S11">
        <v>0.52700000000000002</v>
      </c>
      <c r="T11" s="14">
        <v>0.22090722034374521</v>
      </c>
      <c r="W11">
        <f t="shared" si="0"/>
        <v>0.27032870598112768</v>
      </c>
      <c r="X11">
        <f t="shared" si="1"/>
        <v>0.11837440601751716</v>
      </c>
      <c r="Y11">
        <f>(S11-E11)/SQRT((T11^2+F11^2)/2)</f>
        <v>0.24320778277357535</v>
      </c>
      <c r="Z11">
        <f>SQRT((T11^2 + F11^2)/2)</f>
        <v>0.15624499991999743</v>
      </c>
      <c r="AC11">
        <v>0.75800000000000001</v>
      </c>
      <c r="AD11">
        <v>0.14099999999999999</v>
      </c>
      <c r="AI11">
        <v>1.6048109965635742</v>
      </c>
      <c r="AR11" s="2"/>
      <c r="AS11" s="2"/>
      <c r="AT11" s="2"/>
    </row>
    <row r="12" spans="1:46" x14ac:dyDescent="0.55000000000000004">
      <c r="A12" s="3" t="s">
        <v>40</v>
      </c>
      <c r="B12" s="3">
        <v>5</v>
      </c>
      <c r="C12" s="2">
        <v>2</v>
      </c>
      <c r="D12">
        <f>15/300</f>
        <v>0.05</v>
      </c>
      <c r="E12" s="12">
        <v>0.46200000000000002</v>
      </c>
      <c r="F12" s="13">
        <v>0.01</v>
      </c>
      <c r="G12" s="12">
        <f>S12</f>
        <v>0.52700000000000002</v>
      </c>
      <c r="H12" s="13">
        <v>0.02</v>
      </c>
      <c r="I12">
        <v>2</v>
      </c>
      <c r="J12">
        <v>0.29099999999999998</v>
      </c>
      <c r="K12" s="20">
        <v>0.1011</v>
      </c>
      <c r="L12">
        <f>AC12</f>
        <v>0.75800000000000001</v>
      </c>
      <c r="M12" s="20">
        <f>AD12</f>
        <v>0.14099999999999999</v>
      </c>
      <c r="N12">
        <v>1</v>
      </c>
      <c r="O12" s="2" t="s">
        <v>1</v>
      </c>
      <c r="Q12">
        <v>0.51800000000000002</v>
      </c>
      <c r="R12" s="14">
        <v>0.13114877048604001</v>
      </c>
      <c r="S12">
        <v>0.52700000000000002</v>
      </c>
      <c r="T12" s="14">
        <v>0.1414213562373095</v>
      </c>
      <c r="W12">
        <f t="shared" si="0"/>
        <v>0.60211573023892673</v>
      </c>
      <c r="X12">
        <f t="shared" si="1"/>
        <v>9.3005376188691369E-2</v>
      </c>
      <c r="Y12">
        <f>(S12-E12)/SQRT((T12^2+F12^2)/2)</f>
        <v>0.64838106846996135</v>
      </c>
      <c r="Z12">
        <f>SQRT((T12^2 + F12^2)/2)</f>
        <v>0.10024968827881711</v>
      </c>
      <c r="AC12">
        <v>0.75800000000000001</v>
      </c>
      <c r="AD12">
        <v>0.14099999999999999</v>
      </c>
      <c r="AI12">
        <v>1.6048109965635742</v>
      </c>
      <c r="AR12" s="2"/>
      <c r="AS12" s="2"/>
      <c r="AT12" s="2"/>
    </row>
    <row r="13" spans="1:46" x14ac:dyDescent="0.55000000000000004">
      <c r="A13" s="3" t="s">
        <v>41</v>
      </c>
      <c r="B13" s="3">
        <v>6</v>
      </c>
      <c r="C13" s="2">
        <v>2</v>
      </c>
      <c r="D13">
        <f>271/9.7</f>
        <v>27.938144329896911</v>
      </c>
      <c r="E13" s="12">
        <v>0.65400000000000003</v>
      </c>
      <c r="F13" s="13">
        <v>5.5E-2</v>
      </c>
      <c r="G13" s="12">
        <f>U13</f>
        <v>0.67600000000000005</v>
      </c>
      <c r="H13" s="13">
        <v>5.8000000000000003E-2</v>
      </c>
      <c r="I13">
        <v>3</v>
      </c>
      <c r="J13">
        <v>0.377</v>
      </c>
      <c r="K13" s="20">
        <v>0.114</v>
      </c>
      <c r="L13">
        <f>AE13</f>
        <v>0.92600000000000005</v>
      </c>
      <c r="M13" s="20">
        <f>AF13</f>
        <v>6.6000000000000003E-2</v>
      </c>
      <c r="N13">
        <v>2</v>
      </c>
      <c r="O13" s="2" t="s">
        <v>1</v>
      </c>
      <c r="U13">
        <v>0.67600000000000005</v>
      </c>
      <c r="V13" s="14">
        <v>0.24607315985291853</v>
      </c>
      <c r="AA13">
        <f>(U13-E13)/SQRT((V13^2+F13^2)/2)</f>
        <v>0.12339218739819473</v>
      </c>
      <c r="AB13">
        <f>SQRT((V13^2 + F13^2)/2)</f>
        <v>0.17829329768670499</v>
      </c>
      <c r="AC13">
        <v>0.93100000000000005</v>
      </c>
      <c r="AD13">
        <v>3.4000000000000002E-2</v>
      </c>
      <c r="AE13">
        <v>0.92600000000000005</v>
      </c>
      <c r="AF13">
        <v>6.6000000000000003E-2</v>
      </c>
      <c r="AI13">
        <v>1.4694960212201593</v>
      </c>
      <c r="AJ13">
        <v>1.4562334217506632</v>
      </c>
      <c r="AR13" s="2"/>
      <c r="AS13" s="2"/>
      <c r="AT13" s="2"/>
    </row>
    <row r="14" spans="1:46" x14ac:dyDescent="0.55000000000000004">
      <c r="A14" s="3" t="s">
        <v>42</v>
      </c>
      <c r="B14" s="3">
        <v>7</v>
      </c>
      <c r="C14" s="2">
        <v>2</v>
      </c>
      <c r="D14">
        <f>110/550</f>
        <v>0.2</v>
      </c>
      <c r="E14" s="12">
        <v>0.72599999999999998</v>
      </c>
      <c r="F14" s="13">
        <v>2.5000000000000001E-2</v>
      </c>
      <c r="G14" s="12">
        <f>Q14</f>
        <v>0.72499999999999998</v>
      </c>
      <c r="H14" s="13">
        <v>2.3E-2</v>
      </c>
      <c r="I14">
        <v>1</v>
      </c>
      <c r="J14">
        <v>550</v>
      </c>
      <c r="K14" s="20">
        <v>0.5</v>
      </c>
      <c r="L14">
        <f>AG14</f>
        <v>256</v>
      </c>
      <c r="M14" s="20">
        <f>AH14</f>
        <v>0.5</v>
      </c>
      <c r="N14">
        <v>1</v>
      </c>
      <c r="O14" s="2" t="s">
        <v>0</v>
      </c>
      <c r="Q14">
        <v>0.72499999999999998</v>
      </c>
      <c r="R14" s="14">
        <v>0.20699999999999999</v>
      </c>
      <c r="W14">
        <f>(Q14-E14)/SQRT((F14^2 + R14^2)/2)</f>
        <v>-6.7826623417230033E-3</v>
      </c>
      <c r="X14">
        <f>SQRT((F14^2 + R14^2)/2)</f>
        <v>0.1474347313220328</v>
      </c>
      <c r="AC14">
        <v>423</v>
      </c>
      <c r="AD14">
        <v>0.5</v>
      </c>
      <c r="AE14">
        <v>283</v>
      </c>
      <c r="AF14">
        <v>0.5</v>
      </c>
      <c r="AG14">
        <v>256</v>
      </c>
      <c r="AH14">
        <v>0.5</v>
      </c>
      <c r="AI14">
        <v>-0.2309090909090909</v>
      </c>
      <c r="AJ14">
        <v>-0.48545454545454547</v>
      </c>
      <c r="AK14">
        <v>-0.53454545454545455</v>
      </c>
      <c r="AR14" s="2"/>
      <c r="AS14" s="2"/>
      <c r="AT14" s="2"/>
    </row>
    <row r="15" spans="1:46" s="10" customFormat="1" x14ac:dyDescent="0.55000000000000004">
      <c r="A15" s="3" t="s">
        <v>43</v>
      </c>
      <c r="B15" s="3">
        <v>8</v>
      </c>
      <c r="C15" s="2">
        <v>3</v>
      </c>
      <c r="D15">
        <f>6/53.2</f>
        <v>0.11278195488721804</v>
      </c>
      <c r="E15" s="12">
        <v>0.13900000000000001</v>
      </c>
      <c r="F15" s="13">
        <v>3.9E-2</v>
      </c>
      <c r="G15" s="12">
        <f>S15</f>
        <v>0.309</v>
      </c>
      <c r="H15" s="13">
        <v>3.3000000000000002E-2</v>
      </c>
      <c r="I15">
        <v>2</v>
      </c>
      <c r="J15">
        <v>54.3</v>
      </c>
      <c r="K15" s="20">
        <v>3.33</v>
      </c>
      <c r="L15">
        <f>AE15</f>
        <v>155.26</v>
      </c>
      <c r="M15" s="20">
        <f>AF15</f>
        <v>5.67</v>
      </c>
      <c r="N15">
        <v>2</v>
      </c>
      <c r="O15" s="2" t="s">
        <v>0</v>
      </c>
      <c r="P15" s="23"/>
      <c r="Q15">
        <v>0.16400000000000001</v>
      </c>
      <c r="R15" s="14">
        <v>0.26229754097208002</v>
      </c>
      <c r="S15">
        <v>0.309</v>
      </c>
      <c r="T15" s="14">
        <v>0.33491342164804327</v>
      </c>
      <c r="U15"/>
      <c r="V15" s="14"/>
      <c r="W15">
        <f>(Q15-E15)/SQRT((F15^2 + R15^2)/2)</f>
        <v>0.13332527480470663</v>
      </c>
      <c r="X15">
        <f>SQRT((F15^2 + R15^2)/2)</f>
        <v>0.1875113329908355</v>
      </c>
      <c r="Y15">
        <f t="shared" ref="Y15:Y20" si="4">(S15-E15)/SQRT((T15^2+F15^2)/2)</f>
        <v>0.71302803518512547</v>
      </c>
      <c r="Z15">
        <f t="shared" ref="Z15:Z20" si="5">SQRT((T15^2 + F15^2)/2)</f>
        <v>0.23841979783566633</v>
      </c>
      <c r="AA15"/>
      <c r="AB15"/>
      <c r="AC15">
        <v>86.17</v>
      </c>
      <c r="AD15">
        <v>5.33</v>
      </c>
      <c r="AE15">
        <v>155.26</v>
      </c>
      <c r="AF15">
        <v>5.67</v>
      </c>
      <c r="AG15"/>
      <c r="AH15"/>
      <c r="AI15">
        <v>0.58692449355432796</v>
      </c>
      <c r="AJ15">
        <v>1.8593001841620627</v>
      </c>
      <c r="AK15"/>
      <c r="AL15"/>
      <c r="AM15"/>
      <c r="AN15"/>
      <c r="AO15"/>
      <c r="AP15"/>
      <c r="AQ15"/>
      <c r="AR15" s="2"/>
      <c r="AS15" s="2"/>
      <c r="AT15" s="2"/>
    </row>
    <row r="16" spans="1:46" x14ac:dyDescent="0.55000000000000004">
      <c r="A16" s="3" t="s">
        <v>44</v>
      </c>
      <c r="B16" s="3">
        <v>9</v>
      </c>
      <c r="C16" s="2">
        <v>3</v>
      </c>
      <c r="D16">
        <f>16/84</f>
        <v>0.19047619047619047</v>
      </c>
      <c r="E16" s="12">
        <v>0.39</v>
      </c>
      <c r="F16" s="13">
        <v>0.09</v>
      </c>
      <c r="G16" s="12">
        <f>S16</f>
        <v>0.56000000000000005</v>
      </c>
      <c r="H16" s="13">
        <v>3.4000000000000002E-2</v>
      </c>
      <c r="I16">
        <v>2</v>
      </c>
      <c r="J16">
        <v>84</v>
      </c>
      <c r="K16" s="20">
        <v>0.5</v>
      </c>
      <c r="L16">
        <f>AE16</f>
        <v>49.62</v>
      </c>
      <c r="M16" s="20">
        <f>AF16</f>
        <v>0.5</v>
      </c>
      <c r="N16">
        <v>2</v>
      </c>
      <c r="O16" s="2" t="s">
        <v>0</v>
      </c>
      <c r="Q16">
        <v>0.63600000000000001</v>
      </c>
      <c r="R16" s="14">
        <v>0.20615528128088303</v>
      </c>
      <c r="S16">
        <v>0.56000000000000005</v>
      </c>
      <c r="T16" s="14">
        <v>0.12258874336577565</v>
      </c>
      <c r="W16">
        <f>(Q16-E16)/SQRT((F16^2 + R16^2)/2)</f>
        <v>1.5465887491163515</v>
      </c>
      <c r="X16">
        <f>SQRT((F16^2 + R16^2)/2)</f>
        <v>0.15905973720586866</v>
      </c>
      <c r="Y16">
        <f t="shared" si="4"/>
        <v>1.58086534762429</v>
      </c>
      <c r="Z16">
        <f t="shared" si="5"/>
        <v>0.10753604047016052</v>
      </c>
      <c r="AC16">
        <v>72.290000000000006</v>
      </c>
      <c r="AD16">
        <v>0.5</v>
      </c>
      <c r="AE16">
        <v>49.62</v>
      </c>
      <c r="AF16">
        <v>0.5</v>
      </c>
      <c r="AI16">
        <v>-0.13940476190476184</v>
      </c>
      <c r="AJ16">
        <v>-0.40928571428571431</v>
      </c>
      <c r="AR16" s="2"/>
      <c r="AS16" s="2"/>
      <c r="AT16" s="2"/>
    </row>
    <row r="17" spans="1:46" x14ac:dyDescent="0.55000000000000004">
      <c r="A17" s="3" t="s">
        <v>45</v>
      </c>
      <c r="B17" s="3">
        <v>10</v>
      </c>
      <c r="C17" s="2">
        <v>3</v>
      </c>
      <c r="D17">
        <f>8/26</f>
        <v>0.30769230769230771</v>
      </c>
      <c r="E17" s="12">
        <v>0.17499999999999999</v>
      </c>
      <c r="F17" s="13">
        <v>7.0000000000000001E-3</v>
      </c>
      <c r="G17" s="12">
        <f>U17</f>
        <v>0.158</v>
      </c>
      <c r="H17" s="13">
        <v>7.0000000000000001E-3</v>
      </c>
      <c r="I17">
        <v>3</v>
      </c>
      <c r="J17">
        <v>29</v>
      </c>
      <c r="K17" s="20">
        <v>0.5</v>
      </c>
      <c r="L17">
        <f>AG17</f>
        <v>72</v>
      </c>
      <c r="M17" s="20">
        <f>AH17</f>
        <v>0.5</v>
      </c>
      <c r="N17">
        <v>3</v>
      </c>
      <c r="O17" s="2" t="s">
        <v>0</v>
      </c>
      <c r="Q17">
        <v>0.16400000000000001</v>
      </c>
      <c r="R17" s="14">
        <v>5.1224993899462792E-2</v>
      </c>
      <c r="S17" s="2">
        <v>0.161</v>
      </c>
      <c r="T17" s="14">
        <v>5.1845925587262885E-2</v>
      </c>
      <c r="U17">
        <v>0.158</v>
      </c>
      <c r="V17" s="14">
        <v>4.4271887242357318E-2</v>
      </c>
      <c r="W17">
        <f>(Q17-E17)/SQRT((F17^2 + R17^2)/2)</f>
        <v>-0.30089031128281285</v>
      </c>
      <c r="X17">
        <f>SQRT((F17^2 + R17^2)/2)</f>
        <v>3.6558172820861823E-2</v>
      </c>
      <c r="Y17">
        <f t="shared" si="4"/>
        <v>-0.37844749489706175</v>
      </c>
      <c r="Z17">
        <f t="shared" si="5"/>
        <v>3.6993242626187826E-2</v>
      </c>
      <c r="AA17">
        <f>(U17-E17)/SQRT((V17^2+F17^2)/2)</f>
        <v>-0.53638169807782554</v>
      </c>
      <c r="AB17">
        <f>SQRT((V17^2 + F17^2)/2)</f>
        <v>3.1693847983480967E-2</v>
      </c>
      <c r="AC17">
        <v>46</v>
      </c>
      <c r="AD17">
        <v>0.5</v>
      </c>
      <c r="AE17">
        <v>64</v>
      </c>
      <c r="AF17">
        <v>0.5</v>
      </c>
      <c r="AG17">
        <v>72</v>
      </c>
      <c r="AH17">
        <v>0.5</v>
      </c>
      <c r="AI17">
        <v>0.58620689655172409</v>
      </c>
      <c r="AJ17">
        <v>1.2068965517241379</v>
      </c>
      <c r="AK17">
        <v>1.4827586206896552</v>
      </c>
      <c r="AR17" s="2"/>
      <c r="AS17" s="2"/>
      <c r="AT17" s="2"/>
    </row>
    <row r="18" spans="1:46" x14ac:dyDescent="0.55000000000000004">
      <c r="A18" s="3" t="s">
        <v>46</v>
      </c>
      <c r="B18" s="3">
        <v>11</v>
      </c>
      <c r="C18" s="2">
        <v>3</v>
      </c>
      <c r="D18">
        <f>47/26</f>
        <v>1.8076923076923077</v>
      </c>
      <c r="E18" s="12">
        <v>0.68600000000000005</v>
      </c>
      <c r="F18" s="13">
        <v>0.17599999999999999</v>
      </c>
      <c r="G18" s="12">
        <f>U18</f>
        <v>0.52500000000000002</v>
      </c>
      <c r="H18" s="13">
        <v>0.221</v>
      </c>
      <c r="I18">
        <v>3</v>
      </c>
      <c r="J18">
        <v>0.94299999999999995</v>
      </c>
      <c r="K18" s="20">
        <v>0.5</v>
      </c>
      <c r="L18">
        <f>AC18</f>
        <v>1.1160000000000001</v>
      </c>
      <c r="M18" s="20">
        <f>AD18</f>
        <v>0.5</v>
      </c>
      <c r="N18">
        <v>1</v>
      </c>
      <c r="O18" s="2" t="s">
        <v>2</v>
      </c>
      <c r="S18" s="2">
        <v>0.496</v>
      </c>
      <c r="T18" s="14">
        <v>0.85984184592284185</v>
      </c>
      <c r="U18">
        <v>0.52500000000000002</v>
      </c>
      <c r="V18" s="14">
        <v>0.85984184592284185</v>
      </c>
      <c r="Y18">
        <f t="shared" si="4"/>
        <v>-0.30615229703487046</v>
      </c>
      <c r="Z18">
        <f t="shared" si="5"/>
        <v>0.6206061553030231</v>
      </c>
      <c r="AA18">
        <f>(U18-E18)/SQRT((V18^2+F18^2)/2)</f>
        <v>-0.25942378854007442</v>
      </c>
      <c r="AB18">
        <f>SQRT((V18^2 + F18^2)/2)</f>
        <v>0.6206061553030231</v>
      </c>
      <c r="AC18">
        <v>1.1160000000000001</v>
      </c>
      <c r="AD18">
        <v>0.5</v>
      </c>
      <c r="AI18">
        <v>0.18345705196182413</v>
      </c>
      <c r="AR18" s="2"/>
      <c r="AS18" s="2"/>
      <c r="AT18" s="2"/>
    </row>
    <row r="19" spans="1:46" x14ac:dyDescent="0.55000000000000004">
      <c r="A19" s="3" t="s">
        <v>46</v>
      </c>
      <c r="B19" s="3">
        <v>11</v>
      </c>
      <c r="C19" s="2">
        <v>3</v>
      </c>
      <c r="D19">
        <f>7/26</f>
        <v>0.26923076923076922</v>
      </c>
      <c r="E19" s="12">
        <v>0.68600000000000005</v>
      </c>
      <c r="F19" s="13">
        <v>0.17599999999999999</v>
      </c>
      <c r="G19" s="12">
        <f>U19</f>
        <v>0.64500000000000002</v>
      </c>
      <c r="H19" s="13">
        <v>9.0999999999999998E-2</v>
      </c>
      <c r="I19">
        <v>3</v>
      </c>
      <c r="J19">
        <v>0.94299999999999995</v>
      </c>
      <c r="K19" s="20">
        <v>0.5</v>
      </c>
      <c r="L19">
        <f>AC19</f>
        <v>1.048</v>
      </c>
      <c r="M19" s="20">
        <f>AD19</f>
        <v>0.5</v>
      </c>
      <c r="N19">
        <v>1</v>
      </c>
      <c r="O19" s="2" t="s">
        <v>2</v>
      </c>
      <c r="S19" s="2">
        <v>0.61</v>
      </c>
      <c r="T19" s="14">
        <v>0.47404641122995544</v>
      </c>
      <c r="U19">
        <v>0.64500000000000002</v>
      </c>
      <c r="V19" s="14">
        <v>0.47404641122995544</v>
      </c>
      <c r="Y19">
        <f t="shared" si="4"/>
        <v>-0.21255269851605094</v>
      </c>
      <c r="Z19">
        <f t="shared" si="5"/>
        <v>0.3575583868405271</v>
      </c>
      <c r="AA19">
        <f>(U19-E19)/SQRT((V19^2+F19^2)/2)</f>
        <v>-0.11466658735734327</v>
      </c>
      <c r="AB19">
        <f>SQRT((V19^2 + F19^2)/2)</f>
        <v>0.3575583868405271</v>
      </c>
      <c r="AC19">
        <v>1.048</v>
      </c>
      <c r="AD19">
        <v>0.5</v>
      </c>
      <c r="AI19">
        <v>0.11134676564156956</v>
      </c>
      <c r="AR19" s="2"/>
      <c r="AS19" s="2"/>
      <c r="AT19" s="2"/>
    </row>
    <row r="20" spans="1:46" x14ac:dyDescent="0.55000000000000004">
      <c r="A20" s="3" t="s">
        <v>47</v>
      </c>
      <c r="B20" s="3">
        <v>12</v>
      </c>
      <c r="C20" s="2">
        <v>3</v>
      </c>
      <c r="D20">
        <f>1/7.7</f>
        <v>0.12987012987012986</v>
      </c>
      <c r="E20" s="12">
        <v>0.49</v>
      </c>
      <c r="F20" s="13">
        <v>1.0999999999999999E-2</v>
      </c>
      <c r="G20" s="12">
        <f>S20</f>
        <v>0.62</v>
      </c>
      <c r="H20" s="13">
        <v>8.0000000000000002E-3</v>
      </c>
      <c r="I20">
        <v>2</v>
      </c>
      <c r="J20">
        <v>7.7</v>
      </c>
      <c r="K20" s="20">
        <v>0.5</v>
      </c>
      <c r="L20">
        <f>AG20</f>
        <v>52.2</v>
      </c>
      <c r="M20" s="20">
        <f>AH20</f>
        <v>0.5</v>
      </c>
      <c r="N20">
        <v>2</v>
      </c>
      <c r="O20" s="2" t="s">
        <v>0</v>
      </c>
      <c r="S20">
        <v>0.62</v>
      </c>
      <c r="T20" s="14">
        <v>7.2327380707447153E-2</v>
      </c>
      <c r="Y20">
        <f t="shared" si="4"/>
        <v>2.512986495326786</v>
      </c>
      <c r="Z20">
        <f t="shared" si="5"/>
        <v>5.1731276806203028E-2</v>
      </c>
      <c r="AC20">
        <v>14.2</v>
      </c>
      <c r="AD20">
        <v>0.5</v>
      </c>
      <c r="AE20">
        <v>28.5</v>
      </c>
      <c r="AF20">
        <v>0.5</v>
      </c>
      <c r="AG20">
        <v>52.2</v>
      </c>
      <c r="AH20">
        <v>0.5</v>
      </c>
      <c r="AI20">
        <v>0.84415584415584399</v>
      </c>
      <c r="AJ20">
        <v>2.7012987012987013</v>
      </c>
      <c r="AK20">
        <v>5.779220779220779</v>
      </c>
      <c r="AR20" s="2"/>
      <c r="AS20" s="2"/>
      <c r="AT20" s="2"/>
    </row>
    <row r="21" spans="1:46" x14ac:dyDescent="0.55000000000000004">
      <c r="A21" s="3" t="s">
        <v>48</v>
      </c>
      <c r="B21" s="3">
        <v>13</v>
      </c>
      <c r="C21" s="2">
        <v>3</v>
      </c>
      <c r="D21">
        <f>15/185</f>
        <v>8.1081081081081086E-2</v>
      </c>
      <c r="E21" s="12">
        <v>0.41</v>
      </c>
      <c r="F21" s="13">
        <v>7.4999999999999997E-2</v>
      </c>
      <c r="G21" s="12">
        <f>Q21</f>
        <v>0.47</v>
      </c>
      <c r="H21" s="13">
        <v>7.4999999999999997E-2</v>
      </c>
      <c r="I21">
        <v>1</v>
      </c>
      <c r="J21">
        <v>185</v>
      </c>
      <c r="K21" s="20">
        <v>0.5</v>
      </c>
      <c r="L21">
        <f>AC21</f>
        <v>185</v>
      </c>
      <c r="M21" s="20">
        <f>AD21</f>
        <v>0.5</v>
      </c>
      <c r="N21">
        <v>1</v>
      </c>
      <c r="O21" s="2" t="s">
        <v>0</v>
      </c>
      <c r="Q21">
        <v>0.47</v>
      </c>
      <c r="R21" s="14">
        <v>0.51961524227066314</v>
      </c>
      <c r="W21">
        <f t="shared" ref="W21:W28" si="6">(Q21-E21)/SQRT((F21^2 + R21^2)/2)</f>
        <v>0.16162440712835371</v>
      </c>
      <c r="X21">
        <f t="shared" ref="X21:X28" si="7">SQRT((F21^2 + R21^2)/2)</f>
        <v>0.37123106012293744</v>
      </c>
      <c r="AC21">
        <v>185</v>
      </c>
      <c r="AD21">
        <v>0.5</v>
      </c>
      <c r="AI21">
        <v>-5.4054054054054057E-2</v>
      </c>
      <c r="AR21" s="2"/>
      <c r="AS21" s="2"/>
      <c r="AT21" s="2"/>
    </row>
    <row r="22" spans="1:46" x14ac:dyDescent="0.55000000000000004">
      <c r="A22" s="3" t="s">
        <v>48</v>
      </c>
      <c r="B22" s="3">
        <v>13</v>
      </c>
      <c r="C22" s="2">
        <v>3</v>
      </c>
      <c r="D22">
        <f>16/125</f>
        <v>0.128</v>
      </c>
      <c r="E22" s="12">
        <v>0.43</v>
      </c>
      <c r="F22" s="13">
        <v>7.4999999999999997E-2</v>
      </c>
      <c r="G22" s="12">
        <f>Q22</f>
        <v>0.48</v>
      </c>
      <c r="H22" s="13">
        <v>7.4999999999999997E-2</v>
      </c>
      <c r="I22">
        <v>1</v>
      </c>
      <c r="J22">
        <v>125</v>
      </c>
      <c r="K22" s="20">
        <v>0.5</v>
      </c>
      <c r="L22">
        <f>AC22</f>
        <v>250</v>
      </c>
      <c r="M22" s="20">
        <f>AD22</f>
        <v>0.5</v>
      </c>
      <c r="N22">
        <v>1</v>
      </c>
      <c r="O22" s="2" t="s">
        <v>0</v>
      </c>
      <c r="Q22">
        <v>0.48</v>
      </c>
      <c r="R22" s="14">
        <v>0.5303300858899106</v>
      </c>
      <c r="W22">
        <f t="shared" si="6"/>
        <v>0.13201967239688989</v>
      </c>
      <c r="X22">
        <f t="shared" si="7"/>
        <v>0.37873143518857788</v>
      </c>
      <c r="AC22">
        <v>250</v>
      </c>
      <c r="AD22">
        <v>0.5</v>
      </c>
      <c r="AI22">
        <v>1</v>
      </c>
      <c r="AR22" s="2"/>
      <c r="AS22" s="2"/>
      <c r="AT22" s="2"/>
    </row>
    <row r="23" spans="1:46" x14ac:dyDescent="0.55000000000000004">
      <c r="A23" s="3" t="s">
        <v>49</v>
      </c>
      <c r="B23" s="3">
        <v>14</v>
      </c>
      <c r="C23" s="2">
        <v>3</v>
      </c>
      <c r="D23">
        <f>9/7</f>
        <v>1.2857142857142858</v>
      </c>
      <c r="E23" s="12">
        <v>0.43</v>
      </c>
      <c r="F23" s="13">
        <v>1.4E-2</v>
      </c>
      <c r="G23" s="12">
        <f>S23</f>
        <v>0.64</v>
      </c>
      <c r="H23" s="13">
        <v>7.0000000000000001E-3</v>
      </c>
      <c r="I23">
        <v>2</v>
      </c>
      <c r="J23">
        <v>8</v>
      </c>
      <c r="K23" s="20">
        <v>0.85</v>
      </c>
      <c r="L23">
        <f>AG23</f>
        <v>15</v>
      </c>
      <c r="M23" s="20">
        <f>AH23</f>
        <v>1.54</v>
      </c>
      <c r="N23">
        <v>2</v>
      </c>
      <c r="O23" s="2" t="s">
        <v>0</v>
      </c>
      <c r="Q23">
        <v>0.69</v>
      </c>
      <c r="R23" s="14">
        <v>0.02</v>
      </c>
      <c r="S23">
        <v>0.64</v>
      </c>
      <c r="T23" s="14">
        <v>0.03</v>
      </c>
      <c r="W23">
        <f t="shared" si="6"/>
        <v>15.061395605450794</v>
      </c>
      <c r="X23">
        <f t="shared" si="7"/>
        <v>1.726267650163207E-2</v>
      </c>
      <c r="Y23">
        <f>(S23-E23)/SQRT((T23^2+F23^2)/2)</f>
        <v>8.9707554060259902</v>
      </c>
      <c r="Z23">
        <f>SQRT((T23^2 + F23^2)/2)</f>
        <v>2.3409399821439251E-2</v>
      </c>
      <c r="AC23">
        <v>13</v>
      </c>
      <c r="AD23">
        <v>5.58</v>
      </c>
      <c r="AE23">
        <v>13</v>
      </c>
      <c r="AF23">
        <v>1.03</v>
      </c>
      <c r="AG23">
        <v>15</v>
      </c>
      <c r="AH23">
        <v>1.54</v>
      </c>
      <c r="AI23">
        <v>0.625</v>
      </c>
      <c r="AJ23">
        <v>0.625</v>
      </c>
      <c r="AK23">
        <v>0.875</v>
      </c>
      <c r="AR23" s="2"/>
      <c r="AS23" s="2"/>
      <c r="AT23" s="2"/>
    </row>
    <row r="24" spans="1:46" x14ac:dyDescent="0.55000000000000004">
      <c r="A24" s="3" t="s">
        <v>50</v>
      </c>
      <c r="B24" s="3">
        <v>15</v>
      </c>
      <c r="C24" s="2">
        <v>3</v>
      </c>
      <c r="D24">
        <f>1/10</f>
        <v>0.1</v>
      </c>
      <c r="E24" s="12">
        <v>0.35299999999999998</v>
      </c>
      <c r="F24" s="13">
        <v>2.8000000000000001E-2</v>
      </c>
      <c r="G24" s="12">
        <f>S24</f>
        <v>0.40100000000000002</v>
      </c>
      <c r="H24" s="13">
        <v>2.5999999999999999E-2</v>
      </c>
      <c r="I24">
        <v>2</v>
      </c>
      <c r="J24">
        <v>0.83</v>
      </c>
      <c r="K24" s="20">
        <v>0.5</v>
      </c>
      <c r="L24">
        <f>AC24</f>
        <v>1.0049999999999999</v>
      </c>
      <c r="M24" s="20">
        <f>AD24</f>
        <v>0.5</v>
      </c>
      <c r="N24">
        <v>1</v>
      </c>
      <c r="O24" s="2" t="s">
        <v>2</v>
      </c>
      <c r="Q24">
        <v>0.374</v>
      </c>
      <c r="R24" s="14">
        <v>0.17260359208313134</v>
      </c>
      <c r="S24">
        <v>0.40100000000000002</v>
      </c>
      <c r="T24" s="14">
        <v>0.12737346662472523</v>
      </c>
      <c r="W24">
        <f t="shared" si="6"/>
        <v>0.16984155512168952</v>
      </c>
      <c r="X24">
        <f t="shared" si="7"/>
        <v>0.12364465212858985</v>
      </c>
      <c r="Y24">
        <f>(S24-E24)/SQRT((T24^2+F24^2)/2)</f>
        <v>0.52051064007820202</v>
      </c>
      <c r="Z24">
        <f>SQRT((T24^2 + F24^2)/2)</f>
        <v>9.2217135067188011E-2</v>
      </c>
      <c r="AC24">
        <v>1.0049999999999999</v>
      </c>
      <c r="AD24" s="7">
        <v>0.5</v>
      </c>
      <c r="AI24">
        <v>0.21084337349397583</v>
      </c>
      <c r="AR24" s="2"/>
      <c r="AS24" s="2"/>
      <c r="AT24" s="2"/>
    </row>
    <row r="25" spans="1:46" x14ac:dyDescent="0.55000000000000004">
      <c r="A25" s="3" t="s">
        <v>51</v>
      </c>
      <c r="B25" s="3">
        <v>16</v>
      </c>
      <c r="C25" s="2">
        <v>3</v>
      </c>
      <c r="D25">
        <f>3/26</f>
        <v>0.11538461538461539</v>
      </c>
      <c r="E25" s="12">
        <v>0.61</v>
      </c>
      <c r="F25" s="13">
        <v>0.12</v>
      </c>
      <c r="G25" s="12">
        <f>Q25</f>
        <v>0.63</v>
      </c>
      <c r="H25" s="13">
        <v>0.08</v>
      </c>
      <c r="I25">
        <v>1</v>
      </c>
      <c r="J25">
        <v>26</v>
      </c>
      <c r="K25" s="20">
        <v>0.85</v>
      </c>
      <c r="L25">
        <f>AG25</f>
        <v>48</v>
      </c>
      <c r="M25" s="20">
        <f>AH25</f>
        <v>0.85</v>
      </c>
      <c r="N25">
        <v>3</v>
      </c>
      <c r="O25" s="2" t="s">
        <v>0</v>
      </c>
      <c r="Q25">
        <v>0.63</v>
      </c>
      <c r="R25" s="14">
        <v>1.6608431593621356</v>
      </c>
      <c r="W25">
        <f t="shared" si="6"/>
        <v>1.6985788839624972E-2</v>
      </c>
      <c r="X25">
        <f t="shared" si="7"/>
        <v>1.1774548823628022</v>
      </c>
      <c r="AC25">
        <v>56</v>
      </c>
      <c r="AD25">
        <v>0.85</v>
      </c>
      <c r="AE25">
        <v>34</v>
      </c>
      <c r="AF25">
        <v>0.85</v>
      </c>
      <c r="AG25">
        <v>48</v>
      </c>
      <c r="AH25">
        <v>0.85</v>
      </c>
      <c r="AI25">
        <v>1.1538461538461537</v>
      </c>
      <c r="AJ25">
        <v>0.30769230769230771</v>
      </c>
      <c r="AK25">
        <v>0.84615384615384615</v>
      </c>
      <c r="AR25" s="2"/>
      <c r="AS25" s="2"/>
      <c r="AT25" s="2"/>
    </row>
    <row r="26" spans="1:46" x14ac:dyDescent="0.55000000000000004">
      <c r="A26" s="4" t="s">
        <v>52</v>
      </c>
      <c r="B26" s="4">
        <v>17</v>
      </c>
      <c r="C26" s="2">
        <v>3</v>
      </c>
      <c r="D26">
        <f>26/39.4</f>
        <v>0.65989847715736039</v>
      </c>
      <c r="E26" s="12">
        <v>0.61</v>
      </c>
      <c r="F26" s="13">
        <v>3.0502000000000001E-2</v>
      </c>
      <c r="G26" s="12">
        <f>U26</f>
        <v>0.63700000000000001</v>
      </c>
      <c r="H26" s="13">
        <v>2.5641000000000001E-2</v>
      </c>
      <c r="I26">
        <v>3</v>
      </c>
      <c r="J26">
        <v>0.55300000000000005</v>
      </c>
      <c r="K26" s="20">
        <v>0.113</v>
      </c>
      <c r="L26">
        <f>AE26</f>
        <v>0.58299999999999996</v>
      </c>
      <c r="M26" s="20">
        <f>AF26</f>
        <v>0.16500000000000001</v>
      </c>
      <c r="N26">
        <v>2</v>
      </c>
      <c r="O26" s="2" t="s">
        <v>1</v>
      </c>
      <c r="Q26">
        <v>0.61399999999999999</v>
      </c>
      <c r="R26" s="14">
        <v>0.21378371522415557</v>
      </c>
      <c r="S26">
        <v>0.628</v>
      </c>
      <c r="T26" s="14">
        <v>0.21378371522415557</v>
      </c>
      <c r="U26">
        <v>0.63700000000000001</v>
      </c>
      <c r="V26" s="14">
        <v>0.1952729723433605</v>
      </c>
      <c r="W26">
        <f t="shared" si="6"/>
        <v>2.6195359232647437E-2</v>
      </c>
      <c r="X26">
        <f t="shared" si="7"/>
        <v>0.15269880303892833</v>
      </c>
      <c r="Y26">
        <f>(S26-E26)/SQRT((T26^2+F26^2)/2)</f>
        <v>0.11787911654691346</v>
      </c>
      <c r="Z26">
        <f>SQRT((T26^2 + F26^2)/2)</f>
        <v>0.15269880303892833</v>
      </c>
      <c r="AA26">
        <f>(U26-E26)/SQRT((V26^2+F26^2)/2)</f>
        <v>0.19319774284586305</v>
      </c>
      <c r="AB26">
        <f>SQRT((V26^2 + F26^2)/2)</f>
        <v>0.13975318553043942</v>
      </c>
      <c r="AC26">
        <v>0.83399999999999996</v>
      </c>
      <c r="AD26">
        <v>0.27</v>
      </c>
      <c r="AE26">
        <v>0.58299999999999996</v>
      </c>
      <c r="AF26">
        <v>0.16500000000000001</v>
      </c>
      <c r="AI26">
        <v>0.50813743218806495</v>
      </c>
      <c r="AJ26">
        <v>5.4249547920433842E-2</v>
      </c>
      <c r="AR26" s="2"/>
      <c r="AS26" s="2"/>
      <c r="AT26" s="2"/>
    </row>
    <row r="27" spans="1:46" s="11" customFormat="1" x14ac:dyDescent="0.55000000000000004">
      <c r="A27" s="15" t="s">
        <v>53</v>
      </c>
      <c r="B27" s="15">
        <v>18</v>
      </c>
      <c r="C27" s="16">
        <v>3</v>
      </c>
      <c r="D27" s="19">
        <f>1/23</f>
        <v>4.3478260869565216E-2</v>
      </c>
      <c r="E27" s="17">
        <v>0.49</v>
      </c>
      <c r="F27" s="13">
        <v>1.4E-2</v>
      </c>
      <c r="G27" s="17">
        <f>S27</f>
        <v>0.59</v>
      </c>
      <c r="H27" s="13">
        <v>0.01</v>
      </c>
      <c r="I27" s="11">
        <v>2</v>
      </c>
      <c r="J27" s="11">
        <v>23.74</v>
      </c>
      <c r="K27" s="21">
        <v>0.5</v>
      </c>
      <c r="L27" s="11">
        <f>AE27</f>
        <v>20.66</v>
      </c>
      <c r="M27" s="21">
        <f>AF27</f>
        <v>0.5</v>
      </c>
      <c r="N27" s="11">
        <v>2</v>
      </c>
      <c r="O27" s="16" t="s">
        <v>0</v>
      </c>
      <c r="P27" s="23"/>
      <c r="Q27" s="11">
        <v>0.63</v>
      </c>
      <c r="R27" s="18">
        <v>0.14400000000000002</v>
      </c>
      <c r="S27" s="11">
        <v>0.59</v>
      </c>
      <c r="T27" s="18">
        <v>0.09</v>
      </c>
      <c r="V27" s="18"/>
      <c r="W27" s="11">
        <f t="shared" si="6"/>
        <v>1.3684775289281694</v>
      </c>
      <c r="X27" s="11">
        <f t="shared" si="7"/>
        <v>0.10230347012687303</v>
      </c>
      <c r="Y27" s="11">
        <f>(S27-E27)/SQRT((T27^2+F27^2)/2)</f>
        <v>1.552675235111342</v>
      </c>
      <c r="Z27" s="11">
        <f>SQRT((T27^2 + F27^2)/2)</f>
        <v>6.4404968752418468E-2</v>
      </c>
      <c r="AC27" s="11">
        <v>16.739999999999998</v>
      </c>
      <c r="AD27" s="11">
        <v>0.5</v>
      </c>
      <c r="AE27" s="11">
        <v>20.66</v>
      </c>
      <c r="AF27" s="11">
        <v>0.5</v>
      </c>
      <c r="AI27" s="11">
        <v>-0.29486099410278016</v>
      </c>
      <c r="AJ27" s="11">
        <v>-0.12973883740522318</v>
      </c>
      <c r="AR27" s="16"/>
      <c r="AS27" s="16"/>
      <c r="AT27" s="16"/>
    </row>
    <row r="28" spans="1:46" x14ac:dyDescent="0.55000000000000004">
      <c r="A28" s="3" t="s">
        <v>54</v>
      </c>
      <c r="B28" s="3">
        <v>19</v>
      </c>
      <c r="C28" s="2">
        <v>4</v>
      </c>
      <c r="D28">
        <f>20/17</f>
        <v>1.1764705882352942</v>
      </c>
      <c r="E28" s="12">
        <v>0.17</v>
      </c>
      <c r="F28" s="13">
        <v>7.4999999999999997E-2</v>
      </c>
      <c r="G28" s="12">
        <f>S28</f>
        <v>0.24099999999999999</v>
      </c>
      <c r="H28" s="13">
        <v>7.4999999999999997E-2</v>
      </c>
      <c r="I28">
        <v>2</v>
      </c>
      <c r="J28">
        <v>8.75</v>
      </c>
      <c r="K28" s="20">
        <v>0.5</v>
      </c>
      <c r="L28">
        <f>AG28</f>
        <v>43.85</v>
      </c>
      <c r="M28" s="20">
        <f>AH28</f>
        <v>0.5</v>
      </c>
      <c r="N28">
        <v>2</v>
      </c>
      <c r="O28" s="2" t="s">
        <v>0</v>
      </c>
      <c r="Q28">
        <v>0.23699999999999999</v>
      </c>
      <c r="R28" s="14">
        <v>0.31819805153394637</v>
      </c>
      <c r="S28">
        <v>0.24099999999999999</v>
      </c>
      <c r="T28" s="14">
        <v>0.31819805153394637</v>
      </c>
      <c r="W28">
        <f t="shared" si="6"/>
        <v>0.28983560575362899</v>
      </c>
      <c r="X28">
        <f t="shared" si="7"/>
        <v>0.23116552511133662</v>
      </c>
      <c r="Y28">
        <f>(S28-E28)/SQRT((T28^2+F28^2)/2)</f>
        <v>0.30713922400757698</v>
      </c>
      <c r="Z28">
        <f>SQRT((T28^2 + F28^2)/2)</f>
        <v>0.23116552511133662</v>
      </c>
      <c r="AC28">
        <v>7.89</v>
      </c>
      <c r="AD28">
        <v>0.5</v>
      </c>
      <c r="AE28">
        <v>28.74</v>
      </c>
      <c r="AF28">
        <v>0.5</v>
      </c>
      <c r="AG28">
        <v>43.85</v>
      </c>
      <c r="AH28">
        <v>0.5</v>
      </c>
      <c r="AI28">
        <v>-9.8285714285714323E-2</v>
      </c>
      <c r="AJ28">
        <v>2.2845714285714283</v>
      </c>
      <c r="AK28">
        <v>4.0114285714285716</v>
      </c>
      <c r="AR28" s="2"/>
      <c r="AS28" s="2"/>
      <c r="AT28" s="2"/>
    </row>
    <row r="29" spans="1:46" x14ac:dyDescent="0.55000000000000004">
      <c r="AH29" s="2"/>
      <c r="AQ29" s="2"/>
      <c r="AR29" s="2"/>
      <c r="AS29" s="2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</sheetData>
  <autoFilter ref="A1:AT62" xr:uid="{F80277A3-19A2-4035-B448-B8FC0B79121C}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F13E-41FE-40B3-BDDA-8AFBDF5CD493}">
  <dimension ref="A1:L28"/>
  <sheetViews>
    <sheetView workbookViewId="0">
      <selection activeCell="H13" sqref="H13"/>
    </sheetView>
  </sheetViews>
  <sheetFormatPr defaultRowHeight="14.4" x14ac:dyDescent="0.55000000000000004"/>
  <cols>
    <col min="1" max="1" width="19" customWidth="1"/>
  </cols>
  <sheetData>
    <row r="1" spans="1:12" x14ac:dyDescent="0.55000000000000004">
      <c r="A1" t="s">
        <v>24</v>
      </c>
      <c r="B1" s="2" t="s">
        <v>23</v>
      </c>
      <c r="C1" t="s">
        <v>22</v>
      </c>
      <c r="D1" t="s">
        <v>25</v>
      </c>
      <c r="E1" t="s">
        <v>28</v>
      </c>
      <c r="F1" t="s">
        <v>32</v>
      </c>
      <c r="G1" t="s">
        <v>27</v>
      </c>
      <c r="H1" t="s">
        <v>55</v>
      </c>
      <c r="I1" t="s">
        <v>26</v>
      </c>
      <c r="J1" t="s">
        <v>33</v>
      </c>
      <c r="K1" t="s">
        <v>34</v>
      </c>
      <c r="L1" t="s">
        <v>35</v>
      </c>
    </row>
    <row r="2" spans="1:12" x14ac:dyDescent="0.55000000000000004">
      <c r="A2" s="3" t="s">
        <v>36</v>
      </c>
      <c r="B2" s="2">
        <v>1</v>
      </c>
      <c r="C2">
        <f>14/16</f>
        <v>0.875</v>
      </c>
      <c r="D2">
        <v>0.13047413827952217</v>
      </c>
      <c r="E2">
        <v>0.53650478878837338</v>
      </c>
      <c r="F2">
        <v>3</v>
      </c>
      <c r="G2" t="s">
        <v>0</v>
      </c>
      <c r="H2" t="s">
        <v>0</v>
      </c>
      <c r="I2">
        <v>-0.20515778758059042</v>
      </c>
      <c r="J2">
        <v>3</v>
      </c>
      <c r="K2">
        <v>-6.9096353180022714</v>
      </c>
      <c r="L2" s="6">
        <v>0.6187255046464466</v>
      </c>
    </row>
    <row r="3" spans="1:12" x14ac:dyDescent="0.55000000000000004">
      <c r="A3" s="3" t="s">
        <v>36</v>
      </c>
      <c r="B3" s="2">
        <v>1</v>
      </c>
      <c r="C3">
        <f>14/16</f>
        <v>0.875</v>
      </c>
      <c r="D3">
        <v>0</v>
      </c>
      <c r="E3">
        <v>1.6364574107329699</v>
      </c>
      <c r="F3">
        <v>3</v>
      </c>
      <c r="G3" t="s">
        <v>0</v>
      </c>
      <c r="H3" t="s">
        <v>0</v>
      </c>
      <c r="I3">
        <v>-0.23824071635501712</v>
      </c>
      <c r="J3">
        <v>3</v>
      </c>
      <c r="K3">
        <v>-9.0459999999999994</v>
      </c>
      <c r="L3" s="6">
        <v>0.70710678118654757</v>
      </c>
    </row>
    <row r="4" spans="1:12" x14ac:dyDescent="0.55000000000000004">
      <c r="A4" s="3" t="s">
        <v>37</v>
      </c>
      <c r="B4" s="2">
        <v>1</v>
      </c>
      <c r="C4" s="5">
        <f>10/268</f>
        <v>3.7313432835820892E-2</v>
      </c>
      <c r="D4">
        <v>0.15173809541062536</v>
      </c>
      <c r="E4">
        <v>0.57335634643736177</v>
      </c>
      <c r="F4">
        <v>1</v>
      </c>
      <c r="G4" t="s">
        <v>0</v>
      </c>
      <c r="H4" t="s">
        <v>0</v>
      </c>
      <c r="I4">
        <v>0.39552238805970147</v>
      </c>
      <c r="J4">
        <v>1</v>
      </c>
      <c r="K4">
        <v>212</v>
      </c>
      <c r="L4" s="2">
        <v>0.5</v>
      </c>
    </row>
    <row r="5" spans="1:12" x14ac:dyDescent="0.55000000000000004">
      <c r="A5" s="3" t="s">
        <v>37</v>
      </c>
      <c r="B5" s="2">
        <v>1</v>
      </c>
      <c r="C5" s="2">
        <f>10/83</f>
        <v>0.12048192771084337</v>
      </c>
      <c r="D5">
        <v>0.27228203267784129</v>
      </c>
      <c r="E5">
        <v>0.30850364665591878</v>
      </c>
      <c r="F5">
        <v>1</v>
      </c>
      <c r="G5" t="s">
        <v>0</v>
      </c>
      <c r="H5" t="s">
        <v>0</v>
      </c>
      <c r="I5">
        <v>5.2976190476190474</v>
      </c>
      <c r="J5">
        <v>1</v>
      </c>
      <c r="K5">
        <v>890</v>
      </c>
      <c r="L5" s="2">
        <v>0.5</v>
      </c>
    </row>
    <row r="6" spans="1:12" x14ac:dyDescent="0.55000000000000004">
      <c r="A6" s="3" t="s">
        <v>37</v>
      </c>
      <c r="B6" s="2">
        <v>1</v>
      </c>
      <c r="C6" s="5">
        <f>10/366</f>
        <v>2.7322404371584699E-2</v>
      </c>
      <c r="D6">
        <v>5.970404101895934E-2</v>
      </c>
      <c r="E6">
        <v>0.35173498546490939</v>
      </c>
      <c r="F6">
        <v>1</v>
      </c>
      <c r="G6" t="s">
        <v>0</v>
      </c>
      <c r="H6" t="s">
        <v>0</v>
      </c>
      <c r="I6">
        <v>0.29508196721311475</v>
      </c>
      <c r="J6">
        <v>1</v>
      </c>
      <c r="K6">
        <v>216</v>
      </c>
      <c r="L6" s="2">
        <v>0.5</v>
      </c>
    </row>
    <row r="7" spans="1:12" x14ac:dyDescent="0.55000000000000004">
      <c r="A7" s="3" t="s">
        <v>37</v>
      </c>
      <c r="B7" s="2">
        <v>1</v>
      </c>
      <c r="C7" s="2">
        <f>10/728</f>
        <v>1.3736263736263736E-2</v>
      </c>
      <c r="D7">
        <v>3.0320944015984546E-2</v>
      </c>
      <c r="E7">
        <v>0.75855158031606529</v>
      </c>
      <c r="F7">
        <v>1</v>
      </c>
      <c r="G7" t="s">
        <v>0</v>
      </c>
      <c r="H7" t="s">
        <v>0</v>
      </c>
      <c r="I7">
        <v>0.5755494505494505</v>
      </c>
      <c r="J7">
        <v>1</v>
      </c>
      <c r="K7">
        <v>838</v>
      </c>
      <c r="L7" s="2">
        <v>0.5</v>
      </c>
    </row>
    <row r="8" spans="1:12" x14ac:dyDescent="0.55000000000000004">
      <c r="A8" s="4" t="s">
        <v>38</v>
      </c>
      <c r="B8" s="2">
        <v>1</v>
      </c>
      <c r="C8" s="2">
        <f>150/21.25</f>
        <v>7.0588235294117645</v>
      </c>
      <c r="D8">
        <v>0.38342582339147724</v>
      </c>
      <c r="E8">
        <v>0.43554708580359025</v>
      </c>
      <c r="F8">
        <v>3</v>
      </c>
      <c r="G8" t="s">
        <v>0</v>
      </c>
      <c r="H8" t="s">
        <v>0</v>
      </c>
      <c r="I8">
        <v>9.884615384615385</v>
      </c>
      <c r="J8">
        <v>3</v>
      </c>
      <c r="K8">
        <v>983.07760700996789</v>
      </c>
      <c r="L8" s="6">
        <v>0.1848546253816766</v>
      </c>
    </row>
    <row r="9" spans="1:12" x14ac:dyDescent="0.55000000000000004">
      <c r="A9" s="4" t="s">
        <v>38</v>
      </c>
      <c r="B9" s="2">
        <v>1</v>
      </c>
      <c r="C9" s="5">
        <f>150/14.57</f>
        <v>10.295126973232669</v>
      </c>
      <c r="D9">
        <v>1.1534945808784387</v>
      </c>
      <c r="E9">
        <v>0.3970543144218433</v>
      </c>
      <c r="F9">
        <v>3</v>
      </c>
      <c r="G9" t="s">
        <v>0</v>
      </c>
      <c r="H9" t="s">
        <v>0</v>
      </c>
      <c r="I9">
        <v>9.6666666666666661</v>
      </c>
      <c r="J9">
        <v>3</v>
      </c>
      <c r="K9">
        <v>1984.8482666212635</v>
      </c>
      <c r="L9" s="6">
        <v>6.1987902045479812E-2</v>
      </c>
    </row>
    <row r="10" spans="1:12" x14ac:dyDescent="0.55000000000000004">
      <c r="A10" s="4" t="s">
        <v>39</v>
      </c>
      <c r="B10" s="2">
        <v>2</v>
      </c>
      <c r="C10">
        <f>64/99</f>
        <v>0.64646464646464652</v>
      </c>
      <c r="D10">
        <v>-5.5168727426812461E-2</v>
      </c>
      <c r="E10">
        <v>0.34077276886511926</v>
      </c>
      <c r="F10">
        <v>3</v>
      </c>
      <c r="G10" t="s">
        <v>0</v>
      </c>
      <c r="H10" t="s">
        <v>0</v>
      </c>
      <c r="I10">
        <v>-0.27607361963190186</v>
      </c>
      <c r="J10">
        <v>3</v>
      </c>
      <c r="K10">
        <v>-90</v>
      </c>
      <c r="L10" s="6">
        <v>0.35355339059327379</v>
      </c>
    </row>
    <row r="11" spans="1:12" x14ac:dyDescent="0.55000000000000004">
      <c r="A11" s="3" t="s">
        <v>40</v>
      </c>
      <c r="B11" s="2">
        <v>2</v>
      </c>
      <c r="C11">
        <f>15/300</f>
        <v>0.05</v>
      </c>
      <c r="D11">
        <v>0.63245553203367588</v>
      </c>
      <c r="E11">
        <v>0.10277402395547233</v>
      </c>
      <c r="F11">
        <v>2</v>
      </c>
      <c r="G11" t="s">
        <v>56</v>
      </c>
      <c r="H11" t="s">
        <v>1</v>
      </c>
      <c r="I11">
        <v>1.6048109965635742</v>
      </c>
      <c r="J11">
        <v>1</v>
      </c>
      <c r="K11">
        <v>3.8065600716134367</v>
      </c>
      <c r="L11" s="2">
        <v>0.12268294502497076</v>
      </c>
    </row>
    <row r="12" spans="1:12" x14ac:dyDescent="0.55000000000000004">
      <c r="A12" s="3" t="s">
        <v>40</v>
      </c>
      <c r="B12" s="2">
        <v>2</v>
      </c>
      <c r="C12">
        <f>10/60</f>
        <v>0.16666666666666666</v>
      </c>
      <c r="D12">
        <v>0.2250925735484553</v>
      </c>
      <c r="E12">
        <v>0.16881943016134132</v>
      </c>
      <c r="F12">
        <v>2</v>
      </c>
      <c r="G12" t="s">
        <v>56</v>
      </c>
      <c r="H12" t="s">
        <v>1</v>
      </c>
      <c r="I12">
        <v>1.6048109965635742</v>
      </c>
      <c r="J12">
        <v>1</v>
      </c>
      <c r="K12">
        <v>3.8065600716134367</v>
      </c>
      <c r="L12" s="2">
        <v>0.12268294502497076</v>
      </c>
    </row>
    <row r="13" spans="1:12" x14ac:dyDescent="0.55000000000000004">
      <c r="A13" s="3" t="s">
        <v>41</v>
      </c>
      <c r="B13" s="2">
        <v>2</v>
      </c>
      <c r="C13">
        <f>271/9.7</f>
        <v>27.938144329896911</v>
      </c>
      <c r="D13">
        <v>7.8433490913145137E-2</v>
      </c>
      <c r="E13">
        <v>0.28049242414011827</v>
      </c>
      <c r="F13">
        <v>3</v>
      </c>
      <c r="G13" t="s">
        <v>56</v>
      </c>
      <c r="H13" t="s">
        <v>3</v>
      </c>
      <c r="I13">
        <v>1.4562334217506632</v>
      </c>
      <c r="J13">
        <v>2</v>
      </c>
      <c r="K13">
        <v>5.8940331315676033</v>
      </c>
      <c r="L13" s="2">
        <v>9.3145048177560141E-2</v>
      </c>
    </row>
    <row r="14" spans="1:12" x14ac:dyDescent="0.55000000000000004">
      <c r="A14" s="3" t="s">
        <v>42</v>
      </c>
      <c r="B14" s="2">
        <v>2</v>
      </c>
      <c r="C14">
        <f>110/550</f>
        <v>0.2</v>
      </c>
      <c r="D14">
        <v>-5.4044580304950423E-3</v>
      </c>
      <c r="E14">
        <v>0.18503242959005864</v>
      </c>
      <c r="F14">
        <v>1</v>
      </c>
      <c r="G14" t="s">
        <v>0</v>
      </c>
      <c r="H14" t="s">
        <v>0</v>
      </c>
      <c r="I14">
        <v>-0.53454545454545455</v>
      </c>
      <c r="J14">
        <v>3</v>
      </c>
      <c r="K14">
        <v>-588</v>
      </c>
      <c r="L14" s="6">
        <v>0.35355339059327379</v>
      </c>
    </row>
    <row r="15" spans="1:12" x14ac:dyDescent="0.55000000000000004">
      <c r="A15" s="3" t="s">
        <v>43</v>
      </c>
      <c r="B15" s="2">
        <v>3</v>
      </c>
      <c r="C15">
        <f>6/53.2</f>
        <v>0.11278195488721804</v>
      </c>
      <c r="D15">
        <v>0.60815989308157747</v>
      </c>
      <c r="E15">
        <v>0.27953175132710778</v>
      </c>
      <c r="F15">
        <v>2</v>
      </c>
      <c r="G15" t="s">
        <v>0</v>
      </c>
      <c r="H15" t="s">
        <v>0</v>
      </c>
      <c r="I15">
        <v>1.8593001841620627</v>
      </c>
      <c r="J15">
        <v>2</v>
      </c>
      <c r="K15">
        <v>21.71363561896532</v>
      </c>
      <c r="L15" s="2">
        <v>4.649612887112216</v>
      </c>
    </row>
    <row r="16" spans="1:12" x14ac:dyDescent="0.55000000000000004">
      <c r="A16" s="3" t="s">
        <v>44</v>
      </c>
      <c r="B16" s="2">
        <v>3</v>
      </c>
      <c r="C16">
        <f>16/84</f>
        <v>0.19047619047619047</v>
      </c>
      <c r="D16">
        <v>0.77582715658734502</v>
      </c>
      <c r="E16">
        <v>0.2191209711552046</v>
      </c>
      <c r="F16">
        <v>2</v>
      </c>
      <c r="G16" t="s">
        <v>0</v>
      </c>
      <c r="H16" t="s">
        <v>0</v>
      </c>
      <c r="I16">
        <v>-0.40928571428571431</v>
      </c>
      <c r="J16">
        <v>2</v>
      </c>
      <c r="K16">
        <v>-68.760000000000005</v>
      </c>
      <c r="L16" s="2">
        <v>0.5</v>
      </c>
    </row>
    <row r="17" spans="1:12" x14ac:dyDescent="0.55000000000000004">
      <c r="A17" s="3" t="s">
        <v>45</v>
      </c>
      <c r="B17" s="2">
        <v>3</v>
      </c>
      <c r="C17">
        <f>8/26</f>
        <v>0.30769230769230771</v>
      </c>
      <c r="D17">
        <v>-0.36003538237824884</v>
      </c>
      <c r="E17">
        <v>4.7217581471312151E-2</v>
      </c>
      <c r="F17">
        <v>3</v>
      </c>
      <c r="G17" t="s">
        <v>0</v>
      </c>
      <c r="H17" t="s">
        <v>0</v>
      </c>
      <c r="I17">
        <v>1.4827586206896552</v>
      </c>
      <c r="J17">
        <v>3</v>
      </c>
      <c r="K17">
        <v>86</v>
      </c>
      <c r="L17" s="6">
        <v>0.35355339059327379</v>
      </c>
    </row>
    <row r="18" spans="1:12" x14ac:dyDescent="0.55000000000000004">
      <c r="A18" s="3" t="s">
        <v>46</v>
      </c>
      <c r="B18" s="2">
        <v>3</v>
      </c>
      <c r="C18">
        <f>47/26</f>
        <v>1.8076923076923077</v>
      </c>
      <c r="D18">
        <v>-0.33402777181186277</v>
      </c>
      <c r="E18">
        <v>0.48199585060454614</v>
      </c>
      <c r="F18">
        <v>3</v>
      </c>
      <c r="G18" t="s">
        <v>56</v>
      </c>
      <c r="H18" t="s">
        <v>2</v>
      </c>
      <c r="I18">
        <v>0.18345705196182413</v>
      </c>
      <c r="J18">
        <v>1</v>
      </c>
      <c r="K18">
        <v>0.34600000000000031</v>
      </c>
      <c r="L18" s="2">
        <v>0.5</v>
      </c>
    </row>
    <row r="19" spans="1:12" x14ac:dyDescent="0.55000000000000004">
      <c r="A19" s="3" t="s">
        <v>46</v>
      </c>
      <c r="B19" s="2">
        <v>3</v>
      </c>
      <c r="C19">
        <f>7/26</f>
        <v>0.26923076923076922</v>
      </c>
      <c r="D19">
        <v>-8.5062972945878154E-2</v>
      </c>
      <c r="E19">
        <v>0.48199585060454614</v>
      </c>
      <c r="F19">
        <v>3</v>
      </c>
      <c r="G19" t="s">
        <v>56</v>
      </c>
      <c r="H19" t="s">
        <v>2</v>
      </c>
      <c r="I19">
        <v>0.11134676564156956</v>
      </c>
      <c r="J19">
        <v>1</v>
      </c>
      <c r="K19">
        <v>0.21000000000000019</v>
      </c>
      <c r="L19" s="2">
        <v>0.5</v>
      </c>
    </row>
    <row r="20" spans="1:12" x14ac:dyDescent="0.55000000000000004">
      <c r="A20" s="3" t="s">
        <v>47</v>
      </c>
      <c r="B20" s="2">
        <v>3</v>
      </c>
      <c r="C20">
        <f>1/7.7</f>
        <v>0.12987012987012986</v>
      </c>
      <c r="D20">
        <v>1.4675570231133126</v>
      </c>
      <c r="E20">
        <v>8.8582588582632862E-2</v>
      </c>
      <c r="F20">
        <v>2</v>
      </c>
      <c r="G20" t="s">
        <v>0</v>
      </c>
      <c r="H20" t="s">
        <v>0</v>
      </c>
      <c r="I20">
        <v>5.779220779220779</v>
      </c>
      <c r="J20">
        <v>3</v>
      </c>
      <c r="K20">
        <v>89</v>
      </c>
      <c r="L20" s="6">
        <v>0.35355339059327379</v>
      </c>
    </row>
    <row r="21" spans="1:12" x14ac:dyDescent="0.55000000000000004">
      <c r="A21" s="3" t="s">
        <v>48</v>
      </c>
      <c r="B21" s="2">
        <v>3</v>
      </c>
      <c r="C21">
        <f>15/185</f>
        <v>8.1081081081081086E-2</v>
      </c>
      <c r="D21">
        <v>0.13821894809301763</v>
      </c>
      <c r="E21">
        <v>0.43409388385463343</v>
      </c>
      <c r="F21">
        <v>1</v>
      </c>
      <c r="G21" t="s">
        <v>0</v>
      </c>
      <c r="H21" t="s">
        <v>0</v>
      </c>
      <c r="I21">
        <v>-5.4054054054054057E-2</v>
      </c>
      <c r="J21">
        <v>1</v>
      </c>
      <c r="K21">
        <v>-20</v>
      </c>
      <c r="L21" s="2">
        <v>0.5</v>
      </c>
    </row>
    <row r="22" spans="1:12" x14ac:dyDescent="0.55000000000000004">
      <c r="A22" s="3" t="s">
        <v>48</v>
      </c>
      <c r="B22" s="2">
        <v>3</v>
      </c>
      <c r="C22">
        <f>16/125</f>
        <v>0.128</v>
      </c>
      <c r="D22">
        <v>0.11034745181364905</v>
      </c>
      <c r="E22">
        <v>0.4531142240097964</v>
      </c>
      <c r="F22">
        <v>1</v>
      </c>
      <c r="G22" t="s">
        <v>0</v>
      </c>
      <c r="H22" t="s">
        <v>0</v>
      </c>
      <c r="I22">
        <v>1</v>
      </c>
      <c r="J22">
        <v>1</v>
      </c>
      <c r="K22">
        <v>250</v>
      </c>
      <c r="L22" s="2">
        <v>0.5</v>
      </c>
    </row>
    <row r="23" spans="1:12" x14ac:dyDescent="0.55000000000000004">
      <c r="A23" s="3" t="s">
        <v>49</v>
      </c>
      <c r="B23" s="2">
        <v>3</v>
      </c>
      <c r="C23">
        <f>9/7</f>
        <v>1.2857142857142858</v>
      </c>
      <c r="D23">
        <v>5.9396969619669999</v>
      </c>
      <c r="E23">
        <v>3.5355339059327376E-2</v>
      </c>
      <c r="F23">
        <v>2</v>
      </c>
      <c r="G23" t="s">
        <v>0</v>
      </c>
      <c r="H23" t="s">
        <v>0</v>
      </c>
      <c r="I23">
        <v>0.875</v>
      </c>
      <c r="J23">
        <v>3</v>
      </c>
      <c r="K23">
        <v>5.6278934289678979</v>
      </c>
      <c r="L23" s="6">
        <v>0.87950270039380773</v>
      </c>
    </row>
    <row r="24" spans="1:12" x14ac:dyDescent="0.55000000000000004">
      <c r="A24" s="3" t="s">
        <v>50</v>
      </c>
      <c r="B24" s="2">
        <v>3</v>
      </c>
      <c r="C24">
        <f>1/10</f>
        <v>0.1</v>
      </c>
      <c r="D24">
        <v>0.34391154968117454</v>
      </c>
      <c r="E24">
        <v>0.13957077057894321</v>
      </c>
      <c r="F24">
        <v>2</v>
      </c>
      <c r="G24" t="s">
        <v>56</v>
      </c>
      <c r="H24" t="s">
        <v>2</v>
      </c>
      <c r="I24">
        <v>0.21084337349397583</v>
      </c>
      <c r="J24">
        <v>1</v>
      </c>
      <c r="K24">
        <v>8.7499999999999964</v>
      </c>
      <c r="L24" s="2">
        <v>0.02</v>
      </c>
    </row>
    <row r="25" spans="1:12" x14ac:dyDescent="0.55000000000000004">
      <c r="A25" s="3" t="s">
        <v>51</v>
      </c>
      <c r="B25" s="2">
        <v>3</v>
      </c>
      <c r="C25">
        <f>3/26</f>
        <v>0.11538461538461539</v>
      </c>
      <c r="D25">
        <v>1.1268007990012091E-2</v>
      </c>
      <c r="E25">
        <v>1.7749366185867033</v>
      </c>
      <c r="F25">
        <v>1</v>
      </c>
      <c r="G25" t="s">
        <v>0</v>
      </c>
      <c r="H25" t="s">
        <v>0</v>
      </c>
      <c r="I25">
        <v>0.84615384615384615</v>
      </c>
      <c r="J25">
        <v>3</v>
      </c>
      <c r="K25">
        <v>25.882352941176471</v>
      </c>
      <c r="L25" s="6">
        <v>0.60104076400856532</v>
      </c>
    </row>
    <row r="26" spans="1:12" x14ac:dyDescent="0.55000000000000004">
      <c r="A26" s="4" t="s">
        <v>52</v>
      </c>
      <c r="B26" s="2">
        <v>3</v>
      </c>
      <c r="C26">
        <f>26/39.4</f>
        <v>0.65989847715736039</v>
      </c>
      <c r="D26">
        <v>0.14085721588912364</v>
      </c>
      <c r="E26">
        <v>0.19168347059516774</v>
      </c>
      <c r="F26">
        <v>3</v>
      </c>
      <c r="G26" t="s">
        <v>56</v>
      </c>
      <c r="H26" t="s">
        <v>1</v>
      </c>
      <c r="I26">
        <v>5.4249547920433842E-2</v>
      </c>
      <c r="J26">
        <v>2</v>
      </c>
      <c r="K26">
        <v>0.21214794604862819</v>
      </c>
      <c r="L26" s="2">
        <v>0.1414107492378143</v>
      </c>
    </row>
    <row r="27" spans="1:12" x14ac:dyDescent="0.55000000000000004">
      <c r="A27" s="3" t="s">
        <v>53</v>
      </c>
      <c r="B27" s="2">
        <v>3</v>
      </c>
      <c r="C27">
        <f>1/23</f>
        <v>4.3478260869565216E-2</v>
      </c>
      <c r="D27">
        <v>1.3114824589410559</v>
      </c>
      <c r="E27">
        <v>7.6249590162833003E-2</v>
      </c>
      <c r="F27">
        <v>2</v>
      </c>
      <c r="G27" t="s">
        <v>0</v>
      </c>
      <c r="H27" t="s">
        <v>0</v>
      </c>
      <c r="I27">
        <v>-0.12973883740522318</v>
      </c>
      <c r="J27">
        <v>2</v>
      </c>
      <c r="K27">
        <v>-6.1599999999999966</v>
      </c>
      <c r="L27" s="2">
        <v>0.5</v>
      </c>
    </row>
    <row r="28" spans="1:12" x14ac:dyDescent="0.55000000000000004">
      <c r="A28" s="3" t="s">
        <v>54</v>
      </c>
      <c r="B28" s="2">
        <v>4</v>
      </c>
      <c r="C28">
        <f>20/17</f>
        <v>1.1764705882352942</v>
      </c>
      <c r="D28">
        <v>0.22313147317442161</v>
      </c>
      <c r="E28">
        <v>0.31819805153394637</v>
      </c>
      <c r="F28">
        <v>2</v>
      </c>
      <c r="G28" t="s">
        <v>0</v>
      </c>
      <c r="H28" t="s">
        <v>0</v>
      </c>
      <c r="I28">
        <v>4.0114285714285716</v>
      </c>
      <c r="J28">
        <v>3</v>
      </c>
      <c r="K28">
        <v>70.2</v>
      </c>
      <c r="L28" s="6">
        <v>0.35355339059327379</v>
      </c>
    </row>
  </sheetData>
  <autoFilter ref="A1:L28" xr:uid="{3AF1F13E-41FE-40B3-BDDA-8AFBDF5CD493}"/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old_version_do_not_use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Clarke</dc:creator>
  <cp:lastModifiedBy>Smith,Adam (il, le, lui | he, him, his) (ECCC)</cp:lastModifiedBy>
  <dcterms:created xsi:type="dcterms:W3CDTF">2021-10-19T16:05:59Z</dcterms:created>
  <dcterms:modified xsi:type="dcterms:W3CDTF">2024-02-26T16:19:46Z</dcterms:modified>
</cp:coreProperties>
</file>