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m2\Documents\UofR_Grad\Research\Model Code and Observations\HH12_obs\"/>
    </mc:Choice>
  </mc:AlternateContent>
  <bookViews>
    <workbookView xWindow="0" yWindow="0" windowWidth="23040" windowHeight="9384" tabRatio="500" activeTab="1"/>
  </bookViews>
  <sheets>
    <sheet name="Uncertainties" sheetId="2" r:id="rId1"/>
    <sheet name="Calculations" sheetId="1" r:id="rId2"/>
    <sheet name="Average RMS values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I4" i="1"/>
  <c r="H4" i="1"/>
  <c r="G4" i="1"/>
  <c r="F4" i="1"/>
  <c r="E4" i="1"/>
  <c r="D4" i="1"/>
  <c r="C4" i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H30" i="1"/>
  <c r="G30" i="1"/>
  <c r="D23" i="1" l="1"/>
  <c r="E23" i="1"/>
  <c r="F23" i="1"/>
  <c r="G23" i="1"/>
  <c r="H23" i="1"/>
  <c r="I23" i="1"/>
  <c r="D24" i="1"/>
  <c r="E24" i="1"/>
  <c r="F24" i="1"/>
  <c r="G24" i="1"/>
  <c r="H24" i="1"/>
  <c r="I24" i="1"/>
  <c r="D25" i="1"/>
  <c r="E25" i="1"/>
  <c r="F25" i="1"/>
  <c r="G25" i="1"/>
  <c r="H25" i="1"/>
  <c r="I25" i="1"/>
  <c r="C25" i="1"/>
  <c r="C24" i="1"/>
  <c r="C23" i="1"/>
  <c r="C3" i="1"/>
  <c r="D3" i="1"/>
  <c r="E3" i="1"/>
  <c r="F3" i="1"/>
  <c r="G3" i="1"/>
  <c r="H3" i="1"/>
  <c r="I3" i="1"/>
  <c r="I51" i="1" l="1"/>
  <c r="E3" i="3" l="1"/>
  <c r="D3" i="3"/>
  <c r="M53" i="1"/>
  <c r="L53" i="1"/>
  <c r="K53" i="1"/>
  <c r="J53" i="1"/>
  <c r="I53" i="1"/>
  <c r="H53" i="1"/>
  <c r="G53" i="1"/>
  <c r="C6" i="3" l="1"/>
  <c r="B6" i="3"/>
  <c r="A6" i="3"/>
  <c r="I29" i="1" s="1"/>
  <c r="H3" i="3"/>
  <c r="G3" i="3"/>
  <c r="F3" i="3"/>
  <c r="C3" i="3"/>
  <c r="B3" i="3"/>
  <c r="F30" i="1"/>
  <c r="F34" i="1"/>
  <c r="F51" i="1"/>
  <c r="C51" i="1"/>
  <c r="B51" i="1" s="1"/>
  <c r="F50" i="1"/>
  <c r="C50" i="1"/>
  <c r="B50" i="1" s="1"/>
  <c r="F49" i="1"/>
  <c r="C49" i="1"/>
  <c r="B49" i="1" s="1"/>
  <c r="F31" i="1"/>
  <c r="F32" i="1"/>
  <c r="F33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H54" i="1"/>
  <c r="I54" i="1"/>
  <c r="J54" i="1"/>
  <c r="K54" i="1"/>
  <c r="L54" i="1"/>
  <c r="M54" i="1"/>
  <c r="G54" i="1"/>
  <c r="F29" i="1"/>
  <c r="O35" i="1" l="1"/>
  <c r="K29" i="1"/>
  <c r="K45" i="1"/>
  <c r="M34" i="1"/>
  <c r="M46" i="1"/>
  <c r="I36" i="1"/>
  <c r="C23" i="2" s="1"/>
  <c r="O43" i="1"/>
  <c r="I10" i="2" s="1"/>
  <c r="K33" i="1"/>
  <c r="I44" i="1"/>
  <c r="M42" i="1"/>
  <c r="O31" i="1"/>
  <c r="O51" i="1"/>
  <c r="I4" i="2" s="1"/>
  <c r="K41" i="1"/>
  <c r="M30" i="1"/>
  <c r="M50" i="1"/>
  <c r="G3" i="2" s="1"/>
  <c r="O39" i="1"/>
  <c r="I14" i="2" s="1"/>
  <c r="K49" i="1"/>
  <c r="E2" i="2" s="1"/>
  <c r="M38" i="1"/>
  <c r="O47" i="1"/>
  <c r="K37" i="1"/>
  <c r="I45" i="1"/>
  <c r="C8" i="2" s="1"/>
  <c r="I30" i="1"/>
  <c r="C18" i="2" s="1"/>
  <c r="I38" i="1"/>
  <c r="C16" i="2" s="1"/>
  <c r="I46" i="1"/>
  <c r="C7" i="2" s="1"/>
  <c r="M51" i="1"/>
  <c r="G4" i="2" s="1"/>
  <c r="K50" i="1"/>
  <c r="E3" i="2" s="1"/>
  <c r="O48" i="1"/>
  <c r="M47" i="1"/>
  <c r="K46" i="1"/>
  <c r="O44" i="1"/>
  <c r="I9" i="2" s="1"/>
  <c r="M43" i="1"/>
  <c r="K42" i="1"/>
  <c r="O40" i="1"/>
  <c r="M39" i="1"/>
  <c r="G14" i="2" s="1"/>
  <c r="K38" i="1"/>
  <c r="O36" i="1"/>
  <c r="M35" i="1"/>
  <c r="K34" i="1"/>
  <c r="O32" i="1"/>
  <c r="I17" i="2" s="1"/>
  <c r="M31" i="1"/>
  <c r="K30" i="1"/>
  <c r="N51" i="1"/>
  <c r="H4" i="2" s="1"/>
  <c r="L46" i="1"/>
  <c r="L42" i="1"/>
  <c r="J41" i="1"/>
  <c r="D15" i="2" s="1"/>
  <c r="L38" i="1"/>
  <c r="N35" i="1"/>
  <c r="L34" i="1"/>
  <c r="J33" i="1"/>
  <c r="D22" i="2" s="1"/>
  <c r="N31" i="1"/>
  <c r="L30" i="1"/>
  <c r="I31" i="1"/>
  <c r="C20" i="2" s="1"/>
  <c r="I39" i="1"/>
  <c r="C14" i="2" s="1"/>
  <c r="I47" i="1"/>
  <c r="C6" i="2" s="1"/>
  <c r="L51" i="1"/>
  <c r="F4" i="2" s="1"/>
  <c r="J50" i="1"/>
  <c r="D3" i="2" s="1"/>
  <c r="N48" i="1"/>
  <c r="L47" i="1"/>
  <c r="J46" i="1"/>
  <c r="N44" i="1"/>
  <c r="L43" i="1"/>
  <c r="J42" i="1"/>
  <c r="D12" i="2" s="1"/>
  <c r="N40" i="1"/>
  <c r="L39" i="1"/>
  <c r="F14" i="2" s="1"/>
  <c r="J38" i="1"/>
  <c r="D16" i="2" s="1"/>
  <c r="N36" i="1"/>
  <c r="L35" i="1"/>
  <c r="J34" i="1"/>
  <c r="D19" i="2" s="1"/>
  <c r="N32" i="1"/>
  <c r="L31" i="1"/>
  <c r="J30" i="1"/>
  <c r="N47" i="1"/>
  <c r="O29" i="1"/>
  <c r="I32" i="1"/>
  <c r="I40" i="1"/>
  <c r="I48" i="1"/>
  <c r="C5" i="2" s="1"/>
  <c r="K51" i="1"/>
  <c r="E4" i="2" s="1"/>
  <c r="O49" i="1"/>
  <c r="I2" i="2" s="1"/>
  <c r="M48" i="1"/>
  <c r="K47" i="1"/>
  <c r="E6" i="2" s="1"/>
  <c r="O45" i="1"/>
  <c r="I8" i="2" s="1"/>
  <c r="M44" i="1"/>
  <c r="K43" i="1"/>
  <c r="O41" i="1"/>
  <c r="I15" i="2" s="1"/>
  <c r="M40" i="1"/>
  <c r="K39" i="1"/>
  <c r="O37" i="1"/>
  <c r="I13" i="2" s="1"/>
  <c r="M36" i="1"/>
  <c r="K35" i="1"/>
  <c r="O33" i="1"/>
  <c r="M32" i="1"/>
  <c r="G17" i="2" s="1"/>
  <c r="K31" i="1"/>
  <c r="E20" i="2" s="1"/>
  <c r="N41" i="1"/>
  <c r="L40" i="1"/>
  <c r="F11" i="2" s="1"/>
  <c r="J39" i="1"/>
  <c r="D14" i="2" s="1"/>
  <c r="N37" i="1"/>
  <c r="L36" i="1"/>
  <c r="J35" i="1"/>
  <c r="N33" i="1"/>
  <c r="L32" i="1"/>
  <c r="J31" i="1"/>
  <c r="D20" i="2" s="1"/>
  <c r="J29" i="1"/>
  <c r="L50" i="1"/>
  <c r="F3" i="2" s="1"/>
  <c r="J45" i="1"/>
  <c r="D8" i="2" s="1"/>
  <c r="N39" i="1"/>
  <c r="N29" i="1"/>
  <c r="I41" i="1"/>
  <c r="J51" i="1"/>
  <c r="D4" i="2" s="1"/>
  <c r="N49" i="1"/>
  <c r="H2" i="2" s="1"/>
  <c r="J47" i="1"/>
  <c r="D6" i="2" s="1"/>
  <c r="N45" i="1"/>
  <c r="J43" i="1"/>
  <c r="D10" i="2" s="1"/>
  <c r="M29" i="1"/>
  <c r="I34" i="1"/>
  <c r="I42" i="1"/>
  <c r="I50" i="1"/>
  <c r="C3" i="2" s="1"/>
  <c r="O50" i="1"/>
  <c r="I3" i="2" s="1"/>
  <c r="M49" i="1"/>
  <c r="G2" i="2" s="1"/>
  <c r="K48" i="1"/>
  <c r="E5" i="2" s="1"/>
  <c r="O46" i="1"/>
  <c r="I7" i="2" s="1"/>
  <c r="M45" i="1"/>
  <c r="K44" i="1"/>
  <c r="O42" i="1"/>
  <c r="M41" i="1"/>
  <c r="G15" i="2" s="1"/>
  <c r="K40" i="1"/>
  <c r="O38" i="1"/>
  <c r="I16" i="2" s="1"/>
  <c r="M37" i="1"/>
  <c r="G13" i="2" s="1"/>
  <c r="K36" i="1"/>
  <c r="E23" i="2" s="1"/>
  <c r="O34" i="1"/>
  <c r="M33" i="1"/>
  <c r="K32" i="1"/>
  <c r="O30" i="1"/>
  <c r="I18" i="2" s="1"/>
  <c r="I37" i="1"/>
  <c r="C13" i="2" s="1"/>
  <c r="J49" i="1"/>
  <c r="D2" i="2" s="1"/>
  <c r="N43" i="1"/>
  <c r="J37" i="1"/>
  <c r="D13" i="2" s="1"/>
  <c r="H23" i="2"/>
  <c r="I33" i="1"/>
  <c r="I49" i="1"/>
  <c r="C2" i="2" s="1"/>
  <c r="L48" i="1"/>
  <c r="F5" i="2" s="1"/>
  <c r="L44" i="1"/>
  <c r="F9" i="2" s="1"/>
  <c r="L29" i="1"/>
  <c r="I35" i="1"/>
  <c r="C21" i="2" s="1"/>
  <c r="I43" i="1"/>
  <c r="C10" i="2" s="1"/>
  <c r="C4" i="2"/>
  <c r="N50" i="1"/>
  <c r="H3" i="2" s="1"/>
  <c r="L49" i="1"/>
  <c r="F2" i="2" s="1"/>
  <c r="J48" i="1"/>
  <c r="D5" i="2" s="1"/>
  <c r="N46" i="1"/>
  <c r="L45" i="1"/>
  <c r="F8" i="2" s="1"/>
  <c r="J44" i="1"/>
  <c r="D9" i="2" s="1"/>
  <c r="N42" i="1"/>
  <c r="L41" i="1"/>
  <c r="J40" i="1"/>
  <c r="D11" i="2" s="1"/>
  <c r="N38" i="1"/>
  <c r="L37" i="1"/>
  <c r="F13" i="2" s="1"/>
  <c r="J36" i="1"/>
  <c r="D23" i="2" s="1"/>
  <c r="N34" i="1"/>
  <c r="L33" i="1"/>
  <c r="J32" i="1"/>
  <c r="D17" i="2" s="1"/>
  <c r="N30" i="1"/>
  <c r="I11" i="2"/>
  <c r="D7" i="2"/>
  <c r="C19" i="2"/>
  <c r="C12" i="2"/>
  <c r="I22" i="2"/>
  <c r="D21" i="2"/>
  <c r="C9" i="2"/>
  <c r="C15" i="2"/>
  <c r="C17" i="2"/>
  <c r="C11" i="2"/>
  <c r="C22" i="2"/>
  <c r="E8" i="2"/>
  <c r="F7" i="2"/>
  <c r="E16" i="2"/>
  <c r="E9" i="2"/>
  <c r="E17" i="2"/>
  <c r="I12" i="2"/>
  <c r="F23" i="2"/>
  <c r="H22" i="2"/>
  <c r="F17" i="2"/>
  <c r="G8" i="2"/>
  <c r="I19" i="2"/>
  <c r="I21" i="2"/>
  <c r="G19" i="2"/>
  <c r="I5" i="2"/>
  <c r="I23" i="2"/>
  <c r="I20" i="2"/>
  <c r="I6" i="2"/>
  <c r="D18" i="2" l="1"/>
  <c r="H13" i="2"/>
  <c r="E11" i="2"/>
  <c r="G22" i="2"/>
  <c r="E7" i="2"/>
  <c r="H15" i="2"/>
  <c r="F18" i="2"/>
  <c r="F6" i="2"/>
  <c r="H18" i="2"/>
  <c r="H17" i="2"/>
  <c r="F16" i="2"/>
  <c r="F22" i="2"/>
  <c r="H19" i="2"/>
  <c r="E14" i="2"/>
  <c r="E13" i="2"/>
  <c r="E12" i="2"/>
  <c r="F21" i="2"/>
  <c r="F12" i="2"/>
  <c r="H14" i="2"/>
  <c r="H8" i="2"/>
  <c r="H12" i="2"/>
  <c r="H16" i="2"/>
  <c r="G5" i="2"/>
  <c r="F20" i="2"/>
  <c r="G21" i="2"/>
  <c r="H20" i="2"/>
  <c r="E10" i="2"/>
  <c r="E15" i="2"/>
  <c r="G12" i="2"/>
  <c r="H7" i="2"/>
  <c r="G11" i="2"/>
  <c r="G20" i="2"/>
  <c r="G6" i="2"/>
  <c r="H10" i="2"/>
  <c r="G10" i="2"/>
  <c r="H5" i="2"/>
  <c r="H21" i="2"/>
  <c r="F10" i="2"/>
  <c r="F19" i="2"/>
  <c r="G23" i="2"/>
  <c r="G7" i="2"/>
  <c r="G9" i="2"/>
  <c r="H6" i="2"/>
  <c r="E18" i="2"/>
  <c r="H9" i="2"/>
  <c r="E21" i="2"/>
  <c r="E22" i="2"/>
  <c r="G18" i="2"/>
  <c r="G16" i="2"/>
  <c r="E19" i="2"/>
  <c r="F15" i="2"/>
  <c r="H11" i="2"/>
</calcChain>
</file>

<file path=xl/sharedStrings.xml><?xml version="1.0" encoding="utf-8"?>
<sst xmlns="http://schemas.openxmlformats.org/spreadsheetml/2006/main" count="246" uniqueCount="83">
  <si>
    <t>[Si II]</t>
  </si>
  <si>
    <t>[Fe II]</t>
  </si>
  <si>
    <t>[S I]</t>
  </si>
  <si>
    <t>[Ne II]</t>
  </si>
  <si>
    <t>H2 S(0)</t>
  </si>
  <si>
    <t>H2 S(1)</t>
  </si>
  <si>
    <t>H2 S(2)</t>
  </si>
  <si>
    <t>H2 S(3)</t>
  </si>
  <si>
    <t>H2 S(4)</t>
  </si>
  <si>
    <t>H2 S(5)</t>
  </si>
  <si>
    <t>H2 S(6)</t>
  </si>
  <si>
    <t>H2 S(7)</t>
  </si>
  <si>
    <r>
      <t xml:space="preserve">H I Pa </t>
    </r>
    <r>
      <rPr>
        <sz val="11"/>
        <color theme="1"/>
        <rFont val="Calibri"/>
        <family val="2"/>
      </rPr>
      <t>β</t>
    </r>
  </si>
  <si>
    <t>HH 12B</t>
  </si>
  <si>
    <t>HH 12C</t>
  </si>
  <si>
    <t>HH 12E</t>
  </si>
  <si>
    <t>HH 12F</t>
  </si>
  <si>
    <t>n1333_band2_</t>
  </si>
  <si>
    <t>?</t>
  </si>
  <si>
    <t>n1333_lh_3_FeII_</t>
  </si>
  <si>
    <t>[FeII]</t>
  </si>
  <si>
    <t>n1333_lh_3_S0_f</t>
  </si>
  <si>
    <t>n1333_lh_3_Si_fl</t>
  </si>
  <si>
    <t>n1333_lh_3_SiII_fla</t>
  </si>
  <si>
    <t>n1333_ll1_FeII_b</t>
  </si>
  <si>
    <t>n1333_ll1_S0_bk</t>
  </si>
  <si>
    <t>n1333_ll1_SiII_b</t>
  </si>
  <si>
    <t>n1333_ll2_S1_bk</t>
  </si>
  <si>
    <t>?H2 S(1)?</t>
  </si>
  <si>
    <t>n1333_ll2_FeII_b</t>
  </si>
  <si>
    <t>n1333_sh_1_S32</t>
  </si>
  <si>
    <t>n1333_sh_NeII_2</t>
  </si>
  <si>
    <t>n1333_sh_S2_2_</t>
  </si>
  <si>
    <t>n1333_sl1_NeII_</t>
  </si>
  <si>
    <t>n1333_sl1_S2_b</t>
  </si>
  <si>
    <t>n1333_sl1_S3_b</t>
  </si>
  <si>
    <t>n1333_sl1_S4_b</t>
  </si>
  <si>
    <t>n1333_sl1_S5_b</t>
  </si>
  <si>
    <t>n1333_sl1_S6_b</t>
  </si>
  <si>
    <t>n1333_sl1_S7_b</t>
  </si>
  <si>
    <t>HH 12 G</t>
  </si>
  <si>
    <t>HH 12 H</t>
  </si>
  <si>
    <t>Line</t>
  </si>
  <si>
    <t>Wavelength (micron)</t>
  </si>
  <si>
    <t>File Name</t>
  </si>
  <si>
    <t>Wavelength Range (microns)</t>
  </si>
  <si>
    <t>Line Lambda (micron)</t>
  </si>
  <si>
    <t>N/A - IRAC</t>
  </si>
  <si>
    <t>20-37 line 3</t>
  </si>
  <si>
    <t>20-37  line 3</t>
  </si>
  <si>
    <t>21 - 38  line 1</t>
  </si>
  <si>
    <t>22 - 38  line 1</t>
  </si>
  <si>
    <t>23 - 38  line 1</t>
  </si>
  <si>
    <t>14-21  line 2</t>
  </si>
  <si>
    <t>14-21  line 2?</t>
  </si>
  <si>
    <t>10 - 19.5</t>
  </si>
  <si>
    <t>7.5 - 14</t>
  </si>
  <si>
    <t>HH 12Di</t>
  </si>
  <si>
    <t>Aperture Area (arcsec^2)</t>
  </si>
  <si>
    <t>Aperture Area (sr^2)</t>
  </si>
  <si>
    <t>Resolution</t>
  </si>
  <si>
    <t>UNSCALED</t>
  </si>
  <si>
    <t>PIXEL SUMS</t>
  </si>
  <si>
    <t>HST/WFC3_F126N</t>
  </si>
  <si>
    <t>HST/WFC3_F128N</t>
  </si>
  <si>
    <t>HI Pa_beta</t>
  </si>
  <si>
    <t>HST/WFC3_F164N</t>
  </si>
  <si>
    <t>c/lambda for BW</t>
  </si>
  <si>
    <t>AVG</t>
  </si>
  <si>
    <t>MEDIAN</t>
  </si>
  <si>
    <t>AVG RADIUS</t>
  </si>
  <si>
    <t>Region Coords</t>
  </si>
  <si>
    <t>RA</t>
  </si>
  <si>
    <t>Dec</t>
  </si>
  <si>
    <t>AVG RMS vals</t>
  </si>
  <si>
    <t>3:29:04.1795</t>
  </si>
  <si>
    <t>+31:18:53.934</t>
  </si>
  <si>
    <t>HH 12D</t>
  </si>
  <si>
    <t>Notes</t>
  </si>
  <si>
    <t>Not updated</t>
  </si>
  <si>
    <t>not updated, but also  all D, all C, and G, H go off image</t>
  </si>
  <si>
    <t>NOTE: all D, all C, and G, H go off image</t>
  </si>
  <si>
    <t>Aperture Area (arcsec2)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</si>
</sst>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2" borderId="0" xfId="0" applyFill="1"/>
    <xf numFmtId="0" fontId="0" fillId="2" borderId="0" xfId="0" applyFont="1" applyFill="1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>
      <selection activeCell="M27" sqref="M27"/>
    </sheetView>
  </sheetViews>
  <sheetFormatPr defaultRowHeight="14.4" x14ac:dyDescent="0.3"/>
  <cols>
    <col min="2" max="2" width="18.109375" bestFit="1" customWidth="1"/>
  </cols>
  <sheetData>
    <row r="1" spans="1:9" x14ac:dyDescent="0.3">
      <c r="A1" t="s">
        <v>42</v>
      </c>
      <c r="B1" t="s">
        <v>43</v>
      </c>
      <c r="C1" t="s">
        <v>13</v>
      </c>
      <c r="D1" t="s">
        <v>14</v>
      </c>
      <c r="E1" t="s">
        <v>77</v>
      </c>
      <c r="F1" t="s">
        <v>15</v>
      </c>
      <c r="G1" t="s">
        <v>16</v>
      </c>
      <c r="H1" t="s">
        <v>40</v>
      </c>
      <c r="I1" t="s">
        <v>41</v>
      </c>
    </row>
    <row r="2" spans="1:9" x14ac:dyDescent="0.3">
      <c r="A2" t="s">
        <v>1</v>
      </c>
      <c r="B2">
        <v>1.25162</v>
      </c>
      <c r="C2">
        <f>Calculations!C23</f>
        <v>3.4412960836289422E-18</v>
      </c>
      <c r="D2">
        <f>Calculations!D23</f>
        <v>3.4749290607741881E-18</v>
      </c>
      <c r="E2">
        <f>Calculations!E23</f>
        <v>3.7331831599532021E-18</v>
      </c>
      <c r="F2">
        <f>Calculations!F23</f>
        <v>3.3056406554450481E-18</v>
      </c>
      <c r="G2">
        <f>Calculations!G23</f>
        <v>4.4998162378514395E-18</v>
      </c>
      <c r="H2">
        <f>Calculations!H23</f>
        <v>2.1366285032873011E-18</v>
      </c>
      <c r="I2">
        <f>Calculations!I23</f>
        <v>3.3155227147153189E-18</v>
      </c>
    </row>
    <row r="3" spans="1:9" x14ac:dyDescent="0.3">
      <c r="A3" t="s">
        <v>65</v>
      </c>
      <c r="B3">
        <v>1.28366</v>
      </c>
      <c r="C3">
        <f>Calculations!C24</f>
        <v>2.9729735052598893E-18</v>
      </c>
      <c r="D3">
        <f>Calculations!D24</f>
        <v>3.0020294038300538E-18</v>
      </c>
      <c r="E3">
        <f>Calculations!E24</f>
        <v>3.2251379582309651E-18</v>
      </c>
      <c r="F3">
        <f>Calculations!F24</f>
        <v>2.8557792900471975E-18</v>
      </c>
      <c r="G3">
        <f>Calculations!G24</f>
        <v>3.8874406992505176E-18</v>
      </c>
      <c r="H3">
        <f>Calculations!H24</f>
        <v>1.8458568447727784E-18</v>
      </c>
      <c r="I3">
        <f>Calculations!I24</f>
        <v>2.864316509651081E-18</v>
      </c>
    </row>
    <row r="4" spans="1:9" x14ac:dyDescent="0.3">
      <c r="A4" t="s">
        <v>1</v>
      </c>
      <c r="B4">
        <v>1.6450100000000001</v>
      </c>
      <c r="C4">
        <f>Calculations!C25</f>
        <v>3.6004140707167069E-18</v>
      </c>
      <c r="D4">
        <f>Calculations!D25</f>
        <v>3.6356021629967929E-18</v>
      </c>
      <c r="E4">
        <f>Calculations!E25</f>
        <v>3.9057973655914709E-18</v>
      </c>
      <c r="F4">
        <f>Calculations!F25</f>
        <v>3.4584862329099274E-18</v>
      </c>
      <c r="G4">
        <f>Calculations!G25</f>
        <v>4.7078778764410239E-18</v>
      </c>
      <c r="H4">
        <f>Calculations!H25</f>
        <v>2.2354215214802907E-18</v>
      </c>
      <c r="I4">
        <f>Calculations!I25</f>
        <v>3.4688252169379516E-18</v>
      </c>
    </row>
    <row r="5" spans="1:9" x14ac:dyDescent="0.3">
      <c r="A5" t="s">
        <v>11</v>
      </c>
      <c r="B5">
        <v>5.5110000000000001</v>
      </c>
      <c r="C5">
        <f>Calculations!C22</f>
        <v>1.8261501823560963E-15</v>
      </c>
      <c r="D5">
        <f>Calculations!D22</f>
        <v>1.8439977798468071E-15</v>
      </c>
      <c r="E5">
        <f>Calculations!E22</f>
        <v>1.9810422999488498E-15</v>
      </c>
      <c r="F5">
        <f>Calculations!F22</f>
        <v>1.7541635880917698E-15</v>
      </c>
      <c r="G5">
        <f>Calculations!G22</f>
        <v>2.3878620274533063E-15</v>
      </c>
      <c r="H5">
        <f>Calculations!H22</f>
        <v>1.1338183161475537E-15</v>
      </c>
      <c r="I5">
        <f>Calculations!I22</f>
        <v>1.7594075786987704E-15</v>
      </c>
    </row>
    <row r="6" spans="1:9" x14ac:dyDescent="0.3">
      <c r="A6" t="s">
        <v>10</v>
      </c>
      <c r="B6">
        <v>6.109</v>
      </c>
      <c r="C6">
        <f>Calculations!C21</f>
        <v>1.1489736578677998E-15</v>
      </c>
      <c r="D6">
        <f>Calculations!D21</f>
        <v>1.1602029749147674E-15</v>
      </c>
      <c r="E6">
        <f>Calculations!E21</f>
        <v>1.2464283823723435E-15</v>
      </c>
      <c r="F6">
        <f>Calculations!F21</f>
        <v>1.1036812710047352E-15</v>
      </c>
      <c r="G6">
        <f>Calculations!G21</f>
        <v>1.5023904357235671E-15</v>
      </c>
      <c r="H6">
        <f>Calculations!H21</f>
        <v>7.1337362646745033E-16</v>
      </c>
      <c r="I6">
        <f>Calculations!I21</f>
        <v>1.1069806749243936E-15</v>
      </c>
    </row>
    <row r="7" spans="1:9" x14ac:dyDescent="0.3">
      <c r="A7" t="s">
        <v>9</v>
      </c>
      <c r="B7">
        <v>6.91</v>
      </c>
      <c r="C7">
        <f>Calculations!C20</f>
        <v>1.3351222651180184E-15</v>
      </c>
      <c r="D7">
        <f>Calculations!D20</f>
        <v>1.3481708769019456E-15</v>
      </c>
      <c r="E7">
        <f>Calculations!E20</f>
        <v>1.4483659166464764E-15</v>
      </c>
      <c r="F7">
        <f>Calculations!F20</f>
        <v>1.2824919252254268E-15</v>
      </c>
      <c r="G7">
        <f>Calculations!G20</f>
        <v>1.7457971363392997E-15</v>
      </c>
      <c r="H7">
        <f>Calculations!H20</f>
        <v>8.2894938932905004E-16</v>
      </c>
      <c r="I7">
        <f>Calculations!I20</f>
        <v>1.2863258752943328E-15</v>
      </c>
    </row>
    <row r="8" spans="1:9" x14ac:dyDescent="0.3">
      <c r="A8" t="s">
        <v>8</v>
      </c>
      <c r="B8">
        <v>8.0250000000000004</v>
      </c>
      <c r="C8">
        <f>Calculations!C19</f>
        <v>7.5563403420109145E-16</v>
      </c>
      <c r="D8">
        <f>Calculations!D19</f>
        <v>7.6301910702971454E-16</v>
      </c>
      <c r="E8">
        <f>Calculations!E19</f>
        <v>8.1972610987668272E-16</v>
      </c>
      <c r="F8">
        <f>Calculations!F19</f>
        <v>7.2584704233267382E-16</v>
      </c>
      <c r="G8">
        <f>Calculations!G19</f>
        <v>9.8806211797551583E-16</v>
      </c>
      <c r="H8">
        <f>Calculations!H19</f>
        <v>4.6915731058673631E-16</v>
      </c>
      <c r="I8">
        <f>Calculations!I19</f>
        <v>7.2801692836722123E-16</v>
      </c>
    </row>
    <row r="9" spans="1:9" x14ac:dyDescent="0.3">
      <c r="A9" t="s">
        <v>7</v>
      </c>
      <c r="B9">
        <v>9.6649999999999991</v>
      </c>
      <c r="C9">
        <f>Calculations!C18</f>
        <v>6.0290204369023631E-16</v>
      </c>
      <c r="D9">
        <f>Calculations!D18</f>
        <v>6.0879441393780665E-16</v>
      </c>
      <c r="E9">
        <f>Calculations!E18</f>
        <v>6.5403955425779248E-16</v>
      </c>
      <c r="F9">
        <f>Calculations!F18</f>
        <v>5.7913572631963173E-16</v>
      </c>
      <c r="G9">
        <f>Calculations!G18</f>
        <v>7.8835076671759793E-16</v>
      </c>
      <c r="H9">
        <f>Calculations!H18</f>
        <v>3.7432922362213758E-16</v>
      </c>
      <c r="I9">
        <f>Calculations!I18</f>
        <v>5.8086702568624485E-16</v>
      </c>
    </row>
    <row r="10" spans="1:9" x14ac:dyDescent="0.3">
      <c r="A10" t="s">
        <v>6</v>
      </c>
      <c r="B10">
        <v>12.279</v>
      </c>
      <c r="C10">
        <f>Calculations!C17</f>
        <v>2.3909741380247429E-16</v>
      </c>
      <c r="D10">
        <f>Calculations!D17</f>
        <v>2.4143419554356352E-16</v>
      </c>
      <c r="E10">
        <f>Calculations!E17</f>
        <v>2.5937740232293343E-16</v>
      </c>
      <c r="F10">
        <f>Calculations!F17</f>
        <v>2.2967222594917192E-16</v>
      </c>
      <c r="G10">
        <f>Calculations!G17</f>
        <v>3.1264221354708258E-16</v>
      </c>
      <c r="H10">
        <f>Calculations!H17</f>
        <v>1.4845056542008633E-16</v>
      </c>
      <c r="I10">
        <f>Calculations!I17</f>
        <v>2.3035882040577947E-16</v>
      </c>
    </row>
    <row r="11" spans="1:9" x14ac:dyDescent="0.3">
      <c r="A11" t="s">
        <v>3</v>
      </c>
      <c r="B11">
        <v>12.811999999999999</v>
      </c>
      <c r="C11">
        <f>Calculations!C14</f>
        <v>4.8468721234123662E-16</v>
      </c>
      <c r="D11">
        <f>Calculations!D14</f>
        <v>4.8942422814549007E-16</v>
      </c>
      <c r="E11">
        <f>Calculations!E14</f>
        <v>5.2579786655523018E-16</v>
      </c>
      <c r="F11">
        <f>Calculations!F14</f>
        <v>4.6558090770264456E-16</v>
      </c>
      <c r="G11">
        <f>Calculations!G14</f>
        <v>6.3377382688679223E-16</v>
      </c>
      <c r="H11">
        <f>Calculations!H14</f>
        <v>3.0093211624356532E-16</v>
      </c>
      <c r="I11">
        <f>Calculations!I14</f>
        <v>4.6697274021094986E-16</v>
      </c>
    </row>
    <row r="12" spans="1:9" x14ac:dyDescent="0.3">
      <c r="A12" t="s">
        <v>3</v>
      </c>
      <c r="B12">
        <v>12.811999999999999</v>
      </c>
      <c r="C12">
        <f>Calculations!C16</f>
        <v>3.0598362591462114E-16</v>
      </c>
      <c r="D12">
        <f>Calculations!D16</f>
        <v>3.089741097460366E-16</v>
      </c>
      <c r="E12">
        <f>Calculations!E16</f>
        <v>3.3193683185821788E-16</v>
      </c>
      <c r="F12">
        <f>Calculations!F16</f>
        <v>2.9392179258729621E-16</v>
      </c>
      <c r="G12">
        <f>Calculations!G16</f>
        <v>4.0010218677706009E-16</v>
      </c>
      <c r="H12">
        <f>Calculations!H16</f>
        <v>1.8997881053552244E-16</v>
      </c>
      <c r="I12">
        <f>Calculations!I16</f>
        <v>2.9480045814048859E-16</v>
      </c>
    </row>
    <row r="13" spans="1:9" x14ac:dyDescent="0.3">
      <c r="A13" t="s">
        <v>5</v>
      </c>
      <c r="B13">
        <v>17.035</v>
      </c>
      <c r="C13">
        <f>Calculations!C11</f>
        <v>8.5508561933984832E-16</v>
      </c>
      <c r="D13">
        <f>Calculations!D11</f>
        <v>8.6344266691541127E-16</v>
      </c>
      <c r="E13">
        <f>Calculations!E11</f>
        <v>9.2761307276746224E-16</v>
      </c>
      <c r="F13">
        <f>Calculations!F11</f>
        <v>8.2137825937821576E-16</v>
      </c>
      <c r="G13">
        <f>Calculations!G11</f>
        <v>1.1181043598553625E-15</v>
      </c>
      <c r="H13">
        <f>Calculations!H11</f>
        <v>5.3090471224608268E-16</v>
      </c>
      <c r="I13">
        <f>Calculations!I11</f>
        <v>8.2383373155094485E-16</v>
      </c>
    </row>
    <row r="14" spans="1:9" x14ac:dyDescent="0.3">
      <c r="A14" t="s">
        <v>28</v>
      </c>
      <c r="B14">
        <v>17.035</v>
      </c>
      <c r="C14">
        <f>Calculations!C13</f>
        <v>1.9479635704893761E-16</v>
      </c>
      <c r="D14">
        <f>Calculations!D13</f>
        <v>1.967001692363781E-16</v>
      </c>
      <c r="E14">
        <f>Calculations!E13</f>
        <v>2.1131877701975053E-16</v>
      </c>
      <c r="F14">
        <f>Calculations!F13</f>
        <v>1.8711751088692115E-16</v>
      </c>
      <c r="G14">
        <f>Calculations!G13</f>
        <v>2.5471444165849633E-16</v>
      </c>
      <c r="H14">
        <f>Calculations!H13</f>
        <v>1.2094496918974434E-16</v>
      </c>
      <c r="I14">
        <f>Calculations!I13</f>
        <v>1.8767688999851464E-16</v>
      </c>
    </row>
    <row r="15" spans="1:9" x14ac:dyDescent="0.3">
      <c r="A15" t="s">
        <v>5</v>
      </c>
      <c r="B15">
        <v>17.035</v>
      </c>
      <c r="C15">
        <f>Calculations!C15</f>
        <v>6.4556816640166353E-16</v>
      </c>
      <c r="D15">
        <f>Calculations!D15</f>
        <v>6.5187752742688207E-16</v>
      </c>
      <c r="E15">
        <f>Calculations!E15</f>
        <v>7.0032457215106007E-16</v>
      </c>
      <c r="F15">
        <f>Calculations!F15</f>
        <v>6.2011995621953963E-16</v>
      </c>
      <c r="G15">
        <f>Calculations!G15</f>
        <v>8.4414070955232895E-16</v>
      </c>
      <c r="H15">
        <f>Calculations!H15</f>
        <v>4.008197236240603E-16</v>
      </c>
      <c r="I15">
        <f>Calculations!I15</f>
        <v>6.2197377603868589E-16</v>
      </c>
    </row>
    <row r="16" spans="1:9" x14ac:dyDescent="0.3">
      <c r="A16" t="s">
        <v>1</v>
      </c>
      <c r="B16">
        <v>17.936</v>
      </c>
      <c r="C16">
        <f>Calculations!C12</f>
        <v>2.4869729037143509E-17</v>
      </c>
      <c r="D16">
        <f>Calculations!D12</f>
        <v>2.5112789502731994E-17</v>
      </c>
      <c r="E16">
        <f>Calculations!E12</f>
        <v>2.6979153021950245E-17</v>
      </c>
      <c r="F16">
        <f>Calculations!F12</f>
        <v>2.3889367667658129E-17</v>
      </c>
      <c r="G16">
        <f>Calculations!G12</f>
        <v>3.2519494932354796E-17</v>
      </c>
      <c r="H16">
        <f>Calculations!H12</f>
        <v>1.5441092727411535E-17</v>
      </c>
      <c r="I16">
        <f>Calculations!I12</f>
        <v>2.3960783823201907E-17</v>
      </c>
    </row>
    <row r="17" spans="1:9" x14ac:dyDescent="0.3">
      <c r="A17" t="s">
        <v>2</v>
      </c>
      <c r="B17">
        <v>25.248999999999999</v>
      </c>
      <c r="C17">
        <f>Calculations!C6</f>
        <v>8.5510515542419387E-16</v>
      </c>
      <c r="D17">
        <f>Calculations!D6</f>
        <v>8.6346239393266764E-16</v>
      </c>
      <c r="E17">
        <f>Calculations!E6</f>
        <v>9.2763426588171838E-16</v>
      </c>
      <c r="F17">
        <f>Calculations!F6</f>
        <v>8.2139702535274728E-16</v>
      </c>
      <c r="G17">
        <f>Calculations!G6</f>
        <v>1.1181299051114013E-15</v>
      </c>
      <c r="H17">
        <f>Calculations!H6</f>
        <v>5.3091684179077779E-16</v>
      </c>
      <c r="I17">
        <f>Calculations!I6</f>
        <v>8.23852553625486E-16</v>
      </c>
    </row>
    <row r="18" spans="1:9" x14ac:dyDescent="0.3">
      <c r="A18" t="s">
        <v>20</v>
      </c>
      <c r="B18">
        <v>26</v>
      </c>
      <c r="C18">
        <f>Calculations!C4</f>
        <v>3.5605066432026377E-16</v>
      </c>
      <c r="D18">
        <f>Calculations!D4</f>
        <v>3.5953047063876134E-16</v>
      </c>
      <c r="E18">
        <f>Calculations!E4</f>
        <v>3.8625050324901966E-16</v>
      </c>
      <c r="F18">
        <f>Calculations!F4</f>
        <v>3.4201519508142066E-16</v>
      </c>
      <c r="G18">
        <f>Calculations!G4</f>
        <v>4.6556951853924474E-16</v>
      </c>
      <c r="H18">
        <f>Calculations!H4</f>
        <v>2.2106438374196056E-16</v>
      </c>
      <c r="I18">
        <f>Calculations!I4</f>
        <v>3.4303763362856298E-16</v>
      </c>
    </row>
    <row r="19" spans="1:9" x14ac:dyDescent="0.3">
      <c r="A19" t="s">
        <v>1</v>
      </c>
      <c r="B19">
        <v>26</v>
      </c>
      <c r="C19">
        <f>Calculations!C8</f>
        <v>5.4941350588860393E-16</v>
      </c>
      <c r="D19">
        <f>Calculations!D8</f>
        <v>5.547831141518239E-16</v>
      </c>
      <c r="E19">
        <f>Calculations!E8</f>
        <v>5.9601417552868189E-16</v>
      </c>
      <c r="F19">
        <f>Calculations!F8</f>
        <v>5.2775569947494079E-16</v>
      </c>
      <c r="G19">
        <f>Calculations!G8</f>
        <v>7.1840950473676211E-16</v>
      </c>
      <c r="H19">
        <f>Calculations!H8</f>
        <v>3.4111931326022208E-16</v>
      </c>
      <c r="I19">
        <f>Calculations!I8</f>
        <v>5.2933340063669402E-16</v>
      </c>
    </row>
    <row r="20" spans="1:9" x14ac:dyDescent="0.3">
      <c r="A20" t="s">
        <v>4</v>
      </c>
      <c r="B20">
        <v>28.219000000000001</v>
      </c>
      <c r="C20">
        <f>Calculations!C5</f>
        <v>5.6016121887278166E-16</v>
      </c>
      <c r="D20">
        <f>Calculations!D5</f>
        <v>5.6563586825317847E-16</v>
      </c>
      <c r="E20">
        <f>Calculations!E5</f>
        <v>6.0767349810525928E-16</v>
      </c>
      <c r="F20">
        <f>Calculations!F5</f>
        <v>5.3807973906065599E-16</v>
      </c>
      <c r="G20">
        <f>Calculations!G5</f>
        <v>7.3246314389790343E-16</v>
      </c>
      <c r="H20">
        <f>Calculations!H5</f>
        <v>3.4779234265062806E-16</v>
      </c>
      <c r="I20">
        <f>Calculations!I5</f>
        <v>5.3968830345944232E-16</v>
      </c>
    </row>
    <row r="21" spans="1:9" x14ac:dyDescent="0.3">
      <c r="A21" t="s">
        <v>4</v>
      </c>
      <c r="B21">
        <v>28.219000000000001</v>
      </c>
      <c r="C21">
        <f>Calculations!C9</f>
        <v>6.7929562039024694E-16</v>
      </c>
      <c r="D21">
        <f>Calculations!D9</f>
        <v>6.8593461149134356E-16</v>
      </c>
      <c r="E21">
        <f>Calculations!E9</f>
        <v>7.3691275294063618E-16</v>
      </c>
      <c r="F21">
        <f>Calculations!F9</f>
        <v>6.5251787851390486E-16</v>
      </c>
      <c r="G21">
        <f>Calculations!G9</f>
        <v>8.8824250766299085E-16</v>
      </c>
      <c r="H21">
        <f>Calculations!H9</f>
        <v>4.2176039184442622E-16</v>
      </c>
      <c r="I21">
        <f>Calculations!I9</f>
        <v>6.544685504176292E-16</v>
      </c>
    </row>
    <row r="22" spans="1:9" x14ac:dyDescent="0.3">
      <c r="A22" t="s">
        <v>0</v>
      </c>
      <c r="B22">
        <v>34.814</v>
      </c>
      <c r="C22">
        <f>Calculations!C7</f>
        <v>1.6127865561103357E-15</v>
      </c>
      <c r="D22">
        <f>Calculations!D7</f>
        <v>1.6285488770683793E-15</v>
      </c>
      <c r="E22">
        <f>Calculations!E7</f>
        <v>1.7495813976927249E-15</v>
      </c>
      <c r="F22">
        <f>Calculations!F7</f>
        <v>1.5492107272593456E-15</v>
      </c>
      <c r="G22">
        <f>Calculations!G7</f>
        <v>2.1088691461040531E-15</v>
      </c>
      <c r="H22">
        <f>Calculations!H7</f>
        <v>1.0013453192525307E-15</v>
      </c>
      <c r="I22">
        <f>Calculations!I7</f>
        <v>1.5538420208041227E-15</v>
      </c>
    </row>
    <row r="23" spans="1:9" x14ac:dyDescent="0.3">
      <c r="A23" t="s">
        <v>0</v>
      </c>
      <c r="B23">
        <v>34.814</v>
      </c>
      <c r="C23">
        <f>Calculations!C10</f>
        <v>7.6962903504343786E-16</v>
      </c>
      <c r="D23">
        <f>Calculations!D10</f>
        <v>7.7715088585687812E-16</v>
      </c>
      <c r="E23">
        <f>Calculations!E10</f>
        <v>8.3490815181626618E-16</v>
      </c>
      <c r="F23">
        <f>Calculations!F10</f>
        <v>7.3929036212649503E-16</v>
      </c>
      <c r="G23">
        <f>Calculations!G10</f>
        <v>1.0063618894885577E-15</v>
      </c>
      <c r="H23">
        <f>Calculations!H10</f>
        <v>4.7784651284559996E-16</v>
      </c>
      <c r="I23">
        <f>Calculations!I10</f>
        <v>7.4150043634144036E-16</v>
      </c>
    </row>
    <row r="51" spans="4:10" x14ac:dyDescent="0.3">
      <c r="D51" s="6"/>
      <c r="E51" s="6"/>
      <c r="F51" s="6"/>
      <c r="G51" s="6"/>
      <c r="H51" s="6"/>
      <c r="I51" s="6"/>
      <c r="J51" s="6"/>
    </row>
    <row r="52" spans="4:10" x14ac:dyDescent="0.3">
      <c r="D52" s="6"/>
      <c r="E52" s="6"/>
      <c r="F52" s="6"/>
      <c r="G52" s="6"/>
      <c r="H52" s="6"/>
      <c r="I52" s="6"/>
      <c r="J52" s="6"/>
    </row>
    <row r="53" spans="4:10" x14ac:dyDescent="0.3">
      <c r="D53" s="6"/>
      <c r="E53" s="6"/>
      <c r="F53" s="6"/>
      <c r="G53" s="6"/>
      <c r="H53" s="6"/>
      <c r="I53" s="6"/>
      <c r="J53" s="6"/>
    </row>
    <row r="54" spans="4:10" x14ac:dyDescent="0.3">
      <c r="D54" s="6"/>
      <c r="E54" s="6"/>
      <c r="F54" s="6"/>
      <c r="G54" s="6"/>
      <c r="H54" s="6"/>
      <c r="I54" s="6"/>
      <c r="J54" s="6"/>
    </row>
    <row r="55" spans="4:10" x14ac:dyDescent="0.3">
      <c r="D55" s="6"/>
      <c r="E55" s="6"/>
      <c r="F55" s="6"/>
      <c r="G55" s="6"/>
      <c r="H55" s="6"/>
      <c r="I55" s="6"/>
      <c r="J55" s="6"/>
    </row>
    <row r="56" spans="4:10" x14ac:dyDescent="0.3">
      <c r="D56" s="6"/>
      <c r="E56" s="6"/>
      <c r="F56" s="6"/>
      <c r="G56" s="6"/>
      <c r="H56" s="6"/>
      <c r="I56" s="6"/>
      <c r="J56" s="6"/>
    </row>
    <row r="57" spans="4:10" x14ac:dyDescent="0.3">
      <c r="D57" s="6"/>
      <c r="E57" s="6"/>
      <c r="F57" s="6"/>
      <c r="G57" s="6"/>
      <c r="H57" s="6"/>
      <c r="I57" s="6"/>
      <c r="J57" s="6"/>
    </row>
    <row r="58" spans="4:10" x14ac:dyDescent="0.3">
      <c r="D58" s="6"/>
      <c r="E58" s="6"/>
      <c r="F58" s="6"/>
      <c r="G58" s="6"/>
      <c r="H58" s="6"/>
      <c r="I58" s="6"/>
      <c r="J58" s="6"/>
    </row>
    <row r="59" spans="4:10" x14ac:dyDescent="0.3">
      <c r="D59" s="6"/>
      <c r="E59" s="6"/>
      <c r="F59" s="6"/>
      <c r="G59" s="6"/>
      <c r="H59" s="6"/>
      <c r="I59" s="6"/>
      <c r="J59" s="6"/>
    </row>
    <row r="60" spans="4:10" x14ac:dyDescent="0.3">
      <c r="D60" s="6"/>
      <c r="E60" s="6"/>
      <c r="F60" s="6"/>
      <c r="G60" s="6"/>
      <c r="H60" s="6"/>
      <c r="I60" s="6"/>
      <c r="J60" s="6"/>
    </row>
    <row r="61" spans="4:10" x14ac:dyDescent="0.3">
      <c r="D61" s="6"/>
      <c r="E61" s="6"/>
      <c r="F61" s="6"/>
      <c r="G61" s="6"/>
      <c r="H61" s="6"/>
      <c r="I61" s="6"/>
      <c r="J61" s="6"/>
    </row>
    <row r="62" spans="4:10" x14ac:dyDescent="0.3">
      <c r="D62" s="6"/>
      <c r="E62" s="6"/>
      <c r="F62" s="6"/>
      <c r="G62" s="6"/>
      <c r="H62" s="6"/>
      <c r="I62" s="6"/>
      <c r="J62" s="6"/>
    </row>
    <row r="63" spans="4:10" x14ac:dyDescent="0.3">
      <c r="D63" s="6"/>
      <c r="E63" s="6"/>
      <c r="F63" s="6"/>
      <c r="G63" s="6"/>
      <c r="H63" s="6"/>
      <c r="I63" s="6"/>
      <c r="J63" s="6"/>
    </row>
    <row r="64" spans="4:10" x14ac:dyDescent="0.3">
      <c r="D64" s="6"/>
      <c r="E64" s="6"/>
      <c r="F64" s="6"/>
      <c r="G64" s="6"/>
      <c r="H64" s="6"/>
      <c r="I64" s="6"/>
      <c r="J64" s="6"/>
    </row>
    <row r="65" spans="4:10" x14ac:dyDescent="0.3">
      <c r="D65" s="6"/>
      <c r="E65" s="6"/>
      <c r="F65" s="6"/>
      <c r="G65" s="6"/>
      <c r="H65" s="6"/>
      <c r="I65" s="6"/>
      <c r="J65" s="6"/>
    </row>
    <row r="66" spans="4:10" x14ac:dyDescent="0.3">
      <c r="D66" s="6"/>
      <c r="E66" s="6"/>
      <c r="F66" s="6"/>
      <c r="G66" s="6"/>
      <c r="H66" s="6"/>
      <c r="I66" s="6"/>
      <c r="J66" s="6"/>
    </row>
    <row r="67" spans="4:10" x14ac:dyDescent="0.3">
      <c r="D67" s="6"/>
      <c r="E67" s="6"/>
      <c r="F67" s="6"/>
      <c r="G67" s="6"/>
      <c r="H67" s="6"/>
      <c r="I67" s="6"/>
      <c r="J67" s="6"/>
    </row>
    <row r="68" spans="4:10" x14ac:dyDescent="0.3">
      <c r="D68" s="6"/>
      <c r="E68" s="6"/>
      <c r="F68" s="6"/>
      <c r="G68" s="6"/>
      <c r="H68" s="6"/>
      <c r="I68" s="6"/>
      <c r="J68" s="6"/>
    </row>
    <row r="69" spans="4:10" x14ac:dyDescent="0.3">
      <c r="D69" s="6"/>
      <c r="E69" s="6"/>
      <c r="F69" s="6"/>
      <c r="G69" s="6"/>
      <c r="H69" s="6"/>
      <c r="I69" s="6"/>
      <c r="J69" s="6"/>
    </row>
    <row r="70" spans="4:10" x14ac:dyDescent="0.3">
      <c r="D70" s="6"/>
      <c r="E70" s="6"/>
      <c r="F70" s="6"/>
      <c r="G70" s="6"/>
      <c r="H70" s="6"/>
      <c r="I70" s="6"/>
      <c r="J70" s="6"/>
    </row>
    <row r="71" spans="4:10" x14ac:dyDescent="0.3">
      <c r="D71" s="6"/>
      <c r="E71" s="6"/>
      <c r="F71" s="6"/>
      <c r="G71" s="6"/>
      <c r="H71" s="6"/>
      <c r="I71" s="6"/>
      <c r="J71" s="6"/>
    </row>
    <row r="72" spans="4:10" x14ac:dyDescent="0.3">
      <c r="D72" s="6"/>
      <c r="E72" s="6"/>
      <c r="F72" s="6"/>
      <c r="G72" s="6"/>
      <c r="H72" s="6"/>
      <c r="I72" s="6"/>
      <c r="J72" s="6"/>
    </row>
  </sheetData>
  <sortState ref="A2:L24">
    <sortCondition ref="B2:B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H19" sqref="H19"/>
    </sheetView>
  </sheetViews>
  <sheetFormatPr defaultColWidth="8.77734375" defaultRowHeight="14.4" x14ac:dyDescent="0.3"/>
  <cols>
    <col min="1" max="1" width="17.21875" bestFit="1" customWidth="1"/>
    <col min="2" max="2" width="11.109375" customWidth="1"/>
    <col min="3" max="3" width="11" customWidth="1"/>
    <col min="4" max="4" width="15" customWidth="1"/>
    <col min="5" max="5" width="12.33203125" bestFit="1" customWidth="1"/>
    <col min="6" max="6" width="12.5546875" customWidth="1"/>
    <col min="7" max="9" width="12" bestFit="1" customWidth="1"/>
  </cols>
  <sheetData>
    <row r="1" spans="1:9" x14ac:dyDescent="0.3">
      <c r="A1" s="3" t="s">
        <v>61</v>
      </c>
    </row>
    <row r="2" spans="1:9" ht="13.8" customHeight="1" x14ac:dyDescent="0.3">
      <c r="A2" t="s">
        <v>42</v>
      </c>
      <c r="B2" t="s">
        <v>43</v>
      </c>
      <c r="C2" t="s">
        <v>13</v>
      </c>
      <c r="D2" t="s">
        <v>14</v>
      </c>
      <c r="E2" t="s">
        <v>77</v>
      </c>
      <c r="F2" t="s">
        <v>15</v>
      </c>
      <c r="G2" t="s">
        <v>16</v>
      </c>
      <c r="H2" t="s">
        <v>40</v>
      </c>
      <c r="I2" t="s">
        <v>41</v>
      </c>
    </row>
    <row r="3" spans="1:9" x14ac:dyDescent="0.3">
      <c r="A3" t="s">
        <v>47</v>
      </c>
      <c r="B3">
        <v>4.5</v>
      </c>
      <c r="C3" t="e">
        <f>1000000*1E-23*I29*F29/B29*$G$54</f>
        <v>#VALUE!</v>
      </c>
      <c r="D3" t="e">
        <f>1000000*1E-23*J29*F29/B29*$H$54</f>
        <v>#VALUE!</v>
      </c>
      <c r="E3" t="e">
        <f>1000000*1E-23*K29*F29/B29*$I$54</f>
        <v>#VALUE!</v>
      </c>
      <c r="F3" t="e">
        <f>1000000*1E-23*L29*F29/B29*$J$54</f>
        <v>#VALUE!</v>
      </c>
      <c r="G3" t="e">
        <f>1000000*1E-23*M29*F29/B29*$K$54</f>
        <v>#VALUE!</v>
      </c>
      <c r="H3" t="e">
        <f>1000000*1E-23*N29*F29/B29*$L$54</f>
        <v>#VALUE!</v>
      </c>
      <c r="I3" t="e">
        <f>1000000*1E-23*O29*F29/B29*$M$54</f>
        <v>#VALUE!</v>
      </c>
    </row>
    <row r="4" spans="1:9" x14ac:dyDescent="0.3">
      <c r="A4" t="s">
        <v>20</v>
      </c>
      <c r="B4">
        <v>26</v>
      </c>
      <c r="C4">
        <f>1000000*1E-23*I30*F30/B30*H30</f>
        <v>3.5605066432026377E-16</v>
      </c>
      <c r="D4">
        <f>1000000*1E-23*J30*F30/B30*H30</f>
        <v>3.5953047063876134E-16</v>
      </c>
      <c r="E4">
        <f>1000000*1E-23*K30*F30/B30*H30</f>
        <v>3.8625050324901966E-16</v>
      </c>
      <c r="F4">
        <f>1000000*1E-23*L30*F30/B30*H30</f>
        <v>3.4201519508142066E-16</v>
      </c>
      <c r="G4">
        <f>1000000*1E-23*M30*F30/B30*H30</f>
        <v>4.6556951853924474E-16</v>
      </c>
      <c r="H4">
        <f>1000000*1E-23*N30*F30/B30*H30</f>
        <v>2.2106438374196056E-16</v>
      </c>
      <c r="I4">
        <f>1000000*1E-23*O30*F30/B30*H30</f>
        <v>3.4303763362856298E-16</v>
      </c>
    </row>
    <row r="5" spans="1:9" x14ac:dyDescent="0.3">
      <c r="A5" t="s">
        <v>4</v>
      </c>
      <c r="B5">
        <v>28.219000000000001</v>
      </c>
      <c r="C5">
        <f t="shared" ref="C5:C22" si="0">1000000*1E-23*I31*F31/B31*H31</f>
        <v>5.6016121887278166E-16</v>
      </c>
      <c r="D5">
        <f t="shared" ref="D5:D22" si="1">1000000*1E-23*J31*F31/B31*H31</f>
        <v>5.6563586825317847E-16</v>
      </c>
      <c r="E5">
        <f t="shared" ref="E5:E22" si="2">1000000*1E-23*K31*F31/B31*H31</f>
        <v>6.0767349810525928E-16</v>
      </c>
      <c r="F5">
        <f t="shared" ref="F5:F22" si="3">1000000*1E-23*L31*F31/B31*H31</f>
        <v>5.3807973906065599E-16</v>
      </c>
      <c r="G5">
        <f t="shared" ref="G5:G22" si="4">1000000*1E-23*M31*F31/B31*H31</f>
        <v>7.3246314389790343E-16</v>
      </c>
      <c r="H5">
        <f t="shared" ref="H5:H22" si="5">1000000*1E-23*N31*F31/B31*H31</f>
        <v>3.4779234265062806E-16</v>
      </c>
      <c r="I5">
        <f t="shared" ref="I5:I22" si="6">1000000*1E-23*O31*F31/B31*H31</f>
        <v>5.3968830345944232E-16</v>
      </c>
    </row>
    <row r="6" spans="1:9" x14ac:dyDescent="0.3">
      <c r="A6" t="s">
        <v>2</v>
      </c>
      <c r="B6">
        <v>25.248999999999999</v>
      </c>
      <c r="C6">
        <f t="shared" si="0"/>
        <v>8.5510515542419387E-16</v>
      </c>
      <c r="D6">
        <f t="shared" si="1"/>
        <v>8.6346239393266764E-16</v>
      </c>
      <c r="E6">
        <f t="shared" si="2"/>
        <v>9.2763426588171838E-16</v>
      </c>
      <c r="F6">
        <f t="shared" si="3"/>
        <v>8.2139702535274728E-16</v>
      </c>
      <c r="G6">
        <f t="shared" si="4"/>
        <v>1.1181299051114013E-15</v>
      </c>
      <c r="H6">
        <f t="shared" si="5"/>
        <v>5.3091684179077779E-16</v>
      </c>
      <c r="I6">
        <f t="shared" si="6"/>
        <v>8.23852553625486E-16</v>
      </c>
    </row>
    <row r="7" spans="1:9" x14ac:dyDescent="0.3">
      <c r="A7" t="s">
        <v>0</v>
      </c>
      <c r="B7">
        <v>34.814</v>
      </c>
      <c r="C7">
        <f t="shared" si="0"/>
        <v>1.6127865561103357E-15</v>
      </c>
      <c r="D7">
        <f t="shared" si="1"/>
        <v>1.6285488770683793E-15</v>
      </c>
      <c r="E7">
        <f t="shared" si="2"/>
        <v>1.7495813976927249E-15</v>
      </c>
      <c r="F7">
        <f t="shared" si="3"/>
        <v>1.5492107272593456E-15</v>
      </c>
      <c r="G7">
        <f t="shared" si="4"/>
        <v>2.1088691461040531E-15</v>
      </c>
      <c r="H7">
        <f t="shared" si="5"/>
        <v>1.0013453192525307E-15</v>
      </c>
      <c r="I7">
        <f t="shared" si="6"/>
        <v>1.5538420208041227E-15</v>
      </c>
    </row>
    <row r="8" spans="1:9" x14ac:dyDescent="0.3">
      <c r="A8" t="s">
        <v>1</v>
      </c>
      <c r="B8">
        <v>26</v>
      </c>
      <c r="C8">
        <f t="shared" si="0"/>
        <v>5.4941350588860393E-16</v>
      </c>
      <c r="D8">
        <f t="shared" si="1"/>
        <v>5.547831141518239E-16</v>
      </c>
      <c r="E8">
        <f t="shared" si="2"/>
        <v>5.9601417552868189E-16</v>
      </c>
      <c r="F8">
        <f t="shared" si="3"/>
        <v>5.2775569947494079E-16</v>
      </c>
      <c r="G8">
        <f t="shared" si="4"/>
        <v>7.1840950473676211E-16</v>
      </c>
      <c r="H8">
        <f t="shared" si="5"/>
        <v>3.4111931326022208E-16</v>
      </c>
      <c r="I8">
        <f t="shared" si="6"/>
        <v>5.2933340063669402E-16</v>
      </c>
    </row>
    <row r="9" spans="1:9" x14ac:dyDescent="0.3">
      <c r="A9" s="2" t="s">
        <v>4</v>
      </c>
      <c r="B9">
        <v>28.219000000000001</v>
      </c>
      <c r="C9">
        <f t="shared" si="0"/>
        <v>6.7929562039024694E-16</v>
      </c>
      <c r="D9">
        <f t="shared" si="1"/>
        <v>6.8593461149134356E-16</v>
      </c>
      <c r="E9">
        <f t="shared" si="2"/>
        <v>7.3691275294063618E-16</v>
      </c>
      <c r="F9">
        <f t="shared" si="3"/>
        <v>6.5251787851390486E-16</v>
      </c>
      <c r="G9">
        <f t="shared" si="4"/>
        <v>8.8824250766299085E-16</v>
      </c>
      <c r="H9">
        <f t="shared" si="5"/>
        <v>4.2176039184442622E-16</v>
      </c>
      <c r="I9">
        <f t="shared" si="6"/>
        <v>6.544685504176292E-16</v>
      </c>
    </row>
    <row r="10" spans="1:9" x14ac:dyDescent="0.3">
      <c r="A10" s="2" t="s">
        <v>0</v>
      </c>
      <c r="B10">
        <v>34.814</v>
      </c>
      <c r="C10">
        <f t="shared" si="0"/>
        <v>7.6962903504343786E-16</v>
      </c>
      <c r="D10">
        <f t="shared" si="1"/>
        <v>7.7715088585687812E-16</v>
      </c>
      <c r="E10">
        <f t="shared" si="2"/>
        <v>8.3490815181626618E-16</v>
      </c>
      <c r="F10">
        <f t="shared" si="3"/>
        <v>7.3929036212649503E-16</v>
      </c>
      <c r="G10">
        <f t="shared" si="4"/>
        <v>1.0063618894885577E-15</v>
      </c>
      <c r="H10">
        <f t="shared" si="5"/>
        <v>4.7784651284559996E-16</v>
      </c>
      <c r="I10">
        <f t="shared" si="6"/>
        <v>7.4150043634144036E-16</v>
      </c>
    </row>
    <row r="11" spans="1:9" x14ac:dyDescent="0.3">
      <c r="A11" s="2" t="s">
        <v>5</v>
      </c>
      <c r="B11">
        <v>17.035</v>
      </c>
      <c r="C11">
        <f t="shared" si="0"/>
        <v>8.5508561933984832E-16</v>
      </c>
      <c r="D11">
        <f t="shared" si="1"/>
        <v>8.6344266691541127E-16</v>
      </c>
      <c r="E11">
        <f t="shared" si="2"/>
        <v>9.2761307276746224E-16</v>
      </c>
      <c r="F11">
        <f t="shared" si="3"/>
        <v>8.2137825937821576E-16</v>
      </c>
      <c r="G11">
        <f t="shared" si="4"/>
        <v>1.1181043598553625E-15</v>
      </c>
      <c r="H11">
        <f t="shared" si="5"/>
        <v>5.3090471224608268E-16</v>
      </c>
      <c r="I11">
        <f t="shared" si="6"/>
        <v>8.2383373155094485E-16</v>
      </c>
    </row>
    <row r="12" spans="1:9" x14ac:dyDescent="0.3">
      <c r="A12" s="2" t="s">
        <v>1</v>
      </c>
      <c r="B12">
        <v>17.936</v>
      </c>
      <c r="C12">
        <f t="shared" si="0"/>
        <v>2.4869729037143509E-17</v>
      </c>
      <c r="D12">
        <f t="shared" si="1"/>
        <v>2.5112789502731994E-17</v>
      </c>
      <c r="E12">
        <f t="shared" si="2"/>
        <v>2.6979153021950245E-17</v>
      </c>
      <c r="F12">
        <f t="shared" si="3"/>
        <v>2.3889367667658129E-17</v>
      </c>
      <c r="G12">
        <f t="shared" si="4"/>
        <v>3.2519494932354796E-17</v>
      </c>
      <c r="H12">
        <f t="shared" si="5"/>
        <v>1.5441092727411535E-17</v>
      </c>
      <c r="I12">
        <f t="shared" si="6"/>
        <v>2.3960783823201907E-17</v>
      </c>
    </row>
    <row r="13" spans="1:9" x14ac:dyDescent="0.3">
      <c r="A13" s="2" t="s">
        <v>28</v>
      </c>
      <c r="B13">
        <v>17.035</v>
      </c>
      <c r="C13">
        <f t="shared" si="0"/>
        <v>1.9479635704893761E-16</v>
      </c>
      <c r="D13">
        <f t="shared" si="1"/>
        <v>1.967001692363781E-16</v>
      </c>
      <c r="E13">
        <f t="shared" si="2"/>
        <v>2.1131877701975053E-16</v>
      </c>
      <c r="F13">
        <f t="shared" si="3"/>
        <v>1.8711751088692115E-16</v>
      </c>
      <c r="G13">
        <f t="shared" si="4"/>
        <v>2.5471444165849633E-16</v>
      </c>
      <c r="H13">
        <f t="shared" si="5"/>
        <v>1.2094496918974434E-16</v>
      </c>
      <c r="I13">
        <f t="shared" si="6"/>
        <v>1.8767688999851464E-16</v>
      </c>
    </row>
    <row r="14" spans="1:9" x14ac:dyDescent="0.3">
      <c r="A14" s="2" t="s">
        <v>3</v>
      </c>
      <c r="B14">
        <v>12.811999999999999</v>
      </c>
      <c r="C14">
        <f t="shared" si="0"/>
        <v>4.8468721234123662E-16</v>
      </c>
      <c r="D14">
        <f t="shared" si="1"/>
        <v>4.8942422814549007E-16</v>
      </c>
      <c r="E14">
        <f t="shared" si="2"/>
        <v>5.2579786655523018E-16</v>
      </c>
      <c r="F14">
        <f t="shared" si="3"/>
        <v>4.6558090770264456E-16</v>
      </c>
      <c r="G14">
        <f t="shared" si="4"/>
        <v>6.3377382688679223E-16</v>
      </c>
      <c r="H14">
        <f t="shared" si="5"/>
        <v>3.0093211624356532E-16</v>
      </c>
      <c r="I14">
        <f t="shared" si="6"/>
        <v>4.6697274021094986E-16</v>
      </c>
    </row>
    <row r="15" spans="1:9" x14ac:dyDescent="0.3">
      <c r="A15" s="2" t="s">
        <v>5</v>
      </c>
      <c r="B15">
        <v>17.035</v>
      </c>
      <c r="C15">
        <f t="shared" si="0"/>
        <v>6.4556816640166353E-16</v>
      </c>
      <c r="D15">
        <f t="shared" si="1"/>
        <v>6.5187752742688207E-16</v>
      </c>
      <c r="E15">
        <f t="shared" si="2"/>
        <v>7.0032457215106007E-16</v>
      </c>
      <c r="F15">
        <f t="shared" si="3"/>
        <v>6.2011995621953963E-16</v>
      </c>
      <c r="G15">
        <f t="shared" si="4"/>
        <v>8.4414070955232895E-16</v>
      </c>
      <c r="H15">
        <f t="shared" si="5"/>
        <v>4.008197236240603E-16</v>
      </c>
      <c r="I15">
        <f t="shared" si="6"/>
        <v>6.2197377603868589E-16</v>
      </c>
    </row>
    <row r="16" spans="1:9" x14ac:dyDescent="0.3">
      <c r="A16" s="2" t="s">
        <v>3</v>
      </c>
      <c r="B16">
        <v>12.811999999999999</v>
      </c>
      <c r="C16">
        <f t="shared" si="0"/>
        <v>3.0598362591462114E-16</v>
      </c>
      <c r="D16">
        <f t="shared" si="1"/>
        <v>3.089741097460366E-16</v>
      </c>
      <c r="E16">
        <f t="shared" si="2"/>
        <v>3.3193683185821788E-16</v>
      </c>
      <c r="F16">
        <f t="shared" si="3"/>
        <v>2.9392179258729621E-16</v>
      </c>
      <c r="G16">
        <f t="shared" si="4"/>
        <v>4.0010218677706009E-16</v>
      </c>
      <c r="H16">
        <f t="shared" si="5"/>
        <v>1.8997881053552244E-16</v>
      </c>
      <c r="I16">
        <f t="shared" si="6"/>
        <v>2.9480045814048859E-16</v>
      </c>
    </row>
    <row r="17" spans="1:16" x14ac:dyDescent="0.3">
      <c r="A17" s="2" t="s">
        <v>6</v>
      </c>
      <c r="B17">
        <v>12.279</v>
      </c>
      <c r="C17">
        <f t="shared" si="0"/>
        <v>2.3909741380247429E-16</v>
      </c>
      <c r="D17">
        <f t="shared" si="1"/>
        <v>2.4143419554356352E-16</v>
      </c>
      <c r="E17">
        <f t="shared" si="2"/>
        <v>2.5937740232293343E-16</v>
      </c>
      <c r="F17">
        <f t="shared" si="3"/>
        <v>2.2967222594917192E-16</v>
      </c>
      <c r="G17">
        <f t="shared" si="4"/>
        <v>3.1264221354708258E-16</v>
      </c>
      <c r="H17">
        <f t="shared" si="5"/>
        <v>1.4845056542008633E-16</v>
      </c>
      <c r="I17">
        <f t="shared" si="6"/>
        <v>2.3035882040577947E-16</v>
      </c>
    </row>
    <row r="18" spans="1:16" x14ac:dyDescent="0.3">
      <c r="A18" s="2" t="s">
        <v>7</v>
      </c>
      <c r="B18">
        <v>9.6649999999999991</v>
      </c>
      <c r="C18">
        <f t="shared" si="0"/>
        <v>6.0290204369023631E-16</v>
      </c>
      <c r="D18">
        <f t="shared" si="1"/>
        <v>6.0879441393780665E-16</v>
      </c>
      <c r="E18">
        <f t="shared" si="2"/>
        <v>6.5403955425779248E-16</v>
      </c>
      <c r="F18">
        <f t="shared" si="3"/>
        <v>5.7913572631963173E-16</v>
      </c>
      <c r="G18">
        <f t="shared" si="4"/>
        <v>7.8835076671759793E-16</v>
      </c>
      <c r="H18">
        <f t="shared" si="5"/>
        <v>3.7432922362213758E-16</v>
      </c>
      <c r="I18">
        <f t="shared" si="6"/>
        <v>5.8086702568624485E-16</v>
      </c>
    </row>
    <row r="19" spans="1:16" x14ac:dyDescent="0.3">
      <c r="A19" s="2" t="s">
        <v>8</v>
      </c>
      <c r="B19">
        <v>8.0250000000000004</v>
      </c>
      <c r="C19">
        <f t="shared" si="0"/>
        <v>7.5563403420109145E-16</v>
      </c>
      <c r="D19">
        <f t="shared" si="1"/>
        <v>7.6301910702971454E-16</v>
      </c>
      <c r="E19">
        <f t="shared" si="2"/>
        <v>8.1972610987668272E-16</v>
      </c>
      <c r="F19">
        <f t="shared" si="3"/>
        <v>7.2584704233267382E-16</v>
      </c>
      <c r="G19">
        <f t="shared" si="4"/>
        <v>9.8806211797551583E-16</v>
      </c>
      <c r="H19">
        <f t="shared" si="5"/>
        <v>4.6915731058673631E-16</v>
      </c>
      <c r="I19">
        <f t="shared" si="6"/>
        <v>7.2801692836722123E-16</v>
      </c>
    </row>
    <row r="20" spans="1:16" x14ac:dyDescent="0.3">
      <c r="A20" s="2" t="s">
        <v>9</v>
      </c>
      <c r="B20">
        <v>6.91</v>
      </c>
      <c r="C20">
        <f t="shared" si="0"/>
        <v>1.3351222651180184E-15</v>
      </c>
      <c r="D20">
        <f t="shared" si="1"/>
        <v>1.3481708769019456E-15</v>
      </c>
      <c r="E20">
        <f t="shared" si="2"/>
        <v>1.4483659166464764E-15</v>
      </c>
      <c r="F20">
        <f t="shared" si="3"/>
        <v>1.2824919252254268E-15</v>
      </c>
      <c r="G20">
        <f t="shared" si="4"/>
        <v>1.7457971363392997E-15</v>
      </c>
      <c r="H20">
        <f t="shared" si="5"/>
        <v>8.2894938932905004E-16</v>
      </c>
      <c r="I20">
        <f t="shared" si="6"/>
        <v>1.2863258752943328E-15</v>
      </c>
    </row>
    <row r="21" spans="1:16" x14ac:dyDescent="0.3">
      <c r="A21" s="2" t="s">
        <v>10</v>
      </c>
      <c r="B21">
        <v>6.109</v>
      </c>
      <c r="C21">
        <f t="shared" si="0"/>
        <v>1.1489736578677998E-15</v>
      </c>
      <c r="D21">
        <f t="shared" si="1"/>
        <v>1.1602029749147674E-15</v>
      </c>
      <c r="E21">
        <f t="shared" si="2"/>
        <v>1.2464283823723435E-15</v>
      </c>
      <c r="F21">
        <f t="shared" si="3"/>
        <v>1.1036812710047352E-15</v>
      </c>
      <c r="G21">
        <f t="shared" si="4"/>
        <v>1.5023904357235671E-15</v>
      </c>
      <c r="H21">
        <f t="shared" si="5"/>
        <v>7.1337362646745033E-16</v>
      </c>
      <c r="I21">
        <f t="shared" si="6"/>
        <v>1.1069806749243936E-15</v>
      </c>
    </row>
    <row r="22" spans="1:16" x14ac:dyDescent="0.3">
      <c r="A22" s="2" t="s">
        <v>11</v>
      </c>
      <c r="B22">
        <v>5.5110000000000001</v>
      </c>
      <c r="C22">
        <f t="shared" si="0"/>
        <v>1.8261501823560963E-15</v>
      </c>
      <c r="D22">
        <f t="shared" si="1"/>
        <v>1.8439977798468071E-15</v>
      </c>
      <c r="E22">
        <f t="shared" si="2"/>
        <v>1.9810422999488498E-15</v>
      </c>
      <c r="F22">
        <f t="shared" si="3"/>
        <v>1.7541635880917698E-15</v>
      </c>
      <c r="G22">
        <f t="shared" si="4"/>
        <v>2.3878620274533063E-15</v>
      </c>
      <c r="H22">
        <f t="shared" si="5"/>
        <v>1.1338183161475537E-15</v>
      </c>
      <c r="I22">
        <f t="shared" si="6"/>
        <v>1.7594075786987704E-15</v>
      </c>
    </row>
    <row r="23" spans="1:16" x14ac:dyDescent="0.3">
      <c r="A23" s="2" t="s">
        <v>1</v>
      </c>
      <c r="B23">
        <v>1.25162</v>
      </c>
      <c r="C23">
        <f>4.9291532E-19*I49*149.7</f>
        <v>3.4412960836289422E-18</v>
      </c>
      <c r="D23">
        <f>4.9291532E-19*J49*149.7</f>
        <v>3.4749290607741881E-18</v>
      </c>
      <c r="E23">
        <f>4.9291532E-19*K49*149.7</f>
        <v>3.7331831599532021E-18</v>
      </c>
      <c r="F23">
        <f>4.9291532E-19*L49*149.7</f>
        <v>3.3056406554450481E-18</v>
      </c>
      <c r="G23">
        <f>4.9291532E-19*M49*149.7</f>
        <v>4.4998162378514395E-18</v>
      </c>
      <c r="H23">
        <f>4.9291532E-19*N49*149.7</f>
        <v>2.1366285032873011E-18</v>
      </c>
      <c r="I23">
        <f>4.9291532E-19*O49*149.7</f>
        <v>3.3155227147153189E-18</v>
      </c>
    </row>
    <row r="24" spans="1:16" x14ac:dyDescent="0.3">
      <c r="A24" s="2" t="s">
        <v>65</v>
      </c>
      <c r="B24">
        <v>1.28366</v>
      </c>
      <c r="C24">
        <f>4.2779222E-19*I50*156.4</f>
        <v>2.9729735052598893E-18</v>
      </c>
      <c r="D24">
        <f>4.2779222E-19*J50*156.4</f>
        <v>3.0020294038300538E-18</v>
      </c>
      <c r="E24">
        <f>4.2779222E-19*K50*156.4</f>
        <v>3.2251379582309651E-18</v>
      </c>
      <c r="F24">
        <f>4.2779222E-19*L50*156.4</f>
        <v>2.8557792900471975E-18</v>
      </c>
      <c r="G24">
        <f>4.2779222E-19*M50*156.4</f>
        <v>3.8874406992505176E-18</v>
      </c>
      <c r="H24">
        <f>4.2779222E-19*N50*156.4</f>
        <v>1.8458568447727784E-18</v>
      </c>
      <c r="I24">
        <f>4.2779222E-19*O50*156.4</f>
        <v>2.864316509651081E-18</v>
      </c>
    </row>
    <row r="25" spans="1:16" x14ac:dyDescent="0.3">
      <c r="A25" s="2" t="s">
        <v>1</v>
      </c>
      <c r="B25">
        <v>1.6450100000000001</v>
      </c>
      <c r="C25">
        <f>2.7760207E-19*I51* 206.5</f>
        <v>3.6004140707167069E-18</v>
      </c>
      <c r="D25">
        <f>2.7760207E-19*J51* 206.5</f>
        <v>3.6356021629967929E-18</v>
      </c>
      <c r="E25">
        <f>2.7760207E-19*K51* 206.5</f>
        <v>3.9057973655914709E-18</v>
      </c>
      <c r="F25">
        <f>2.7760207E-19*L51* 206.5</f>
        <v>3.4584862329099274E-18</v>
      </c>
      <c r="G25">
        <f>2.7760207E-19*M51* 206.5</f>
        <v>4.7078778764410239E-18</v>
      </c>
      <c r="H25">
        <f>2.7760207E-19*N51* 206.5</f>
        <v>2.2354215214802907E-18</v>
      </c>
      <c r="I25">
        <f>2.7760207E-19*O51* 206.5</f>
        <v>3.4688252169379516E-18</v>
      </c>
    </row>
    <row r="27" spans="1:16" x14ac:dyDescent="0.3">
      <c r="A27" s="4" t="s">
        <v>62</v>
      </c>
    </row>
    <row r="28" spans="1:16" ht="43.2" x14ac:dyDescent="0.3">
      <c r="A28" t="s">
        <v>44</v>
      </c>
      <c r="B28" t="s">
        <v>60</v>
      </c>
      <c r="C28" s="1" t="s">
        <v>45</v>
      </c>
      <c r="D28" t="s">
        <v>42</v>
      </c>
      <c r="E28" s="1" t="s">
        <v>46</v>
      </c>
      <c r="F28" s="1" t="s">
        <v>67</v>
      </c>
      <c r="G28" t="s">
        <v>82</v>
      </c>
      <c r="H28" s="1" t="s">
        <v>59</v>
      </c>
      <c r="I28" t="s">
        <v>13</v>
      </c>
      <c r="J28" t="s">
        <v>14</v>
      </c>
      <c r="K28" t="s">
        <v>77</v>
      </c>
      <c r="L28" t="s">
        <v>15</v>
      </c>
      <c r="M28" t="s">
        <v>16</v>
      </c>
      <c r="N28" t="s">
        <v>40</v>
      </c>
      <c r="O28" t="s">
        <v>41</v>
      </c>
      <c r="P28" t="s">
        <v>78</v>
      </c>
    </row>
    <row r="29" spans="1:16" x14ac:dyDescent="0.3">
      <c r="A29" t="s">
        <v>17</v>
      </c>
      <c r="B29" t="s">
        <v>18</v>
      </c>
      <c r="C29">
        <v>4.5</v>
      </c>
      <c r="D29" t="s">
        <v>47</v>
      </c>
      <c r="E29">
        <v>4.5</v>
      </c>
      <c r="F29">
        <f>30000000000/(E29*0.0001)</f>
        <v>66666666666666.664</v>
      </c>
      <c r="I29">
        <f>'Average RMS values'!$B$16*SQRT(Calculations!G53/'Average RMS values'!$A$6)</f>
        <v>9.617605852036144</v>
      </c>
      <c r="J29">
        <f>'Average RMS values'!$B$16*SQRT(Calculations!H53/'Average RMS values'!$A$6)</f>
        <v>9.7116020412487849</v>
      </c>
      <c r="K29">
        <f>'Average RMS values'!$B$16*SQRT(Calculations!I53/'Average RMS values'!$A$6)</f>
        <v>10.433360958591694</v>
      </c>
      <c r="L29">
        <f>'Average RMS values'!$B$16*SQRT(Calculations!J53/'Average RMS values'!$A$6)</f>
        <v>9.2384811245334557</v>
      </c>
      <c r="M29">
        <f>'Average RMS values'!$B$16*SQRT(Calculations!K53/'Average RMS values'!$A$6)</f>
        <v>12.575918470987821</v>
      </c>
      <c r="N29">
        <f>'Average RMS values'!$B$16*SQRT(Calculations!L53/'Average RMS values'!$A$6)</f>
        <v>5.9713695937413833</v>
      </c>
      <c r="O29">
        <f>'Average RMS values'!$B$16*SQRT(Calculations!M53/'Average RMS values'!$A$6)</f>
        <v>9.266099134945307</v>
      </c>
      <c r="P29" t="s">
        <v>79</v>
      </c>
    </row>
    <row r="30" spans="1:16" x14ac:dyDescent="0.3">
      <c r="A30" t="s">
        <v>19</v>
      </c>
      <c r="B30">
        <v>600</v>
      </c>
      <c r="C30" t="s">
        <v>48</v>
      </c>
      <c r="D30" t="s">
        <v>20</v>
      </c>
      <c r="E30">
        <v>26</v>
      </c>
      <c r="F30">
        <f t="shared" ref="F30:F51" si="7">30000000000/(E30*0.0001)</f>
        <v>11538461538461.537</v>
      </c>
      <c r="G30">
        <f>4.46*4.46</f>
        <v>19.8916</v>
      </c>
      <c r="H30">
        <f>G31/(180/PI()*60*60)^2</f>
        <v>4.6754073051151956E-10</v>
      </c>
      <c r="I30">
        <f>'Average RMS values'!$B$17*SQRT(Calculations!G53/'Average RMS values'!$A$6)</f>
        <v>3.9600046234255402</v>
      </c>
      <c r="J30">
        <f>'Average RMS values'!$B$17*SQRT(Calculations!H53/'Average RMS values'!$A$6)</f>
        <v>3.9987071185779741</v>
      </c>
      <c r="K30">
        <f>'Average RMS values'!$B$17*SQRT(Calculations!I53/'Average RMS values'!$A$6)</f>
        <v>4.2958880067999035</v>
      </c>
      <c r="L30">
        <f>'Average RMS values'!$B$17*SQRT(Calculations!J53/'Average RMS values'!$A$6)</f>
        <v>3.8039017744563508</v>
      </c>
      <c r="M30">
        <f>'Average RMS values'!$B$17*SQRT(Calculations!K53/'Average RMS values'!$A$6)</f>
        <v>5.1780761298708367</v>
      </c>
      <c r="N30">
        <f>'Average RMS values'!$B$17*SQRT(Calculations!L53/'Average RMS values'!$A$6)</f>
        <v>2.45868374761816</v>
      </c>
      <c r="O30">
        <f>'Average RMS values'!$B$17*SQRT(Calculations!M53/'Average RMS values'!$A$6)</f>
        <v>3.8152733622094082</v>
      </c>
    </row>
    <row r="31" spans="1:16" x14ac:dyDescent="0.3">
      <c r="A31" t="s">
        <v>21</v>
      </c>
      <c r="B31">
        <v>600</v>
      </c>
      <c r="C31" t="s">
        <v>49</v>
      </c>
      <c r="D31" t="s">
        <v>4</v>
      </c>
      <c r="E31">
        <v>28.219000000000001</v>
      </c>
      <c r="F31">
        <f t="shared" si="7"/>
        <v>10631135050852.262</v>
      </c>
      <c r="G31">
        <f t="shared" ref="G31:G33" si="8">4.46*4.46</f>
        <v>19.8916</v>
      </c>
      <c r="H31">
        <f t="shared" ref="H31:H48" si="9">G31/(180/PI()*60*60)^2</f>
        <v>4.6754073051151956E-10</v>
      </c>
      <c r="I31">
        <f>'Average RMS values'!$B$18*SQRT(Calculations!G53/'Average RMS values'!$A$6)</f>
        <v>6.7618448634740114</v>
      </c>
      <c r="J31">
        <f>'Average RMS values'!$B$18*SQRT(Calculations!H53/'Average RMS values'!$A$6)</f>
        <v>6.8279307125919679</v>
      </c>
      <c r="K31">
        <f>'Average RMS values'!$B$18*SQRT(Calculations!I53/'Average RMS values'!$A$6)</f>
        <v>7.3353773581486132</v>
      </c>
      <c r="L31">
        <f>'Average RMS values'!$B$18*SQRT(Calculations!J53/'Average RMS values'!$A$6)</f>
        <v>6.495293849560575</v>
      </c>
      <c r="M31">
        <f>'Average RMS values'!$B$18*SQRT(Calculations!K53/'Average RMS values'!$A$6)</f>
        <v>8.8417440914896606</v>
      </c>
      <c r="N31">
        <f>'Average RMS values'!$B$18*SQRT(Calculations!L53/'Average RMS values'!$A$6)</f>
        <v>4.1982875402194564</v>
      </c>
      <c r="O31">
        <f>'Average RMS values'!$B$18*SQRT(Calculations!M53/'Average RMS values'!$A$6)</f>
        <v>6.5147112289703593</v>
      </c>
      <c r="P31" t="s">
        <v>79</v>
      </c>
    </row>
    <row r="32" spans="1:16" x14ac:dyDescent="0.3">
      <c r="A32" t="s">
        <v>22</v>
      </c>
      <c r="B32">
        <v>600</v>
      </c>
      <c r="C32" t="s">
        <v>49</v>
      </c>
      <c r="D32" t="s">
        <v>2</v>
      </c>
      <c r="E32">
        <v>25.248999999999999</v>
      </c>
      <c r="F32">
        <f t="shared" si="7"/>
        <v>11881658679551.666</v>
      </c>
      <c r="G32">
        <f t="shared" si="8"/>
        <v>19.8916</v>
      </c>
      <c r="H32">
        <f t="shared" si="9"/>
        <v>4.6754073051151956E-10</v>
      </c>
      <c r="I32">
        <f>'Average RMS values'!$B$19*SQRT(Calculations!G53/'Average RMS values'!$A$6)</f>
        <v>9.2357942999678446</v>
      </c>
      <c r="J32">
        <f>'Average RMS values'!$B$19*SQRT(Calculations!H53/'Average RMS values'!$A$6)</f>
        <v>9.3260589127940232</v>
      </c>
      <c r="K32">
        <f>'Average RMS values'!$B$19*SQRT(Calculations!I53/'Average RMS values'!$A$6)</f>
        <v>10.019164556475118</v>
      </c>
      <c r="L32">
        <f>'Average RMS values'!$B$19*SQRT(Calculations!J53/'Average RMS values'!$A$6)</f>
        <v>8.8717205324298583</v>
      </c>
      <c r="M32">
        <f>'Average RMS values'!$B$19*SQRT(Calculations!K53/'Average RMS values'!$A$6)</f>
        <v>12.076664184217929</v>
      </c>
      <c r="N32">
        <f>'Average RMS values'!$B$19*SQRT(Calculations!L53/'Average RMS values'!$A$6)</f>
        <v>5.7343108155344185</v>
      </c>
      <c r="O32">
        <f>'Average RMS values'!$B$19*SQRT(Calculations!M53/'Average RMS values'!$A$6)</f>
        <v>8.8982421290790104</v>
      </c>
    </row>
    <row r="33" spans="1:16" x14ac:dyDescent="0.3">
      <c r="A33" t="s">
        <v>23</v>
      </c>
      <c r="B33">
        <v>600</v>
      </c>
      <c r="C33" t="s">
        <v>49</v>
      </c>
      <c r="D33" t="s">
        <v>0</v>
      </c>
      <c r="E33">
        <v>34.814</v>
      </c>
      <c r="F33">
        <f t="shared" si="7"/>
        <v>8617222956281.9551</v>
      </c>
      <c r="G33">
        <f t="shared" si="8"/>
        <v>19.8916</v>
      </c>
      <c r="H33">
        <f t="shared" si="9"/>
        <v>4.6754073051151956E-10</v>
      </c>
      <c r="I33">
        <f>'Average RMS values'!$B$20*SQRT(Calculations!G53/'Average RMS values'!$A$6)</f>
        <v>24.018250175977698</v>
      </c>
      <c r="J33">
        <f>'Average RMS values'!$B$20*SQRT(Calculations!H53/'Average RMS values'!$A$6)</f>
        <v>24.252988844086019</v>
      </c>
      <c r="K33">
        <f>'Average RMS values'!$B$20*SQRT(Calculations!I53/'Average RMS values'!$A$6)</f>
        <v>26.055452628751794</v>
      </c>
      <c r="L33">
        <f>'Average RMS values'!$B$20*SQRT(Calculations!J53/'Average RMS values'!$A$6)</f>
        <v>23.071453988532447</v>
      </c>
      <c r="M33">
        <f>'Average RMS values'!$B$20*SQRT(Calculations!K53/'Average RMS values'!$A$6)</f>
        <v>31.406106745883861</v>
      </c>
      <c r="N33">
        <f>'Average RMS values'!$B$20*SQRT(Calculations!L53/'Average RMS values'!$A$6)</f>
        <v>14.912427375607519</v>
      </c>
      <c r="O33">
        <f>'Average RMS values'!$B$20*SQRT(Calculations!M53/'Average RMS values'!$A$6)</f>
        <v>23.140425029105312</v>
      </c>
    </row>
    <row r="34" spans="1:16" x14ac:dyDescent="0.3">
      <c r="A34" t="s">
        <v>24</v>
      </c>
      <c r="B34">
        <v>80</v>
      </c>
      <c r="C34" t="s">
        <v>50</v>
      </c>
      <c r="D34" t="s">
        <v>1</v>
      </c>
      <c r="E34">
        <v>26</v>
      </c>
      <c r="F34">
        <f t="shared" si="7"/>
        <v>11538461538461.537</v>
      </c>
      <c r="G34">
        <f>5.05*5.05</f>
        <v>25.502499999999998</v>
      </c>
      <c r="H34">
        <f t="shared" si="9"/>
        <v>5.9942173982334388E-10</v>
      </c>
      <c r="I34">
        <f>'Average RMS values'!$B$21*SQRT(Calculations!G53/'Average RMS values'!$A$6)</f>
        <v>0.63549029357587539</v>
      </c>
      <c r="J34">
        <f>'Average RMS values'!$B$21*SQRT(Calculations!H53/'Average RMS values'!$A$6)</f>
        <v>0.64170116006351685</v>
      </c>
      <c r="K34">
        <f>'Average RMS values'!$B$21*SQRT(Calculations!I53/'Average RMS values'!$A$6)</f>
        <v>0.68939190486318502</v>
      </c>
      <c r="L34">
        <f>'Average RMS values'!$B$21*SQRT(Calculations!J53/'Average RMS values'!$A$6)</f>
        <v>0.61043935178337627</v>
      </c>
      <c r="M34">
        <f>'Average RMS values'!$B$21*SQRT(Calculations!K53/'Average RMS values'!$A$6)</f>
        <v>0.83096294899861856</v>
      </c>
      <c r="N34">
        <f>'Average RMS values'!$B$21*SQRT(Calculations!L53/'Average RMS values'!$A$6)</f>
        <v>0.39456258392761873</v>
      </c>
      <c r="O34">
        <f>'Average RMS values'!$B$21*SQRT(Calculations!M53/'Average RMS values'!$A$6)</f>
        <v>0.61226423188499668</v>
      </c>
    </row>
    <row r="35" spans="1:16" x14ac:dyDescent="0.3">
      <c r="A35" t="s">
        <v>25</v>
      </c>
      <c r="B35">
        <v>80</v>
      </c>
      <c r="C35" t="s">
        <v>51</v>
      </c>
      <c r="D35" s="2" t="s">
        <v>4</v>
      </c>
      <c r="E35">
        <v>28.219000000000001</v>
      </c>
      <c r="F35">
        <f t="shared" si="7"/>
        <v>10631135050852.262</v>
      </c>
      <c r="G35">
        <f t="shared" ref="G35:G37" si="10">5.05*5.05</f>
        <v>25.502499999999998</v>
      </c>
      <c r="H35">
        <f t="shared" si="9"/>
        <v>5.9942173982334388E-10</v>
      </c>
      <c r="I35">
        <f>'Average RMS values'!$B$22*SQRT(Calculations!G53/'Average RMS values'!$A$6)</f>
        <v>0.85277935219997014</v>
      </c>
      <c r="J35">
        <f>'Average RMS values'!$B$22*SQRT(Calculations!H53/'Average RMS values'!$A$6)</f>
        <v>0.86111385982891953</v>
      </c>
      <c r="K35">
        <f>'Average RMS values'!$B$22*SQRT(Calculations!I53/'Average RMS values'!$A$6)</f>
        <v>0.92511119049993351</v>
      </c>
      <c r="L35">
        <f>'Average RMS values'!$B$22*SQRT(Calculations!J53/'Average RMS values'!$A$6)</f>
        <v>0.81916290497841093</v>
      </c>
      <c r="M35">
        <f>'Average RMS values'!$B$22*SQRT(Calculations!K53/'Average RMS values'!$A$6)</f>
        <v>1.1150887000363146</v>
      </c>
      <c r="N35">
        <f>'Average RMS values'!$B$22*SQRT(Calculations!L53/'Average RMS values'!$A$6)</f>
        <v>0.52947279938897618</v>
      </c>
      <c r="O35">
        <f>'Average RMS values'!$B$22*SQRT(Calculations!M53/'Average RMS values'!$A$6)</f>
        <v>0.82161175445201295</v>
      </c>
      <c r="P35" t="s">
        <v>79</v>
      </c>
    </row>
    <row r="36" spans="1:16" x14ac:dyDescent="0.3">
      <c r="A36" t="s">
        <v>26</v>
      </c>
      <c r="B36">
        <v>80</v>
      </c>
      <c r="C36" t="s">
        <v>52</v>
      </c>
      <c r="D36" s="2" t="s">
        <v>0</v>
      </c>
      <c r="E36">
        <v>34.814</v>
      </c>
      <c r="F36">
        <f t="shared" si="7"/>
        <v>8617222956281.9551</v>
      </c>
      <c r="G36">
        <f t="shared" si="10"/>
        <v>25.502499999999998</v>
      </c>
      <c r="H36">
        <f t="shared" si="9"/>
        <v>5.9942173982334388E-10</v>
      </c>
      <c r="I36">
        <f>'Average RMS values'!$B$23*SQRT(Calculations!G53/'Average RMS values'!$A$6)</f>
        <v>1.1919872524209167</v>
      </c>
      <c r="J36">
        <f>'Average RMS values'!$B$23*SQRT(Calculations!H53/'Average RMS values'!$A$6)</f>
        <v>1.2036369562080493</v>
      </c>
      <c r="K36">
        <f>'Average RMS values'!$B$23*SQRT(Calculations!I53/'Average RMS values'!$A$6)</f>
        <v>1.2930903442996116</v>
      </c>
      <c r="L36">
        <f>'Average RMS values'!$B$23*SQRT(Calculations!J53/'Average RMS values'!$A$6)</f>
        <v>1.1449992754531266</v>
      </c>
      <c r="M36">
        <f>'Average RMS values'!$B$23*SQRT(Calculations!K53/'Average RMS values'!$A$6)</f>
        <v>1.5586347304645081</v>
      </c>
      <c r="N36">
        <f>'Average RMS values'!$B$23*SQRT(Calculations!L53/'Average RMS values'!$A$6)</f>
        <v>0.74007986444221863</v>
      </c>
      <c r="O36">
        <f>'Average RMS values'!$B$23*SQRT(Calculations!M53/'Average RMS values'!$A$6)</f>
        <v>1.1484221976288349</v>
      </c>
    </row>
    <row r="37" spans="1:16" x14ac:dyDescent="0.3">
      <c r="A37" s="1" t="s">
        <v>27</v>
      </c>
      <c r="B37">
        <v>80</v>
      </c>
      <c r="C37" t="s">
        <v>53</v>
      </c>
      <c r="D37" s="2" t="s">
        <v>5</v>
      </c>
      <c r="E37">
        <v>17.035</v>
      </c>
      <c r="F37">
        <f t="shared" si="7"/>
        <v>17610801291458.762</v>
      </c>
      <c r="G37">
        <f t="shared" si="10"/>
        <v>25.502499999999998</v>
      </c>
      <c r="H37">
        <f t="shared" si="9"/>
        <v>5.9942173982334388E-10</v>
      </c>
      <c r="I37">
        <f>'Average RMS values'!$B$24*SQRT(Calculations!G53/'Average RMS values'!$A$6)</f>
        <v>0.64801936300573904</v>
      </c>
      <c r="J37">
        <f>'Average RMS values'!$B$24*SQRT(Calculations!H53/'Average RMS values'!$A$6)</f>
        <v>0.65435268042336314</v>
      </c>
      <c r="K37">
        <f>'Average RMS values'!$B$24*SQRT(Calculations!I53/'Average RMS values'!$A$6)</f>
        <v>0.70298367664590466</v>
      </c>
      <c r="L37">
        <f>'Average RMS values'!$B$24*SQRT(Calculations!J53/'Average RMS values'!$A$6)</f>
        <v>0.62247452698358052</v>
      </c>
      <c r="M37">
        <f>'Average RMS values'!$B$24*SQRT(Calculations!K53/'Average RMS values'!$A$6)</f>
        <v>0.84734587819028973</v>
      </c>
      <c r="N37">
        <f>'Average RMS values'!$B$24*SQRT(Calculations!L53/'Average RMS values'!$A$6)</f>
        <v>0.40234162014332342</v>
      </c>
      <c r="O37">
        <f>'Average RMS values'!$B$24*SQRT(Calculations!M53/'Average RMS values'!$A$6)</f>
        <v>0.62433538568271141</v>
      </c>
      <c r="P37" t="s">
        <v>79</v>
      </c>
    </row>
    <row r="38" spans="1:16" x14ac:dyDescent="0.3">
      <c r="A38" s="1" t="s">
        <v>29</v>
      </c>
      <c r="B38">
        <v>80</v>
      </c>
      <c r="C38" t="s">
        <v>54</v>
      </c>
      <c r="D38" s="2" t="s">
        <v>1</v>
      </c>
      <c r="E38">
        <v>17.936</v>
      </c>
      <c r="F38">
        <f t="shared" si="7"/>
        <v>16726137377341.658</v>
      </c>
      <c r="G38">
        <f>5.05*5.05</f>
        <v>25.502499999999998</v>
      </c>
      <c r="H38">
        <f t="shared" si="9"/>
        <v>5.9942173982334388E-10</v>
      </c>
      <c r="I38">
        <f>'Average RMS values'!$B$25*SQRT(Calculations!G53/'Average RMS values'!$A$6)</f>
        <v>1.9844167820436E-2</v>
      </c>
      <c r="J38">
        <f>'Average RMS values'!$B$25*SQRT(Calculations!H53/'Average RMS values'!$A$6)</f>
        <v>2.0038111737655503E-2</v>
      </c>
      <c r="K38">
        <f>'Average RMS values'!$B$25*SQRT(Calculations!I53/'Average RMS values'!$A$6)</f>
        <v>2.152732904412441E-2</v>
      </c>
      <c r="L38">
        <f>'Average RMS values'!$B$25*SQRT(Calculations!J53/'Average RMS values'!$A$6)</f>
        <v>1.9061913397330519E-2</v>
      </c>
      <c r="M38">
        <f>'Average RMS values'!$B$25*SQRT(Calculations!K53/'Average RMS values'!$A$6)</f>
        <v>2.5948103974501008E-2</v>
      </c>
      <c r="N38">
        <f>'Average RMS values'!$B$25*SQRT(Calculations!L53/'Average RMS values'!$A$6)</f>
        <v>1.2320827257748952E-2</v>
      </c>
      <c r="O38">
        <f>'Average RMS values'!$B$25*SQRT(Calculations!M53/'Average RMS values'!$A$6)</f>
        <v>1.9118898102454748E-2</v>
      </c>
    </row>
    <row r="39" spans="1:16" x14ac:dyDescent="0.3">
      <c r="A39" t="s">
        <v>30</v>
      </c>
      <c r="B39">
        <v>600</v>
      </c>
      <c r="C39" t="s">
        <v>55</v>
      </c>
      <c r="D39" s="2" t="s">
        <v>28</v>
      </c>
      <c r="E39">
        <v>17.035</v>
      </c>
      <c r="F39">
        <f t="shared" si="7"/>
        <v>17610801291458.762</v>
      </c>
      <c r="G39">
        <f>2.26*2.26</f>
        <v>5.1075999999999988</v>
      </c>
      <c r="H39">
        <f t="shared" si="9"/>
        <v>1.2005122942149636E-10</v>
      </c>
      <c r="I39">
        <f>'Average RMS values'!$B$26*SQRT(Calculations!G53/'Average RMS values'!$A$6)</f>
        <v>5.5282331689882183</v>
      </c>
      <c r="J39">
        <f>'Average RMS values'!$B$26*SQRT(Calculations!H53/'Average RMS values'!$A$6)</f>
        <v>5.5822625042467235</v>
      </c>
      <c r="K39">
        <f>'Average RMS values'!$B$26*SQRT(Calculations!I53/'Average RMS values'!$A$6)</f>
        <v>5.9971320308476033</v>
      </c>
      <c r="L39">
        <f>'Average RMS values'!$B$26*SQRT(Calculations!J53/'Average RMS values'!$A$6)</f>
        <v>5.3103109619432853</v>
      </c>
      <c r="M39">
        <f>'Average RMS values'!$B$26*SQRT(Calculations!K53/'Average RMS values'!$A$6)</f>
        <v>7.2286815129867108</v>
      </c>
      <c r="N39">
        <f>'Average RMS values'!$B$26*SQRT(Calculations!L53/'Average RMS values'!$A$6)</f>
        <v>3.4323639334232059</v>
      </c>
      <c r="O39">
        <f>'Average RMS values'!$B$26*SQRT(Calculations!M53/'Average RMS values'!$A$6)</f>
        <v>5.3261858900250942</v>
      </c>
      <c r="P39" t="s">
        <v>80</v>
      </c>
    </row>
    <row r="40" spans="1:16" x14ac:dyDescent="0.3">
      <c r="A40" t="s">
        <v>31</v>
      </c>
      <c r="B40">
        <v>600</v>
      </c>
      <c r="C40" t="s">
        <v>55</v>
      </c>
      <c r="D40" s="2" t="s">
        <v>3</v>
      </c>
      <c r="E40">
        <v>12.811999999999999</v>
      </c>
      <c r="F40">
        <f t="shared" si="7"/>
        <v>23415547923821.418</v>
      </c>
      <c r="G40">
        <f t="shared" ref="G40:G41" si="11">2.26*2.26</f>
        <v>5.1075999999999988</v>
      </c>
      <c r="H40">
        <f t="shared" si="9"/>
        <v>1.2005122942149636E-10</v>
      </c>
      <c r="I40">
        <f>'Average RMS values'!$B$27*SQRT(Calculations!G53/'Average RMS values'!$A$6)</f>
        <v>10.34527108875071</v>
      </c>
      <c r="J40">
        <f>'Average RMS values'!$B$27*SQRT(Calculations!H53/'Average RMS values'!$A$6)</f>
        <v>10.446379002058306</v>
      </c>
      <c r="K40">
        <f>'Average RMS values'!$B$27*SQRT(Calculations!I53/'Average RMS values'!$A$6)</f>
        <v>11.222745987304931</v>
      </c>
      <c r="L40">
        <f>'Average RMS values'!$B$27*SQRT(Calculations!J53/'Average RMS values'!$A$6)</f>
        <v>9.9374618956100189</v>
      </c>
      <c r="M40">
        <f>'Average RMS values'!$B$27*SQRT(Calculations!K53/'Average RMS values'!$A$6)</f>
        <v>13.527408772408011</v>
      </c>
      <c r="N40">
        <f>'Average RMS values'!$B$27*SQRT(Calculations!L53/'Average RMS values'!$A$6)</f>
        <v>6.4231616650519454</v>
      </c>
      <c r="O40">
        <f>'Average RMS values'!$B$27*SQRT(Calculations!M53/'Average RMS values'!$A$6)</f>
        <v>9.9671694765858039</v>
      </c>
      <c r="P40" t="s">
        <v>81</v>
      </c>
    </row>
    <row r="41" spans="1:16" x14ac:dyDescent="0.3">
      <c r="A41" t="s">
        <v>32</v>
      </c>
      <c r="B41">
        <v>600</v>
      </c>
      <c r="C41" t="s">
        <v>55</v>
      </c>
      <c r="D41" s="2" t="s">
        <v>5</v>
      </c>
      <c r="E41">
        <v>17.035</v>
      </c>
      <c r="F41">
        <f t="shared" si="7"/>
        <v>17610801291458.762</v>
      </c>
      <c r="G41">
        <f t="shared" si="11"/>
        <v>5.1075999999999988</v>
      </c>
      <c r="H41">
        <f t="shared" si="9"/>
        <v>1.2005122942149636E-10</v>
      </c>
      <c r="I41">
        <f>'Average RMS values'!$B$28*SQRT(Calculations!G53/'Average RMS values'!$A$6)</f>
        <v>18.320934767009014</v>
      </c>
      <c r="J41">
        <f>'Average RMS values'!$B$28*SQRT(Calculations!H53/'Average RMS values'!$A$6)</f>
        <v>18.499991600633329</v>
      </c>
      <c r="K41">
        <f>'Average RMS values'!$B$28*SQRT(Calculations!I53/'Average RMS values'!$A$6)</f>
        <v>19.874896982033103</v>
      </c>
      <c r="L41">
        <f>'Average RMS values'!$B$28*SQRT(Calculations!J53/'Average RMS values'!$A$6)</f>
        <v>17.598725985738746</v>
      </c>
      <c r="M41">
        <f>'Average RMS values'!$B$28*SQRT(Calculations!K53/'Average RMS values'!$A$6)</f>
        <v>23.956334402434791</v>
      </c>
      <c r="N41">
        <f>'Average RMS values'!$B$28*SQRT(Calculations!L53/'Average RMS values'!$A$6)</f>
        <v>11.37508382852638</v>
      </c>
      <c r="O41">
        <f>'Average RMS values'!$B$28*SQRT(Calculations!M53/'Average RMS values'!$A$6)</f>
        <v>17.651336560026628</v>
      </c>
      <c r="P41" t="s">
        <v>80</v>
      </c>
    </row>
    <row r="42" spans="1:16" x14ac:dyDescent="0.3">
      <c r="A42" t="s">
        <v>33</v>
      </c>
      <c r="B42">
        <v>100</v>
      </c>
      <c r="C42" t="s">
        <v>56</v>
      </c>
      <c r="D42" s="2" t="s">
        <v>3</v>
      </c>
      <c r="E42">
        <v>12.811999999999999</v>
      </c>
      <c r="F42">
        <f t="shared" si="7"/>
        <v>23415547923821.418</v>
      </c>
      <c r="G42">
        <f>1.85*1.85</f>
        <v>3.4225000000000003</v>
      </c>
      <c r="H42">
        <f t="shared" si="9"/>
        <v>8.0443913520062538E-11</v>
      </c>
      <c r="I42">
        <f>'Average RMS values'!$B$29*SQRT(Calculations!G53/'Average RMS values'!$A$6)</f>
        <v>1.6244287660289847</v>
      </c>
      <c r="J42">
        <f>'Average RMS values'!$B$29*SQRT(Calculations!H53/'Average RMS values'!$A$6)</f>
        <v>1.6403048703321979</v>
      </c>
      <c r="K42">
        <f>'Average RMS values'!$B$29*SQRT(Calculations!I53/'Average RMS values'!$A$6)</f>
        <v>1.7622110874830637</v>
      </c>
      <c r="L42">
        <f>'Average RMS values'!$B$29*SQRT(Calculations!J53/'Average RMS values'!$A$6)</f>
        <v>1.5603940028308356</v>
      </c>
      <c r="M42">
        <f>'Average RMS values'!$B$29*SQRT(Calculations!K53/'Average RMS values'!$A$6)</f>
        <v>2.1240924236027934</v>
      </c>
      <c r="N42">
        <f>'Average RMS values'!$B$29*SQRT(Calculations!L53/'Average RMS values'!$A$6)</f>
        <v>1.0085737230134788</v>
      </c>
      <c r="O42">
        <f>'Average RMS values'!$B$29*SQRT(Calculations!M53/'Average RMS values'!$A$6)</f>
        <v>1.5650587282587343</v>
      </c>
    </row>
    <row r="43" spans="1:16" x14ac:dyDescent="0.3">
      <c r="A43" t="s">
        <v>34</v>
      </c>
      <c r="B43">
        <v>100</v>
      </c>
      <c r="C43" t="s">
        <v>56</v>
      </c>
      <c r="D43" s="2" t="s">
        <v>6</v>
      </c>
      <c r="E43">
        <v>12.279</v>
      </c>
      <c r="F43">
        <f t="shared" si="7"/>
        <v>24431956999755.68</v>
      </c>
      <c r="G43">
        <f t="shared" ref="G43:G48" si="12">1.85*1.85</f>
        <v>3.4225000000000003</v>
      </c>
      <c r="H43">
        <f t="shared" si="9"/>
        <v>8.0443913520062538E-11</v>
      </c>
      <c r="I43">
        <f>'Average RMS values'!$B$30*SQRT(Calculations!G53/'Average RMS values'!$A$6)</f>
        <v>1.2165317074603292</v>
      </c>
      <c r="J43">
        <f>'Average RMS values'!$B$30*SQRT(Calculations!H53/'Average RMS values'!$A$6)</f>
        <v>1.2284212926977416</v>
      </c>
      <c r="K43">
        <f>'Average RMS values'!$B$30*SQRT(Calculations!I53/'Average RMS values'!$A$6)</f>
        <v>1.3197166339290518</v>
      </c>
      <c r="L43">
        <f>'Average RMS values'!$B$30*SQRT(Calculations!J53/'Average RMS values'!$A$6)</f>
        <v>1.1685761913802402</v>
      </c>
      <c r="M43">
        <f>'Average RMS values'!$B$30*SQRT(Calculations!K53/'Average RMS values'!$A$6)</f>
        <v>1.5907288992461419</v>
      </c>
      <c r="N43">
        <f>'Average RMS values'!$B$30*SQRT(Calculations!L53/'Average RMS values'!$A$6)</f>
        <v>0.75531900137215124</v>
      </c>
      <c r="O43">
        <f>'Average RMS values'!$B$30*SQRT(Calculations!M53/'Average RMS values'!$A$6)</f>
        <v>1.1720695956515199</v>
      </c>
      <c r="P43" t="s">
        <v>79</v>
      </c>
    </row>
    <row r="44" spans="1:16" x14ac:dyDescent="0.3">
      <c r="A44" t="s">
        <v>35</v>
      </c>
      <c r="B44">
        <v>100</v>
      </c>
      <c r="C44" t="s">
        <v>56</v>
      </c>
      <c r="D44" s="2" t="s">
        <v>7</v>
      </c>
      <c r="E44">
        <v>9.6649999999999991</v>
      </c>
      <c r="F44">
        <f t="shared" si="7"/>
        <v>31039834454216.246</v>
      </c>
      <c r="G44">
        <f t="shared" si="12"/>
        <v>3.4225000000000003</v>
      </c>
      <c r="H44">
        <f t="shared" si="9"/>
        <v>8.0443913520062538E-11</v>
      </c>
      <c r="I44">
        <f>'Average RMS values'!$B$31*SQRT(Calculations!G53/'Average RMS values'!$A$6)</f>
        <v>2.4145386921505589</v>
      </c>
      <c r="J44">
        <f>'Average RMS values'!$B$31*SQRT(Calculations!H53/'Average RMS values'!$A$6)</f>
        <v>2.4381368141011048</v>
      </c>
      <c r="K44">
        <f>'Average RMS values'!$B$31*SQRT(Calculations!I53/'Average RMS values'!$A$6)</f>
        <v>2.6193372977911489</v>
      </c>
      <c r="L44">
        <f>'Average RMS values'!$B$31*SQRT(Calculations!J53/'Average RMS values'!$A$6)</f>
        <v>2.3193579020672894</v>
      </c>
      <c r="M44">
        <f>'Average RMS values'!$B$31*SQRT(Calculations!K53/'Average RMS values'!$A$6)</f>
        <v>3.1572349922306713</v>
      </c>
      <c r="N44">
        <f>'Average RMS values'!$B$31*SQRT(Calculations!L53/'Average RMS values'!$A$6)</f>
        <v>1.4991363912222999</v>
      </c>
      <c r="O44">
        <f>'Average RMS values'!$B$31*SQRT(Calculations!M53/'Average RMS values'!$A$6)</f>
        <v>2.3262915148359511</v>
      </c>
      <c r="P44" t="s">
        <v>79</v>
      </c>
    </row>
    <row r="45" spans="1:16" x14ac:dyDescent="0.3">
      <c r="A45" t="s">
        <v>36</v>
      </c>
      <c r="B45">
        <v>100</v>
      </c>
      <c r="C45" t="s">
        <v>56</v>
      </c>
      <c r="D45" s="2" t="s">
        <v>8</v>
      </c>
      <c r="E45">
        <v>8.0250000000000004</v>
      </c>
      <c r="F45">
        <f t="shared" si="7"/>
        <v>37383177570093.453</v>
      </c>
      <c r="G45">
        <f t="shared" si="12"/>
        <v>3.4225000000000003</v>
      </c>
      <c r="H45">
        <f t="shared" si="9"/>
        <v>8.0443913520062538E-11</v>
      </c>
      <c r="I45">
        <f>'Average RMS values'!$B$32*SQRT(Calculations!G53/'Average RMS values'!$A$6)</f>
        <v>2.5127084859985174</v>
      </c>
      <c r="J45">
        <f>'Average RMS values'!$B$32*SQRT(Calculations!H53/'Average RMS values'!$A$6)</f>
        <v>2.5372660553062807</v>
      </c>
      <c r="K45">
        <f>'Average RMS values'!$B$32*SQRT(Calculations!I53/'Average RMS values'!$A$6)</f>
        <v>2.7258337492161608</v>
      </c>
      <c r="L45">
        <f>'Average RMS values'!$B$32*SQRT(Calculations!J53/'Average RMS values'!$A$6)</f>
        <v>2.4136578558620996</v>
      </c>
      <c r="M45">
        <f>'Average RMS values'!$B$32*SQRT(Calculations!K53/'Average RMS values'!$A$6)</f>
        <v>3.2856011722071807</v>
      </c>
      <c r="N45">
        <f>'Average RMS values'!$B$32*SQRT(Calculations!L53/'Average RMS values'!$A$6)</f>
        <v>1.5600879555748202</v>
      </c>
      <c r="O45">
        <f>'Average RMS values'!$B$32*SQRT(Calculations!M53/'Average RMS values'!$A$6)</f>
        <v>2.4208733739646178</v>
      </c>
      <c r="P45" t="s">
        <v>79</v>
      </c>
    </row>
    <row r="46" spans="1:16" x14ac:dyDescent="0.3">
      <c r="A46" t="s">
        <v>37</v>
      </c>
      <c r="B46">
        <v>100</v>
      </c>
      <c r="C46" t="s">
        <v>56</v>
      </c>
      <c r="D46" s="2" t="s">
        <v>9</v>
      </c>
      <c r="E46">
        <v>6.91</v>
      </c>
      <c r="F46">
        <f t="shared" si="7"/>
        <v>43415340086830.672</v>
      </c>
      <c r="G46">
        <f t="shared" si="12"/>
        <v>3.4225000000000003</v>
      </c>
      <c r="H46">
        <f t="shared" si="9"/>
        <v>8.0443913520062538E-11</v>
      </c>
      <c r="I46">
        <f>'Average RMS values'!$B$33*SQRT(Calculations!G53/'Average RMS values'!$A$6)</f>
        <v>3.8228269644724344</v>
      </c>
      <c r="J46">
        <f>'Average RMS values'!$B$33*SQRT(Calculations!H53/'Average RMS values'!$A$6)</f>
        <v>3.8601887749071659</v>
      </c>
      <c r="K46">
        <f>'Average RMS values'!$B$33*SQRT(Calculations!I53/'Average RMS values'!$A$6)</f>
        <v>4.1470750846099866</v>
      </c>
      <c r="L46">
        <f>'Average RMS values'!$B$33*SQRT(Calculations!J53/'Average RMS values'!$A$6)</f>
        <v>3.6721316403457229</v>
      </c>
      <c r="M46">
        <f>'Average RMS values'!$B$33*SQRT(Calculations!K53/'Average RMS values'!$A$6)</f>
        <v>4.9987035207645896</v>
      </c>
      <c r="N46">
        <f>'Average RMS values'!$B$33*SQRT(Calculations!L53/'Average RMS values'!$A$6)</f>
        <v>2.3735130186222544</v>
      </c>
      <c r="O46">
        <f>'Average RMS values'!$B$33*SQRT(Calculations!M53/'Average RMS values'!$A$6)</f>
        <v>3.683109307400477</v>
      </c>
      <c r="P46" t="s">
        <v>79</v>
      </c>
    </row>
    <row r="47" spans="1:16" x14ac:dyDescent="0.3">
      <c r="A47" t="s">
        <v>38</v>
      </c>
      <c r="B47">
        <v>100</v>
      </c>
      <c r="C47" t="s">
        <v>56</v>
      </c>
      <c r="D47" s="2" t="s">
        <v>10</v>
      </c>
      <c r="E47">
        <v>6.109</v>
      </c>
      <c r="F47">
        <f t="shared" si="7"/>
        <v>49107873629071.859</v>
      </c>
      <c r="G47">
        <f t="shared" si="12"/>
        <v>3.4225000000000003</v>
      </c>
      <c r="H47">
        <f t="shared" si="9"/>
        <v>8.0443913520062538E-11</v>
      </c>
      <c r="I47">
        <f>'Average RMS values'!$B$34*SQRT(Calculations!G53/'Average RMS values'!$A$6)</f>
        <v>2.9084777906219292</v>
      </c>
      <c r="J47">
        <f>'Average RMS values'!$B$34*SQRT(Calculations!H53/'Average RMS values'!$A$6)</f>
        <v>2.9369033502605775</v>
      </c>
      <c r="K47">
        <f>'Average RMS values'!$B$34*SQRT(Calculations!I53/'Average RMS values'!$A$6)</f>
        <v>3.1551717856249515</v>
      </c>
      <c r="L47">
        <f>'Average RMS values'!$B$34*SQRT(Calculations!J53/'Average RMS values'!$A$6)</f>
        <v>2.7938259877947513</v>
      </c>
      <c r="M47">
        <f>'Average RMS values'!$B$34*SQRT(Calculations!K53/'Average RMS values'!$A$6)</f>
        <v>3.8031065248734954</v>
      </c>
      <c r="N47">
        <f>'Average RMS values'!$B$34*SQRT(Calculations!L53/'Average RMS values'!$A$6)</f>
        <v>1.8058128093609713</v>
      </c>
      <c r="O47">
        <f>'Average RMS values'!$B$34*SQRT(Calculations!M53/'Average RMS values'!$A$6)</f>
        <v>2.8021780008778236</v>
      </c>
      <c r="P47" t="s">
        <v>79</v>
      </c>
    </row>
    <row r="48" spans="1:16" x14ac:dyDescent="0.3">
      <c r="A48" t="s">
        <v>39</v>
      </c>
      <c r="B48">
        <v>100</v>
      </c>
      <c r="C48" t="s">
        <v>56</v>
      </c>
      <c r="D48" s="2" t="s">
        <v>11</v>
      </c>
      <c r="E48">
        <v>5.5110000000000001</v>
      </c>
      <c r="F48">
        <f t="shared" si="7"/>
        <v>54436581382689.164</v>
      </c>
      <c r="G48">
        <f t="shared" si="12"/>
        <v>3.4225000000000003</v>
      </c>
      <c r="H48">
        <f t="shared" si="9"/>
        <v>8.0443913520062538E-11</v>
      </c>
      <c r="I48">
        <f>'Average RMS values'!$B$35*SQRT(Calculations!G53/'Average RMS values'!$A$6)</f>
        <v>4.170157490102107</v>
      </c>
      <c r="J48">
        <f>'Average RMS values'!$B$35*SQRT(Calculations!H53/'Average RMS values'!$A$6)</f>
        <v>4.2109138819231724</v>
      </c>
      <c r="K48">
        <f>'Average RMS values'!$B$35*SQRT(Calculations!I53/'Average RMS values'!$A$6)</f>
        <v>4.5238658162726448</v>
      </c>
      <c r="L48">
        <f>'Average RMS values'!$B$35*SQRT(Calculations!J53/'Average RMS values'!$A$6)</f>
        <v>4.0057704434294115</v>
      </c>
      <c r="M48">
        <f>'Average RMS values'!$B$35*SQRT(Calculations!K53/'Average RMS values'!$A$6)</f>
        <v>5.4528706430197982</v>
      </c>
      <c r="N48">
        <f>'Average RMS values'!$B$35*SQRT(Calculations!L53/'Average RMS values'!$A$6)</f>
        <v>2.5891632512925971</v>
      </c>
      <c r="O48">
        <f>'Average RMS values'!$B$35*SQRT(Calculations!M53/'Average RMS values'!$A$6)</f>
        <v>4.0177455081963167</v>
      </c>
      <c r="P48" t="s">
        <v>79</v>
      </c>
    </row>
    <row r="49" spans="1:15" x14ac:dyDescent="0.3">
      <c r="A49" t="s">
        <v>63</v>
      </c>
      <c r="B49">
        <f>E49/C49</f>
        <v>59.600952380952378</v>
      </c>
      <c r="C49">
        <f>(12692-12482)/10000</f>
        <v>2.1000000000000001E-2</v>
      </c>
      <c r="D49" s="2" t="s">
        <v>1</v>
      </c>
      <c r="E49">
        <v>1.25162</v>
      </c>
      <c r="F49">
        <f t="shared" si="7"/>
        <v>239689362586088.41</v>
      </c>
      <c r="I49">
        <f>'Average RMS values'!$B$36*SQRT(Calculations!G53/'Average RMS values'!$A$6)</f>
        <v>4.663671194159779E-2</v>
      </c>
      <c r="J49">
        <f>'Average RMS values'!$B$36*SQRT(Calculations!H53/'Average RMS values'!$A$6)</f>
        <v>4.7092508661421763E-2</v>
      </c>
      <c r="K49">
        <f>'Average RMS values'!$B$36*SQRT(Calculations!I53/'Average RMS values'!$A$6)</f>
        <v>5.0592388281906979E-2</v>
      </c>
      <c r="L49">
        <f>'Average RMS values'!$B$36*SQRT(Calculations!J53/'Average RMS values'!$A$6)</f>
        <v>4.4798299037336765E-2</v>
      </c>
      <c r="M49">
        <f>'Average RMS values'!$B$36*SQRT(Calculations!K53/'Average RMS values'!$A$6)</f>
        <v>6.0981859327112073E-2</v>
      </c>
      <c r="N49">
        <f>'Average RMS values'!$B$36*SQRT(Calculations!L53/'Average RMS values'!$A$6)</f>
        <v>2.8955755509691081E-2</v>
      </c>
      <c r="O49">
        <f>'Average RMS values'!$B$36*SQRT(Calculations!M53/'Average RMS values'!$A$6)</f>
        <v>4.4932221472482603E-2</v>
      </c>
    </row>
    <row r="50" spans="1:15" x14ac:dyDescent="0.3">
      <c r="A50" t="s">
        <v>64</v>
      </c>
      <c r="B50">
        <f>E50/C50</f>
        <v>58.614611872146121</v>
      </c>
      <c r="C50">
        <f>(12948-12729)/10000</f>
        <v>2.1899999999999999E-2</v>
      </c>
      <c r="D50" s="2" t="s">
        <v>65</v>
      </c>
      <c r="E50">
        <v>1.28366</v>
      </c>
      <c r="F50">
        <f t="shared" si="7"/>
        <v>233706744776654.25</v>
      </c>
      <c r="I50">
        <f>'Average RMS values'!$B$37*SQRT(Calculations!G53/'Average RMS values'!$A$6)</f>
        <v>4.4434613614386137E-2</v>
      </c>
      <c r="J50">
        <f>'Average RMS values'!$B$37*SQRT(Calculations!H53/'Average RMS values'!$A$6)</f>
        <v>4.4868888465440078E-2</v>
      </c>
      <c r="K50">
        <f>'Average RMS values'!$B$37*SQRT(Calculations!I53/'Average RMS values'!$A$6)</f>
        <v>4.8203510315022319E-2</v>
      </c>
      <c r="L50">
        <f>'Average RMS values'!$B$37*SQRT(Calculations!J53/'Average RMS values'!$A$6)</f>
        <v>4.2683007129631426E-2</v>
      </c>
      <c r="M50">
        <f>'Average RMS values'!$B$37*SQRT(Calculations!K53/'Average RMS values'!$A$6)</f>
        <v>5.8102409965787971E-2</v>
      </c>
      <c r="N50">
        <f>'Average RMS values'!$B$37*SQRT(Calculations!L53/'Average RMS values'!$A$6)</f>
        <v>2.7588518881798231E-2</v>
      </c>
      <c r="O50">
        <f>'Average RMS values'!$B$37*SQRT(Calculations!M53/'Average RMS values'!$A$6)</f>
        <v>4.2810605997824686E-2</v>
      </c>
    </row>
    <row r="51" spans="1:15" x14ac:dyDescent="0.3">
      <c r="A51" t="s">
        <v>66</v>
      </c>
      <c r="B51">
        <f>E51/C51</f>
        <v>58.127561837455836</v>
      </c>
      <c r="C51">
        <f>(16592-16309)/10000</f>
        <v>2.8299999999999999E-2</v>
      </c>
      <c r="D51" s="2" t="s">
        <v>1</v>
      </c>
      <c r="E51">
        <v>1.6450100000000001</v>
      </c>
      <c r="F51">
        <f t="shared" si="7"/>
        <v>182369712038224.69</v>
      </c>
      <c r="I51">
        <f>'Average RMS values'!$B$38*SQRT(Calculations!G53/'Average RMS values'!$A$6)</f>
        <v>6.2807237815814321E-2</v>
      </c>
      <c r="J51">
        <f>'Average RMS values'!$B$38*SQRT(Calculations!H53/'Average RMS values'!$A$6)</f>
        <v>6.3421074679217163E-2</v>
      </c>
      <c r="K51">
        <f>'Average RMS values'!$B$38*SQRT(Calculations!I53/'Average RMS values'!$A$6)</f>
        <v>6.8134480974365294E-2</v>
      </c>
      <c r="L51">
        <f>'Average RMS values'!$B$38*SQRT(Calculations!J53/'Average RMS values'!$A$6)</f>
        <v>6.0331384959245449E-2</v>
      </c>
      <c r="M51">
        <f>'Average RMS values'!$B$38*SQRT(Calculations!K53/'Average RMS values'!$A$6)</f>
        <v>8.2126333134394672E-2</v>
      </c>
      <c r="N51">
        <f>'Average RMS values'!$B$38*SQRT(Calculations!L53/'Average RMS values'!$A$6)</f>
        <v>3.8995695595160702E-2</v>
      </c>
      <c r="O51">
        <f>'Average RMS values'!$B$38*SQRT(Calculations!M53/'Average RMS values'!$A$6)</f>
        <v>6.0511742833608696E-2</v>
      </c>
    </row>
    <row r="52" spans="1:15" x14ac:dyDescent="0.3">
      <c r="G52" t="s">
        <v>13</v>
      </c>
      <c r="H52" t="s">
        <v>14</v>
      </c>
      <c r="I52" t="s">
        <v>57</v>
      </c>
      <c r="J52" t="s">
        <v>15</v>
      </c>
      <c r="K52" t="s">
        <v>16</v>
      </c>
      <c r="L52" t="s">
        <v>40</v>
      </c>
      <c r="M52" t="s">
        <v>41</v>
      </c>
    </row>
    <row r="53" spans="1:15" ht="28.8" x14ac:dyDescent="0.3">
      <c r="A53" t="s">
        <v>0</v>
      </c>
      <c r="B53">
        <v>34.814</v>
      </c>
      <c r="F53" s="1" t="s">
        <v>58</v>
      </c>
      <c r="G53">
        <f>10.299*8.837</f>
        <v>91.01226299999999</v>
      </c>
      <c r="H53">
        <f>12.735*7.287</f>
        <v>92.799944999999994</v>
      </c>
      <c r="I53">
        <f>8.485*12.623</f>
        <v>107.10615499999999</v>
      </c>
      <c r="J53">
        <f>6.979*12.033</f>
        <v>83.978307000000001</v>
      </c>
      <c r="K53">
        <f>14.481*10.746</f>
        <v>155.61282600000001</v>
      </c>
      <c r="L53">
        <f>5.715*6.139</f>
        <v>35.084384999999997</v>
      </c>
      <c r="M53">
        <f>9.676*8.731</f>
        <v>84.481155999999999</v>
      </c>
    </row>
    <row r="54" spans="1:15" ht="28.8" x14ac:dyDescent="0.3">
      <c r="A54" t="s">
        <v>1</v>
      </c>
      <c r="B54">
        <v>25.988</v>
      </c>
      <c r="F54" s="1" t="s">
        <v>59</v>
      </c>
      <c r="G54">
        <f t="shared" ref="G54:M54" si="13">G53/(180/PI()*60*60)^2</f>
        <v>2.1391914138896086E-9</v>
      </c>
      <c r="H54">
        <f t="shared" si="13"/>
        <v>2.1812098612846044E-9</v>
      </c>
      <c r="I54">
        <f t="shared" si="13"/>
        <v>2.5174691805073517E-9</v>
      </c>
      <c r="J54">
        <f t="shared" si="13"/>
        <v>1.9738622836725383E-9</v>
      </c>
      <c r="K54">
        <f t="shared" si="13"/>
        <v>3.6575908597097267E-9</v>
      </c>
      <c r="L54">
        <f t="shared" si="13"/>
        <v>8.2463849023946791E-10</v>
      </c>
      <c r="M54">
        <f t="shared" si="13"/>
        <v>1.985681463064693E-9</v>
      </c>
    </row>
    <row r="55" spans="1:15" x14ac:dyDescent="0.3">
      <c r="A55" t="s">
        <v>2</v>
      </c>
      <c r="B55">
        <v>25.248999999999999</v>
      </c>
    </row>
    <row r="56" spans="1:15" x14ac:dyDescent="0.3">
      <c r="A56" t="s">
        <v>1</v>
      </c>
      <c r="B56">
        <v>17.936</v>
      </c>
    </row>
    <row r="57" spans="1:15" x14ac:dyDescent="0.3">
      <c r="A57" t="s">
        <v>3</v>
      </c>
      <c r="B57">
        <v>12.811999999999999</v>
      </c>
    </row>
    <row r="58" spans="1:15" x14ac:dyDescent="0.3">
      <c r="A58" t="s">
        <v>4</v>
      </c>
      <c r="B58">
        <v>28.219000000000001</v>
      </c>
    </row>
    <row r="59" spans="1:15" x14ac:dyDescent="0.3">
      <c r="A59" t="s">
        <v>5</v>
      </c>
      <c r="B59">
        <v>17.035</v>
      </c>
    </row>
    <row r="60" spans="1:15" x14ac:dyDescent="0.3">
      <c r="A60" t="s">
        <v>6</v>
      </c>
      <c r="B60">
        <v>12.279</v>
      </c>
    </row>
    <row r="61" spans="1:15" x14ac:dyDescent="0.3">
      <c r="A61" t="s">
        <v>7</v>
      </c>
      <c r="B61">
        <v>9.6649999999999991</v>
      </c>
    </row>
    <row r="62" spans="1:15" x14ac:dyDescent="0.3">
      <c r="A62" t="s">
        <v>8</v>
      </c>
      <c r="B62">
        <v>8.0250000000000004</v>
      </c>
    </row>
    <row r="63" spans="1:15" x14ac:dyDescent="0.3">
      <c r="A63" t="s">
        <v>9</v>
      </c>
      <c r="B63">
        <v>6.91</v>
      </c>
    </row>
    <row r="64" spans="1:15" x14ac:dyDescent="0.3">
      <c r="A64" t="s">
        <v>10</v>
      </c>
      <c r="B64">
        <v>6.109</v>
      </c>
    </row>
    <row r="65" spans="1:2" x14ac:dyDescent="0.3">
      <c r="A65" t="s">
        <v>11</v>
      </c>
      <c r="B65">
        <v>5.5110000000000001</v>
      </c>
    </row>
    <row r="66" spans="1:2" x14ac:dyDescent="0.3">
      <c r="A66" t="s">
        <v>1</v>
      </c>
      <c r="B66">
        <v>1.6439999999999999</v>
      </c>
    </row>
    <row r="67" spans="1:2" x14ac:dyDescent="0.3">
      <c r="A67" t="s">
        <v>12</v>
      </c>
      <c r="B67">
        <v>1.282</v>
      </c>
    </row>
    <row r="68" spans="1:2" x14ac:dyDescent="0.3">
      <c r="A68" t="s">
        <v>1</v>
      </c>
      <c r="B68">
        <v>1.2569999999999999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0" workbookViewId="0">
      <selection activeCell="B29" sqref="B29"/>
    </sheetView>
  </sheetViews>
  <sheetFormatPr defaultRowHeight="14.4" x14ac:dyDescent="0.3"/>
  <cols>
    <col min="1" max="1" width="17.21875" bestFit="1" customWidth="1"/>
    <col min="2" max="2" width="12.109375" bestFit="1" customWidth="1"/>
    <col min="3" max="3" width="12" bestFit="1" customWidth="1"/>
    <col min="14" max="14" width="11.109375" bestFit="1" customWidth="1"/>
  </cols>
  <sheetData>
    <row r="1" spans="1:8" x14ac:dyDescent="0.3">
      <c r="B1" t="s">
        <v>13</v>
      </c>
      <c r="C1" t="s">
        <v>14</v>
      </c>
      <c r="D1" t="s">
        <v>77</v>
      </c>
      <c r="E1" t="s">
        <v>15</v>
      </c>
      <c r="F1" t="s">
        <v>16</v>
      </c>
      <c r="G1" t="s">
        <v>40</v>
      </c>
      <c r="H1" t="s">
        <v>41</v>
      </c>
    </row>
    <row r="2" spans="1:8" ht="28.8" x14ac:dyDescent="0.3">
      <c r="A2" s="1" t="s">
        <v>58</v>
      </c>
      <c r="B2">
        <v>91.01226299999999</v>
      </c>
      <c r="C2">
        <v>234.87385600000002</v>
      </c>
      <c r="D2">
        <v>195.83802</v>
      </c>
      <c r="E2">
        <v>99.226973999999984</v>
      </c>
      <c r="F2">
        <v>184.33375999999998</v>
      </c>
      <c r="G2">
        <v>87.548469999999995</v>
      </c>
      <c r="H2">
        <v>96.097967999999995</v>
      </c>
    </row>
    <row r="3" spans="1:8" ht="28.8" x14ac:dyDescent="0.3">
      <c r="A3" s="1" t="s">
        <v>59</v>
      </c>
      <c r="B3">
        <f>B2/(180/PI()*60*60)^2</f>
        <v>2.1391914138896086E-9</v>
      </c>
      <c r="C3">
        <f>C2/(180/PI()*60*60)^2</f>
        <v>5.5205762338020806E-9</v>
      </c>
      <c r="D3">
        <f t="shared" ref="D3:H3" si="0">D2/(180/PI()*60*60)^2</f>
        <v>4.6030611380044637E-9</v>
      </c>
      <c r="E3">
        <f t="shared" si="0"/>
        <v>2.3322735179878718E-9</v>
      </c>
      <c r="F3">
        <f t="shared" si="0"/>
        <v>4.3326600579307412E-9</v>
      </c>
      <c r="G3">
        <f t="shared" si="0"/>
        <v>2.0577769319192953E-9</v>
      </c>
      <c r="H3">
        <f t="shared" si="0"/>
        <v>2.2587280138044515E-9</v>
      </c>
    </row>
    <row r="5" spans="1:8" x14ac:dyDescent="0.3">
      <c r="A5" t="s">
        <v>68</v>
      </c>
      <c r="B5" t="s">
        <v>69</v>
      </c>
      <c r="C5" t="s">
        <v>70</v>
      </c>
    </row>
    <row r="6" spans="1:8" x14ac:dyDescent="0.3">
      <c r="A6">
        <f>AVERAGE(B2:K2)</f>
        <v>141.27590157142859</v>
      </c>
      <c r="B6">
        <f>MEDIAN(B2:K2)</f>
        <v>99.226973999999984</v>
      </c>
      <c r="C6">
        <f>SQRT(AVERAGE(B2:K2))</f>
        <v>11.885953961354073</v>
      </c>
    </row>
    <row r="8" spans="1:8" x14ac:dyDescent="0.3">
      <c r="A8" t="s">
        <v>71</v>
      </c>
    </row>
    <row r="9" spans="1:8" x14ac:dyDescent="0.3">
      <c r="A9" t="s">
        <v>72</v>
      </c>
      <c r="B9" t="s">
        <v>72</v>
      </c>
      <c r="C9" t="s">
        <v>72</v>
      </c>
    </row>
    <row r="10" spans="1:8" x14ac:dyDescent="0.3">
      <c r="A10" s="5" t="s">
        <v>75</v>
      </c>
    </row>
    <row r="11" spans="1:8" x14ac:dyDescent="0.3">
      <c r="A11" t="s">
        <v>73</v>
      </c>
      <c r="B11" t="s">
        <v>73</v>
      </c>
      <c r="C11" t="s">
        <v>73</v>
      </c>
    </row>
    <row r="12" spans="1:8" x14ac:dyDescent="0.3">
      <c r="A12" s="5" t="s">
        <v>76</v>
      </c>
    </row>
    <row r="14" spans="1:8" x14ac:dyDescent="0.3">
      <c r="A14" s="4" t="s">
        <v>62</v>
      </c>
      <c r="B14" t="s">
        <v>74</v>
      </c>
    </row>
    <row r="15" spans="1:8" x14ac:dyDescent="0.3">
      <c r="A15" t="s">
        <v>44</v>
      </c>
      <c r="C15" t="s">
        <v>78</v>
      </c>
    </row>
    <row r="16" spans="1:8" x14ac:dyDescent="0.3">
      <c r="A16" t="s">
        <v>17</v>
      </c>
      <c r="B16">
        <v>11.9826</v>
      </c>
      <c r="C16" t="s">
        <v>79</v>
      </c>
    </row>
    <row r="17" spans="1:3" x14ac:dyDescent="0.3">
      <c r="A17" t="s">
        <v>19</v>
      </c>
      <c r="B17">
        <v>4.9337799999999996</v>
      </c>
    </row>
    <row r="18" spans="1:3" x14ac:dyDescent="0.3">
      <c r="A18" t="s">
        <v>21</v>
      </c>
      <c r="B18">
        <v>8.4245999999999999</v>
      </c>
      <c r="C18" t="s">
        <v>79</v>
      </c>
    </row>
    <row r="19" spans="1:3" x14ac:dyDescent="0.3">
      <c r="A19" t="s">
        <v>22</v>
      </c>
      <c r="B19">
        <v>11.5069</v>
      </c>
    </row>
    <row r="20" spans="1:3" x14ac:dyDescent="0.3">
      <c r="A20" t="s">
        <v>23</v>
      </c>
      <c r="B20">
        <v>29.924399999999999</v>
      </c>
    </row>
    <row r="21" spans="1:3" x14ac:dyDescent="0.3">
      <c r="A21" t="s">
        <v>24</v>
      </c>
      <c r="B21">
        <v>0.79175899999999999</v>
      </c>
    </row>
    <row r="22" spans="1:3" x14ac:dyDescent="0.3">
      <c r="A22" t="s">
        <v>25</v>
      </c>
      <c r="B22">
        <v>1.0624800000000001</v>
      </c>
      <c r="C22" t="s">
        <v>79</v>
      </c>
    </row>
    <row r="23" spans="1:3" x14ac:dyDescent="0.3">
      <c r="A23" t="s">
        <v>26</v>
      </c>
      <c r="B23">
        <v>1.4851000000000001</v>
      </c>
    </row>
    <row r="24" spans="1:3" x14ac:dyDescent="0.3">
      <c r="A24" s="1" t="s">
        <v>27</v>
      </c>
      <c r="B24">
        <v>0.807369</v>
      </c>
      <c r="C24" t="s">
        <v>79</v>
      </c>
    </row>
    <row r="25" spans="1:3" x14ac:dyDescent="0.3">
      <c r="A25" s="1" t="s">
        <v>29</v>
      </c>
      <c r="B25">
        <v>2.47239E-2</v>
      </c>
    </row>
    <row r="26" spans="1:3" x14ac:dyDescent="0.3">
      <c r="A26" t="s">
        <v>30</v>
      </c>
      <c r="B26">
        <v>6.8876400000000002</v>
      </c>
      <c r="C26" t="s">
        <v>80</v>
      </c>
    </row>
    <row r="27" spans="1:3" x14ac:dyDescent="0.3">
      <c r="A27" t="s">
        <v>31</v>
      </c>
      <c r="B27">
        <v>12.889200000000001</v>
      </c>
      <c r="C27" t="s">
        <v>81</v>
      </c>
    </row>
    <row r="28" spans="1:3" x14ac:dyDescent="0.3">
      <c r="A28" t="s">
        <v>32</v>
      </c>
      <c r="B28">
        <v>22.8261</v>
      </c>
      <c r="C28" t="s">
        <v>80</v>
      </c>
    </row>
    <row r="29" spans="1:3" x14ac:dyDescent="0.3">
      <c r="A29" t="s">
        <v>33</v>
      </c>
      <c r="B29">
        <v>2.0238800000000001</v>
      </c>
    </row>
    <row r="30" spans="1:3" x14ac:dyDescent="0.3">
      <c r="A30" t="s">
        <v>34</v>
      </c>
      <c r="B30">
        <v>1.5156799999999999</v>
      </c>
      <c r="C30" t="s">
        <v>79</v>
      </c>
    </row>
    <row r="31" spans="1:3" x14ac:dyDescent="0.3">
      <c r="A31" t="s">
        <v>35</v>
      </c>
      <c r="B31">
        <v>3.0082800000000001</v>
      </c>
      <c r="C31" t="s">
        <v>79</v>
      </c>
    </row>
    <row r="32" spans="1:3" x14ac:dyDescent="0.3">
      <c r="A32" t="s">
        <v>36</v>
      </c>
      <c r="B32">
        <v>3.1305900000000002</v>
      </c>
      <c r="C32" t="s">
        <v>79</v>
      </c>
    </row>
    <row r="33" spans="1:3" x14ac:dyDescent="0.3">
      <c r="A33" t="s">
        <v>37</v>
      </c>
      <c r="B33">
        <v>4.7628700000000004</v>
      </c>
      <c r="C33" t="s">
        <v>79</v>
      </c>
    </row>
    <row r="34" spans="1:3" x14ac:dyDescent="0.3">
      <c r="A34" t="s">
        <v>38</v>
      </c>
      <c r="B34">
        <v>3.6236799999999998</v>
      </c>
      <c r="C34" t="s">
        <v>79</v>
      </c>
    </row>
    <row r="35" spans="1:3" x14ac:dyDescent="0.3">
      <c r="A35" t="s">
        <v>39</v>
      </c>
      <c r="B35">
        <v>5.1956100000000003</v>
      </c>
      <c r="C35" t="s">
        <v>79</v>
      </c>
    </row>
    <row r="36" spans="1:3" x14ac:dyDescent="0.3">
      <c r="A36" t="s">
        <v>63</v>
      </c>
      <c r="B36">
        <v>5.8104799999999998E-2</v>
      </c>
    </row>
    <row r="37" spans="1:3" x14ac:dyDescent="0.3">
      <c r="A37" t="s">
        <v>64</v>
      </c>
      <c r="B37">
        <v>5.5361199999999999E-2</v>
      </c>
    </row>
    <row r="38" spans="1:3" x14ac:dyDescent="0.3">
      <c r="A38" t="s">
        <v>66</v>
      </c>
      <c r="B38">
        <v>7.8251699999999993E-2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Uncertainties</vt:lpstr>
      <vt:lpstr>Calculations</vt:lpstr>
      <vt:lpstr>Average RMS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Adam2</cp:lastModifiedBy>
  <dcterms:created xsi:type="dcterms:W3CDTF">2018-09-20T18:07:46Z</dcterms:created>
  <dcterms:modified xsi:type="dcterms:W3CDTF">2019-07-23T20:03:45Z</dcterms:modified>
</cp:coreProperties>
</file>