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r-my.sharepoint.com/personal/arubinst_ur_rochester_edu/Documents/Documents/UofR_Grad/Research/Images and Image Analysis/ngc2071_analysis/feedback_estimates/"/>
    </mc:Choice>
  </mc:AlternateContent>
  <xr:revisionPtr revIDLastSave="417" documentId="8_{B00A7E8E-96CC-45B4-A057-43EF385B672D}" xr6:coauthVersionLast="47" xr6:coauthVersionMax="47" xr10:uidLastSave="{6BF17891-B73D-4561-B932-A39FD6B0902F}"/>
  <bookViews>
    <workbookView minimized="1" xWindow="4128" yWindow="4140" windowWidth="22560" windowHeight="7176" xr2:uid="{526276AF-32E2-496E-B883-DEF4365EF1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D53" i="1"/>
  <c r="D51" i="1"/>
  <c r="E18" i="1"/>
  <c r="C37" i="1"/>
  <c r="B37" i="1"/>
  <c r="C3" i="1"/>
  <c r="D19" i="1" s="1"/>
  <c r="C4" i="1"/>
  <c r="D20" i="1" s="1"/>
  <c r="C5" i="1"/>
  <c r="D21" i="1" s="1"/>
  <c r="C6" i="1"/>
  <c r="D22" i="1" s="1"/>
  <c r="C7" i="1"/>
  <c r="D23" i="1" s="1"/>
  <c r="C8" i="1"/>
  <c r="D24" i="1" s="1"/>
  <c r="C9" i="1"/>
  <c r="D25" i="1" s="1"/>
  <c r="C10" i="1"/>
  <c r="D26" i="1" s="1"/>
  <c r="C11" i="1"/>
  <c r="D27" i="1" s="1"/>
  <c r="C12" i="1"/>
  <c r="D28" i="1" s="1"/>
  <c r="C2" i="1"/>
  <c r="D18" i="1" s="1"/>
  <c r="C18" i="1"/>
  <c r="D14" i="1"/>
  <c r="B19" i="1"/>
  <c r="B20" i="1"/>
  <c r="B21" i="1"/>
  <c r="B22" i="1"/>
  <c r="B23" i="1"/>
  <c r="B24" i="1"/>
  <c r="B25" i="1"/>
  <c r="C25" i="1" s="1"/>
  <c r="B26" i="1"/>
  <c r="B27" i="1"/>
  <c r="B28" i="1"/>
  <c r="C28" i="1" s="1"/>
  <c r="C27" i="1"/>
  <c r="C19" i="1"/>
  <c r="C21" i="1"/>
  <c r="C22" i="1"/>
  <c r="B41" i="1" s="1"/>
  <c r="C23" i="1"/>
  <c r="B42" i="1" s="1"/>
  <c r="C26" i="1"/>
  <c r="B45" i="1" s="1"/>
  <c r="C36" i="1"/>
  <c r="B36" i="1"/>
  <c r="C20" i="1"/>
  <c r="B39" i="1" s="1"/>
  <c r="C24" i="1"/>
  <c r="B43" i="1" s="1"/>
  <c r="F18" i="1" l="1"/>
  <c r="G18" i="1"/>
  <c r="E21" i="1"/>
  <c r="E25" i="1"/>
  <c r="B44" i="1"/>
  <c r="B40" i="1"/>
  <c r="B46" i="1"/>
  <c r="E27" i="1"/>
  <c r="B47" i="1"/>
  <c r="E28" i="1"/>
  <c r="E26" i="1"/>
  <c r="E24" i="1"/>
  <c r="E23" i="1"/>
  <c r="E22" i="1"/>
  <c r="E20" i="1"/>
  <c r="E19" i="1"/>
  <c r="B38" i="1"/>
  <c r="B49" i="1" s="1"/>
  <c r="C30" i="1"/>
  <c r="C47" i="1" l="1"/>
  <c r="F28" i="1"/>
  <c r="D47" i="1" s="1"/>
  <c r="G28" i="1"/>
  <c r="E47" i="1" s="1"/>
  <c r="C43" i="1"/>
  <c r="F24" i="1"/>
  <c r="D43" i="1" s="1"/>
  <c r="G24" i="1"/>
  <c r="E43" i="1" s="1"/>
  <c r="C46" i="1"/>
  <c r="F27" i="1"/>
  <c r="D46" i="1" s="1"/>
  <c r="G27" i="1"/>
  <c r="E46" i="1" s="1"/>
  <c r="G19" i="1"/>
  <c r="E38" i="1" s="1"/>
  <c r="F19" i="1"/>
  <c r="D38" i="1" s="1"/>
  <c r="C39" i="1"/>
  <c r="G20" i="1"/>
  <c r="E39" i="1" s="1"/>
  <c r="F20" i="1"/>
  <c r="D39" i="1" s="1"/>
  <c r="C41" i="1"/>
  <c r="F22" i="1"/>
  <c r="D41" i="1" s="1"/>
  <c r="G22" i="1"/>
  <c r="E41" i="1" s="1"/>
  <c r="F26" i="1"/>
  <c r="D45" i="1" s="1"/>
  <c r="G26" i="1"/>
  <c r="E45" i="1" s="1"/>
  <c r="F25" i="1"/>
  <c r="D44" i="1" s="1"/>
  <c r="G25" i="1"/>
  <c r="E44" i="1" s="1"/>
  <c r="F21" i="1"/>
  <c r="D40" i="1" s="1"/>
  <c r="G21" i="1"/>
  <c r="E40" i="1" s="1"/>
  <c r="C42" i="1"/>
  <c r="F23" i="1"/>
  <c r="D42" i="1" s="1"/>
  <c r="G23" i="1"/>
  <c r="E42" i="1" s="1"/>
  <c r="E37" i="1"/>
  <c r="D37" i="1"/>
  <c r="E32" i="1"/>
  <c r="E34" i="1" s="1"/>
  <c r="C40" i="1"/>
  <c r="C38" i="1"/>
  <c r="C44" i="1"/>
  <c r="C45" i="1"/>
  <c r="D30" i="1"/>
  <c r="E51" i="1" l="1"/>
  <c r="D49" i="1"/>
  <c r="E49" i="1"/>
  <c r="F30" i="1"/>
  <c r="E30" i="1"/>
  <c r="G30" i="1" l="1"/>
  <c r="C51" i="1"/>
  <c r="C49" i="1"/>
  <c r="C53" i="1" s="1"/>
</calcChain>
</file>

<file path=xl/sharedStrings.xml><?xml version="1.0" encoding="utf-8"?>
<sst xmlns="http://schemas.openxmlformats.org/spreadsheetml/2006/main" count="33" uniqueCount="23">
  <si>
    <t>Cross-sectional area (pc^2)</t>
  </si>
  <si>
    <t>Ellipse Minor Axis (arcsec)</t>
  </si>
  <si>
    <t>where rho (Msun/pc^3):</t>
  </si>
  <si>
    <t>Vjet (km/s)</t>
  </si>
  <si>
    <t>Mdot V</t>
  </si>
  <si>
    <t>AVG</t>
  </si>
  <si>
    <t>SUM</t>
  </si>
  <si>
    <t>Mdot to Msun/yr</t>
  </si>
  <si>
    <t>tangential speed (km/s)</t>
  </si>
  <si>
    <t>shock speed (km/s)</t>
  </si>
  <si>
    <t>convert to pc</t>
  </si>
  <si>
    <t>Pdot*A (Msun/yr * km/s)</t>
  </si>
  <si>
    <t>Kdot*A (Msun/yr * (km/s)^2)</t>
  </si>
  <si>
    <t>RATIO over Mdot_acc</t>
  </si>
  <si>
    <t>Kdot*A to Lsun</t>
  </si>
  <si>
    <t>To dyn would be * 6.31E+30</t>
  </si>
  <si>
    <t>Mdot (rho*A*vjet) to Msun/yr</t>
  </si>
  <si>
    <t>Knot Identifier</t>
  </si>
  <si>
    <t>rho (g/cm^3), muH=1, mH=1.67e-24</t>
  </si>
  <si>
    <t>Pdot*A in Msun yr km units</t>
  </si>
  <si>
    <t>MEAN</t>
  </si>
  <si>
    <t>Ratio to Vesc = 2.07 km/s</t>
  </si>
  <si>
    <t>Over 10^5 yr, protostar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</si>
</sst>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left" vertical="center"/>
    </xf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4F47-06CA-452A-B478-A8A9D26056EF}">
  <dimension ref="A1:G54"/>
  <sheetViews>
    <sheetView tabSelected="1" workbookViewId="0">
      <selection activeCell="B19" sqref="B19"/>
    </sheetView>
  </sheetViews>
  <sheetFormatPr defaultRowHeight="14.4" x14ac:dyDescent="0.3"/>
  <cols>
    <col min="1" max="1" width="27.77734375" bestFit="1" customWidth="1"/>
    <col min="2" max="3" width="24.33203125" bestFit="1" customWidth="1"/>
    <col min="4" max="4" width="27.88671875" customWidth="1"/>
    <col min="5" max="5" width="15.5546875" bestFit="1" customWidth="1"/>
    <col min="6" max="6" width="20.44140625" bestFit="1" customWidth="1"/>
    <col min="7" max="7" width="25" bestFit="1" customWidth="1"/>
    <col min="8" max="8" width="31.109375" bestFit="1" customWidth="1"/>
  </cols>
  <sheetData>
    <row r="1" spans="1:6" x14ac:dyDescent="0.3">
      <c r="A1" t="s">
        <v>8</v>
      </c>
      <c r="B1" t="s">
        <v>9</v>
      </c>
      <c r="C1" t="s">
        <v>3</v>
      </c>
    </row>
    <row r="2" spans="1:6" x14ac:dyDescent="0.3">
      <c r="A2">
        <v>290.7</v>
      </c>
      <c r="B2" s="2">
        <v>51.624230151837502</v>
      </c>
      <c r="C2">
        <f>A2+B2</f>
        <v>342.32423015183747</v>
      </c>
    </row>
    <row r="3" spans="1:6" x14ac:dyDescent="0.3">
      <c r="A3">
        <v>196.6</v>
      </c>
      <c r="B3" s="2">
        <v>50.191066007668098</v>
      </c>
      <c r="C3">
        <f t="shared" ref="C3:C12" si="0">A3+B3</f>
        <v>246.79106600766809</v>
      </c>
    </row>
    <row r="4" spans="1:6" x14ac:dyDescent="0.3">
      <c r="A4">
        <v>235.6</v>
      </c>
      <c r="B4" s="2">
        <v>46.945018700778299</v>
      </c>
      <c r="C4">
        <f t="shared" si="0"/>
        <v>282.54501870077831</v>
      </c>
    </row>
    <row r="5" spans="1:6" x14ac:dyDescent="0.3">
      <c r="A5">
        <v>141.19999999999999</v>
      </c>
      <c r="B5" s="2">
        <v>50.948835518487897</v>
      </c>
      <c r="C5">
        <f t="shared" si="0"/>
        <v>192.14883551848789</v>
      </c>
    </row>
    <row r="6" spans="1:6" x14ac:dyDescent="0.3">
      <c r="A6">
        <v>125.5</v>
      </c>
      <c r="B6" s="2">
        <v>49.052335863117101</v>
      </c>
      <c r="C6">
        <f t="shared" si="0"/>
        <v>174.55233586311709</v>
      </c>
    </row>
    <row r="7" spans="1:6" x14ac:dyDescent="0.3">
      <c r="A7">
        <v>122.4</v>
      </c>
      <c r="B7" s="2">
        <v>52.292500213274899</v>
      </c>
      <c r="C7">
        <f t="shared" si="0"/>
        <v>174.69250021327491</v>
      </c>
    </row>
    <row r="8" spans="1:6" x14ac:dyDescent="0.3">
      <c r="A8">
        <v>109.6</v>
      </c>
      <c r="B8" s="2">
        <v>52.562648915584603</v>
      </c>
      <c r="C8">
        <f t="shared" si="0"/>
        <v>162.16264891558461</v>
      </c>
    </row>
    <row r="9" spans="1:6" x14ac:dyDescent="0.3">
      <c r="A9">
        <v>85.8</v>
      </c>
      <c r="B9" s="2">
        <v>47.779424472749298</v>
      </c>
      <c r="C9">
        <f t="shared" si="0"/>
        <v>133.57942447274928</v>
      </c>
    </row>
    <row r="10" spans="1:6" x14ac:dyDescent="0.3">
      <c r="A10">
        <v>93.4</v>
      </c>
      <c r="B10" s="2">
        <v>49.313774395469601</v>
      </c>
      <c r="C10">
        <f t="shared" si="0"/>
        <v>142.71377439546961</v>
      </c>
    </row>
    <row r="11" spans="1:6" x14ac:dyDescent="0.3">
      <c r="A11">
        <v>52.4</v>
      </c>
      <c r="B11" s="2">
        <v>49.773454304513301</v>
      </c>
      <c r="C11">
        <f t="shared" si="0"/>
        <v>102.1734543045133</v>
      </c>
    </row>
    <row r="12" spans="1:6" x14ac:dyDescent="0.3">
      <c r="A12">
        <v>51.1</v>
      </c>
      <c r="B12" s="2">
        <v>48.524574463944099</v>
      </c>
      <c r="C12">
        <f t="shared" si="0"/>
        <v>99.6245744639441</v>
      </c>
    </row>
    <row r="13" spans="1:6" x14ac:dyDescent="0.3">
      <c r="D13" t="s">
        <v>18</v>
      </c>
    </row>
    <row r="14" spans="1:6" x14ac:dyDescent="0.3">
      <c r="D14" s="1">
        <f>32000*1.67E-24</f>
        <v>5.344E-20</v>
      </c>
    </row>
    <row r="15" spans="1:6" x14ac:dyDescent="0.3">
      <c r="D15" t="s">
        <v>2</v>
      </c>
    </row>
    <row r="16" spans="1:6" x14ac:dyDescent="0.3">
      <c r="D16">
        <v>789</v>
      </c>
      <c r="F16" t="s">
        <v>4</v>
      </c>
    </row>
    <row r="17" spans="1:7" x14ac:dyDescent="0.3">
      <c r="A17" t="s">
        <v>1</v>
      </c>
      <c r="B17" t="s">
        <v>10</v>
      </c>
      <c r="C17" t="s">
        <v>0</v>
      </c>
      <c r="D17" t="s">
        <v>16</v>
      </c>
      <c r="E17" t="s">
        <v>7</v>
      </c>
      <c r="F17" t="s">
        <v>11</v>
      </c>
      <c r="G17" t="s">
        <v>12</v>
      </c>
    </row>
    <row r="18" spans="1:7" x14ac:dyDescent="0.3">
      <c r="A18">
        <v>0.75</v>
      </c>
      <c r="B18">
        <f>A18*430.4/206265</f>
        <v>1.5649770925750851E-3</v>
      </c>
      <c r="C18">
        <f>PI()*(B18)^2</f>
        <v>7.6942420156898198E-6</v>
      </c>
      <c r="D18">
        <f>$D$16*C18*(C2)</f>
        <v>2.0781671994774995</v>
      </c>
      <c r="E18">
        <f>D18*0.0000000000000324078/0.0000000317</f>
        <v>2.1245686740450131E-6</v>
      </c>
      <c r="F18">
        <f>E18*(C2-A2)</f>
        <v>1.0967922220228393E-4</v>
      </c>
      <c r="G18">
        <f>E18/2*(C2^2-A2^2)</f>
        <v>3.471480259912655E-2</v>
      </c>
    </row>
    <row r="19" spans="1:7" x14ac:dyDescent="0.3">
      <c r="A19">
        <v>0.22</v>
      </c>
      <c r="B19">
        <f t="shared" ref="B19:B28" si="1">A19*430.4/206265</f>
        <v>4.5905994715535843E-4</v>
      </c>
      <c r="C19">
        <f t="shared" ref="C19" si="2">PI()*(B19)^2</f>
        <v>6.6204677966113329E-7</v>
      </c>
      <c r="D19">
        <f t="shared" ref="D19:D28" si="3">$D$16*C19*(C3)</f>
        <v>0.12891252486411722</v>
      </c>
      <c r="E19">
        <f>D19*0.0000000000000324078/0.0000000317</f>
        <v>1.3179089347922202E-7</v>
      </c>
      <c r="F19">
        <f t="shared" ref="F19:F28" si="4">E19*(C3-A3)</f>
        <v>6.6147254338251878E-6</v>
      </c>
      <c r="G19">
        <f t="shared" ref="G19:G28" si="5">E19/2*(C3^2-A3^2)</f>
        <v>1.4664550807258923E-3</v>
      </c>
    </row>
    <row r="20" spans="1:7" x14ac:dyDescent="0.3">
      <c r="A20">
        <v>0.97</v>
      </c>
      <c r="B20">
        <f t="shared" si="1"/>
        <v>2.0240370397304436E-3</v>
      </c>
      <c r="C20">
        <f t="shared" ref="C20:C28" si="6">PI()*(B20)^2</f>
        <v>1.2870244111222315E-5</v>
      </c>
      <c r="D20">
        <f t="shared" si="3"/>
        <v>2.8691380334771348</v>
      </c>
      <c r="E20">
        <f t="shared" ref="E20:E28" si="7">D20*0.0000000000000324078/0.0000000317</f>
        <v>2.9332003647104194E-6</v>
      </c>
      <c r="F20">
        <f t="shared" si="4"/>
        <v>1.3769914597446044E-4</v>
      </c>
      <c r="G20">
        <f t="shared" si="5"/>
        <v>3.5674063283009004E-2</v>
      </c>
    </row>
    <row r="21" spans="1:7" x14ac:dyDescent="0.3">
      <c r="A21">
        <v>0.45</v>
      </c>
      <c r="B21">
        <f t="shared" si="1"/>
        <v>9.3898625554505132E-4</v>
      </c>
      <c r="C21">
        <f t="shared" si="6"/>
        <v>2.7699271256483364E-6</v>
      </c>
      <c r="D21">
        <f t="shared" si="3"/>
        <v>0.41993599634321171</v>
      </c>
      <c r="E21">
        <f t="shared" si="7"/>
        <v>4.2931235906282454E-7</v>
      </c>
      <c r="F21">
        <f t="shared" si="4"/>
        <v>2.1872964767945864E-5</v>
      </c>
      <c r="G21">
        <f t="shared" si="5"/>
        <v>3.645663667365834E-3</v>
      </c>
    </row>
    <row r="22" spans="1:7" x14ac:dyDescent="0.3">
      <c r="A22">
        <v>0.49</v>
      </c>
      <c r="B22">
        <f t="shared" si="1"/>
        <v>1.0224517004823891E-3</v>
      </c>
      <c r="C22">
        <f t="shared" si="6"/>
        <v>3.2842444586082238E-6</v>
      </c>
      <c r="D22">
        <f t="shared" si="3"/>
        <v>0.45231203547669985</v>
      </c>
      <c r="E22">
        <f t="shared" si="7"/>
        <v>4.6241129284926795E-7</v>
      </c>
      <c r="F22">
        <f t="shared" si="4"/>
        <v>2.2682354043740486E-5</v>
      </c>
      <c r="G22">
        <f t="shared" si="5"/>
        <v>3.4029466568492759E-3</v>
      </c>
    </row>
    <row r="23" spans="1:7" x14ac:dyDescent="0.3">
      <c r="A23">
        <v>0.71</v>
      </c>
      <c r="B23">
        <f t="shared" si="1"/>
        <v>1.4815116476377473E-3</v>
      </c>
      <c r="C23">
        <f t="shared" si="6"/>
        <v>6.8954087113053122E-6</v>
      </c>
      <c r="D23">
        <f t="shared" si="3"/>
        <v>0.95041061215078315</v>
      </c>
      <c r="E23">
        <f t="shared" si="7"/>
        <v>9.7163145225426351E-7</v>
      </c>
      <c r="F23">
        <f t="shared" si="4"/>
        <v>5.0809037924230678E-5</v>
      </c>
      <c r="G23">
        <f t="shared" si="5"/>
        <v>7.5474920551703989E-3</v>
      </c>
    </row>
    <row r="24" spans="1:7" x14ac:dyDescent="0.3">
      <c r="A24">
        <v>0.65</v>
      </c>
      <c r="B24">
        <f t="shared" si="1"/>
        <v>1.3563134802317407E-3</v>
      </c>
      <c r="C24">
        <f t="shared" si="6"/>
        <v>5.7792306695625779E-6</v>
      </c>
      <c r="D24">
        <f t="shared" si="3"/>
        <v>0.73943135436158924</v>
      </c>
      <c r="E24">
        <f t="shared" si="7"/>
        <v>7.559414336239594E-7</v>
      </c>
      <c r="F24">
        <f t="shared" si="4"/>
        <v>3.9734284176319889E-5</v>
      </c>
      <c r="G24">
        <f t="shared" si="5"/>
        <v>5.3991471602606459E-3</v>
      </c>
    </row>
    <row r="25" spans="1:7" x14ac:dyDescent="0.3">
      <c r="A25">
        <v>0.56000000000000005</v>
      </c>
      <c r="B25">
        <f t="shared" si="1"/>
        <v>1.1685162291227304E-3</v>
      </c>
      <c r="C25">
        <f t="shared" si="6"/>
        <v>4.2896254153250277E-6</v>
      </c>
      <c r="D25">
        <f t="shared" si="3"/>
        <v>0.45210149271022548</v>
      </c>
      <c r="E25">
        <f t="shared" si="7"/>
        <v>4.621960490679636E-7</v>
      </c>
      <c r="F25">
        <f t="shared" si="4"/>
        <v>2.2083461218045891E-5</v>
      </c>
      <c r="G25">
        <f t="shared" si="5"/>
        <v>2.4223285061905934E-3</v>
      </c>
    </row>
    <row r="26" spans="1:7" x14ac:dyDescent="0.3">
      <c r="A26">
        <v>0.92</v>
      </c>
      <c r="B26">
        <f t="shared" si="1"/>
        <v>1.9197052335587716E-3</v>
      </c>
      <c r="C26">
        <f t="shared" si="6"/>
        <v>1.1577611452586428E-5</v>
      </c>
      <c r="D26">
        <f t="shared" si="3"/>
        <v>1.3036525721885488</v>
      </c>
      <c r="E26">
        <f t="shared" si="7"/>
        <v>1.3327606255196231E-6</v>
      </c>
      <c r="F26">
        <f t="shared" si="4"/>
        <v>6.5723456810039645E-5</v>
      </c>
      <c r="G26">
        <f t="shared" si="5"/>
        <v>7.7591067268680458E-3</v>
      </c>
    </row>
    <row r="27" spans="1:7" x14ac:dyDescent="0.3">
      <c r="A27">
        <v>1.26</v>
      </c>
      <c r="B27">
        <f t="shared" si="1"/>
        <v>2.6291615155261436E-3</v>
      </c>
      <c r="C27">
        <f t="shared" si="6"/>
        <v>2.1716228665082956E-5</v>
      </c>
      <c r="D27">
        <f t="shared" si="3"/>
        <v>1.7506506346736117</v>
      </c>
      <c r="E27">
        <f t="shared" si="7"/>
        <v>1.7897392945859772E-6</v>
      </c>
      <c r="F27">
        <f t="shared" si="4"/>
        <v>8.9081506996067006E-5</v>
      </c>
      <c r="G27">
        <f t="shared" si="5"/>
        <v>6.8848181255168712E-3</v>
      </c>
    </row>
    <row r="28" spans="1:7" x14ac:dyDescent="0.3">
      <c r="A28">
        <v>1.06</v>
      </c>
      <c r="B28">
        <f t="shared" si="1"/>
        <v>2.2118342908394538E-3</v>
      </c>
      <c r="C28">
        <f t="shared" si="6"/>
        <v>1.5369333917918369E-5</v>
      </c>
      <c r="D28">
        <f t="shared" si="3"/>
        <v>1.2080878842284686</v>
      </c>
      <c r="E28">
        <f t="shared" si="7"/>
        <v>1.2350621619715888E-6</v>
      </c>
      <c r="F28">
        <f t="shared" si="4"/>
        <v>5.9930865846190146E-5</v>
      </c>
      <c r="G28">
        <f t="shared" si="5"/>
        <v>4.5165271259613657E-3</v>
      </c>
    </row>
    <row r="29" spans="1:7" x14ac:dyDescent="0.3">
      <c r="C29" t="s">
        <v>5</v>
      </c>
      <c r="D29" t="s">
        <v>5</v>
      </c>
      <c r="E29" t="s">
        <v>5</v>
      </c>
      <c r="F29" t="s">
        <v>6</v>
      </c>
      <c r="G29" t="s">
        <v>6</v>
      </c>
    </row>
    <row r="30" spans="1:7" x14ac:dyDescent="0.3">
      <c r="C30">
        <f>AVERAGE(C18:C28)</f>
        <v>8.4461948475100461E-6</v>
      </c>
      <c r="D30">
        <f>AVERAGE(D18:D28)</f>
        <v>1.1229818490865355</v>
      </c>
      <c r="E30">
        <f>AVERAGE(E18:E28)</f>
        <v>1.1480558728336476E-6</v>
      </c>
      <c r="F30">
        <f>SUM(F18:F28)</f>
        <v>6.2591102539314911E-4</v>
      </c>
      <c r="G30">
        <f>SUM(G18:G28)</f>
        <v>0.11343335098704446</v>
      </c>
    </row>
    <row r="31" spans="1:7" x14ac:dyDescent="0.3">
      <c r="E31" t="s">
        <v>6</v>
      </c>
    </row>
    <row r="32" spans="1:7" x14ac:dyDescent="0.3">
      <c r="E32">
        <f>SUM(E18:E28)</f>
        <v>1.2628614601170123E-5</v>
      </c>
    </row>
    <row r="33" spans="1:5" x14ac:dyDescent="0.3">
      <c r="E33" t="s">
        <v>13</v>
      </c>
    </row>
    <row r="34" spans="1:5" x14ac:dyDescent="0.3">
      <c r="E34">
        <f>E32/0.000009</f>
        <v>1.4031794001300135</v>
      </c>
    </row>
    <row r="35" spans="1:5" x14ac:dyDescent="0.3">
      <c r="D35" t="s">
        <v>15</v>
      </c>
    </row>
    <row r="36" spans="1:5" x14ac:dyDescent="0.3">
      <c r="A36" t="s">
        <v>17</v>
      </c>
      <c r="B36" t="str">
        <f t="shared" ref="B36:B47" si="8">C17</f>
        <v>Cross-sectional area (pc^2)</v>
      </c>
      <c r="C36" s="3" t="str">
        <f t="shared" ref="C36:C47" si="9">E17</f>
        <v>Mdot to Msun/yr</v>
      </c>
      <c r="D36" s="3" t="s">
        <v>19</v>
      </c>
      <c r="E36" s="3" t="s">
        <v>14</v>
      </c>
    </row>
    <row r="37" spans="1:5" x14ac:dyDescent="0.3">
      <c r="A37">
        <v>1</v>
      </c>
      <c r="B37" s="1">
        <f>C18</f>
        <v>7.6942420156898198E-6</v>
      </c>
      <c r="C37" s="4">
        <f>E18</f>
        <v>2.1245686740450131E-6</v>
      </c>
      <c r="D37" s="4">
        <f>F18</f>
        <v>1.0967922220228393E-4</v>
      </c>
      <c r="E37" s="4">
        <f>G18 *163.9</f>
        <v>5.6897561459968413</v>
      </c>
    </row>
    <row r="38" spans="1:5" x14ac:dyDescent="0.3">
      <c r="A38">
        <v>2</v>
      </c>
      <c r="B38" s="1">
        <f t="shared" si="8"/>
        <v>6.6204677966113329E-7</v>
      </c>
      <c r="C38" s="4">
        <f t="shared" si="9"/>
        <v>1.3179089347922202E-7</v>
      </c>
      <c r="D38" s="4">
        <f t="shared" ref="D38:D47" si="10">F19</f>
        <v>6.6147254338251878E-6</v>
      </c>
      <c r="E38" s="4">
        <f t="shared" ref="E38:E47" si="11">G19 *163.9</f>
        <v>0.24035198773097377</v>
      </c>
    </row>
    <row r="39" spans="1:5" x14ac:dyDescent="0.3">
      <c r="A39">
        <v>3</v>
      </c>
      <c r="B39" s="1">
        <f t="shared" si="8"/>
        <v>1.2870244111222315E-5</v>
      </c>
      <c r="C39" s="4">
        <f t="shared" si="9"/>
        <v>2.9332003647104194E-6</v>
      </c>
      <c r="D39" s="4">
        <f t="shared" si="10"/>
        <v>1.3769914597446044E-4</v>
      </c>
      <c r="E39" s="4">
        <f t="shared" si="11"/>
        <v>5.8469789720851759</v>
      </c>
    </row>
    <row r="40" spans="1:5" x14ac:dyDescent="0.3">
      <c r="A40">
        <v>4</v>
      </c>
      <c r="B40" s="1">
        <f t="shared" si="8"/>
        <v>2.7699271256483364E-6</v>
      </c>
      <c r="C40" s="4">
        <f t="shared" si="9"/>
        <v>4.2931235906282454E-7</v>
      </c>
      <c r="D40" s="4">
        <f t="shared" si="10"/>
        <v>2.1872964767945864E-5</v>
      </c>
      <c r="E40" s="4">
        <f t="shared" si="11"/>
        <v>0.59752427508126016</v>
      </c>
    </row>
    <row r="41" spans="1:5" x14ac:dyDescent="0.3">
      <c r="A41">
        <v>5</v>
      </c>
      <c r="B41" s="1">
        <f t="shared" si="8"/>
        <v>3.2842444586082238E-6</v>
      </c>
      <c r="C41" s="4">
        <f t="shared" si="9"/>
        <v>4.6241129284926795E-7</v>
      </c>
      <c r="D41" s="4">
        <f t="shared" si="10"/>
        <v>2.2682354043740486E-5</v>
      </c>
      <c r="E41" s="4">
        <f t="shared" si="11"/>
        <v>0.55774295705759636</v>
      </c>
    </row>
    <row r="42" spans="1:5" x14ac:dyDescent="0.3">
      <c r="A42">
        <v>6</v>
      </c>
      <c r="B42" s="1">
        <f t="shared" si="8"/>
        <v>6.8954087113053122E-6</v>
      </c>
      <c r="C42" s="4">
        <f t="shared" si="9"/>
        <v>9.7163145225426351E-7</v>
      </c>
      <c r="D42" s="4">
        <f t="shared" si="10"/>
        <v>5.0809037924230678E-5</v>
      </c>
      <c r="E42" s="4">
        <f t="shared" si="11"/>
        <v>1.2370339478424284</v>
      </c>
    </row>
    <row r="43" spans="1:5" x14ac:dyDescent="0.3">
      <c r="A43">
        <v>7</v>
      </c>
      <c r="B43" s="1">
        <f t="shared" si="8"/>
        <v>5.7792306695625779E-6</v>
      </c>
      <c r="C43" s="4">
        <f t="shared" si="9"/>
        <v>7.559414336239594E-7</v>
      </c>
      <c r="D43" s="4">
        <f t="shared" si="10"/>
        <v>3.9734284176319889E-5</v>
      </c>
      <c r="E43" s="4">
        <f t="shared" si="11"/>
        <v>0.88492021956671985</v>
      </c>
    </row>
    <row r="44" spans="1:5" x14ac:dyDescent="0.3">
      <c r="A44">
        <v>8</v>
      </c>
      <c r="B44" s="1">
        <f t="shared" si="8"/>
        <v>4.2896254153250277E-6</v>
      </c>
      <c r="C44" s="4">
        <f t="shared" si="9"/>
        <v>4.621960490679636E-7</v>
      </c>
      <c r="D44" s="4">
        <f t="shared" si="10"/>
        <v>2.2083461218045891E-5</v>
      </c>
      <c r="E44" s="4">
        <f t="shared" si="11"/>
        <v>0.39701964216463825</v>
      </c>
    </row>
    <row r="45" spans="1:5" x14ac:dyDescent="0.3">
      <c r="A45">
        <v>9</v>
      </c>
      <c r="B45" s="1">
        <f t="shared" si="8"/>
        <v>1.1577611452586428E-5</v>
      </c>
      <c r="C45" s="4">
        <f t="shared" si="9"/>
        <v>1.3327606255196231E-6</v>
      </c>
      <c r="D45" s="4">
        <f t="shared" si="10"/>
        <v>6.5723456810039645E-5</v>
      </c>
      <c r="E45" s="4">
        <f t="shared" si="11"/>
        <v>1.2717175925336728</v>
      </c>
    </row>
    <row r="46" spans="1:5" x14ac:dyDescent="0.3">
      <c r="A46">
        <v>10</v>
      </c>
      <c r="B46" s="1">
        <f t="shared" si="8"/>
        <v>2.1716228665082956E-5</v>
      </c>
      <c r="C46" s="4">
        <f t="shared" si="9"/>
        <v>1.7897392945859772E-6</v>
      </c>
      <c r="D46" s="4">
        <f t="shared" si="10"/>
        <v>8.9081506996067006E-5</v>
      </c>
      <c r="E46" s="4">
        <f t="shared" si="11"/>
        <v>1.1284216907722153</v>
      </c>
    </row>
    <row r="47" spans="1:5" x14ac:dyDescent="0.3">
      <c r="A47">
        <v>11</v>
      </c>
      <c r="B47" s="1">
        <f t="shared" si="8"/>
        <v>1.5369333917918369E-5</v>
      </c>
      <c r="C47" s="4">
        <f t="shared" si="9"/>
        <v>1.2350621619715888E-6</v>
      </c>
      <c r="D47" s="4">
        <f t="shared" si="10"/>
        <v>5.9930865846190146E-5</v>
      </c>
      <c r="E47" s="4">
        <f t="shared" si="11"/>
        <v>0.74025879594506783</v>
      </c>
    </row>
    <row r="48" spans="1:5" x14ac:dyDescent="0.3">
      <c r="B48" t="s">
        <v>5</v>
      </c>
      <c r="C48" s="3" t="s">
        <v>5</v>
      </c>
      <c r="D48" s="3" t="s">
        <v>6</v>
      </c>
      <c r="E48" s="3" t="s">
        <v>6</v>
      </c>
    </row>
    <row r="49" spans="2:5" x14ac:dyDescent="0.3">
      <c r="B49" s="1">
        <f>AVERAGE(B37:B47)</f>
        <v>8.4461948475100461E-6</v>
      </c>
      <c r="C49" s="4">
        <f>AVERAGE(C37:C47)</f>
        <v>1.1480558728336476E-6</v>
      </c>
      <c r="D49" s="4">
        <f>SUM(D37:D47)</f>
        <v>6.2591102539314911E-4</v>
      </c>
      <c r="E49" s="5">
        <f>SUM(E37:E47)</f>
        <v>18.59172622677659</v>
      </c>
    </row>
    <row r="50" spans="2:5" x14ac:dyDescent="0.3">
      <c r="C50" s="3" t="s">
        <v>6</v>
      </c>
      <c r="D50" s="3" t="s">
        <v>21</v>
      </c>
      <c r="E50" s="3" t="s">
        <v>20</v>
      </c>
    </row>
    <row r="51" spans="2:5" x14ac:dyDescent="0.3">
      <c r="C51" s="4">
        <f>SUM(C37:C47)</f>
        <v>1.2628614601170123E-5</v>
      </c>
      <c r="D51" s="4">
        <f>D49/2.07</f>
        <v>3.0237247603533775E-4</v>
      </c>
      <c r="E51" s="4">
        <f>AVERAGE(E37:E47)</f>
        <v>1.6901569297069627</v>
      </c>
    </row>
    <row r="52" spans="2:5" x14ac:dyDescent="0.3">
      <c r="C52" s="3" t="s">
        <v>13</v>
      </c>
      <c r="D52" s="3" t="s">
        <v>22</v>
      </c>
      <c r="E52" s="3"/>
    </row>
    <row r="53" spans="2:5" x14ac:dyDescent="0.3">
      <c r="C53" s="4">
        <f>C49/0.000009</f>
        <v>0.12756176364818306</v>
      </c>
      <c r="D53" s="4">
        <f>D51*100000</f>
        <v>30.237247603533774</v>
      </c>
      <c r="E53" s="3"/>
    </row>
    <row r="54" spans="2:5" x14ac:dyDescent="0.3">
      <c r="C5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Rubinstein</dc:creator>
  <cp:lastModifiedBy>Adam Rubinstein</cp:lastModifiedBy>
  <dcterms:created xsi:type="dcterms:W3CDTF">2022-10-11T19:21:40Z</dcterms:created>
  <dcterms:modified xsi:type="dcterms:W3CDTF">2023-02-19T22:48:23Z</dcterms:modified>
</cp:coreProperties>
</file>