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DieseArbeitsmappe"/>
  <mc:AlternateContent xmlns:mc="http://schemas.openxmlformats.org/markup-compatibility/2006">
    <mc:Choice Requires="x15">
      <x15ac:absPath xmlns:x15ac="http://schemas.microsoft.com/office/spreadsheetml/2010/11/ac" url="C:\DEV\PERSONALSHEET_DEV\"/>
    </mc:Choice>
  </mc:AlternateContent>
  <xr:revisionPtr revIDLastSave="0" documentId="13_ncr:1_{498D9FA0-9490-4E90-96BD-7C5CC1491951}" xr6:coauthVersionLast="47" xr6:coauthVersionMax="47" xr10:uidLastSave="{00000000-0000-0000-0000-000000000000}"/>
  <bookViews>
    <workbookView xWindow="38290" yWindow="-110" windowWidth="38620" windowHeight="21100" tabRatio="677" firstSheet="1" activeTab="1" xr2:uid="{00000000-000D-0000-FFFF-FFFF00000000}"/>
  </bookViews>
  <sheets>
    <sheet name="_ADMIN" sheetId="54" state="veryHidden" r:id="rId1"/>
    <sheet name="LOHNTABELLE" sheetId="46" r:id="rId2"/>
    <sheet name="EINSTELLUNG" sheetId="2" r:id="rId3"/>
    <sheet name="Januar" sheetId="3" r:id="rId4"/>
    <sheet name="Februar" sheetId="25" r:id="rId5"/>
    <sheet name="Marz" sheetId="26" r:id="rId6"/>
    <sheet name="April" sheetId="27" r:id="rId7"/>
    <sheet name="Mai" sheetId="28" r:id="rId8"/>
    <sheet name="Juni" sheetId="37" r:id="rId9"/>
    <sheet name="Juli" sheetId="30" r:id="rId10"/>
    <sheet name="August" sheetId="31" r:id="rId11"/>
    <sheet name="September" sheetId="32" r:id="rId12"/>
    <sheet name="Oktober" sheetId="33" r:id="rId13"/>
    <sheet name="November" sheetId="36" r:id="rId14"/>
    <sheet name="Dezember" sheetId="35" r:id="rId15"/>
    <sheet name="FLUKTUATION_DATEN" sheetId="38" state="veryHidden" r:id="rId16"/>
    <sheet name="Message" sheetId="22" state="veryHidden" r:id="rId17"/>
    <sheet name="KV_DROPDOWN_HELPER" sheetId="49" state="veryHidden" r:id="rId18"/>
    <sheet name="PID_HOUR_OVERRIDES" sheetId="50" state="veryHidden" r:id="rId19"/>
    <sheet name="UBERSICHT" sheetId="15" r:id="rId20"/>
    <sheet name="FLUKTUATION" sheetId="52" r:id="rId21"/>
  </sheets>
  <functionGroups builtInGroupCount="19"/>
  <definedNames>
    <definedName name="_xleta.OR" hidden="1" xlm="1">#NAME?</definedName>
    <definedName name="_xleta.SUM" hidden="1" xlm="1">#NAME?</definedName>
    <definedName name="_xlpm.d" hidden="1" xlm="1">#NAME?</definedName>
    <definedName name="_xlpm.i" hidden="1" xlm="1">#NAME?</definedName>
    <definedName name="_xlpm.w" hidden="1" xlm="1">#NAME?</definedName>
    <definedName name="BG1_10_Hours">#REF!</definedName>
    <definedName name="BG1_10_Wages">#REF!</definedName>
    <definedName name="BG1_15_Hours">#REF!</definedName>
    <definedName name="BG1_15_Wages">#REF!</definedName>
    <definedName name="BG1_5_Hours">#REF!</definedName>
    <definedName name="BG1_5_Wages">#REF!</definedName>
    <definedName name="BG1_Hours">#REF!</definedName>
    <definedName name="BG1_Wages">#REF!</definedName>
    <definedName name="BG2_10_Hours">#REF!</definedName>
    <definedName name="BG2_15_Hours">#REF!</definedName>
    <definedName name="BG2_5_Hours">#REF!</definedName>
    <definedName name="BG2_Hours">#REF!</definedName>
    <definedName name="_xlnm.Print_Area" localSheetId="20">FLUKTUATION!$A$1:$L$82</definedName>
    <definedName name="PID_KV_CODE_LIST">KV_DROPDOWN_HELPER!$AJY$1:$AJY$12</definedName>
    <definedName name="ShowWelcomeMessage">TRUE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162" i="46" l="1"/>
  <c r="I162" i="46"/>
  <c r="J161" i="46"/>
  <c r="I161" i="46"/>
  <c r="J160" i="46"/>
  <c r="I160" i="46"/>
  <c r="J159" i="46"/>
  <c r="I159" i="46"/>
  <c r="J158" i="46"/>
  <c r="I158" i="46"/>
  <c r="J157" i="46"/>
  <c r="I157" i="46"/>
  <c r="J156" i="46"/>
  <c r="I156" i="46"/>
  <c r="J155" i="46"/>
  <c r="I155" i="46"/>
  <c r="J154" i="46"/>
  <c r="I154" i="46"/>
  <c r="J153" i="46"/>
  <c r="I153" i="46"/>
  <c r="J152" i="46"/>
  <c r="I152" i="46"/>
  <c r="J151" i="46"/>
  <c r="I151" i="46"/>
  <c r="J150" i="46"/>
  <c r="I150" i="46"/>
  <c r="J149" i="46"/>
  <c r="I149" i="46"/>
  <c r="J148" i="46"/>
  <c r="I148" i="46"/>
  <c r="J147" i="46"/>
  <c r="I147" i="46"/>
  <c r="J146" i="46"/>
  <c r="I146" i="46"/>
  <c r="J145" i="46"/>
  <c r="I145" i="46"/>
  <c r="J144" i="46"/>
  <c r="I144" i="46"/>
  <c r="J143" i="46"/>
  <c r="I143" i="46"/>
  <c r="J142" i="46"/>
  <c r="I142" i="46"/>
  <c r="J141" i="46"/>
  <c r="I141" i="46"/>
  <c r="J140" i="46"/>
  <c r="I140" i="46"/>
  <c r="J139" i="46"/>
  <c r="I139" i="46"/>
  <c r="J138" i="46"/>
  <c r="I138" i="46"/>
  <c r="J137" i="46"/>
  <c r="I137" i="46"/>
  <c r="J136" i="46"/>
  <c r="I136" i="46"/>
  <c r="J135" i="46"/>
  <c r="I135" i="46"/>
  <c r="J134" i="46"/>
  <c r="I134" i="46"/>
  <c r="J133" i="46"/>
  <c r="I133" i="46"/>
  <c r="J132" i="46"/>
  <c r="I132" i="46"/>
  <c r="J131" i="46"/>
  <c r="I131" i="46"/>
  <c r="J130" i="46"/>
  <c r="I130" i="46"/>
  <c r="J129" i="46"/>
  <c r="I129" i="46"/>
  <c r="J128" i="46"/>
  <c r="I128" i="46"/>
  <c r="J127" i="46"/>
  <c r="I127" i="46"/>
  <c r="J126" i="46"/>
  <c r="I126" i="46"/>
  <c r="J125" i="46"/>
  <c r="I125" i="46"/>
  <c r="J124" i="46"/>
  <c r="I124" i="46"/>
  <c r="J123" i="46"/>
  <c r="I123" i="46"/>
  <c r="J122" i="46"/>
  <c r="I122" i="46"/>
  <c r="J121" i="46"/>
  <c r="I121" i="46"/>
  <c r="J120" i="46"/>
  <c r="I120" i="46"/>
  <c r="J119" i="46"/>
  <c r="I119" i="46"/>
  <c r="J118" i="46"/>
  <c r="I118" i="46"/>
  <c r="J117" i="46"/>
  <c r="I117" i="46"/>
  <c r="J116" i="46"/>
  <c r="I116" i="46"/>
  <c r="J115" i="46"/>
  <c r="I115" i="46"/>
  <c r="J114" i="46"/>
  <c r="I114" i="46"/>
  <c r="J113" i="46"/>
  <c r="I113" i="46"/>
  <c r="J112" i="46"/>
  <c r="I112" i="46"/>
  <c r="J111" i="46"/>
  <c r="I111" i="46"/>
  <c r="J110" i="46"/>
  <c r="I110" i="46"/>
  <c r="J109" i="46"/>
  <c r="I109" i="46"/>
  <c r="J108" i="46"/>
  <c r="I108" i="46"/>
  <c r="J107" i="46"/>
  <c r="I107" i="46"/>
  <c r="J106" i="46"/>
  <c r="I106" i="46"/>
  <c r="J105" i="46"/>
  <c r="I105" i="46"/>
  <c r="J104" i="46"/>
  <c r="I104" i="46"/>
  <c r="J103" i="46"/>
  <c r="I103" i="46"/>
  <c r="J102" i="46"/>
  <c r="I102" i="46"/>
  <c r="J101" i="46"/>
  <c r="I101" i="46"/>
  <c r="J100" i="46"/>
  <c r="I100" i="46"/>
  <c r="J99" i="46"/>
  <c r="I99" i="46"/>
  <c r="J98" i="46"/>
  <c r="I98" i="46"/>
  <c r="J97" i="46"/>
  <c r="I97" i="46"/>
  <c r="J96" i="46"/>
  <c r="I96" i="46"/>
  <c r="J95" i="46"/>
  <c r="I95" i="46"/>
  <c r="J94" i="46"/>
  <c r="I94" i="46"/>
  <c r="J93" i="46"/>
  <c r="I93" i="46"/>
  <c r="J92" i="46"/>
  <c r="I92" i="46"/>
  <c r="J91" i="46"/>
  <c r="I91" i="46"/>
  <c r="J90" i="46"/>
  <c r="I90" i="46"/>
  <c r="J89" i="46"/>
  <c r="I89" i="46"/>
  <c r="J88" i="46"/>
  <c r="I88" i="46"/>
  <c r="J87" i="46"/>
  <c r="I87" i="46"/>
  <c r="J86" i="46"/>
  <c r="I86" i="46"/>
  <c r="J85" i="46"/>
  <c r="I85" i="46"/>
  <c r="J84" i="46"/>
  <c r="I84" i="46"/>
  <c r="J83" i="46"/>
  <c r="I83" i="46"/>
  <c r="J82" i="46"/>
  <c r="I82" i="46"/>
  <c r="J81" i="46"/>
  <c r="I81" i="46"/>
  <c r="J80" i="46"/>
  <c r="I80" i="46"/>
  <c r="J79" i="46"/>
  <c r="I79" i="46"/>
  <c r="J78" i="46"/>
  <c r="I78" i="46"/>
  <c r="J77" i="46"/>
  <c r="I77" i="46"/>
  <c r="J76" i="46"/>
  <c r="I76" i="46"/>
  <c r="J75" i="46"/>
  <c r="I75" i="46"/>
  <c r="J74" i="46"/>
  <c r="I74" i="46"/>
  <c r="J73" i="46"/>
  <c r="I73" i="46"/>
  <c r="J72" i="46"/>
  <c r="I72" i="46"/>
  <c r="J71" i="46"/>
  <c r="I71" i="46"/>
  <c r="J70" i="46"/>
  <c r="I70" i="46"/>
  <c r="J69" i="46"/>
  <c r="I69" i="46"/>
  <c r="J68" i="46"/>
  <c r="I68" i="46"/>
  <c r="J67" i="46"/>
  <c r="I67" i="46"/>
  <c r="J66" i="46"/>
  <c r="I66" i="46"/>
  <c r="J65" i="46"/>
  <c r="I65" i="46"/>
  <c r="J64" i="46"/>
  <c r="I64" i="46"/>
  <c r="J63" i="46"/>
  <c r="I63" i="46"/>
  <c r="J62" i="46"/>
  <c r="I62" i="46"/>
  <c r="J61" i="46"/>
  <c r="I61" i="46"/>
  <c r="J60" i="46"/>
  <c r="I60" i="46"/>
  <c r="J59" i="46"/>
  <c r="I59" i="46"/>
  <c r="J58" i="46"/>
  <c r="I58" i="46"/>
  <c r="J57" i="46"/>
  <c r="I57" i="46"/>
  <c r="J56" i="46"/>
  <c r="I56" i="46"/>
  <c r="J55" i="46"/>
  <c r="I55" i="46"/>
  <c r="J54" i="46"/>
  <c r="I54" i="46"/>
  <c r="J53" i="46"/>
  <c r="I53" i="46"/>
  <c r="J52" i="46"/>
  <c r="I52" i="46"/>
  <c r="J51" i="46"/>
  <c r="I51" i="46"/>
  <c r="J50" i="46"/>
  <c r="I50" i="46"/>
  <c r="J49" i="46"/>
  <c r="I49" i="46"/>
  <c r="J48" i="46"/>
  <c r="I48" i="46"/>
  <c r="J47" i="46"/>
  <c r="I47" i="46"/>
  <c r="J46" i="46"/>
  <c r="I46" i="46"/>
  <c r="J45" i="46"/>
  <c r="I45" i="46"/>
  <c r="J44" i="46"/>
  <c r="I44" i="46"/>
  <c r="J43" i="46"/>
  <c r="I43" i="46"/>
  <c r="J42" i="46"/>
  <c r="I42" i="46"/>
  <c r="J41" i="46"/>
  <c r="I41" i="46"/>
  <c r="J40" i="46"/>
  <c r="I40" i="46"/>
  <c r="J39" i="46"/>
  <c r="I39" i="46"/>
  <c r="J38" i="46"/>
  <c r="I38" i="46"/>
  <c r="J37" i="46"/>
  <c r="I37" i="46"/>
  <c r="J36" i="46"/>
  <c r="I36" i="46"/>
  <c r="J35" i="46"/>
  <c r="I35" i="46"/>
  <c r="J34" i="46"/>
  <c r="I34" i="46"/>
  <c r="J33" i="46"/>
  <c r="I33" i="46"/>
  <c r="J32" i="46"/>
  <c r="I32" i="46"/>
  <c r="J31" i="46"/>
  <c r="I31" i="46"/>
  <c r="J30" i="46"/>
  <c r="I30" i="46"/>
  <c r="J29" i="46"/>
  <c r="I29" i="46"/>
  <c r="J28" i="46"/>
  <c r="I28" i="46"/>
  <c r="J27" i="46"/>
  <c r="I27" i="46"/>
  <c r="J26" i="46"/>
  <c r="I26" i="46"/>
  <c r="J25" i="46"/>
  <c r="I25" i="46"/>
  <c r="J24" i="46"/>
  <c r="I24" i="46"/>
  <c r="J23" i="46"/>
  <c r="I23" i="46"/>
  <c r="J22" i="46"/>
  <c r="I22" i="46"/>
  <c r="J21" i="46"/>
  <c r="I21" i="46"/>
  <c r="J20" i="46"/>
  <c r="I20" i="46"/>
  <c r="J19" i="46"/>
  <c r="I19" i="46"/>
  <c r="J18" i="46"/>
  <c r="I18" i="46"/>
  <c r="J17" i="46"/>
  <c r="I17" i="46"/>
  <c r="J16" i="46"/>
  <c r="I16" i="46"/>
  <c r="J15" i="46"/>
  <c r="I15" i="46"/>
  <c r="J14" i="46"/>
  <c r="I14" i="46"/>
  <c r="J13" i="46"/>
  <c r="I13" i="46"/>
  <c r="J12" i="46"/>
  <c r="I12" i="46"/>
  <c r="J11" i="46"/>
  <c r="I11" i="46"/>
  <c r="J10" i="46"/>
  <c r="I10" i="46"/>
  <c r="J9" i="46"/>
  <c r="I9" i="46"/>
  <c r="J8" i="46"/>
  <c r="I8" i="46"/>
  <c r="J7" i="46"/>
  <c r="I7" i="46"/>
  <c r="J6" i="46"/>
  <c r="I6" i="46"/>
  <c r="J5" i="46"/>
  <c r="I5" i="46"/>
  <c r="J22" i="15"/>
  <c r="G22" i="15"/>
  <c r="J18" i="15"/>
  <c r="G18" i="15"/>
  <c r="J14" i="15"/>
  <c r="G14" i="15"/>
  <c r="J10" i="15"/>
  <c r="G10" i="15"/>
  <c r="F21" i="15"/>
  <c r="F20" i="15"/>
  <c r="F19" i="15"/>
  <c r="F17" i="15"/>
  <c r="F16" i="15"/>
  <c r="F15" i="15"/>
  <c r="F13" i="15"/>
  <c r="F12" i="15"/>
  <c r="F11" i="15"/>
  <c r="F9" i="15"/>
  <c r="F8" i="15"/>
  <c r="F7" i="15"/>
  <c r="K59" i="35"/>
  <c r="K60" i="35"/>
  <c r="K61" i="35"/>
  <c r="K62" i="35"/>
  <c r="K63" i="35"/>
  <c r="K64" i="35"/>
  <c r="K65" i="35"/>
  <c r="K66" i="35"/>
  <c r="K67" i="35"/>
  <c r="K68" i="35"/>
  <c r="K69" i="35"/>
  <c r="K70" i="35"/>
  <c r="K71" i="35"/>
  <c r="K72" i="35"/>
  <c r="K73" i="35"/>
  <c r="K74" i="35"/>
  <c r="K75" i="35"/>
  <c r="K76" i="35"/>
  <c r="K77" i="35"/>
  <c r="K78" i="35"/>
  <c r="K79" i="35"/>
  <c r="K80" i="35"/>
  <c r="K81" i="35"/>
  <c r="K82" i="35"/>
  <c r="K59" i="36"/>
  <c r="K60" i="36"/>
  <c r="K61" i="36"/>
  <c r="K62" i="36"/>
  <c r="K63" i="36"/>
  <c r="K64" i="36"/>
  <c r="K65" i="36"/>
  <c r="K66" i="36"/>
  <c r="K67" i="36"/>
  <c r="K68" i="36"/>
  <c r="K69" i="36"/>
  <c r="K70" i="36"/>
  <c r="K71" i="36"/>
  <c r="K72" i="36"/>
  <c r="K73" i="36"/>
  <c r="K74" i="36"/>
  <c r="K75" i="36"/>
  <c r="K76" i="36"/>
  <c r="K77" i="36"/>
  <c r="K78" i="36"/>
  <c r="K79" i="36"/>
  <c r="K80" i="36"/>
  <c r="K81" i="36"/>
  <c r="K82" i="36"/>
  <c r="K59" i="33"/>
  <c r="K60" i="33"/>
  <c r="K61" i="33"/>
  <c r="K62" i="33"/>
  <c r="K63" i="33"/>
  <c r="K64" i="33"/>
  <c r="K65" i="33"/>
  <c r="K66" i="33"/>
  <c r="K67" i="33"/>
  <c r="K68" i="33"/>
  <c r="K69" i="33"/>
  <c r="K70" i="33"/>
  <c r="K71" i="33"/>
  <c r="K72" i="33"/>
  <c r="K73" i="33"/>
  <c r="K74" i="33"/>
  <c r="K75" i="33"/>
  <c r="K76" i="33"/>
  <c r="K77" i="33"/>
  <c r="K78" i="33"/>
  <c r="K79" i="33"/>
  <c r="K80" i="33"/>
  <c r="K81" i="33"/>
  <c r="K82" i="33"/>
  <c r="K60" i="32"/>
  <c r="K61" i="32"/>
  <c r="K62" i="32"/>
  <c r="K63" i="32"/>
  <c r="K64" i="32"/>
  <c r="K65" i="32"/>
  <c r="K66" i="32"/>
  <c r="K67" i="32"/>
  <c r="K68" i="32"/>
  <c r="K69" i="32"/>
  <c r="K70" i="32"/>
  <c r="K71" i="32"/>
  <c r="K72" i="32"/>
  <c r="K73" i="32"/>
  <c r="K74" i="32"/>
  <c r="K75" i="32"/>
  <c r="K76" i="32"/>
  <c r="K77" i="32"/>
  <c r="K78" i="32"/>
  <c r="K79" i="32"/>
  <c r="K80" i="32"/>
  <c r="K81" i="32"/>
  <c r="K82" i="32"/>
  <c r="K60" i="31"/>
  <c r="K61" i="31"/>
  <c r="K62" i="31"/>
  <c r="K63" i="31"/>
  <c r="K64" i="31"/>
  <c r="K65" i="31"/>
  <c r="K66" i="31"/>
  <c r="K67" i="31"/>
  <c r="K68" i="31"/>
  <c r="K69" i="31"/>
  <c r="K70" i="31"/>
  <c r="K71" i="31"/>
  <c r="K72" i="31"/>
  <c r="K73" i="31"/>
  <c r="K74" i="31"/>
  <c r="K75" i="31"/>
  <c r="K76" i="31"/>
  <c r="K77" i="31"/>
  <c r="K78" i="31"/>
  <c r="K79" i="31"/>
  <c r="K80" i="31"/>
  <c r="K81" i="31"/>
  <c r="K82" i="31"/>
  <c r="K60" i="30"/>
  <c r="K61" i="30"/>
  <c r="K62" i="30"/>
  <c r="K63" i="30"/>
  <c r="K64" i="30"/>
  <c r="K65" i="30"/>
  <c r="K66" i="30"/>
  <c r="K67" i="30"/>
  <c r="K68" i="30"/>
  <c r="K69" i="30"/>
  <c r="K70" i="30"/>
  <c r="K71" i="30"/>
  <c r="K72" i="30"/>
  <c r="K73" i="30"/>
  <c r="K74" i="30"/>
  <c r="K75" i="30"/>
  <c r="K76" i="30"/>
  <c r="K77" i="30"/>
  <c r="K78" i="30"/>
  <c r="K79" i="30"/>
  <c r="K80" i="30"/>
  <c r="K81" i="30"/>
  <c r="K82" i="30"/>
  <c r="K61" i="37"/>
  <c r="K62" i="37"/>
  <c r="K63" i="37"/>
  <c r="K64" i="37"/>
  <c r="K65" i="37"/>
  <c r="K66" i="37"/>
  <c r="K67" i="37"/>
  <c r="K68" i="37"/>
  <c r="K69" i="37"/>
  <c r="K70" i="37"/>
  <c r="K71" i="37"/>
  <c r="K72" i="37"/>
  <c r="K73" i="37"/>
  <c r="K74" i="37"/>
  <c r="K75" i="37"/>
  <c r="K76" i="37"/>
  <c r="K77" i="37"/>
  <c r="K78" i="37"/>
  <c r="K79" i="37"/>
  <c r="K80" i="37"/>
  <c r="K81" i="37"/>
  <c r="K82" i="37"/>
  <c r="K63" i="28"/>
  <c r="K64" i="28"/>
  <c r="K65" i="28"/>
  <c r="K66" i="28"/>
  <c r="K67" i="28"/>
  <c r="K68" i="28"/>
  <c r="K69" i="28"/>
  <c r="K70" i="28"/>
  <c r="K71" i="28"/>
  <c r="K72" i="28"/>
  <c r="K73" i="28"/>
  <c r="K74" i="28"/>
  <c r="K75" i="28"/>
  <c r="K76" i="28"/>
  <c r="K77" i="28"/>
  <c r="K78" i="28"/>
  <c r="K79" i="28"/>
  <c r="K80" i="28"/>
  <c r="K81" i="28"/>
  <c r="K82" i="28"/>
  <c r="K66" i="27"/>
  <c r="K67" i="27"/>
  <c r="K68" i="27"/>
  <c r="K69" i="27"/>
  <c r="K70" i="27"/>
  <c r="K71" i="27"/>
  <c r="K72" i="27"/>
  <c r="K73" i="27"/>
  <c r="K74" i="27"/>
  <c r="K75" i="27"/>
  <c r="K76" i="27"/>
  <c r="K77" i="27"/>
  <c r="K78" i="27"/>
  <c r="K79" i="27"/>
  <c r="K80" i="27"/>
  <c r="K81" i="27"/>
  <c r="K82" i="27"/>
  <c r="K66" i="26"/>
  <c r="K67" i="26"/>
  <c r="K68" i="26"/>
  <c r="K69" i="26"/>
  <c r="K70" i="26"/>
  <c r="K71" i="26"/>
  <c r="K72" i="26"/>
  <c r="K73" i="26"/>
  <c r="K74" i="26"/>
  <c r="K75" i="26"/>
  <c r="K76" i="26"/>
  <c r="K77" i="26"/>
  <c r="K78" i="26"/>
  <c r="K79" i="26"/>
  <c r="K80" i="26"/>
  <c r="K81" i="26"/>
  <c r="K82" i="26"/>
  <c r="K65" i="25"/>
  <c r="K66" i="25"/>
  <c r="K67" i="25"/>
  <c r="K68" i="25"/>
  <c r="K69" i="25"/>
  <c r="K70" i="25"/>
  <c r="K71" i="25"/>
  <c r="K72" i="25"/>
  <c r="K73" i="25"/>
  <c r="K74" i="25"/>
  <c r="K75" i="25"/>
  <c r="K76" i="25"/>
  <c r="K77" i="25"/>
  <c r="K78" i="25"/>
  <c r="K79" i="25"/>
  <c r="K80" i="25"/>
  <c r="K81" i="25"/>
  <c r="K82" i="25"/>
  <c r="K56" i="3"/>
  <c r="K57" i="3"/>
  <c r="K58" i="3"/>
  <c r="K59" i="3"/>
  <c r="K60" i="3"/>
  <c r="K61" i="3"/>
  <c r="K62" i="3"/>
  <c r="K63" i="3"/>
  <c r="K64" i="3"/>
  <c r="K65" i="3"/>
  <c r="K66" i="3"/>
  <c r="K67" i="3"/>
  <c r="K68" i="3"/>
  <c r="K69" i="3"/>
  <c r="K70" i="3"/>
  <c r="K71" i="3"/>
  <c r="K72" i="3"/>
  <c r="K73" i="3"/>
  <c r="K74" i="3"/>
  <c r="K75" i="3"/>
  <c r="K76" i="3"/>
  <c r="K77" i="3"/>
  <c r="K78" i="3"/>
  <c r="K79" i="3"/>
  <c r="K80" i="3"/>
  <c r="K81" i="3"/>
  <c r="K82" i="3"/>
  <c r="H3" i="35"/>
  <c r="H4" i="35"/>
  <c r="H5" i="35"/>
  <c r="H6" i="35"/>
  <c r="H7" i="35"/>
  <c r="H8" i="35"/>
  <c r="H9" i="35"/>
  <c r="H10" i="35"/>
  <c r="H11" i="35"/>
  <c r="H12" i="35"/>
  <c r="H13" i="35"/>
  <c r="H14" i="35"/>
  <c r="H15" i="35"/>
  <c r="H16" i="35"/>
  <c r="H17" i="35"/>
  <c r="H18" i="35"/>
  <c r="H19" i="35"/>
  <c r="H20" i="35"/>
  <c r="H21" i="35"/>
  <c r="H22" i="35"/>
  <c r="H23" i="35"/>
  <c r="H24" i="35"/>
  <c r="H25" i="35"/>
  <c r="H26" i="35"/>
  <c r="H27" i="35"/>
  <c r="H28" i="35"/>
  <c r="H29" i="35"/>
  <c r="H30" i="35"/>
  <c r="H31" i="35"/>
  <c r="H32" i="35"/>
  <c r="H33" i="35"/>
  <c r="H34" i="35"/>
  <c r="H35" i="35"/>
  <c r="H36" i="35"/>
  <c r="H37" i="35"/>
  <c r="H38" i="35"/>
  <c r="H39" i="35"/>
  <c r="H40" i="35"/>
  <c r="H41" i="35"/>
  <c r="H42" i="35"/>
  <c r="H43" i="35"/>
  <c r="H44" i="35"/>
  <c r="H45" i="35"/>
  <c r="H46" i="35"/>
  <c r="H47" i="35"/>
  <c r="H48" i="35"/>
  <c r="H49" i="35"/>
  <c r="H50" i="35"/>
  <c r="H51" i="35"/>
  <c r="H52" i="35"/>
  <c r="H53" i="35"/>
  <c r="H54" i="35"/>
  <c r="H55" i="35"/>
  <c r="H56" i="35"/>
  <c r="H57" i="35"/>
  <c r="H58" i="35"/>
  <c r="H59" i="35"/>
  <c r="H60" i="35"/>
  <c r="H61" i="35"/>
  <c r="H62" i="35"/>
  <c r="H63" i="35"/>
  <c r="H64" i="35"/>
  <c r="H65" i="35"/>
  <c r="H66" i="35"/>
  <c r="H67" i="35"/>
  <c r="H68" i="35"/>
  <c r="H69" i="35"/>
  <c r="H70" i="35"/>
  <c r="H71" i="35"/>
  <c r="H72" i="35"/>
  <c r="H73" i="35"/>
  <c r="H74" i="35"/>
  <c r="H75" i="35"/>
  <c r="H76" i="35"/>
  <c r="H77" i="35"/>
  <c r="H78" i="35"/>
  <c r="H79" i="35"/>
  <c r="H80" i="35"/>
  <c r="H81" i="35"/>
  <c r="H82" i="35"/>
  <c r="H3" i="36"/>
  <c r="H4" i="36"/>
  <c r="H5" i="36"/>
  <c r="H6" i="36"/>
  <c r="H7" i="36"/>
  <c r="H8" i="36"/>
  <c r="H9" i="36"/>
  <c r="H10" i="36"/>
  <c r="H11" i="36"/>
  <c r="H12" i="36"/>
  <c r="H13" i="36"/>
  <c r="H14" i="36"/>
  <c r="H15" i="36"/>
  <c r="H16" i="36"/>
  <c r="H17" i="36"/>
  <c r="H18" i="36"/>
  <c r="H19" i="36"/>
  <c r="H20" i="36"/>
  <c r="H21" i="36"/>
  <c r="H22" i="36"/>
  <c r="H23" i="36"/>
  <c r="H24" i="36"/>
  <c r="H25" i="36"/>
  <c r="H26" i="36"/>
  <c r="H27" i="36"/>
  <c r="H28" i="36"/>
  <c r="H29" i="36"/>
  <c r="H30" i="36"/>
  <c r="H31" i="36"/>
  <c r="H32" i="36"/>
  <c r="H33" i="36"/>
  <c r="H34" i="36"/>
  <c r="H35" i="36"/>
  <c r="H36" i="36"/>
  <c r="H37" i="36"/>
  <c r="H38" i="36"/>
  <c r="H39" i="36"/>
  <c r="H40" i="36"/>
  <c r="H41" i="36"/>
  <c r="H42" i="36"/>
  <c r="H43" i="36"/>
  <c r="H44" i="36"/>
  <c r="H45" i="36"/>
  <c r="H46" i="36"/>
  <c r="H47" i="36"/>
  <c r="H48" i="36"/>
  <c r="H49" i="36"/>
  <c r="H50" i="36"/>
  <c r="H51" i="36"/>
  <c r="H52" i="36"/>
  <c r="H53" i="36"/>
  <c r="H54" i="36"/>
  <c r="H55" i="36"/>
  <c r="H56" i="36"/>
  <c r="H57" i="36"/>
  <c r="H58" i="36"/>
  <c r="H59" i="36"/>
  <c r="H60" i="36"/>
  <c r="H61" i="36"/>
  <c r="H62" i="36"/>
  <c r="H63" i="36"/>
  <c r="H64" i="36"/>
  <c r="H65" i="36"/>
  <c r="H66" i="36"/>
  <c r="H67" i="36"/>
  <c r="H68" i="36"/>
  <c r="H69" i="36"/>
  <c r="H70" i="36"/>
  <c r="H71" i="36"/>
  <c r="H72" i="36"/>
  <c r="H73" i="36"/>
  <c r="H74" i="36"/>
  <c r="H75" i="36"/>
  <c r="H76" i="36"/>
  <c r="H77" i="36"/>
  <c r="H78" i="36"/>
  <c r="H79" i="36"/>
  <c r="H80" i="36"/>
  <c r="H81" i="36"/>
  <c r="H82" i="36"/>
  <c r="H3" i="33"/>
  <c r="H4" i="33"/>
  <c r="H5" i="33"/>
  <c r="H6" i="33"/>
  <c r="H7" i="33"/>
  <c r="H8" i="33"/>
  <c r="H9" i="33"/>
  <c r="H10" i="33"/>
  <c r="H11" i="33"/>
  <c r="H12" i="33"/>
  <c r="H13" i="33"/>
  <c r="H14" i="33"/>
  <c r="H15" i="33"/>
  <c r="H16" i="33"/>
  <c r="H17" i="33"/>
  <c r="H18" i="33"/>
  <c r="H19" i="33"/>
  <c r="H20" i="33"/>
  <c r="H21" i="33"/>
  <c r="H22" i="33"/>
  <c r="H23" i="33"/>
  <c r="H24" i="33"/>
  <c r="H25" i="33"/>
  <c r="H26" i="33"/>
  <c r="H27" i="33"/>
  <c r="H28" i="33"/>
  <c r="H29" i="33"/>
  <c r="H30" i="33"/>
  <c r="H31" i="33"/>
  <c r="H32" i="33"/>
  <c r="H33" i="33"/>
  <c r="H34" i="33"/>
  <c r="H35" i="33"/>
  <c r="H36" i="33"/>
  <c r="H37" i="33"/>
  <c r="H38" i="33"/>
  <c r="H39" i="33"/>
  <c r="H40" i="33"/>
  <c r="H41" i="33"/>
  <c r="H42" i="33"/>
  <c r="H43" i="33"/>
  <c r="H44" i="33"/>
  <c r="H45" i="33"/>
  <c r="H46" i="33"/>
  <c r="H47" i="33"/>
  <c r="H48" i="33"/>
  <c r="H49" i="33"/>
  <c r="H50" i="33"/>
  <c r="H51" i="33"/>
  <c r="H52" i="33"/>
  <c r="H53" i="33"/>
  <c r="H54" i="33"/>
  <c r="H55" i="33"/>
  <c r="H56" i="33"/>
  <c r="H57" i="33"/>
  <c r="H58" i="33"/>
  <c r="H59" i="33"/>
  <c r="H60" i="33"/>
  <c r="H61" i="33"/>
  <c r="H62" i="33"/>
  <c r="H63" i="33"/>
  <c r="H64" i="33"/>
  <c r="H65" i="33"/>
  <c r="H66" i="33"/>
  <c r="H67" i="33"/>
  <c r="H68" i="33"/>
  <c r="H69" i="33"/>
  <c r="H70" i="33"/>
  <c r="H71" i="33"/>
  <c r="H72" i="33"/>
  <c r="H73" i="33"/>
  <c r="H74" i="33"/>
  <c r="H75" i="33"/>
  <c r="H76" i="33"/>
  <c r="H77" i="33"/>
  <c r="H78" i="33"/>
  <c r="H79" i="33"/>
  <c r="H80" i="33"/>
  <c r="H81" i="33"/>
  <c r="H82" i="33"/>
  <c r="H3" i="32"/>
  <c r="H4" i="32"/>
  <c r="H5" i="32"/>
  <c r="H6" i="32"/>
  <c r="H7" i="32"/>
  <c r="H8" i="32"/>
  <c r="H9" i="32"/>
  <c r="H10" i="32"/>
  <c r="H11" i="32"/>
  <c r="H12" i="32"/>
  <c r="H13" i="32"/>
  <c r="H14" i="32"/>
  <c r="H15" i="32"/>
  <c r="H16" i="32"/>
  <c r="H17" i="32"/>
  <c r="H18" i="32"/>
  <c r="H19" i="32"/>
  <c r="H20" i="32"/>
  <c r="H21" i="32"/>
  <c r="H22" i="32"/>
  <c r="H23" i="32"/>
  <c r="H24" i="32"/>
  <c r="H25" i="32"/>
  <c r="H26" i="32"/>
  <c r="H27" i="32"/>
  <c r="H28" i="32"/>
  <c r="H29" i="32"/>
  <c r="H30" i="32"/>
  <c r="H31" i="32"/>
  <c r="H32" i="32"/>
  <c r="H33" i="32"/>
  <c r="H34" i="32"/>
  <c r="H35" i="32"/>
  <c r="H36" i="32"/>
  <c r="H37" i="32"/>
  <c r="H38" i="32"/>
  <c r="H39" i="32"/>
  <c r="H40" i="32"/>
  <c r="H41" i="32"/>
  <c r="H42" i="32"/>
  <c r="H43" i="32"/>
  <c r="H44" i="32"/>
  <c r="H45" i="32"/>
  <c r="H46" i="32"/>
  <c r="H47" i="32"/>
  <c r="H48" i="32"/>
  <c r="H49" i="32"/>
  <c r="H50" i="32"/>
  <c r="H51" i="32"/>
  <c r="H52" i="32"/>
  <c r="H53" i="32"/>
  <c r="H54" i="32"/>
  <c r="H55" i="32"/>
  <c r="H56" i="32"/>
  <c r="H57" i="32"/>
  <c r="H58" i="32"/>
  <c r="H59" i="32"/>
  <c r="H60" i="32"/>
  <c r="H61" i="32"/>
  <c r="H62" i="32"/>
  <c r="H63" i="32"/>
  <c r="H64" i="32"/>
  <c r="H65" i="32"/>
  <c r="H66" i="32"/>
  <c r="H67" i="32"/>
  <c r="H68" i="32"/>
  <c r="H69" i="32"/>
  <c r="H70" i="32"/>
  <c r="H71" i="32"/>
  <c r="H72" i="32"/>
  <c r="H73" i="32"/>
  <c r="H74" i="32"/>
  <c r="H75" i="32"/>
  <c r="H76" i="32"/>
  <c r="H77" i="32"/>
  <c r="H78" i="32"/>
  <c r="H79" i="32"/>
  <c r="H80" i="32"/>
  <c r="H81" i="32"/>
  <c r="H82" i="32"/>
  <c r="H3" i="31"/>
  <c r="H4" i="31"/>
  <c r="H5" i="31"/>
  <c r="H6" i="31"/>
  <c r="H7" i="31"/>
  <c r="H8" i="31"/>
  <c r="H9" i="31"/>
  <c r="H10" i="31"/>
  <c r="H11" i="31"/>
  <c r="H12" i="31"/>
  <c r="H13" i="31"/>
  <c r="H14" i="31"/>
  <c r="H15" i="31"/>
  <c r="H16" i="31"/>
  <c r="H17" i="31"/>
  <c r="H18" i="31"/>
  <c r="H19" i="31"/>
  <c r="H20" i="31"/>
  <c r="H21" i="31"/>
  <c r="H22" i="31"/>
  <c r="H23" i="31"/>
  <c r="H24" i="31"/>
  <c r="H25" i="31"/>
  <c r="H26" i="31"/>
  <c r="H27" i="31"/>
  <c r="H28" i="31"/>
  <c r="H29" i="31"/>
  <c r="H30" i="31"/>
  <c r="H31" i="31"/>
  <c r="H32" i="31"/>
  <c r="H33" i="31"/>
  <c r="H34" i="31"/>
  <c r="H35" i="31"/>
  <c r="H36" i="31"/>
  <c r="H37" i="31"/>
  <c r="H38" i="31"/>
  <c r="H39" i="31"/>
  <c r="H40" i="31"/>
  <c r="H41" i="31"/>
  <c r="H42" i="31"/>
  <c r="H43" i="31"/>
  <c r="H44" i="31"/>
  <c r="H45" i="31"/>
  <c r="H46" i="31"/>
  <c r="H47" i="31"/>
  <c r="H48" i="31"/>
  <c r="H49" i="31"/>
  <c r="H50" i="31"/>
  <c r="H51" i="31"/>
  <c r="H52" i="31"/>
  <c r="H53" i="31"/>
  <c r="H54" i="31"/>
  <c r="H55" i="31"/>
  <c r="H56" i="31"/>
  <c r="H57" i="31"/>
  <c r="H58" i="31"/>
  <c r="H59" i="31"/>
  <c r="H60" i="31"/>
  <c r="H61" i="31"/>
  <c r="H62" i="31"/>
  <c r="H63" i="31"/>
  <c r="H64" i="31"/>
  <c r="H65" i="31"/>
  <c r="H66" i="31"/>
  <c r="H67" i="31"/>
  <c r="H68" i="31"/>
  <c r="H69" i="31"/>
  <c r="H70" i="31"/>
  <c r="H71" i="31"/>
  <c r="H72" i="31"/>
  <c r="H73" i="31"/>
  <c r="H74" i="31"/>
  <c r="H75" i="31"/>
  <c r="H76" i="31"/>
  <c r="H77" i="31"/>
  <c r="H78" i="31"/>
  <c r="H79" i="31"/>
  <c r="H80" i="31"/>
  <c r="H81" i="31"/>
  <c r="H82" i="31"/>
  <c r="H3" i="30"/>
  <c r="H4" i="30"/>
  <c r="H5" i="30"/>
  <c r="H6" i="30"/>
  <c r="H7" i="30"/>
  <c r="H8" i="30"/>
  <c r="H9" i="30"/>
  <c r="H10" i="30"/>
  <c r="H11" i="30"/>
  <c r="H12" i="30"/>
  <c r="H13" i="30"/>
  <c r="H14" i="30"/>
  <c r="H15" i="30"/>
  <c r="H16" i="30"/>
  <c r="H17" i="30"/>
  <c r="H18" i="30"/>
  <c r="H19" i="30"/>
  <c r="H20" i="30"/>
  <c r="H21" i="30"/>
  <c r="H22" i="30"/>
  <c r="H23" i="30"/>
  <c r="H24" i="30"/>
  <c r="H25" i="30"/>
  <c r="H26" i="30"/>
  <c r="H27" i="30"/>
  <c r="H28" i="30"/>
  <c r="H29" i="30"/>
  <c r="H30" i="30"/>
  <c r="H31" i="30"/>
  <c r="H32" i="30"/>
  <c r="H33" i="30"/>
  <c r="H34" i="30"/>
  <c r="H35" i="30"/>
  <c r="H36" i="30"/>
  <c r="H37" i="30"/>
  <c r="H38" i="30"/>
  <c r="H39" i="30"/>
  <c r="H40" i="30"/>
  <c r="H41" i="30"/>
  <c r="H42" i="30"/>
  <c r="H43" i="30"/>
  <c r="H44" i="30"/>
  <c r="H45" i="30"/>
  <c r="H46" i="30"/>
  <c r="H47" i="30"/>
  <c r="H48" i="30"/>
  <c r="H49" i="30"/>
  <c r="H50" i="30"/>
  <c r="H51" i="30"/>
  <c r="H52" i="30"/>
  <c r="H53" i="30"/>
  <c r="H54" i="30"/>
  <c r="H55" i="30"/>
  <c r="H56" i="30"/>
  <c r="H57" i="30"/>
  <c r="H58" i="30"/>
  <c r="H59" i="30"/>
  <c r="H60" i="30"/>
  <c r="H61" i="30"/>
  <c r="H62" i="30"/>
  <c r="H63" i="30"/>
  <c r="H64" i="30"/>
  <c r="H65" i="30"/>
  <c r="H66" i="30"/>
  <c r="H67" i="30"/>
  <c r="H68" i="30"/>
  <c r="H69" i="30"/>
  <c r="H70" i="30"/>
  <c r="H71" i="30"/>
  <c r="H72" i="30"/>
  <c r="H73" i="30"/>
  <c r="H74" i="30"/>
  <c r="H75" i="30"/>
  <c r="H76" i="30"/>
  <c r="H77" i="30"/>
  <c r="H78" i="30"/>
  <c r="H79" i="30"/>
  <c r="H80" i="30"/>
  <c r="H81" i="30"/>
  <c r="H82" i="30"/>
  <c r="H3" i="37"/>
  <c r="H4" i="37"/>
  <c r="H5" i="37"/>
  <c r="H6" i="37"/>
  <c r="H7" i="37"/>
  <c r="H8" i="37"/>
  <c r="H9" i="37"/>
  <c r="H10" i="37"/>
  <c r="H11" i="37"/>
  <c r="H12" i="37"/>
  <c r="H13" i="37"/>
  <c r="H14" i="37"/>
  <c r="H15" i="37"/>
  <c r="H16" i="37"/>
  <c r="H17" i="37"/>
  <c r="H18" i="37"/>
  <c r="H19" i="37"/>
  <c r="H20" i="37"/>
  <c r="H21" i="37"/>
  <c r="H22" i="37"/>
  <c r="H23" i="37"/>
  <c r="H24" i="37"/>
  <c r="H25" i="37"/>
  <c r="H26" i="37"/>
  <c r="H27" i="37"/>
  <c r="H28" i="37"/>
  <c r="H29" i="37"/>
  <c r="H30" i="37"/>
  <c r="H31" i="37"/>
  <c r="H32" i="37"/>
  <c r="H33" i="37"/>
  <c r="H34" i="37"/>
  <c r="H35" i="37"/>
  <c r="H36" i="37"/>
  <c r="H37" i="37"/>
  <c r="H38" i="37"/>
  <c r="H39" i="37"/>
  <c r="H40" i="37"/>
  <c r="H41" i="37"/>
  <c r="H42" i="37"/>
  <c r="H43" i="37"/>
  <c r="H44" i="37"/>
  <c r="H45" i="37"/>
  <c r="H46" i="37"/>
  <c r="H47" i="37"/>
  <c r="H48" i="37"/>
  <c r="H49" i="37"/>
  <c r="H50" i="37"/>
  <c r="H51" i="37"/>
  <c r="H52" i="37"/>
  <c r="H53" i="37"/>
  <c r="H54" i="37"/>
  <c r="H55" i="37"/>
  <c r="H56" i="37"/>
  <c r="H57" i="37"/>
  <c r="H58" i="37"/>
  <c r="H59" i="37"/>
  <c r="H60" i="37"/>
  <c r="H61" i="37"/>
  <c r="H62" i="37"/>
  <c r="H63" i="37"/>
  <c r="H64" i="37"/>
  <c r="H65" i="37"/>
  <c r="H66" i="37"/>
  <c r="H67" i="37"/>
  <c r="H68" i="37"/>
  <c r="H69" i="37"/>
  <c r="H70" i="37"/>
  <c r="H71" i="37"/>
  <c r="H72" i="37"/>
  <c r="H73" i="37"/>
  <c r="H74" i="37"/>
  <c r="H75" i="37"/>
  <c r="H76" i="37"/>
  <c r="H77" i="37"/>
  <c r="H78" i="37"/>
  <c r="H79" i="37"/>
  <c r="H80" i="37"/>
  <c r="H81" i="37"/>
  <c r="H82" i="37"/>
  <c r="H3" i="28"/>
  <c r="H4" i="28"/>
  <c r="H5" i="28"/>
  <c r="H6" i="28"/>
  <c r="H7" i="28"/>
  <c r="H8" i="28"/>
  <c r="H9" i="28"/>
  <c r="H10" i="28"/>
  <c r="H11" i="28"/>
  <c r="H12" i="28"/>
  <c r="H13" i="28"/>
  <c r="H14" i="28"/>
  <c r="H15" i="28"/>
  <c r="H16" i="28"/>
  <c r="H17" i="28"/>
  <c r="H18" i="28"/>
  <c r="H19" i="28"/>
  <c r="H20" i="28"/>
  <c r="H21" i="28"/>
  <c r="H22" i="28"/>
  <c r="H23" i="28"/>
  <c r="H24" i="28"/>
  <c r="H25" i="28"/>
  <c r="H26" i="28"/>
  <c r="H27" i="28"/>
  <c r="H28" i="28"/>
  <c r="H29" i="28"/>
  <c r="H30" i="28"/>
  <c r="H31" i="28"/>
  <c r="H32" i="28"/>
  <c r="H33" i="28"/>
  <c r="H34" i="28"/>
  <c r="H35" i="28"/>
  <c r="H36" i="28"/>
  <c r="H37" i="28"/>
  <c r="H38" i="28"/>
  <c r="H39" i="28"/>
  <c r="H40" i="28"/>
  <c r="H41" i="28"/>
  <c r="H42" i="28"/>
  <c r="H43" i="28"/>
  <c r="H44" i="28"/>
  <c r="H45" i="28"/>
  <c r="H46" i="28"/>
  <c r="H47" i="28"/>
  <c r="H48" i="28"/>
  <c r="H49" i="28"/>
  <c r="H50" i="28"/>
  <c r="H51" i="28"/>
  <c r="H52" i="28"/>
  <c r="H53" i="28"/>
  <c r="H54" i="28"/>
  <c r="H55" i="28"/>
  <c r="H56" i="28"/>
  <c r="H57" i="28"/>
  <c r="H58" i="28"/>
  <c r="H59" i="28"/>
  <c r="H60" i="28"/>
  <c r="H61" i="28"/>
  <c r="H62" i="28"/>
  <c r="H63" i="28"/>
  <c r="H64" i="28"/>
  <c r="H65" i="28"/>
  <c r="H66" i="28"/>
  <c r="H67" i="28"/>
  <c r="H68" i="28"/>
  <c r="H69" i="28"/>
  <c r="H70" i="28"/>
  <c r="H71" i="28"/>
  <c r="H72" i="28"/>
  <c r="H73" i="28"/>
  <c r="H74" i="28"/>
  <c r="H75" i="28"/>
  <c r="H76" i="28"/>
  <c r="H77" i="28"/>
  <c r="H78" i="28"/>
  <c r="H79" i="28"/>
  <c r="H80" i="28"/>
  <c r="H81" i="28"/>
  <c r="H82" i="28"/>
  <c r="H3" i="27"/>
  <c r="H4" i="27"/>
  <c r="H5" i="27"/>
  <c r="H6" i="27"/>
  <c r="H7" i="27"/>
  <c r="H8" i="27"/>
  <c r="H9" i="27"/>
  <c r="H10" i="27"/>
  <c r="H11" i="27"/>
  <c r="H12" i="27"/>
  <c r="H13" i="27"/>
  <c r="H14" i="27"/>
  <c r="H15" i="27"/>
  <c r="H16" i="27"/>
  <c r="H17" i="27"/>
  <c r="H18" i="27"/>
  <c r="H19" i="27"/>
  <c r="H20" i="27"/>
  <c r="H21" i="27"/>
  <c r="H22" i="27"/>
  <c r="H23" i="27"/>
  <c r="H24" i="27"/>
  <c r="H25" i="27"/>
  <c r="H26" i="27"/>
  <c r="H27" i="27"/>
  <c r="H28" i="27"/>
  <c r="H29" i="27"/>
  <c r="H30" i="27"/>
  <c r="H31" i="27"/>
  <c r="H32" i="27"/>
  <c r="H33" i="27"/>
  <c r="H34" i="27"/>
  <c r="H35" i="27"/>
  <c r="H36" i="27"/>
  <c r="H37" i="27"/>
  <c r="H38" i="27"/>
  <c r="H39" i="27"/>
  <c r="H40" i="27"/>
  <c r="H41" i="27"/>
  <c r="H42" i="27"/>
  <c r="H43" i="27"/>
  <c r="H44" i="27"/>
  <c r="H45" i="27"/>
  <c r="H46" i="27"/>
  <c r="H47" i="27"/>
  <c r="H48" i="27"/>
  <c r="H49" i="27"/>
  <c r="H50" i="27"/>
  <c r="H51" i="27"/>
  <c r="H52" i="27"/>
  <c r="H53" i="27"/>
  <c r="H54" i="27"/>
  <c r="H55" i="27"/>
  <c r="H56" i="27"/>
  <c r="H57" i="27"/>
  <c r="H58" i="27"/>
  <c r="H59" i="27"/>
  <c r="H60" i="27"/>
  <c r="H61" i="27"/>
  <c r="H62" i="27"/>
  <c r="H63" i="27"/>
  <c r="H64" i="27"/>
  <c r="H65" i="27"/>
  <c r="H66" i="27"/>
  <c r="H67" i="27"/>
  <c r="H68" i="27"/>
  <c r="H69" i="27"/>
  <c r="H70" i="27"/>
  <c r="H71" i="27"/>
  <c r="H72" i="27"/>
  <c r="H73" i="27"/>
  <c r="H74" i="27"/>
  <c r="H75" i="27"/>
  <c r="H76" i="27"/>
  <c r="H77" i="27"/>
  <c r="H78" i="27"/>
  <c r="H79" i="27"/>
  <c r="H80" i="27"/>
  <c r="H81" i="27"/>
  <c r="H82" i="27"/>
  <c r="H3" i="26"/>
  <c r="H4" i="26"/>
  <c r="H5" i="26"/>
  <c r="H6" i="26"/>
  <c r="H7" i="26"/>
  <c r="H8" i="26"/>
  <c r="H9" i="26"/>
  <c r="H10" i="26"/>
  <c r="H11" i="26"/>
  <c r="H12" i="26"/>
  <c r="H13" i="26"/>
  <c r="H14" i="26"/>
  <c r="H15" i="26"/>
  <c r="H16" i="26"/>
  <c r="H17" i="26"/>
  <c r="H18" i="26"/>
  <c r="H19" i="26"/>
  <c r="H20" i="26"/>
  <c r="H21" i="26"/>
  <c r="H22" i="26"/>
  <c r="H23" i="26"/>
  <c r="H24" i="26"/>
  <c r="H25" i="26"/>
  <c r="H26" i="26"/>
  <c r="H27" i="26"/>
  <c r="H28" i="26"/>
  <c r="H29" i="26"/>
  <c r="H30" i="26"/>
  <c r="H31" i="26"/>
  <c r="H32" i="26"/>
  <c r="H33" i="26"/>
  <c r="H34" i="26"/>
  <c r="H35" i="26"/>
  <c r="H36" i="26"/>
  <c r="H37" i="26"/>
  <c r="H38" i="26"/>
  <c r="H39" i="26"/>
  <c r="H40" i="26"/>
  <c r="H41" i="26"/>
  <c r="H42" i="26"/>
  <c r="H43" i="26"/>
  <c r="H44" i="26"/>
  <c r="H45" i="26"/>
  <c r="H46" i="26"/>
  <c r="H47" i="26"/>
  <c r="H48" i="26"/>
  <c r="H49" i="26"/>
  <c r="H50" i="26"/>
  <c r="H51" i="26"/>
  <c r="H52" i="26"/>
  <c r="H53" i="26"/>
  <c r="H54" i="26"/>
  <c r="H55" i="26"/>
  <c r="H56" i="26"/>
  <c r="H57" i="26"/>
  <c r="H58" i="26"/>
  <c r="H59" i="26"/>
  <c r="H60" i="26"/>
  <c r="H61" i="26"/>
  <c r="H62" i="26"/>
  <c r="H63" i="26"/>
  <c r="H64" i="26"/>
  <c r="H65" i="26"/>
  <c r="H66" i="26"/>
  <c r="H67" i="26"/>
  <c r="H68" i="26"/>
  <c r="H69" i="26"/>
  <c r="H70" i="26"/>
  <c r="H71" i="26"/>
  <c r="H72" i="26"/>
  <c r="H73" i="26"/>
  <c r="H74" i="26"/>
  <c r="H75" i="26"/>
  <c r="H76" i="26"/>
  <c r="H77" i="26"/>
  <c r="H78" i="26"/>
  <c r="H79" i="26"/>
  <c r="H80" i="26"/>
  <c r="H81" i="26"/>
  <c r="H82" i="26"/>
  <c r="H3" i="25"/>
  <c r="H4" i="25"/>
  <c r="H5" i="25"/>
  <c r="H6" i="25"/>
  <c r="H7" i="25"/>
  <c r="H8" i="25"/>
  <c r="H9" i="25"/>
  <c r="H10" i="25"/>
  <c r="H11" i="25"/>
  <c r="H12" i="25"/>
  <c r="H13" i="25"/>
  <c r="H14" i="25"/>
  <c r="H15" i="25"/>
  <c r="H16" i="25"/>
  <c r="H17" i="25"/>
  <c r="H18" i="25"/>
  <c r="H19" i="25"/>
  <c r="H20" i="25"/>
  <c r="H21" i="25"/>
  <c r="H22" i="25"/>
  <c r="H23" i="25"/>
  <c r="H24" i="25"/>
  <c r="H25" i="25"/>
  <c r="H26" i="25"/>
  <c r="H27" i="25"/>
  <c r="H28" i="25"/>
  <c r="H29" i="25"/>
  <c r="H30" i="25"/>
  <c r="H31" i="25"/>
  <c r="H32" i="25"/>
  <c r="H33" i="25"/>
  <c r="H34" i="25"/>
  <c r="H35" i="25"/>
  <c r="H36" i="25"/>
  <c r="H37" i="25"/>
  <c r="H38" i="25"/>
  <c r="H39" i="25"/>
  <c r="H40" i="25"/>
  <c r="H41" i="25"/>
  <c r="H42" i="25"/>
  <c r="H43" i="25"/>
  <c r="H44" i="25"/>
  <c r="H45" i="25"/>
  <c r="H46" i="25"/>
  <c r="H47" i="25"/>
  <c r="H48" i="25"/>
  <c r="H49" i="25"/>
  <c r="H50" i="25"/>
  <c r="H51" i="25"/>
  <c r="H52" i="25"/>
  <c r="H53" i="25"/>
  <c r="H54" i="25"/>
  <c r="H55" i="25"/>
  <c r="H56" i="25"/>
  <c r="H57" i="25"/>
  <c r="H58" i="25"/>
  <c r="H59" i="25"/>
  <c r="H60" i="25"/>
  <c r="H61" i="25"/>
  <c r="H62" i="25"/>
  <c r="H63" i="25"/>
  <c r="H64" i="25"/>
  <c r="H65" i="25"/>
  <c r="H66" i="25"/>
  <c r="H67" i="25"/>
  <c r="H68" i="25"/>
  <c r="H69" i="25"/>
  <c r="H70" i="25"/>
  <c r="H71" i="25"/>
  <c r="H72" i="25"/>
  <c r="H73" i="25"/>
  <c r="H74" i="25"/>
  <c r="H75" i="25"/>
  <c r="H76" i="25"/>
  <c r="H77" i="25"/>
  <c r="H78" i="25"/>
  <c r="H79" i="25"/>
  <c r="H80" i="25"/>
  <c r="H81" i="25"/>
  <c r="H82" i="25"/>
  <c r="H3" i="3"/>
  <c r="H4" i="3"/>
  <c r="H5" i="3"/>
  <c r="H6" i="3"/>
  <c r="H7" i="3"/>
  <c r="H8" i="3"/>
  <c r="H9" i="3"/>
  <c r="H10" i="3"/>
  <c r="H11" i="3"/>
  <c r="H12" i="3"/>
  <c r="H13" i="3"/>
  <c r="H14" i="3"/>
  <c r="H15" i="3"/>
  <c r="H16" i="3"/>
  <c r="H17" i="3"/>
  <c r="H18" i="3"/>
  <c r="H19" i="3"/>
  <c r="H20" i="3"/>
  <c r="H21" i="3"/>
  <c r="H22" i="3"/>
  <c r="H23" i="3"/>
  <c r="H24" i="3"/>
  <c r="H25" i="3"/>
  <c r="H26" i="3"/>
  <c r="H27" i="3"/>
  <c r="H28" i="3"/>
  <c r="H29" i="3"/>
  <c r="H30" i="3"/>
  <c r="H31" i="3"/>
  <c r="H32" i="3"/>
  <c r="H33" i="3"/>
  <c r="H34" i="3"/>
  <c r="H35" i="3"/>
  <c r="H36" i="3"/>
  <c r="H37" i="3"/>
  <c r="H38" i="3"/>
  <c r="H39" i="3"/>
  <c r="H40" i="3"/>
  <c r="H41" i="3"/>
  <c r="H42" i="3"/>
  <c r="H43" i="3"/>
  <c r="H44" i="3"/>
  <c r="H45" i="3"/>
  <c r="H46" i="3"/>
  <c r="H47" i="3"/>
  <c r="H48" i="3"/>
  <c r="H49" i="3"/>
  <c r="H50" i="3"/>
  <c r="H51" i="3"/>
  <c r="H52" i="3"/>
  <c r="H53" i="3"/>
  <c r="H54" i="3"/>
  <c r="H55" i="3"/>
  <c r="H56" i="3"/>
  <c r="H57" i="3"/>
  <c r="H58" i="3"/>
  <c r="H59" i="3"/>
  <c r="H60" i="3"/>
  <c r="H61" i="3"/>
  <c r="H62" i="3"/>
  <c r="H63" i="3"/>
  <c r="H64" i="3"/>
  <c r="H65" i="3"/>
  <c r="H66" i="3"/>
  <c r="H67" i="3"/>
  <c r="H68" i="3"/>
  <c r="H69" i="3"/>
  <c r="H70" i="3"/>
  <c r="H71" i="3"/>
  <c r="H72" i="3"/>
  <c r="H73" i="3"/>
  <c r="H74" i="3"/>
  <c r="H75" i="3"/>
  <c r="H76" i="3"/>
  <c r="H77" i="3"/>
  <c r="H78" i="3"/>
  <c r="H79" i="3"/>
  <c r="H80" i="3"/>
  <c r="H81" i="3"/>
  <c r="H82" i="3"/>
  <c r="G3" i="35"/>
  <c r="G4" i="35"/>
  <c r="G5" i="35"/>
  <c r="G6" i="35"/>
  <c r="G7" i="35"/>
  <c r="G8" i="35"/>
  <c r="G9" i="35"/>
  <c r="G10" i="35"/>
  <c r="G11" i="35"/>
  <c r="G12" i="35"/>
  <c r="G13" i="35"/>
  <c r="G14" i="35"/>
  <c r="G15" i="35"/>
  <c r="G16" i="35"/>
  <c r="G17" i="35"/>
  <c r="G18" i="35"/>
  <c r="G19" i="35"/>
  <c r="G20" i="35"/>
  <c r="G21" i="35"/>
  <c r="G22" i="35"/>
  <c r="G23" i="35"/>
  <c r="G24" i="35"/>
  <c r="G25" i="35"/>
  <c r="G26" i="35"/>
  <c r="G27" i="35"/>
  <c r="G28" i="35"/>
  <c r="G29" i="35"/>
  <c r="G30" i="35"/>
  <c r="G31" i="35"/>
  <c r="G32" i="35"/>
  <c r="G33" i="35"/>
  <c r="G34" i="35"/>
  <c r="G35" i="35"/>
  <c r="G36" i="35"/>
  <c r="G37" i="35"/>
  <c r="G38" i="35"/>
  <c r="G39" i="35"/>
  <c r="G40" i="35"/>
  <c r="G41" i="35"/>
  <c r="G42" i="35"/>
  <c r="G43" i="35"/>
  <c r="G44" i="35"/>
  <c r="G45" i="35"/>
  <c r="G46" i="35"/>
  <c r="G47" i="35"/>
  <c r="G48" i="35"/>
  <c r="G49" i="35"/>
  <c r="G50" i="35"/>
  <c r="G51" i="35"/>
  <c r="G52" i="35"/>
  <c r="G53" i="35"/>
  <c r="G54" i="35"/>
  <c r="G55" i="35"/>
  <c r="G56" i="35"/>
  <c r="G57" i="35"/>
  <c r="G58" i="35"/>
  <c r="G59" i="35"/>
  <c r="G60" i="35"/>
  <c r="G61" i="35"/>
  <c r="G62" i="35"/>
  <c r="G63" i="35"/>
  <c r="G64" i="35"/>
  <c r="G65" i="35"/>
  <c r="G66" i="35"/>
  <c r="G67" i="35"/>
  <c r="G68" i="35"/>
  <c r="G69" i="35"/>
  <c r="G70" i="35"/>
  <c r="G71" i="35"/>
  <c r="G72" i="35"/>
  <c r="G73" i="35"/>
  <c r="G74" i="35"/>
  <c r="G75" i="35"/>
  <c r="G76" i="35"/>
  <c r="G77" i="35"/>
  <c r="G78" i="35"/>
  <c r="G79" i="35"/>
  <c r="G80" i="35"/>
  <c r="G81" i="35"/>
  <c r="G82" i="35"/>
  <c r="G3" i="36"/>
  <c r="G4" i="36"/>
  <c r="G5" i="36"/>
  <c r="G6" i="36"/>
  <c r="G7" i="36"/>
  <c r="G8" i="36"/>
  <c r="G9" i="36"/>
  <c r="G10" i="36"/>
  <c r="G11" i="36"/>
  <c r="G12" i="36"/>
  <c r="G13" i="36"/>
  <c r="G14" i="36"/>
  <c r="G15" i="36"/>
  <c r="G16" i="36"/>
  <c r="G17" i="36"/>
  <c r="G18" i="36"/>
  <c r="G19" i="36"/>
  <c r="G20" i="36"/>
  <c r="G21" i="36"/>
  <c r="G22" i="36"/>
  <c r="G23" i="36"/>
  <c r="G24" i="36"/>
  <c r="G25" i="36"/>
  <c r="G26" i="36"/>
  <c r="G27" i="36"/>
  <c r="G28" i="36"/>
  <c r="G29" i="36"/>
  <c r="G30" i="36"/>
  <c r="G31" i="36"/>
  <c r="G32" i="36"/>
  <c r="G33" i="36"/>
  <c r="G34" i="36"/>
  <c r="G35" i="36"/>
  <c r="G36" i="36"/>
  <c r="G37" i="36"/>
  <c r="G38" i="36"/>
  <c r="G39" i="36"/>
  <c r="G40" i="36"/>
  <c r="G41" i="36"/>
  <c r="G42" i="36"/>
  <c r="G43" i="36"/>
  <c r="G44" i="36"/>
  <c r="G45" i="36"/>
  <c r="G46" i="36"/>
  <c r="G47" i="36"/>
  <c r="G48" i="36"/>
  <c r="G49" i="36"/>
  <c r="G50" i="36"/>
  <c r="G51" i="36"/>
  <c r="G52" i="36"/>
  <c r="G53" i="36"/>
  <c r="G54" i="36"/>
  <c r="G55" i="36"/>
  <c r="G56" i="36"/>
  <c r="G57" i="36"/>
  <c r="G58" i="36"/>
  <c r="G59" i="36"/>
  <c r="G60" i="36"/>
  <c r="G61" i="36"/>
  <c r="G62" i="36"/>
  <c r="G63" i="36"/>
  <c r="G64" i="36"/>
  <c r="G65" i="36"/>
  <c r="G66" i="36"/>
  <c r="G67" i="36"/>
  <c r="G68" i="36"/>
  <c r="G69" i="36"/>
  <c r="G70" i="36"/>
  <c r="G71" i="36"/>
  <c r="G72" i="36"/>
  <c r="G73" i="36"/>
  <c r="G74" i="36"/>
  <c r="G75" i="36"/>
  <c r="G76" i="36"/>
  <c r="G77" i="36"/>
  <c r="G78" i="36"/>
  <c r="G79" i="36"/>
  <c r="G80" i="36"/>
  <c r="G81" i="36"/>
  <c r="G82" i="36"/>
  <c r="G3" i="33"/>
  <c r="G4" i="33"/>
  <c r="G5" i="33"/>
  <c r="G6" i="33"/>
  <c r="G7" i="33"/>
  <c r="G8" i="33"/>
  <c r="G9" i="33"/>
  <c r="G10" i="33"/>
  <c r="G11" i="33"/>
  <c r="G12" i="33"/>
  <c r="G13" i="33"/>
  <c r="G14" i="33"/>
  <c r="G15" i="33"/>
  <c r="G16" i="33"/>
  <c r="G17" i="33"/>
  <c r="G18" i="33"/>
  <c r="G19" i="33"/>
  <c r="G20" i="33"/>
  <c r="G21" i="33"/>
  <c r="G22" i="33"/>
  <c r="G23" i="33"/>
  <c r="G24" i="33"/>
  <c r="G25" i="33"/>
  <c r="G26" i="33"/>
  <c r="G27" i="33"/>
  <c r="G28" i="33"/>
  <c r="G29" i="33"/>
  <c r="G30" i="33"/>
  <c r="G31" i="33"/>
  <c r="G32" i="33"/>
  <c r="G33" i="33"/>
  <c r="G34" i="33"/>
  <c r="G35" i="33"/>
  <c r="G36" i="33"/>
  <c r="G37" i="33"/>
  <c r="G38" i="33"/>
  <c r="G39" i="33"/>
  <c r="G40" i="33"/>
  <c r="G41" i="33"/>
  <c r="G42" i="33"/>
  <c r="G43" i="33"/>
  <c r="G44" i="33"/>
  <c r="G45" i="33"/>
  <c r="G46" i="33"/>
  <c r="G47" i="33"/>
  <c r="G48" i="33"/>
  <c r="G49" i="33"/>
  <c r="G50" i="33"/>
  <c r="G51" i="33"/>
  <c r="G52" i="33"/>
  <c r="G53" i="33"/>
  <c r="G54" i="33"/>
  <c r="G55" i="33"/>
  <c r="G56" i="33"/>
  <c r="G57" i="33"/>
  <c r="G58" i="33"/>
  <c r="G59" i="33"/>
  <c r="G60" i="33"/>
  <c r="G61" i="33"/>
  <c r="G62" i="33"/>
  <c r="G63" i="33"/>
  <c r="G64" i="33"/>
  <c r="G65" i="33"/>
  <c r="G66" i="33"/>
  <c r="G67" i="33"/>
  <c r="G68" i="33"/>
  <c r="G69" i="33"/>
  <c r="G70" i="33"/>
  <c r="G71" i="33"/>
  <c r="G72" i="33"/>
  <c r="G73" i="33"/>
  <c r="G74" i="33"/>
  <c r="G75" i="33"/>
  <c r="G76" i="33"/>
  <c r="G77" i="33"/>
  <c r="G78" i="33"/>
  <c r="G79" i="33"/>
  <c r="G80" i="33"/>
  <c r="G81" i="33"/>
  <c r="G82" i="33"/>
  <c r="G3" i="32"/>
  <c r="G4" i="32"/>
  <c r="G5" i="32"/>
  <c r="G6" i="32"/>
  <c r="G7" i="32"/>
  <c r="G8" i="32"/>
  <c r="G9" i="32"/>
  <c r="G10" i="32"/>
  <c r="G11" i="32"/>
  <c r="G12" i="32"/>
  <c r="G13" i="32"/>
  <c r="G14" i="32"/>
  <c r="G15" i="32"/>
  <c r="G16" i="32"/>
  <c r="G17" i="32"/>
  <c r="G18" i="32"/>
  <c r="G19" i="32"/>
  <c r="G20" i="32"/>
  <c r="G21" i="32"/>
  <c r="G22" i="32"/>
  <c r="G23" i="32"/>
  <c r="G24" i="32"/>
  <c r="G25" i="32"/>
  <c r="G26" i="32"/>
  <c r="G27" i="32"/>
  <c r="G28" i="32"/>
  <c r="G29" i="32"/>
  <c r="G30" i="32"/>
  <c r="G31" i="32"/>
  <c r="G32" i="32"/>
  <c r="G33" i="32"/>
  <c r="G34" i="32"/>
  <c r="G35" i="32"/>
  <c r="G36" i="32"/>
  <c r="G37" i="32"/>
  <c r="G38" i="32"/>
  <c r="G39" i="32"/>
  <c r="G40" i="32"/>
  <c r="G41" i="32"/>
  <c r="G42" i="32"/>
  <c r="G43" i="32"/>
  <c r="G44" i="32"/>
  <c r="G45" i="32"/>
  <c r="G46" i="32"/>
  <c r="G47" i="32"/>
  <c r="G48" i="32"/>
  <c r="G49" i="32"/>
  <c r="G50" i="32"/>
  <c r="G51" i="32"/>
  <c r="G52" i="32"/>
  <c r="G53" i="32"/>
  <c r="G54" i="32"/>
  <c r="G55" i="32"/>
  <c r="G56" i="32"/>
  <c r="G57" i="32"/>
  <c r="G58" i="32"/>
  <c r="G59" i="32"/>
  <c r="G60" i="32"/>
  <c r="G61" i="32"/>
  <c r="G62" i="32"/>
  <c r="G63" i="32"/>
  <c r="G64" i="32"/>
  <c r="G65" i="32"/>
  <c r="G66" i="32"/>
  <c r="G67" i="32"/>
  <c r="G68" i="32"/>
  <c r="G69" i="32"/>
  <c r="G70" i="32"/>
  <c r="G71" i="32"/>
  <c r="G72" i="32"/>
  <c r="G73" i="32"/>
  <c r="G74" i="32"/>
  <c r="G75" i="32"/>
  <c r="G76" i="32"/>
  <c r="G77" i="32"/>
  <c r="G78" i="32"/>
  <c r="G79" i="32"/>
  <c r="G80" i="32"/>
  <c r="G81" i="32"/>
  <c r="G82" i="32"/>
  <c r="G3" i="31"/>
  <c r="G4" i="31"/>
  <c r="G5" i="31"/>
  <c r="G6" i="31"/>
  <c r="G7" i="31"/>
  <c r="G8" i="31"/>
  <c r="G9" i="31"/>
  <c r="G10" i="31"/>
  <c r="G11" i="31"/>
  <c r="G12" i="31"/>
  <c r="G13" i="31"/>
  <c r="G14" i="31"/>
  <c r="G15" i="31"/>
  <c r="G16" i="31"/>
  <c r="G17" i="31"/>
  <c r="G18" i="31"/>
  <c r="G19" i="31"/>
  <c r="G20" i="31"/>
  <c r="G21" i="31"/>
  <c r="G22" i="31"/>
  <c r="G23" i="31"/>
  <c r="G24" i="31"/>
  <c r="G25" i="31"/>
  <c r="G26" i="31"/>
  <c r="G27" i="31"/>
  <c r="G28" i="31"/>
  <c r="G29" i="31"/>
  <c r="G30" i="31"/>
  <c r="G31" i="31"/>
  <c r="G32" i="31"/>
  <c r="G33" i="31"/>
  <c r="G34" i="31"/>
  <c r="G35" i="31"/>
  <c r="G36" i="31"/>
  <c r="G37" i="31"/>
  <c r="G38" i="31"/>
  <c r="G39" i="31"/>
  <c r="G40" i="31"/>
  <c r="G41" i="31"/>
  <c r="G42" i="31"/>
  <c r="G43" i="31"/>
  <c r="G44" i="31"/>
  <c r="G45" i="31"/>
  <c r="G46" i="31"/>
  <c r="G47" i="31"/>
  <c r="G48" i="31"/>
  <c r="G49" i="31"/>
  <c r="G50" i="31"/>
  <c r="G51" i="31"/>
  <c r="G52" i="31"/>
  <c r="G53" i="31"/>
  <c r="G54" i="31"/>
  <c r="G55" i="31"/>
  <c r="G56" i="31"/>
  <c r="G57" i="31"/>
  <c r="G58" i="31"/>
  <c r="G59" i="31"/>
  <c r="G60" i="31"/>
  <c r="G61" i="31"/>
  <c r="G62" i="31"/>
  <c r="G63" i="31"/>
  <c r="G64" i="31"/>
  <c r="G65" i="31"/>
  <c r="G66" i="31"/>
  <c r="G67" i="31"/>
  <c r="G68" i="31"/>
  <c r="G69" i="31"/>
  <c r="G70" i="31"/>
  <c r="G71" i="31"/>
  <c r="G72" i="31"/>
  <c r="G73" i="31"/>
  <c r="G74" i="31"/>
  <c r="G75" i="31"/>
  <c r="G76" i="31"/>
  <c r="G77" i="31"/>
  <c r="G78" i="31"/>
  <c r="G79" i="31"/>
  <c r="G80" i="31"/>
  <c r="G81" i="31"/>
  <c r="G82" i="31"/>
  <c r="G3" i="30"/>
  <c r="G4" i="30"/>
  <c r="G5" i="30"/>
  <c r="G6" i="30"/>
  <c r="G7" i="30"/>
  <c r="G8" i="30"/>
  <c r="G9" i="30"/>
  <c r="G10" i="30"/>
  <c r="G11" i="30"/>
  <c r="G12" i="30"/>
  <c r="G13" i="30"/>
  <c r="G14" i="30"/>
  <c r="G15" i="30"/>
  <c r="G16" i="30"/>
  <c r="G17" i="30"/>
  <c r="G18" i="30"/>
  <c r="G19" i="30"/>
  <c r="G20" i="30"/>
  <c r="G21" i="30"/>
  <c r="G22" i="30"/>
  <c r="G23" i="30"/>
  <c r="G24" i="30"/>
  <c r="G25" i="30"/>
  <c r="G26" i="30"/>
  <c r="G27" i="30"/>
  <c r="G28" i="30"/>
  <c r="G29" i="30"/>
  <c r="G30" i="30"/>
  <c r="G31" i="30"/>
  <c r="G32" i="30"/>
  <c r="G33" i="30"/>
  <c r="G34" i="30"/>
  <c r="G35" i="30"/>
  <c r="G36" i="30"/>
  <c r="G37" i="30"/>
  <c r="G38" i="30"/>
  <c r="G39" i="30"/>
  <c r="G40" i="30"/>
  <c r="G41" i="30"/>
  <c r="G42" i="30"/>
  <c r="G43" i="30"/>
  <c r="G44" i="30"/>
  <c r="G45" i="30"/>
  <c r="G46" i="30"/>
  <c r="G47" i="30"/>
  <c r="G48" i="30"/>
  <c r="G49" i="30"/>
  <c r="G50" i="30"/>
  <c r="G51" i="30"/>
  <c r="G52" i="30"/>
  <c r="G53" i="30"/>
  <c r="G54" i="30"/>
  <c r="G55" i="30"/>
  <c r="G56" i="30"/>
  <c r="G57" i="30"/>
  <c r="G58" i="30"/>
  <c r="G59" i="30"/>
  <c r="G60" i="30"/>
  <c r="G61" i="30"/>
  <c r="G62" i="30"/>
  <c r="G63" i="30"/>
  <c r="G64" i="30"/>
  <c r="G65" i="30"/>
  <c r="G66" i="30"/>
  <c r="G67" i="30"/>
  <c r="G68" i="30"/>
  <c r="G69" i="30"/>
  <c r="G70" i="30"/>
  <c r="G71" i="30"/>
  <c r="G72" i="30"/>
  <c r="G73" i="30"/>
  <c r="G74" i="30"/>
  <c r="G75" i="30"/>
  <c r="G76" i="30"/>
  <c r="G77" i="30"/>
  <c r="G78" i="30"/>
  <c r="G79" i="30"/>
  <c r="G80" i="30"/>
  <c r="G81" i="30"/>
  <c r="G82" i="30"/>
  <c r="G3" i="37"/>
  <c r="G4" i="37"/>
  <c r="G5" i="37"/>
  <c r="G6" i="37"/>
  <c r="G7" i="37"/>
  <c r="G8" i="37"/>
  <c r="G9" i="37"/>
  <c r="G10" i="37"/>
  <c r="G11" i="37"/>
  <c r="G12" i="37"/>
  <c r="G13" i="37"/>
  <c r="G14" i="37"/>
  <c r="G15" i="37"/>
  <c r="G16" i="37"/>
  <c r="G17" i="37"/>
  <c r="G18" i="37"/>
  <c r="G19" i="37"/>
  <c r="G20" i="37"/>
  <c r="G21" i="37"/>
  <c r="G22" i="37"/>
  <c r="G23" i="37"/>
  <c r="G24" i="37"/>
  <c r="G25" i="37"/>
  <c r="G26" i="37"/>
  <c r="G27" i="37"/>
  <c r="G28" i="37"/>
  <c r="G29" i="37"/>
  <c r="G30" i="37"/>
  <c r="G31" i="37"/>
  <c r="G32" i="37"/>
  <c r="G33" i="37"/>
  <c r="G34" i="37"/>
  <c r="G35" i="37"/>
  <c r="G36" i="37"/>
  <c r="G37" i="37"/>
  <c r="G38" i="37"/>
  <c r="G39" i="37"/>
  <c r="G40" i="37"/>
  <c r="G41" i="37"/>
  <c r="G42" i="37"/>
  <c r="G43" i="37"/>
  <c r="G44" i="37"/>
  <c r="G45" i="37"/>
  <c r="G46" i="37"/>
  <c r="G47" i="37"/>
  <c r="G48" i="37"/>
  <c r="G49" i="37"/>
  <c r="G50" i="37"/>
  <c r="G51" i="37"/>
  <c r="G52" i="37"/>
  <c r="G53" i="37"/>
  <c r="G54" i="37"/>
  <c r="G55" i="37"/>
  <c r="G56" i="37"/>
  <c r="G57" i="37"/>
  <c r="G58" i="37"/>
  <c r="G59" i="37"/>
  <c r="G60" i="37"/>
  <c r="G61" i="37"/>
  <c r="G62" i="37"/>
  <c r="G63" i="37"/>
  <c r="G64" i="37"/>
  <c r="G65" i="37"/>
  <c r="G66" i="37"/>
  <c r="G67" i="37"/>
  <c r="G68" i="37"/>
  <c r="G69" i="37"/>
  <c r="G70" i="37"/>
  <c r="G71" i="37"/>
  <c r="G72" i="37"/>
  <c r="G73" i="37"/>
  <c r="G74" i="37"/>
  <c r="G75" i="37"/>
  <c r="G76" i="37"/>
  <c r="G77" i="37"/>
  <c r="G78" i="37"/>
  <c r="G79" i="37"/>
  <c r="G80" i="37"/>
  <c r="G81" i="37"/>
  <c r="G82" i="37"/>
  <c r="G3" i="28"/>
  <c r="G4" i="28"/>
  <c r="G5" i="28"/>
  <c r="G6" i="28"/>
  <c r="G7" i="28"/>
  <c r="G8" i="28"/>
  <c r="G9" i="28"/>
  <c r="G10" i="28"/>
  <c r="G11" i="28"/>
  <c r="G12" i="28"/>
  <c r="G13" i="28"/>
  <c r="G14" i="28"/>
  <c r="G15" i="28"/>
  <c r="G16" i="28"/>
  <c r="G17" i="28"/>
  <c r="G18" i="28"/>
  <c r="G19" i="28"/>
  <c r="G20" i="28"/>
  <c r="G21" i="28"/>
  <c r="G22" i="28"/>
  <c r="G23" i="28"/>
  <c r="G24" i="28"/>
  <c r="G25" i="28"/>
  <c r="G26" i="28"/>
  <c r="G27" i="28"/>
  <c r="G28" i="28"/>
  <c r="G29" i="28"/>
  <c r="G30" i="28"/>
  <c r="G31" i="28"/>
  <c r="G32" i="28"/>
  <c r="G33" i="28"/>
  <c r="G34" i="28"/>
  <c r="G35" i="28"/>
  <c r="G36" i="28"/>
  <c r="G37" i="28"/>
  <c r="G38" i="28"/>
  <c r="G39" i="28"/>
  <c r="G40" i="28"/>
  <c r="G41" i="28"/>
  <c r="G42" i="28"/>
  <c r="G43" i="28"/>
  <c r="G44" i="28"/>
  <c r="G45" i="28"/>
  <c r="G46" i="28"/>
  <c r="G47" i="28"/>
  <c r="G48" i="28"/>
  <c r="G49" i="28"/>
  <c r="G50" i="28"/>
  <c r="G51" i="28"/>
  <c r="G52" i="28"/>
  <c r="G53" i="28"/>
  <c r="G54" i="28"/>
  <c r="G55" i="28"/>
  <c r="G56" i="28"/>
  <c r="G57" i="28"/>
  <c r="G58" i="28"/>
  <c r="G59" i="28"/>
  <c r="G60" i="28"/>
  <c r="G61" i="28"/>
  <c r="G62" i="28"/>
  <c r="G63" i="28"/>
  <c r="G64" i="28"/>
  <c r="G65" i="28"/>
  <c r="G66" i="28"/>
  <c r="G67" i="28"/>
  <c r="G68" i="28"/>
  <c r="G69" i="28"/>
  <c r="G70" i="28"/>
  <c r="G71" i="28"/>
  <c r="G72" i="28"/>
  <c r="G73" i="28"/>
  <c r="G74" i="28"/>
  <c r="G75" i="28"/>
  <c r="G76" i="28"/>
  <c r="G77" i="28"/>
  <c r="G78" i="28"/>
  <c r="G79" i="28"/>
  <c r="G80" i="28"/>
  <c r="G81" i="28"/>
  <c r="G82" i="28"/>
  <c r="G3" i="27"/>
  <c r="G4" i="27"/>
  <c r="G5" i="27"/>
  <c r="G6" i="27"/>
  <c r="G7" i="27"/>
  <c r="G8" i="27"/>
  <c r="G9" i="27"/>
  <c r="G10" i="27"/>
  <c r="G11" i="27"/>
  <c r="G12" i="27"/>
  <c r="G13" i="27"/>
  <c r="G14" i="27"/>
  <c r="G15" i="27"/>
  <c r="G16" i="27"/>
  <c r="G17" i="27"/>
  <c r="G18" i="27"/>
  <c r="G19" i="27"/>
  <c r="G20" i="27"/>
  <c r="G21" i="27"/>
  <c r="G22" i="27"/>
  <c r="G23" i="27"/>
  <c r="G24" i="27"/>
  <c r="G25" i="27"/>
  <c r="G26" i="27"/>
  <c r="G27" i="27"/>
  <c r="G28" i="27"/>
  <c r="G29" i="27"/>
  <c r="G30" i="27"/>
  <c r="G31" i="27"/>
  <c r="G32" i="27"/>
  <c r="G33" i="27"/>
  <c r="G34" i="27"/>
  <c r="G35" i="27"/>
  <c r="G36" i="27"/>
  <c r="G37" i="27"/>
  <c r="G38" i="27"/>
  <c r="G39" i="27"/>
  <c r="G40" i="27"/>
  <c r="G41" i="27"/>
  <c r="G42" i="27"/>
  <c r="G43" i="27"/>
  <c r="G44" i="27"/>
  <c r="G45" i="27"/>
  <c r="G46" i="27"/>
  <c r="G47" i="27"/>
  <c r="G48" i="27"/>
  <c r="G49" i="27"/>
  <c r="G50" i="27"/>
  <c r="G51" i="27"/>
  <c r="G52" i="27"/>
  <c r="G53" i="27"/>
  <c r="G54" i="27"/>
  <c r="G55" i="27"/>
  <c r="G56" i="27"/>
  <c r="G57" i="27"/>
  <c r="G58" i="27"/>
  <c r="G59" i="27"/>
  <c r="G60" i="27"/>
  <c r="G61" i="27"/>
  <c r="G62" i="27"/>
  <c r="G63" i="27"/>
  <c r="G64" i="27"/>
  <c r="G65" i="27"/>
  <c r="G66" i="27"/>
  <c r="G67" i="27"/>
  <c r="G68" i="27"/>
  <c r="G69" i="27"/>
  <c r="G70" i="27"/>
  <c r="G71" i="27"/>
  <c r="G72" i="27"/>
  <c r="G73" i="27"/>
  <c r="G74" i="27"/>
  <c r="G75" i="27"/>
  <c r="G76" i="27"/>
  <c r="G77" i="27"/>
  <c r="G78" i="27"/>
  <c r="G79" i="27"/>
  <c r="G80" i="27"/>
  <c r="G81" i="27"/>
  <c r="G82" i="27"/>
  <c r="G3" i="26"/>
  <c r="G4" i="26"/>
  <c r="G5" i="26"/>
  <c r="G6" i="26"/>
  <c r="G7" i="26"/>
  <c r="G8" i="26"/>
  <c r="G9" i="26"/>
  <c r="G10" i="26"/>
  <c r="G11" i="26"/>
  <c r="G12" i="26"/>
  <c r="G13" i="26"/>
  <c r="G14" i="26"/>
  <c r="G15" i="26"/>
  <c r="G16" i="26"/>
  <c r="G17" i="26"/>
  <c r="G18" i="26"/>
  <c r="G19" i="26"/>
  <c r="G20" i="26"/>
  <c r="G21" i="26"/>
  <c r="G22" i="26"/>
  <c r="G23" i="26"/>
  <c r="G24" i="26"/>
  <c r="G25" i="26"/>
  <c r="G26" i="26"/>
  <c r="G27" i="26"/>
  <c r="G28" i="26"/>
  <c r="G29" i="26"/>
  <c r="G30" i="26"/>
  <c r="G31" i="26"/>
  <c r="G32" i="26"/>
  <c r="G33" i="26"/>
  <c r="G34" i="26"/>
  <c r="G35" i="26"/>
  <c r="G36" i="26"/>
  <c r="G37" i="26"/>
  <c r="G38" i="26"/>
  <c r="G39" i="26"/>
  <c r="G40" i="26"/>
  <c r="G41" i="26"/>
  <c r="G42" i="26"/>
  <c r="G43" i="26"/>
  <c r="G44" i="26"/>
  <c r="G45" i="26"/>
  <c r="G46" i="26"/>
  <c r="G47" i="26"/>
  <c r="G48" i="26"/>
  <c r="G49" i="26"/>
  <c r="G50" i="26"/>
  <c r="G51" i="26"/>
  <c r="G52" i="26"/>
  <c r="G53" i="26"/>
  <c r="G54" i="26"/>
  <c r="G55" i="26"/>
  <c r="G56" i="26"/>
  <c r="G57" i="26"/>
  <c r="G58" i="26"/>
  <c r="G59" i="26"/>
  <c r="G60" i="26"/>
  <c r="G61" i="26"/>
  <c r="G62" i="26"/>
  <c r="G63" i="26"/>
  <c r="G64" i="26"/>
  <c r="G65" i="26"/>
  <c r="G66" i="26"/>
  <c r="G67" i="26"/>
  <c r="G68" i="26"/>
  <c r="G69" i="26"/>
  <c r="G70" i="26"/>
  <c r="G71" i="26"/>
  <c r="G72" i="26"/>
  <c r="G73" i="26"/>
  <c r="G74" i="26"/>
  <c r="G75" i="26"/>
  <c r="G76" i="26"/>
  <c r="G77" i="26"/>
  <c r="G78" i="26"/>
  <c r="G79" i="26"/>
  <c r="G80" i="26"/>
  <c r="G81" i="26"/>
  <c r="G82" i="26"/>
  <c r="G3" i="25"/>
  <c r="G4" i="25"/>
  <c r="G5" i="25"/>
  <c r="G6" i="25"/>
  <c r="G7" i="25"/>
  <c r="G8" i="25"/>
  <c r="G9" i="25"/>
  <c r="G10" i="25"/>
  <c r="G11" i="25"/>
  <c r="G12" i="25"/>
  <c r="G13" i="25"/>
  <c r="G14" i="25"/>
  <c r="G15" i="25"/>
  <c r="G16" i="25"/>
  <c r="G17" i="25"/>
  <c r="G18" i="25"/>
  <c r="G19" i="25"/>
  <c r="G20" i="25"/>
  <c r="G21" i="25"/>
  <c r="G22" i="25"/>
  <c r="G23" i="25"/>
  <c r="G24" i="25"/>
  <c r="G25" i="25"/>
  <c r="G26" i="25"/>
  <c r="G27" i="25"/>
  <c r="G28" i="25"/>
  <c r="G29" i="25"/>
  <c r="G30" i="25"/>
  <c r="G31" i="25"/>
  <c r="G32" i="25"/>
  <c r="G33" i="25"/>
  <c r="G34" i="25"/>
  <c r="G35" i="25"/>
  <c r="G36" i="25"/>
  <c r="G37" i="25"/>
  <c r="G38" i="25"/>
  <c r="G39" i="25"/>
  <c r="G40" i="25"/>
  <c r="G41" i="25"/>
  <c r="G42" i="25"/>
  <c r="G43" i="25"/>
  <c r="G44" i="25"/>
  <c r="G45" i="25"/>
  <c r="G46" i="25"/>
  <c r="G47" i="25"/>
  <c r="G48" i="25"/>
  <c r="G49" i="25"/>
  <c r="G50" i="25"/>
  <c r="G51" i="25"/>
  <c r="G52" i="25"/>
  <c r="G53" i="25"/>
  <c r="G54" i="25"/>
  <c r="G55" i="25"/>
  <c r="G56" i="25"/>
  <c r="G57" i="25"/>
  <c r="G58" i="25"/>
  <c r="G59" i="25"/>
  <c r="G60" i="25"/>
  <c r="G61" i="25"/>
  <c r="G62" i="25"/>
  <c r="G63" i="25"/>
  <c r="G64" i="25"/>
  <c r="G65" i="25"/>
  <c r="G66" i="25"/>
  <c r="G67" i="25"/>
  <c r="G68" i="25"/>
  <c r="G69" i="25"/>
  <c r="G70" i="25"/>
  <c r="G71" i="25"/>
  <c r="G72" i="25"/>
  <c r="G73" i="25"/>
  <c r="G74" i="25"/>
  <c r="G75" i="25"/>
  <c r="G76" i="25"/>
  <c r="G77" i="25"/>
  <c r="G78" i="25"/>
  <c r="G79" i="25"/>
  <c r="G80" i="25"/>
  <c r="G81" i="25"/>
  <c r="G82" i="25"/>
  <c r="G3" i="3"/>
  <c r="G4" i="3"/>
  <c r="G5" i="3"/>
  <c r="G6" i="3"/>
  <c r="G7" i="3"/>
  <c r="G8" i="3"/>
  <c r="G9" i="3"/>
  <c r="G10" i="3"/>
  <c r="G11" i="3"/>
  <c r="G12" i="3"/>
  <c r="G13" i="3"/>
  <c r="G14" i="3"/>
  <c r="G15" i="3"/>
  <c r="G16" i="3"/>
  <c r="G17" i="3"/>
  <c r="G18" i="3"/>
  <c r="G19" i="3"/>
  <c r="G20" i="3"/>
  <c r="G21" i="3"/>
  <c r="G22" i="3"/>
  <c r="G23" i="3"/>
  <c r="G24" i="3"/>
  <c r="G25" i="3"/>
  <c r="G26" i="3"/>
  <c r="G27" i="3"/>
  <c r="G28" i="3"/>
  <c r="G29" i="3"/>
  <c r="G30" i="3"/>
  <c r="G31" i="3"/>
  <c r="G32" i="3"/>
  <c r="G33" i="3"/>
  <c r="G34" i="3"/>
  <c r="G35" i="3"/>
  <c r="G36" i="3"/>
  <c r="G37" i="3"/>
  <c r="G38" i="3"/>
  <c r="G39" i="3"/>
  <c r="G40" i="3"/>
  <c r="G41" i="3"/>
  <c r="G42" i="3"/>
  <c r="G43" i="3"/>
  <c r="G44" i="3"/>
  <c r="G45" i="3"/>
  <c r="G46" i="3"/>
  <c r="G47" i="3"/>
  <c r="G48" i="3"/>
  <c r="G49" i="3"/>
  <c r="G50" i="3"/>
  <c r="G51" i="3"/>
  <c r="G52" i="3"/>
  <c r="G53" i="3"/>
  <c r="G54" i="3"/>
  <c r="G55" i="3"/>
  <c r="G56" i="3"/>
  <c r="G57" i="3"/>
  <c r="G58" i="3"/>
  <c r="G59" i="3"/>
  <c r="G60" i="3"/>
  <c r="G61" i="3"/>
  <c r="G62" i="3"/>
  <c r="G63" i="3"/>
  <c r="G64" i="3"/>
  <c r="G65" i="3"/>
  <c r="G66" i="3"/>
  <c r="G67" i="3"/>
  <c r="G68" i="3"/>
  <c r="G69" i="3"/>
  <c r="G70" i="3"/>
  <c r="G71" i="3"/>
  <c r="G72" i="3"/>
  <c r="G73" i="3"/>
  <c r="G74" i="3"/>
  <c r="G75" i="3"/>
  <c r="G76" i="3"/>
  <c r="G77" i="3"/>
  <c r="G78" i="3"/>
  <c r="G79" i="3"/>
  <c r="G80" i="3"/>
  <c r="G81" i="3"/>
  <c r="G82" i="3"/>
  <c r="D25" i="2"/>
  <c r="D24" i="2"/>
  <c r="J23" i="15" l="1"/>
  <c r="G23" i="15"/>
  <c r="F22" i="15"/>
  <c r="F18" i="15"/>
  <c r="F14" i="15"/>
  <c r="F10" i="15"/>
  <c r="F23" i="15" s="1"/>
  <c r="H21" i="15"/>
  <c r="H20" i="15"/>
  <c r="H19" i="15"/>
  <c r="H17" i="15"/>
  <c r="H16" i="15"/>
  <c r="H15" i="15"/>
  <c r="H13" i="15"/>
  <c r="H12" i="15"/>
  <c r="H11" i="15"/>
  <c r="H9" i="15"/>
  <c r="H8" i="15"/>
  <c r="H7" i="15"/>
  <c r="K3" i="35"/>
  <c r="K4" i="35"/>
  <c r="K5" i="35"/>
  <c r="K6" i="35"/>
  <c r="K7" i="35"/>
  <c r="K8" i="35"/>
  <c r="K9" i="35"/>
  <c r="K10" i="35"/>
  <c r="K11" i="35"/>
  <c r="K12" i="35"/>
  <c r="K13" i="35"/>
  <c r="K14" i="35"/>
  <c r="K15" i="35"/>
  <c r="K16" i="35"/>
  <c r="K17" i="35"/>
  <c r="K18" i="35"/>
  <c r="K19" i="35"/>
  <c r="K20" i="35"/>
  <c r="K21" i="35"/>
  <c r="K22" i="35"/>
  <c r="K23" i="35"/>
  <c r="K24" i="35"/>
  <c r="K25" i="35"/>
  <c r="K26" i="35"/>
  <c r="K27" i="35"/>
  <c r="K28" i="35"/>
  <c r="K29" i="35"/>
  <c r="K30" i="35"/>
  <c r="K31" i="35"/>
  <c r="K32" i="35"/>
  <c r="K33" i="35"/>
  <c r="K34" i="35"/>
  <c r="K35" i="35"/>
  <c r="K36" i="35"/>
  <c r="K37" i="35"/>
  <c r="K38" i="35"/>
  <c r="K39" i="35"/>
  <c r="K40" i="35"/>
  <c r="K41" i="35"/>
  <c r="K42" i="35"/>
  <c r="K43" i="35"/>
  <c r="K44" i="35"/>
  <c r="K45" i="35"/>
  <c r="K46" i="35"/>
  <c r="K47" i="35"/>
  <c r="K48" i="35"/>
  <c r="K49" i="35"/>
  <c r="K50" i="35"/>
  <c r="K51" i="35"/>
  <c r="K52" i="35"/>
  <c r="K53" i="35"/>
  <c r="K54" i="35"/>
  <c r="K55" i="35"/>
  <c r="K56" i="35"/>
  <c r="K57" i="35"/>
  <c r="K58" i="35"/>
  <c r="K3" i="36"/>
  <c r="K4" i="36"/>
  <c r="K5" i="36"/>
  <c r="K6" i="36"/>
  <c r="K7" i="36"/>
  <c r="K8" i="36"/>
  <c r="K9" i="36"/>
  <c r="K10" i="36"/>
  <c r="K11" i="36"/>
  <c r="K12" i="36"/>
  <c r="K13" i="36"/>
  <c r="K14" i="36"/>
  <c r="K15" i="36"/>
  <c r="K16" i="36"/>
  <c r="K17" i="36"/>
  <c r="K18" i="36"/>
  <c r="K19" i="36"/>
  <c r="K20" i="36"/>
  <c r="K21" i="36"/>
  <c r="K22" i="36"/>
  <c r="K42" i="26"/>
  <c r="K47" i="26"/>
  <c r="K57" i="26"/>
  <c r="K64" i="26"/>
  <c r="K3" i="25"/>
  <c r="K53" i="25"/>
  <c r="K61" i="25"/>
  <c r="K4" i="3"/>
  <c r="K16" i="3"/>
  <c r="K25" i="3"/>
  <c r="K23" i="36"/>
  <c r="K24" i="36"/>
  <c r="K25" i="36"/>
  <c r="K26" i="36"/>
  <c r="K27" i="36"/>
  <c r="K28" i="36"/>
  <c r="K29" i="36"/>
  <c r="K30" i="36"/>
  <c r="K31" i="36"/>
  <c r="K32" i="36"/>
  <c r="K33" i="36"/>
  <c r="K34" i="36"/>
  <c r="K35" i="36"/>
  <c r="K36" i="36"/>
  <c r="K37" i="36"/>
  <c r="K38" i="36"/>
  <c r="K39" i="36"/>
  <c r="K40" i="36"/>
  <c r="K41" i="36"/>
  <c r="K42" i="36"/>
  <c r="K43" i="36"/>
  <c r="K44" i="36"/>
  <c r="K45" i="36"/>
  <c r="K46" i="36"/>
  <c r="K47" i="36"/>
  <c r="K48" i="36"/>
  <c r="K49" i="36"/>
  <c r="K50" i="36"/>
  <c r="K51" i="36"/>
  <c r="K52" i="36"/>
  <c r="K53" i="36"/>
  <c r="K54" i="36"/>
  <c r="K55" i="36"/>
  <c r="K56" i="36"/>
  <c r="K57" i="36"/>
  <c r="K58" i="36"/>
  <c r="K3" i="33"/>
  <c r="K4" i="33"/>
  <c r="K5" i="33"/>
  <c r="K6" i="33"/>
  <c r="K7" i="33"/>
  <c r="K8" i="33"/>
  <c r="K9" i="33"/>
  <c r="K10" i="33"/>
  <c r="K11" i="33"/>
  <c r="K12" i="33"/>
  <c r="K13" i="33"/>
  <c r="K14" i="33"/>
  <c r="K15" i="33"/>
  <c r="K16" i="33"/>
  <c r="K17" i="33"/>
  <c r="K18" i="33"/>
  <c r="K19" i="33"/>
  <c r="K20" i="33"/>
  <c r="K21" i="33"/>
  <c r="K22" i="33"/>
  <c r="K23" i="33"/>
  <c r="K24" i="33"/>
  <c r="K25" i="33"/>
  <c r="K26" i="33"/>
  <c r="K27" i="33"/>
  <c r="K28" i="33"/>
  <c r="K29" i="33"/>
  <c r="K30" i="33"/>
  <c r="K31" i="33"/>
  <c r="K32" i="33"/>
  <c r="K33" i="33"/>
  <c r="K34" i="33"/>
  <c r="K35" i="33"/>
  <c r="K36" i="33"/>
  <c r="K37" i="33"/>
  <c r="K38" i="33"/>
  <c r="K39" i="33"/>
  <c r="K40" i="33"/>
  <c r="K41" i="33"/>
  <c r="K42" i="33"/>
  <c r="K43" i="33"/>
  <c r="K3" i="30"/>
  <c r="K48" i="26"/>
  <c r="K58" i="26"/>
  <c r="K6" i="25"/>
  <c r="K54" i="25"/>
  <c r="K64" i="25"/>
  <c r="K9" i="3"/>
  <c r="K15" i="3"/>
  <c r="K24" i="3"/>
  <c r="K44" i="33"/>
  <c r="K45" i="33"/>
  <c r="K46" i="33"/>
  <c r="K47" i="33"/>
  <c r="K48" i="33"/>
  <c r="K49" i="33"/>
  <c r="K50" i="33"/>
  <c r="K51" i="33"/>
  <c r="K52" i="33"/>
  <c r="K53" i="33"/>
  <c r="K54" i="33"/>
  <c r="K55" i="33"/>
  <c r="K56" i="33"/>
  <c r="K57" i="33"/>
  <c r="K58" i="33"/>
  <c r="K3" i="32"/>
  <c r="K4" i="32"/>
  <c r="K5" i="32"/>
  <c r="K6" i="32"/>
  <c r="K7" i="32"/>
  <c r="K8" i="32"/>
  <c r="K9" i="32"/>
  <c r="K10" i="32"/>
  <c r="K11" i="32"/>
  <c r="K12" i="32"/>
  <c r="K13" i="32"/>
  <c r="K14" i="32"/>
  <c r="K15" i="32"/>
  <c r="K16" i="32"/>
  <c r="K17" i="32"/>
  <c r="K18" i="32"/>
  <c r="K19" i="32"/>
  <c r="K20" i="32"/>
  <c r="K21" i="32"/>
  <c r="K22" i="32"/>
  <c r="K23" i="32"/>
  <c r="K24" i="32"/>
  <c r="K25" i="32"/>
  <c r="K26" i="32"/>
  <c r="K27" i="32"/>
  <c r="K28" i="32"/>
  <c r="K29" i="32"/>
  <c r="K30" i="32"/>
  <c r="K31" i="32"/>
  <c r="K32" i="32"/>
  <c r="K33" i="32"/>
  <c r="K34" i="32"/>
  <c r="K35" i="32"/>
  <c r="K36" i="32"/>
  <c r="K37" i="32"/>
  <c r="K38" i="32"/>
  <c r="K39" i="32"/>
  <c r="K40" i="32"/>
  <c r="K41" i="32"/>
  <c r="K42" i="32"/>
  <c r="K43" i="32"/>
  <c r="K44" i="32"/>
  <c r="K45" i="32"/>
  <c r="K46" i="32"/>
  <c r="K47" i="32"/>
  <c r="K48" i="32"/>
  <c r="K49" i="32"/>
  <c r="K50" i="32"/>
  <c r="K51" i="32"/>
  <c r="K52" i="32"/>
  <c r="K53" i="32"/>
  <c r="K54" i="32"/>
  <c r="K55" i="32"/>
  <c r="K56" i="32"/>
  <c r="K57" i="32"/>
  <c r="K58" i="32"/>
  <c r="K59" i="32"/>
  <c r="K46" i="31"/>
  <c r="K48" i="31"/>
  <c r="K49" i="31"/>
  <c r="K51" i="31"/>
  <c r="K52" i="31"/>
  <c r="K54" i="31"/>
  <c r="K55" i="31"/>
  <c r="K57" i="31"/>
  <c r="K58" i="31"/>
  <c r="K4" i="30"/>
  <c r="K45" i="26"/>
  <c r="K55" i="26"/>
  <c r="K61" i="26"/>
  <c r="K7" i="25"/>
  <c r="K57" i="25"/>
  <c r="K3" i="3"/>
  <c r="K13" i="3"/>
  <c r="K17" i="3"/>
  <c r="K27" i="3"/>
  <c r="K3" i="31"/>
  <c r="K4" i="31"/>
  <c r="K5" i="31"/>
  <c r="K6" i="31"/>
  <c r="K7" i="31"/>
  <c r="K8" i="31"/>
  <c r="K9" i="31"/>
  <c r="K10" i="31"/>
  <c r="K11" i="31"/>
  <c r="K12" i="31"/>
  <c r="K13" i="31"/>
  <c r="K14" i="31"/>
  <c r="K15" i="31"/>
  <c r="K16" i="31"/>
  <c r="K17" i="31"/>
  <c r="K18" i="31"/>
  <c r="K19" i="31"/>
  <c r="K20" i="31"/>
  <c r="K21" i="31"/>
  <c r="K22" i="31"/>
  <c r="K23" i="31"/>
  <c r="K24" i="31"/>
  <c r="K25" i="31"/>
  <c r="K26" i="31"/>
  <c r="K27" i="31"/>
  <c r="K28" i="31"/>
  <c r="K29" i="31"/>
  <c r="K30" i="31"/>
  <c r="K31" i="31"/>
  <c r="K32" i="31"/>
  <c r="K33" i="31"/>
  <c r="K34" i="31"/>
  <c r="K35" i="31"/>
  <c r="K36" i="31"/>
  <c r="K37" i="31"/>
  <c r="K38" i="31"/>
  <c r="K39" i="31"/>
  <c r="K40" i="31"/>
  <c r="K41" i="31"/>
  <c r="K42" i="31"/>
  <c r="K43" i="31"/>
  <c r="K44" i="31"/>
  <c r="K45" i="31"/>
  <c r="K47" i="31"/>
  <c r="K50" i="31"/>
  <c r="K53" i="31"/>
  <c r="K56" i="31"/>
  <c r="K59" i="31"/>
  <c r="K41" i="26"/>
  <c r="K52" i="26"/>
  <c r="K65" i="26"/>
  <c r="K5" i="25"/>
  <c r="K55" i="25"/>
  <c r="K6" i="3"/>
  <c r="K5" i="30"/>
  <c r="K6" i="30"/>
  <c r="K7" i="30"/>
  <c r="K8" i="30"/>
  <c r="K9" i="30"/>
  <c r="K10" i="30"/>
  <c r="K11" i="30"/>
  <c r="K12" i="30"/>
  <c r="K13" i="30"/>
  <c r="K14" i="30"/>
  <c r="K15" i="30"/>
  <c r="K16" i="30"/>
  <c r="K17" i="30"/>
  <c r="K18" i="30"/>
  <c r="K19" i="30"/>
  <c r="K20" i="30"/>
  <c r="K21" i="30"/>
  <c r="K22" i="30"/>
  <c r="K23" i="30"/>
  <c r="K24" i="30"/>
  <c r="K25" i="30"/>
  <c r="K26" i="30"/>
  <c r="K27" i="30"/>
  <c r="K28" i="30"/>
  <c r="K29" i="30"/>
  <c r="K30" i="30"/>
  <c r="K31" i="30"/>
  <c r="K32" i="30"/>
  <c r="K33" i="30"/>
  <c r="K34" i="30"/>
  <c r="K35" i="30"/>
  <c r="K36" i="30"/>
  <c r="K37" i="30"/>
  <c r="K38" i="30"/>
  <c r="K39" i="30"/>
  <c r="K40" i="30"/>
  <c r="K41" i="30"/>
  <c r="K42" i="30"/>
  <c r="K43" i="30"/>
  <c r="K44" i="30"/>
  <c r="K45" i="30"/>
  <c r="K46" i="30"/>
  <c r="K47" i="30"/>
  <c r="K48" i="30"/>
  <c r="K49" i="30"/>
  <c r="K50" i="30"/>
  <c r="K51" i="30"/>
  <c r="K52" i="30"/>
  <c r="K53" i="30"/>
  <c r="K54" i="30"/>
  <c r="K55" i="30"/>
  <c r="K56" i="30"/>
  <c r="K57" i="30"/>
  <c r="K58" i="30"/>
  <c r="K59" i="30"/>
  <c r="K3" i="37"/>
  <c r="K4" i="37"/>
  <c r="K5" i="37"/>
  <c r="K6" i="37"/>
  <c r="K7" i="37"/>
  <c r="K8" i="37"/>
  <c r="K9" i="37"/>
  <c r="K10" i="37"/>
  <c r="K11" i="37"/>
  <c r="K12" i="37"/>
  <c r="K13" i="37"/>
  <c r="K14" i="37"/>
  <c r="K15" i="37"/>
  <c r="K16" i="37"/>
  <c r="K17" i="37"/>
  <c r="K18" i="37"/>
  <c r="K19" i="37"/>
  <c r="K20" i="37"/>
  <c r="K21" i="37"/>
  <c r="K22" i="37"/>
  <c r="K23" i="37"/>
  <c r="K24" i="37"/>
  <c r="K25" i="37"/>
  <c r="K37" i="26"/>
  <c r="K43" i="26"/>
  <c r="K49" i="26"/>
  <c r="K56" i="26"/>
  <c r="K63" i="26"/>
  <c r="K4" i="25"/>
  <c r="K52" i="25"/>
  <c r="K60" i="25"/>
  <c r="K11" i="3"/>
  <c r="K21" i="3"/>
  <c r="K26" i="37"/>
  <c r="K27" i="37"/>
  <c r="K28" i="37"/>
  <c r="K29" i="37"/>
  <c r="K30" i="37"/>
  <c r="K31" i="37"/>
  <c r="K32" i="37"/>
  <c r="K33" i="37"/>
  <c r="K34" i="37"/>
  <c r="K35" i="37"/>
  <c r="K36" i="37"/>
  <c r="K37" i="37"/>
  <c r="K38" i="37"/>
  <c r="K39" i="37"/>
  <c r="K40" i="37"/>
  <c r="K41" i="37"/>
  <c r="K42" i="37"/>
  <c r="K43" i="37"/>
  <c r="K44" i="37"/>
  <c r="K45" i="37"/>
  <c r="K46" i="37"/>
  <c r="K47" i="37"/>
  <c r="K48" i="37"/>
  <c r="K49" i="37"/>
  <c r="K50" i="37"/>
  <c r="K51" i="37"/>
  <c r="K52" i="37"/>
  <c r="K53" i="37"/>
  <c r="K54" i="37"/>
  <c r="K55" i="37"/>
  <c r="K56" i="37"/>
  <c r="K57" i="37"/>
  <c r="K58" i="37"/>
  <c r="K59" i="37"/>
  <c r="K60" i="37"/>
  <c r="K3" i="28"/>
  <c r="K4" i="28"/>
  <c r="K5" i="28"/>
  <c r="K6" i="28"/>
  <c r="K7" i="28"/>
  <c r="K8" i="28"/>
  <c r="K9" i="28"/>
  <c r="K10" i="28"/>
  <c r="K11" i="28"/>
  <c r="K12" i="28"/>
  <c r="K13" i="28"/>
  <c r="K14" i="28"/>
  <c r="K15" i="28"/>
  <c r="K16" i="28"/>
  <c r="K17" i="28"/>
  <c r="K18" i="28"/>
  <c r="K19" i="28"/>
  <c r="K20" i="28"/>
  <c r="K21" i="28"/>
  <c r="K22" i="28"/>
  <c r="K23" i="28"/>
  <c r="K24" i="28"/>
  <c r="K25" i="28"/>
  <c r="K26" i="28"/>
  <c r="K27" i="28"/>
  <c r="K28" i="28"/>
  <c r="K29" i="28"/>
  <c r="K30" i="28"/>
  <c r="K31" i="28"/>
  <c r="K32" i="28"/>
  <c r="K33" i="28"/>
  <c r="K34" i="28"/>
  <c r="K35" i="28"/>
  <c r="K36" i="28"/>
  <c r="K37" i="28"/>
  <c r="K38" i="28"/>
  <c r="K39" i="28"/>
  <c r="K40" i="28"/>
  <c r="K41" i="28"/>
  <c r="K42" i="28"/>
  <c r="K43" i="28"/>
  <c r="K44" i="28"/>
  <c r="K45" i="28"/>
  <c r="K64" i="27"/>
  <c r="K32" i="26"/>
  <c r="K36" i="26"/>
  <c r="K40" i="26"/>
  <c r="K44" i="26"/>
  <c r="K50" i="26"/>
  <c r="K54" i="26"/>
  <c r="K62" i="26"/>
  <c r="K48" i="25"/>
  <c r="K56" i="25"/>
  <c r="K62" i="25"/>
  <c r="K5" i="3"/>
  <c r="K12" i="3"/>
  <c r="K19" i="3"/>
  <c r="K23" i="3"/>
  <c r="K46" i="28"/>
  <c r="K47" i="28"/>
  <c r="K48" i="28"/>
  <c r="K49" i="28"/>
  <c r="K50" i="28"/>
  <c r="K51" i="28"/>
  <c r="K52" i="28"/>
  <c r="K53" i="28"/>
  <c r="K54" i="28"/>
  <c r="K55" i="28"/>
  <c r="K56" i="28"/>
  <c r="K57" i="28"/>
  <c r="K58" i="28"/>
  <c r="K59" i="28"/>
  <c r="K60" i="28"/>
  <c r="K61" i="28"/>
  <c r="K62" i="28"/>
  <c r="K3" i="27"/>
  <c r="K4" i="27"/>
  <c r="K5" i="27"/>
  <c r="K6" i="27"/>
  <c r="K7" i="27"/>
  <c r="K8" i="27"/>
  <c r="K9" i="27"/>
  <c r="K10" i="27"/>
  <c r="K11" i="27"/>
  <c r="K12" i="27"/>
  <c r="K13" i="27"/>
  <c r="K14" i="27"/>
  <c r="K15" i="27"/>
  <c r="K16" i="27"/>
  <c r="K17" i="27"/>
  <c r="K18" i="27"/>
  <c r="K19" i="27"/>
  <c r="K20" i="27"/>
  <c r="K21" i="27"/>
  <c r="K22" i="27"/>
  <c r="K23" i="27"/>
  <c r="K24" i="27"/>
  <c r="K25" i="27"/>
  <c r="K26" i="27"/>
  <c r="K27" i="27"/>
  <c r="K28" i="27"/>
  <c r="K29" i="27"/>
  <c r="K30" i="27"/>
  <c r="K31" i="27"/>
  <c r="K32" i="27"/>
  <c r="K33" i="27"/>
  <c r="K34" i="27"/>
  <c r="K35" i="27"/>
  <c r="K36" i="27"/>
  <c r="K37" i="27"/>
  <c r="K38" i="27"/>
  <c r="K39" i="27"/>
  <c r="K40" i="27"/>
  <c r="K41" i="27"/>
  <c r="K42" i="27"/>
  <c r="K43" i="27"/>
  <c r="K44" i="27"/>
  <c r="K45" i="27"/>
  <c r="K46" i="27"/>
  <c r="K47" i="27"/>
  <c r="K48" i="27"/>
  <c r="K49" i="27"/>
  <c r="K50" i="27"/>
  <c r="K51" i="27"/>
  <c r="K52" i="27"/>
  <c r="K53" i="27"/>
  <c r="K54" i="27"/>
  <c r="K55" i="27"/>
  <c r="K56" i="27"/>
  <c r="K57" i="27"/>
  <c r="K58" i="27"/>
  <c r="K59" i="27"/>
  <c r="K60" i="27"/>
  <c r="K61" i="27"/>
  <c r="K62" i="27"/>
  <c r="K63" i="27"/>
  <c r="K65" i="27"/>
  <c r="K33" i="26"/>
  <c r="K35" i="26"/>
  <c r="K39" i="26"/>
  <c r="K46" i="26"/>
  <c r="K53" i="26"/>
  <c r="K59" i="26"/>
  <c r="K51" i="25"/>
  <c r="K58" i="25"/>
  <c r="K7" i="3"/>
  <c r="K14" i="3"/>
  <c r="K18" i="3"/>
  <c r="K26" i="3"/>
  <c r="K3" i="26"/>
  <c r="K4" i="26"/>
  <c r="K5" i="26"/>
  <c r="K6" i="26"/>
  <c r="K7" i="26"/>
  <c r="K8" i="26"/>
  <c r="K9" i="26"/>
  <c r="K10" i="26"/>
  <c r="K11" i="26"/>
  <c r="K12" i="26"/>
  <c r="K13" i="26"/>
  <c r="K14" i="26"/>
  <c r="K15" i="26"/>
  <c r="K16" i="26"/>
  <c r="K17" i="26"/>
  <c r="K18" i="26"/>
  <c r="K19" i="26"/>
  <c r="K20" i="26"/>
  <c r="K21" i="26"/>
  <c r="K22" i="26"/>
  <c r="K23" i="26"/>
  <c r="K24" i="26"/>
  <c r="K25" i="26"/>
  <c r="K26" i="26"/>
  <c r="K27" i="26"/>
  <c r="K28" i="26"/>
  <c r="K29" i="26"/>
  <c r="K30" i="26"/>
  <c r="K31" i="26"/>
  <c r="K34" i="26"/>
  <c r="K38" i="26"/>
  <c r="K51" i="26"/>
  <c r="K60" i="26"/>
  <c r="K50" i="25"/>
  <c r="K63" i="25"/>
  <c r="K8" i="3"/>
  <c r="K20" i="3"/>
  <c r="K8" i="25"/>
  <c r="K9" i="25"/>
  <c r="K10" i="25"/>
  <c r="K11" i="25"/>
  <c r="K12" i="25"/>
  <c r="K13" i="25"/>
  <c r="K14" i="25"/>
  <c r="K15" i="25"/>
  <c r="K16" i="25"/>
  <c r="K17" i="25"/>
  <c r="K18" i="25"/>
  <c r="K19" i="25"/>
  <c r="K20" i="25"/>
  <c r="K21" i="25"/>
  <c r="K22" i="25"/>
  <c r="K23" i="25"/>
  <c r="K24" i="25"/>
  <c r="K25" i="25"/>
  <c r="K26" i="25"/>
  <c r="K27" i="25"/>
  <c r="K28" i="25"/>
  <c r="K29" i="25"/>
  <c r="K30" i="25"/>
  <c r="K31" i="25"/>
  <c r="K32" i="25"/>
  <c r="K33" i="25"/>
  <c r="K34" i="25"/>
  <c r="K35" i="25"/>
  <c r="K36" i="25"/>
  <c r="K37" i="25"/>
  <c r="K38" i="25"/>
  <c r="K39" i="25"/>
  <c r="K40" i="25"/>
  <c r="K41" i="25"/>
  <c r="K42" i="25"/>
  <c r="K43" i="25"/>
  <c r="K44" i="25"/>
  <c r="K45" i="25"/>
  <c r="K46" i="25"/>
  <c r="K47" i="25"/>
  <c r="K49" i="25"/>
  <c r="K59" i="25"/>
  <c r="K10" i="3"/>
  <c r="K22" i="3"/>
  <c r="K28" i="3"/>
  <c r="K29" i="3"/>
  <c r="K30" i="3"/>
  <c r="K31" i="3"/>
  <c r="K32" i="3"/>
  <c r="K33" i="3"/>
  <c r="K34" i="3"/>
  <c r="K35" i="3"/>
  <c r="K36" i="3"/>
  <c r="K37" i="3"/>
  <c r="K38" i="3"/>
  <c r="K39" i="3"/>
  <c r="K40" i="3"/>
  <c r="K41" i="3"/>
  <c r="K42" i="3"/>
  <c r="K43" i="3"/>
  <c r="K44" i="3"/>
  <c r="K45" i="3"/>
  <c r="K46" i="3"/>
  <c r="K47" i="3"/>
  <c r="K48" i="3"/>
  <c r="K49" i="3"/>
  <c r="K50" i="3"/>
  <c r="K51" i="3"/>
  <c r="K52" i="3"/>
  <c r="K53" i="3"/>
  <c r="K54" i="3"/>
  <c r="K55" i="3"/>
  <c r="L58" i="3"/>
  <c r="L62" i="3"/>
  <c r="L66" i="3"/>
  <c r="L74" i="3"/>
  <c r="L78" i="3"/>
  <c r="L56" i="3"/>
  <c r="L64" i="3"/>
  <c r="L70" i="3"/>
  <c r="L72" i="3"/>
  <c r="L80" i="3"/>
  <c r="L82" i="3"/>
  <c r="L81" i="3"/>
  <c r="L65" i="3"/>
  <c r="L79" i="3"/>
  <c r="L71" i="3"/>
  <c r="L63" i="3"/>
  <c r="L77" i="3"/>
  <c r="L69" i="3"/>
  <c r="L61" i="3"/>
  <c r="L76" i="3"/>
  <c r="L68" i="3"/>
  <c r="L60" i="3"/>
  <c r="L75" i="3"/>
  <c r="L67" i="3"/>
  <c r="L59" i="3"/>
  <c r="L74" i="25"/>
  <c r="L80" i="25"/>
  <c r="L72" i="25"/>
  <c r="L82" i="25"/>
  <c r="L66" i="25"/>
  <c r="L79" i="25"/>
  <c r="L71" i="25"/>
  <c r="L73" i="25"/>
  <c r="L81" i="25"/>
  <c r="L78" i="25"/>
  <c r="L70" i="25"/>
  <c r="L77" i="25"/>
  <c r="L69" i="25"/>
  <c r="L65" i="25"/>
  <c r="L76" i="25"/>
  <c r="L68" i="25"/>
  <c r="L75" i="25"/>
  <c r="L67" i="25"/>
  <c r="H23" i="15" l="1"/>
  <c r="H22" i="15"/>
  <c r="H18" i="15"/>
  <c r="H14" i="15"/>
  <c r="H10" i="15"/>
  <c r="L49" i="3"/>
  <c r="L49" i="25"/>
  <c r="L6" i="25"/>
  <c r="L24" i="3"/>
  <c r="L16" i="3"/>
  <c r="L53" i="25"/>
  <c r="L35" i="25"/>
  <c r="L14" i="25"/>
  <c r="L15" i="25"/>
  <c r="L38" i="25"/>
  <c r="L17" i="25"/>
  <c r="L28" i="25"/>
  <c r="L9" i="25"/>
  <c r="L11" i="25"/>
  <c r="L13" i="25"/>
  <c r="L4" i="25"/>
  <c r="L20" i="25"/>
  <c r="L56" i="25"/>
  <c r="L50" i="25"/>
  <c r="L27" i="25"/>
  <c r="L5" i="25"/>
  <c r="L59" i="25"/>
  <c r="L12" i="25"/>
  <c r="L41" i="3"/>
  <c r="L9" i="3"/>
  <c r="L31" i="3"/>
  <c r="L30" i="3"/>
  <c r="L50" i="3"/>
  <c r="L42" i="3"/>
  <c r="L34" i="3"/>
  <c r="L26" i="3"/>
  <c r="L18" i="3"/>
  <c r="L10" i="3"/>
  <c r="L33" i="3"/>
  <c r="L32" i="3"/>
  <c r="L15" i="3"/>
  <c r="L46" i="3"/>
  <c r="L38" i="3"/>
  <c r="L14" i="3"/>
  <c r="L53" i="3"/>
  <c r="L45" i="3"/>
  <c r="L37" i="3"/>
  <c r="L29" i="3"/>
  <c r="L21" i="3"/>
  <c r="L13" i="3"/>
  <c r="L5" i="3"/>
  <c r="L25" i="3"/>
  <c r="L23" i="3"/>
  <c r="L6" i="3"/>
  <c r="L52" i="3"/>
  <c r="L44" i="3"/>
  <c r="L36" i="3"/>
  <c r="L28" i="3"/>
  <c r="L20" i="3"/>
  <c r="L7" i="25"/>
  <c r="L55" i="25"/>
  <c r="L12" i="3"/>
  <c r="L4" i="3"/>
  <c r="L17" i="3"/>
  <c r="L48" i="3"/>
  <c r="L40" i="3"/>
  <c r="L8" i="3"/>
  <c r="L55" i="3"/>
  <c r="L47" i="3"/>
  <c r="L39" i="3"/>
  <c r="L7" i="3"/>
  <c r="L54" i="3"/>
  <c r="L22" i="3"/>
  <c r="L51" i="3"/>
  <c r="L43" i="3"/>
  <c r="L35" i="3"/>
  <c r="L27" i="3"/>
  <c r="L19" i="3"/>
  <c r="L11" i="3"/>
  <c r="L3" i="3"/>
  <c r="L63" i="25"/>
  <c r="L58" i="25"/>
  <c r="L22" i="25"/>
  <c r="L64" i="25"/>
  <c r="L48" i="25"/>
  <c r="L39" i="25"/>
  <c r="L21" i="25"/>
  <c r="L52" i="25"/>
  <c r="L43" i="25"/>
  <c r="L42" i="25"/>
  <c r="L29" i="25"/>
  <c r="L44" i="25"/>
  <c r="L51" i="25"/>
  <c r="L31" i="25"/>
  <c r="L62" i="25"/>
  <c r="L34" i="25"/>
  <c r="L26" i="25"/>
  <c r="L16" i="25"/>
  <c r="L33" i="25"/>
  <c r="L40" i="25"/>
  <c r="L47" i="25"/>
  <c r="L32" i="25"/>
  <c r="L54" i="25"/>
  <c r="L57" i="25"/>
  <c r="L19" i="25"/>
  <c r="L10" i="25"/>
  <c r="L61" i="25"/>
  <c r="L36" i="25"/>
  <c r="L18" i="25"/>
  <c r="L25" i="25"/>
  <c r="L60" i="25"/>
  <c r="L24" i="25"/>
  <c r="L41" i="25"/>
  <c r="L45" i="25"/>
  <c r="L30" i="25"/>
  <c r="L23" i="25"/>
  <c r="L8" i="25"/>
  <c r="L46" i="25"/>
  <c r="L37" i="25"/>
  <c r="L3" i="25"/>
  <c r="L67" i="26"/>
  <c r="L66" i="26"/>
  <c r="L68" i="26"/>
  <c r="L66" i="27"/>
  <c r="L71" i="26"/>
  <c r="L72" i="26"/>
  <c r="L76" i="26"/>
  <c r="L77" i="26"/>
  <c r="L82" i="26"/>
  <c r="L22" i="26"/>
  <c r="L19" i="26"/>
  <c r="L38" i="26"/>
  <c r="L35" i="26"/>
  <c r="L17" i="26"/>
  <c r="L60" i="26"/>
  <c r="L25" i="26"/>
  <c r="L41" i="26"/>
  <c r="L37" i="26"/>
  <c r="L69" i="26"/>
  <c r="L75" i="26"/>
  <c r="L78" i="26"/>
  <c r="L81" i="26"/>
  <c r="L79" i="26"/>
  <c r="L74" i="26"/>
  <c r="L73" i="26"/>
  <c r="L70" i="26"/>
  <c r="L80" i="26"/>
  <c r="L73" i="3"/>
  <c r="L57" i="3"/>
  <c r="L82" i="28"/>
  <c r="L81" i="28"/>
  <c r="L15" i="26"/>
  <c r="L48" i="26"/>
  <c r="L68" i="27"/>
  <c r="L67" i="27"/>
  <c r="L69" i="28"/>
  <c r="L68" i="28"/>
  <c r="L80" i="28"/>
  <c r="L72" i="27"/>
  <c r="L69" i="27"/>
  <c r="L77" i="27"/>
  <c r="L74" i="27"/>
  <c r="L71" i="27"/>
  <c r="L70" i="27"/>
  <c r="L73" i="27"/>
  <c r="L76" i="27"/>
  <c r="L30" i="37"/>
  <c r="L38" i="37"/>
  <c r="L41" i="37"/>
  <c r="L52" i="37"/>
  <c r="L24" i="37"/>
  <c r="L49" i="26"/>
  <c r="L55" i="26"/>
  <c r="L63" i="26"/>
  <c r="L21" i="26"/>
  <c r="L53" i="26"/>
  <c r="L52" i="26"/>
  <c r="L24" i="26"/>
  <c r="L5" i="26"/>
  <c r="L40" i="26"/>
  <c r="L23" i="26"/>
  <c r="L39" i="26"/>
  <c r="L34" i="26"/>
  <c r="L28" i="26"/>
  <c r="L57" i="26"/>
  <c r="L32" i="26"/>
  <c r="L54" i="26"/>
  <c r="L65" i="26"/>
  <c r="L64" i="26"/>
  <c r="L10" i="26"/>
  <c r="L26" i="26"/>
  <c r="L20" i="26"/>
  <c r="L44" i="26"/>
  <c r="L43" i="26"/>
  <c r="L9" i="26"/>
  <c r="L11" i="26"/>
  <c r="L36" i="26"/>
  <c r="L4" i="26"/>
  <c r="L50" i="26"/>
  <c r="L61" i="26"/>
  <c r="L6" i="26"/>
  <c r="L8" i="26"/>
  <c r="L14" i="26"/>
  <c r="L7" i="26"/>
  <c r="L51" i="26"/>
  <c r="L3" i="26"/>
  <c r="L42" i="26"/>
  <c r="L31" i="26"/>
  <c r="L45" i="26"/>
  <c r="L13" i="26"/>
  <c r="L33" i="26"/>
  <c r="L56" i="26"/>
  <c r="L62" i="26"/>
  <c r="L30" i="26"/>
  <c r="L12" i="26"/>
  <c r="L29" i="26"/>
  <c r="L18" i="26"/>
  <c r="L47" i="26"/>
  <c r="L59" i="26"/>
  <c r="L27" i="26"/>
  <c r="L16" i="26"/>
  <c r="L58" i="26"/>
  <c r="L46" i="26"/>
  <c r="L17" i="37"/>
  <c r="L82" i="27"/>
  <c r="L80" i="27"/>
  <c r="L78" i="30"/>
  <c r="L80" i="30"/>
  <c r="L81" i="30"/>
  <c r="L82" i="30"/>
  <c r="L79" i="30"/>
  <c r="L28" i="27"/>
  <c r="L81" i="27"/>
  <c r="L78" i="27"/>
  <c r="L79" i="27"/>
  <c r="L48" i="27"/>
  <c r="L33" i="37"/>
  <c r="L18" i="37"/>
  <c r="L64" i="37"/>
  <c r="L20" i="37"/>
  <c r="L27" i="37"/>
  <c r="L11" i="37"/>
  <c r="L36" i="37"/>
  <c r="L60" i="37"/>
  <c r="L32" i="37"/>
  <c r="L76" i="30"/>
  <c r="L65" i="30"/>
  <c r="L66" i="30"/>
  <c r="L73" i="28"/>
  <c r="L78" i="28"/>
  <c r="L74" i="28"/>
  <c r="L72" i="28"/>
  <c r="L79" i="28"/>
  <c r="L71" i="28"/>
  <c r="L77" i="28"/>
  <c r="L70" i="28"/>
  <c r="L76" i="28"/>
  <c r="L75" i="28"/>
  <c r="L67" i="28"/>
  <c r="L75" i="27"/>
  <c r="L43" i="37"/>
  <c r="L37" i="37"/>
  <c r="L31" i="37"/>
  <c r="L23" i="37"/>
  <c r="L54" i="37"/>
  <c r="L63" i="37"/>
  <c r="L26" i="37"/>
  <c r="L35" i="37"/>
  <c r="L47" i="37"/>
  <c r="L57" i="37"/>
  <c r="L53" i="37"/>
  <c r="L50" i="37"/>
  <c r="L64" i="30"/>
  <c r="L67" i="30"/>
  <c r="L70" i="30"/>
  <c r="L73" i="30"/>
  <c r="L68" i="30"/>
  <c r="L69" i="30"/>
  <c r="L72" i="30"/>
  <c r="L77" i="30"/>
  <c r="L75" i="30"/>
  <c r="L74" i="30"/>
  <c r="L71" i="30"/>
  <c r="L65" i="37"/>
  <c r="L66" i="37"/>
  <c r="L79" i="37"/>
  <c r="L68" i="37"/>
  <c r="L78" i="37"/>
  <c r="L67" i="37"/>
  <c r="L80" i="37"/>
  <c r="L70" i="37"/>
  <c r="L69" i="37"/>
  <c r="L29" i="28"/>
  <c r="L56" i="37"/>
  <c r="L51" i="37"/>
  <c r="L48" i="37"/>
  <c r="L9" i="37"/>
  <c r="L55" i="37"/>
  <c r="L49" i="37"/>
  <c r="L62" i="37"/>
  <c r="L3" i="37"/>
  <c r="L5" i="37"/>
  <c r="L4" i="37"/>
  <c r="L6" i="37"/>
  <c r="L16" i="37"/>
  <c r="L39" i="37"/>
  <c r="L45" i="37"/>
  <c r="L12" i="37"/>
  <c r="L19" i="37"/>
  <c r="L25" i="37"/>
  <c r="L21" i="37"/>
  <c r="L13" i="37"/>
  <c r="L22" i="37"/>
  <c r="L29" i="37"/>
  <c r="L46" i="37"/>
  <c r="L10" i="37"/>
  <c r="L42" i="37"/>
  <c r="L28" i="37"/>
  <c r="L40" i="37"/>
  <c r="L59" i="37"/>
  <c r="L44" i="37"/>
  <c r="L34" i="37"/>
  <c r="L15" i="37"/>
  <c r="L58" i="37"/>
  <c r="L61" i="37"/>
  <c r="L7" i="37"/>
  <c r="L14" i="37"/>
  <c r="L8" i="37"/>
  <c r="L76" i="37"/>
  <c r="L77" i="37"/>
  <c r="L82" i="37"/>
  <c r="L71" i="37"/>
  <c r="L72" i="37"/>
  <c r="L73" i="37"/>
  <c r="L74" i="37"/>
  <c r="L75" i="37"/>
  <c r="L81" i="37"/>
  <c r="L62" i="28"/>
  <c r="L22" i="28"/>
  <c r="L54" i="28"/>
  <c r="L15" i="28"/>
  <c r="L28" i="28"/>
  <c r="L8" i="28"/>
  <c r="L34" i="28"/>
  <c r="L45" i="28"/>
  <c r="L41" i="28"/>
  <c r="L19" i="28"/>
  <c r="L33" i="28"/>
  <c r="L58" i="28"/>
  <c r="L5" i="28"/>
  <c r="L42" i="28"/>
  <c r="L48" i="28"/>
  <c r="L26" i="28"/>
  <c r="L37" i="28"/>
  <c r="L64" i="28"/>
  <c r="L18" i="28"/>
  <c r="L23" i="28"/>
  <c r="L36" i="28"/>
  <c r="L47" i="28"/>
  <c r="L21" i="28"/>
  <c r="L30" i="28"/>
  <c r="L57" i="28"/>
  <c r="L51" i="28"/>
  <c r="L32" i="28"/>
  <c r="L11" i="28"/>
  <c r="L43" i="28"/>
  <c r="L14" i="28"/>
  <c r="L63" i="28"/>
  <c r="L38" i="28"/>
  <c r="L46" i="28"/>
  <c r="L59" i="28"/>
  <c r="L27" i="28"/>
  <c r="L66" i="28"/>
  <c r="L24" i="28"/>
  <c r="L4" i="28"/>
  <c r="L56" i="28"/>
  <c r="L31" i="28"/>
  <c r="L60" i="28"/>
  <c r="L12" i="28"/>
  <c r="L9" i="28"/>
  <c r="L50" i="28"/>
  <c r="L10" i="28"/>
  <c r="L20" i="28"/>
  <c r="L17" i="28"/>
  <c r="L7" i="28"/>
  <c r="L53" i="28"/>
  <c r="L13" i="28"/>
  <c r="L52" i="28"/>
  <c r="L49" i="28"/>
  <c r="L3" i="28"/>
  <c r="L61" i="28"/>
  <c r="L39" i="28"/>
  <c r="L65" i="28"/>
  <c r="L44" i="28"/>
  <c r="L35" i="28"/>
  <c r="L55" i="28"/>
  <c r="L6" i="28"/>
  <c r="L40" i="28"/>
  <c r="L25" i="28"/>
  <c r="L16" i="28"/>
  <c r="L30" i="27"/>
  <c r="L44" i="27"/>
  <c r="L62" i="27"/>
  <c r="L15" i="27"/>
  <c r="L55" i="27"/>
  <c r="L56" i="27"/>
  <c r="L26" i="27"/>
  <c r="L45" i="27"/>
  <c r="L57" i="27"/>
  <c r="L27" i="27"/>
  <c r="L32" i="27"/>
  <c r="L35" i="27"/>
  <c r="L33" i="27"/>
  <c r="L23" i="27"/>
  <c r="L47" i="27"/>
  <c r="L58" i="27"/>
  <c r="L8" i="27"/>
  <c r="L42" i="27"/>
  <c r="L41" i="27"/>
  <c r="L64" i="27"/>
  <c r="L14" i="27"/>
  <c r="L53" i="27"/>
  <c r="L22" i="27"/>
  <c r="L49" i="27"/>
  <c r="L10" i="27"/>
  <c r="L39" i="27"/>
  <c r="L52" i="27"/>
  <c r="L16" i="27"/>
  <c r="L43" i="27"/>
  <c r="L6" i="27"/>
  <c r="L13" i="27"/>
  <c r="L12" i="27"/>
  <c r="L61" i="27"/>
  <c r="L31" i="27"/>
  <c r="L37" i="27"/>
  <c r="L19" i="27"/>
  <c r="L38" i="27"/>
  <c r="L60" i="27"/>
  <c r="L21" i="27"/>
  <c r="L36" i="27"/>
  <c r="L17" i="27"/>
  <c r="L50" i="27"/>
  <c r="L51" i="27"/>
  <c r="L11" i="27"/>
  <c r="L65" i="27"/>
  <c r="L18" i="27"/>
  <c r="L4" i="27"/>
  <c r="L24" i="27"/>
  <c r="L59" i="27"/>
  <c r="L9" i="27"/>
  <c r="L7" i="27"/>
  <c r="L29" i="27"/>
  <c r="L63" i="27"/>
  <c r="L40" i="27"/>
  <c r="L34" i="27"/>
  <c r="L25" i="27"/>
  <c r="L20" i="27"/>
  <c r="L5" i="27"/>
  <c r="L46" i="27"/>
  <c r="L54" i="27"/>
  <c r="L3" i="27"/>
  <c r="L20" i="30"/>
  <c r="L29" i="30"/>
  <c r="L41" i="30"/>
  <c r="L32" i="30"/>
  <c r="L6" i="30"/>
  <c r="L49" i="30"/>
  <c r="L59" i="30"/>
  <c r="L25" i="30"/>
  <c r="L9" i="30"/>
  <c r="L13" i="30"/>
  <c r="L27" i="30"/>
  <c r="L44" i="30"/>
  <c r="L36" i="30"/>
  <c r="L62" i="30"/>
  <c r="L45" i="30"/>
  <c r="L3" i="30"/>
  <c r="L51" i="30"/>
  <c r="L16" i="30"/>
  <c r="L15" i="30"/>
  <c r="L35" i="30"/>
  <c r="L7" i="30"/>
  <c r="L21" i="30"/>
  <c r="L38" i="30"/>
  <c r="L30" i="30"/>
  <c r="L37" i="30"/>
  <c r="L40" i="30"/>
  <c r="L42" i="30"/>
  <c r="L60" i="30"/>
  <c r="L31" i="30"/>
  <c r="L11" i="30"/>
  <c r="L33" i="30"/>
  <c r="L47" i="30"/>
  <c r="L4" i="30"/>
  <c r="L26" i="30"/>
  <c r="L17" i="30"/>
  <c r="L63" i="30"/>
  <c r="L12" i="30"/>
  <c r="L39" i="30"/>
  <c r="L22" i="30"/>
  <c r="L50" i="30"/>
  <c r="L23" i="30"/>
  <c r="L14" i="30"/>
  <c r="L43" i="30"/>
  <c r="L46" i="30"/>
  <c r="L10" i="30"/>
  <c r="L34" i="30"/>
  <c r="L57" i="30"/>
  <c r="L58" i="30"/>
  <c r="L24" i="30"/>
  <c r="L18" i="30"/>
  <c r="L56" i="30"/>
  <c r="L48" i="30"/>
  <c r="L5" i="30"/>
  <c r="L19" i="30"/>
  <c r="L55" i="30"/>
  <c r="L53" i="30"/>
  <c r="L8" i="30"/>
  <c r="L61" i="30"/>
  <c r="L54" i="30"/>
  <c r="L28" i="30"/>
  <c r="L52" i="30"/>
  <c r="L58" i="35"/>
  <c r="L60" i="35"/>
  <c r="L62" i="35"/>
  <c r="L63" i="35"/>
  <c r="L65" i="35"/>
  <c r="L66" i="35"/>
  <c r="L67" i="35"/>
  <c r="L68" i="35"/>
  <c r="L69" i="35"/>
  <c r="L70" i="35"/>
  <c r="L71" i="35"/>
  <c r="L72" i="35"/>
  <c r="L73" i="35"/>
  <c r="L74" i="35"/>
  <c r="L75" i="35"/>
  <c r="L77" i="35"/>
  <c r="L79" i="35"/>
  <c r="L81" i="35"/>
  <c r="L82" i="35"/>
  <c r="L63" i="32"/>
  <c r="L64" i="32"/>
  <c r="L65" i="32"/>
  <c r="L66" i="32"/>
  <c r="L67" i="32"/>
  <c r="L68" i="32"/>
  <c r="L69" i="32"/>
  <c r="L70" i="32"/>
  <c r="L71" i="32"/>
  <c r="L73" i="32"/>
  <c r="L74" i="32"/>
  <c r="L75" i="32"/>
  <c r="L76" i="32"/>
  <c r="L77" i="32"/>
  <c r="L78" i="32"/>
  <c r="L79" i="32"/>
  <c r="L81" i="32"/>
  <c r="L82" i="32"/>
  <c r="L64" i="31"/>
  <c r="L65" i="31"/>
  <c r="L66" i="31"/>
  <c r="L68" i="31"/>
  <c r="L69" i="31"/>
  <c r="L70" i="31"/>
  <c r="L72" i="31"/>
  <c r="L73" i="31"/>
  <c r="L74" i="31"/>
  <c r="L76" i="31"/>
  <c r="L77" i="31"/>
  <c r="L78" i="31"/>
  <c r="L79" i="31"/>
  <c r="L80" i="31"/>
  <c r="L81" i="31"/>
  <c r="L82" i="31"/>
  <c r="L78" i="35"/>
  <c r="L80" i="35"/>
  <c r="L72" i="32"/>
  <c r="L80" i="32"/>
  <c r="L63" i="31"/>
  <c r="L67" i="31"/>
  <c r="L75" i="31"/>
  <c r="L50" i="35"/>
  <c r="L64" i="35"/>
  <c r="L76" i="35"/>
  <c r="L71" i="31"/>
  <c r="S35" i="26"/>
  <c r="Q29" i="26"/>
  <c r="S35" i="3"/>
  <c r="Q29" i="3"/>
  <c r="S35" i="35"/>
  <c r="Q29" i="35"/>
  <c r="S35" i="36"/>
  <c r="Q29" i="36"/>
  <c r="S35" i="33"/>
  <c r="Q29" i="33"/>
  <c r="S35" i="32"/>
  <c r="Q29" i="32"/>
  <c r="S35" i="31"/>
  <c r="Q29" i="31"/>
  <c r="S35" i="30"/>
  <c r="Q29" i="30"/>
  <c r="S35" i="37"/>
  <c r="Q29" i="37"/>
  <c r="S35" i="28"/>
  <c r="Q29" i="28"/>
  <c r="S35" i="27"/>
  <c r="Q29" i="27"/>
  <c r="S35" i="25"/>
  <c r="Q29" i="25"/>
  <c r="L18" i="35" l="1"/>
  <c r="L20" i="35"/>
  <c r="L10" i="35"/>
  <c r="L51" i="35"/>
  <c r="L37" i="35"/>
  <c r="L34" i="35"/>
  <c r="L55" i="35"/>
  <c r="L19" i="35"/>
  <c r="L32" i="35"/>
  <c r="L59" i="35"/>
  <c r="L42" i="35"/>
  <c r="L40" i="35"/>
  <c r="L15" i="35"/>
  <c r="L29" i="35"/>
  <c r="L23" i="35"/>
  <c r="L52" i="35"/>
  <c r="L9" i="35"/>
  <c r="L17" i="35"/>
  <c r="L43" i="35"/>
  <c r="L53" i="35"/>
  <c r="L24" i="35"/>
  <c r="L39" i="35"/>
  <c r="L61" i="35"/>
  <c r="L25" i="35"/>
  <c r="L48" i="35"/>
  <c r="L36" i="35"/>
  <c r="L57" i="35"/>
  <c r="L54" i="35"/>
  <c r="L26" i="35"/>
  <c r="L21" i="35"/>
  <c r="L27" i="35"/>
  <c r="L44" i="35"/>
  <c r="L22" i="35"/>
  <c r="L47" i="35"/>
  <c r="L38" i="35"/>
  <c r="L28" i="35"/>
  <c r="L16" i="35"/>
  <c r="L56" i="35"/>
  <c r="L11" i="35"/>
  <c r="L30" i="35"/>
  <c r="L49" i="35"/>
  <c r="L14" i="35"/>
  <c r="L35" i="35"/>
  <c r="L45" i="35"/>
  <c r="L7" i="35"/>
  <c r="L46" i="35"/>
  <c r="L8" i="35"/>
  <c r="L33" i="35"/>
  <c r="L31" i="35"/>
  <c r="L12" i="35"/>
  <c r="L13" i="35"/>
  <c r="L6" i="35"/>
  <c r="L41" i="35"/>
  <c r="L5" i="35"/>
  <c r="L4" i="35"/>
  <c r="L3" i="35"/>
  <c r="L61" i="36"/>
  <c r="L51" i="36"/>
  <c r="L21" i="36"/>
  <c r="L27" i="36"/>
  <c r="L44" i="36"/>
  <c r="L42" i="36"/>
  <c r="L47" i="36"/>
  <c r="L56" i="36"/>
  <c r="L50" i="36"/>
  <c r="L39" i="36"/>
  <c r="L48" i="36"/>
  <c r="L38" i="36"/>
  <c r="L28" i="36"/>
  <c r="L16" i="36"/>
  <c r="L54" i="36"/>
  <c r="L11" i="36"/>
  <c r="L30" i="36"/>
  <c r="L57" i="36"/>
  <c r="L45" i="36"/>
  <c r="L7" i="36"/>
  <c r="L46" i="36"/>
  <c r="L8" i="36"/>
  <c r="L58" i="36"/>
  <c r="L18" i="36"/>
  <c r="L31" i="36"/>
  <c r="L12" i="36"/>
  <c r="L13" i="36"/>
  <c r="L6" i="36"/>
  <c r="L41" i="36"/>
  <c r="L52" i="36"/>
  <c r="L40" i="36"/>
  <c r="L49" i="36"/>
  <c r="L15" i="36"/>
  <c r="L20" i="36"/>
  <c r="L29" i="36"/>
  <c r="L10" i="36"/>
  <c r="L23" i="36"/>
  <c r="L4" i="36"/>
  <c r="L25" i="36"/>
  <c r="L59" i="36"/>
  <c r="L9" i="36"/>
  <c r="L37" i="36"/>
  <c r="L17" i="36"/>
  <c r="L34" i="36"/>
  <c r="L43" i="36"/>
  <c r="L3" i="36"/>
  <c r="L52" i="31"/>
  <c r="L25" i="31"/>
  <c r="L58" i="31"/>
  <c r="L19" i="31"/>
  <c r="L52" i="32"/>
  <c r="L25" i="32"/>
  <c r="L58" i="32"/>
  <c r="L19" i="32"/>
  <c r="L9" i="31"/>
  <c r="L29" i="31"/>
  <c r="L55" i="31"/>
  <c r="L31" i="31"/>
  <c r="L9" i="32"/>
  <c r="L29" i="32"/>
  <c r="L55" i="32"/>
  <c r="L31" i="32"/>
  <c r="L59" i="31"/>
  <c r="L36" i="31"/>
  <c r="L24" i="31"/>
  <c r="L15" i="31"/>
  <c r="L59" i="32"/>
  <c r="L36" i="32"/>
  <c r="L24" i="32"/>
  <c r="L15" i="32"/>
  <c r="L57" i="31"/>
  <c r="L26" i="31"/>
  <c r="L50" i="31"/>
  <c r="L40" i="31"/>
  <c r="L57" i="32"/>
  <c r="L26" i="32"/>
  <c r="L50" i="32"/>
  <c r="L40" i="32"/>
  <c r="L48" i="31"/>
  <c r="L20" i="31"/>
  <c r="L10" i="31"/>
  <c r="L48" i="32"/>
  <c r="L20" i="32"/>
  <c r="L10" i="32"/>
  <c r="L39" i="31"/>
  <c r="L37" i="31"/>
  <c r="L16" i="31"/>
  <c r="L39" i="32"/>
  <c r="L37" i="32"/>
  <c r="L16" i="32"/>
  <c r="L8" i="31"/>
  <c r="L46" i="31"/>
  <c r="L41" i="31"/>
  <c r="L8" i="32"/>
  <c r="L46" i="32"/>
  <c r="L41" i="32"/>
  <c r="L60" i="31"/>
  <c r="L43" i="31"/>
  <c r="L42" i="31"/>
  <c r="L60" i="32"/>
  <c r="L43" i="32"/>
  <c r="L42" i="32"/>
  <c r="L51" i="31"/>
  <c r="L61" i="31"/>
  <c r="L32" i="31"/>
  <c r="L7" i="31"/>
  <c r="L33" i="31"/>
  <c r="L11" i="31"/>
  <c r="L45" i="31"/>
  <c r="L13" i="31"/>
  <c r="L51" i="32"/>
  <c r="L61" i="32"/>
  <c r="L32" i="32"/>
  <c r="L7" i="32"/>
  <c r="L33" i="32"/>
  <c r="L11" i="32"/>
  <c r="L45" i="32"/>
  <c r="L13" i="32"/>
  <c r="L62" i="31"/>
  <c r="L53" i="31"/>
  <c r="L14" i="31"/>
  <c r="L21" i="31"/>
  <c r="L28" i="31"/>
  <c r="L30" i="31"/>
  <c r="L12" i="31"/>
  <c r="L5" i="31"/>
  <c r="L62" i="32"/>
  <c r="L53" i="32"/>
  <c r="L14" i="32"/>
  <c r="L21" i="32"/>
  <c r="L28" i="32"/>
  <c r="L30" i="32"/>
  <c r="L12" i="32"/>
  <c r="L5" i="32"/>
  <c r="L54" i="31"/>
  <c r="L49" i="31"/>
  <c r="L47" i="31"/>
  <c r="L44" i="31"/>
  <c r="L18" i="31"/>
  <c r="L35" i="31"/>
  <c r="L6" i="31"/>
  <c r="L4" i="31"/>
  <c r="L54" i="32"/>
  <c r="L49" i="32"/>
  <c r="L47" i="32"/>
  <c r="L44" i="32"/>
  <c r="L18" i="32"/>
  <c r="L35" i="32"/>
  <c r="L6" i="32"/>
  <c r="L4" i="32"/>
  <c r="L34" i="31"/>
  <c r="L56" i="31"/>
  <c r="L17" i="31"/>
  <c r="L22" i="31"/>
  <c r="L38" i="31"/>
  <c r="L27" i="31"/>
  <c r="L23" i="31"/>
  <c r="L3" i="31"/>
  <c r="L34" i="32"/>
  <c r="L56" i="32"/>
  <c r="L17" i="32"/>
  <c r="L22" i="32"/>
  <c r="L38" i="32"/>
  <c r="L27" i="32"/>
  <c r="L23" i="32"/>
  <c r="L3" i="32"/>
  <c r="L55" i="33"/>
  <c r="L21" i="33"/>
  <c r="L44" i="33"/>
  <c r="L33" i="36"/>
  <c r="L38" i="33"/>
  <c r="L16" i="33"/>
  <c r="L11" i="33"/>
  <c r="L59" i="33"/>
  <c r="L42" i="33"/>
  <c r="L40" i="33"/>
  <c r="L50" i="33"/>
  <c r="L31" i="33"/>
  <c r="L13" i="33"/>
  <c r="L41" i="33"/>
  <c r="L18" i="33"/>
  <c r="L28" i="33"/>
  <c r="L54" i="33"/>
  <c r="L30" i="33"/>
  <c r="L55" i="36"/>
  <c r="L56" i="33"/>
  <c r="L25" i="33"/>
  <c r="L49" i="33"/>
  <c r="L36" i="33"/>
  <c r="L26" i="36"/>
  <c r="L22" i="36"/>
  <c r="L33" i="33"/>
  <c r="L26" i="33"/>
  <c r="L27" i="33"/>
  <c r="L22" i="33"/>
  <c r="L60" i="33"/>
  <c r="L12" i="33"/>
  <c r="L6" i="33"/>
  <c r="L5" i="33"/>
  <c r="L51" i="33"/>
  <c r="L47" i="33"/>
  <c r="L24" i="33"/>
  <c r="L19" i="33"/>
  <c r="L57" i="33"/>
  <c r="L32" i="33"/>
  <c r="L39" i="33"/>
  <c r="L24" i="36"/>
  <c r="L58" i="33"/>
  <c r="L14" i="33"/>
  <c r="L35" i="33"/>
  <c r="L45" i="33"/>
  <c r="L7" i="33"/>
  <c r="L46" i="33"/>
  <c r="L8" i="33"/>
  <c r="L14" i="36"/>
  <c r="L35" i="36"/>
  <c r="L61" i="33"/>
  <c r="L52" i="33"/>
  <c r="L15" i="33"/>
  <c r="L20" i="33"/>
  <c r="L29" i="33"/>
  <c r="L10" i="33"/>
  <c r="L23" i="33"/>
  <c r="L4" i="33"/>
  <c r="L53" i="36"/>
  <c r="L53" i="33"/>
  <c r="L48" i="33"/>
  <c r="L9" i="33"/>
  <c r="L37" i="33"/>
  <c r="L17" i="33"/>
  <c r="L34" i="33"/>
  <c r="L43" i="33"/>
  <c r="L3" i="33"/>
  <c r="L60" i="36"/>
  <c r="L76" i="36"/>
  <c r="L68" i="36"/>
  <c r="L70" i="36"/>
  <c r="L78" i="33"/>
  <c r="L70" i="33"/>
  <c r="L62" i="33"/>
  <c r="L75" i="36"/>
  <c r="L67" i="36"/>
  <c r="L80" i="33"/>
  <c r="L62" i="36"/>
  <c r="L77" i="33"/>
  <c r="L69" i="33"/>
  <c r="L82" i="36"/>
  <c r="L74" i="36"/>
  <c r="L66" i="36"/>
  <c r="L79" i="33"/>
  <c r="L76" i="33"/>
  <c r="L68" i="33"/>
  <c r="L81" i="36"/>
  <c r="L73" i="36"/>
  <c r="L65" i="36"/>
  <c r="L72" i="33"/>
  <c r="L75" i="33"/>
  <c r="L67" i="33"/>
  <c r="L64" i="36"/>
  <c r="L71" i="33"/>
  <c r="L82" i="33"/>
  <c r="L74" i="33"/>
  <c r="L66" i="33"/>
  <c r="L71" i="36"/>
  <c r="L63" i="36"/>
  <c r="L64" i="33"/>
  <c r="L80" i="36"/>
  <c r="L81" i="33"/>
  <c r="L73" i="33"/>
  <c r="L65" i="33"/>
  <c r="L78" i="36"/>
  <c r="L63" i="33"/>
  <c r="L79" i="36"/>
  <c r="L77" i="36"/>
  <c r="L69" i="36"/>
  <c r="L72" i="36"/>
  <c r="L19" i="36"/>
  <c r="L32" i="36"/>
  <c r="L36" i="36"/>
  <c r="L5" i="36"/>
  <c r="B23" i="15"/>
  <c r="B2" i="15"/>
  <c r="E35" i="15"/>
  <c r="E34" i="15"/>
  <c r="E33" i="15"/>
  <c r="E32" i="15"/>
  <c r="B28" i="15"/>
  <c r="AB2" i="35"/>
  <c r="AB1" i="35"/>
  <c r="AB2" i="36"/>
  <c r="AB1" i="36"/>
  <c r="AB2" i="33"/>
  <c r="AB1" i="33"/>
  <c r="AB2" i="32"/>
  <c r="AB1" i="32"/>
  <c r="AB2" i="31"/>
  <c r="AB1" i="31"/>
  <c r="AB2" i="30"/>
  <c r="AB1" i="30"/>
  <c r="AB2" i="37"/>
  <c r="AB1" i="37"/>
  <c r="AB2" i="28"/>
  <c r="AB1" i="28"/>
  <c r="AB2" i="27"/>
  <c r="AB1" i="27"/>
  <c r="AB2" i="26"/>
  <c r="AB1" i="26"/>
  <c r="AB2" i="25"/>
  <c r="AB1" i="25"/>
  <c r="AB2" i="3"/>
  <c r="AB1" i="3"/>
  <c r="Q14" i="37"/>
  <c r="S38" i="37"/>
  <c r="Q38" i="37"/>
  <c r="Q36" i="37"/>
  <c r="Q35" i="37"/>
  <c r="Q9" i="37"/>
  <c r="Q10" i="37"/>
  <c r="P5" i="37"/>
  <c r="S33" i="37"/>
  <c r="Q33" i="37"/>
  <c r="O5" i="37" a="1"/>
  <c r="Q10" i="33"/>
  <c r="Q10" i="30"/>
  <c r="Q10" i="3"/>
  <c r="Q10" i="35"/>
  <c r="Q9" i="35"/>
  <c r="Q9" i="33"/>
  <c r="Q10" i="32"/>
  <c r="Q9" i="32"/>
  <c r="S38" i="27"/>
  <c r="Q38" i="27"/>
  <c r="Q35" i="27"/>
  <c r="Q9" i="27"/>
  <c r="Q9" i="3"/>
  <c r="Q17" i="26" l="1"/>
  <c r="Q17" i="31"/>
  <c r="Q17" i="32"/>
  <c r="Q17" i="36"/>
  <c r="Q17" i="37"/>
  <c r="Q17" i="28"/>
  <c r="Q17" i="27"/>
  <c r="Q17" i="30"/>
  <c r="Q17" i="33"/>
  <c r="Q17" i="35"/>
  <c r="Q17" i="25"/>
  <c r="Q37" i="37"/>
  <c r="E11" i="2" s="1"/>
  <c r="I13" i="15" s="1"/>
  <c r="K13" i="15" s="1"/>
  <c r="Q39" i="37"/>
  <c r="U35" i="37"/>
  <c r="Q8" i="37"/>
  <c r="Q11" i="37"/>
  <c r="O13" i="15"/>
  <c r="S39" i="37"/>
  <c r="U38" i="37"/>
  <c r="Q40" i="37"/>
  <c r="S40" i="37"/>
  <c r="Q41" i="37"/>
  <c r="S41" i="37"/>
  <c r="Q9" i="30"/>
  <c r="S36" i="35"/>
  <c r="S36" i="27"/>
  <c r="S36" i="26"/>
  <c r="S36" i="28"/>
  <c r="S36" i="33"/>
  <c r="S36" i="30"/>
  <c r="S36" i="37"/>
  <c r="S36" i="36"/>
  <c r="S36" i="31"/>
  <c r="S36" i="32"/>
  <c r="S36" i="25"/>
  <c r="S37" i="32" l="1"/>
  <c r="S37" i="25"/>
  <c r="S37" i="26"/>
  <c r="S37" i="27"/>
  <c r="S37" i="30"/>
  <c r="S37" i="28"/>
  <c r="S37" i="37"/>
  <c r="S37" i="36"/>
  <c r="S37" i="35"/>
  <c r="S37" i="33"/>
  <c r="S37" i="31"/>
  <c r="U39" i="37"/>
  <c r="Q13" i="37"/>
  <c r="S9" i="37"/>
  <c r="U40" i="37"/>
  <c r="L13" i="15"/>
  <c r="U41" i="37"/>
  <c r="M13" i="15"/>
  <c r="Q14" i="35"/>
  <c r="Q14" i="33"/>
  <c r="Q14" i="32"/>
  <c r="Q14" i="3"/>
  <c r="Q14" i="27"/>
  <c r="Q14" i="30"/>
  <c r="Q36" i="27"/>
  <c r="Q37" i="27" s="1"/>
  <c r="Q15" i="37" l="1"/>
  <c r="O16" i="37" s="1"/>
  <c r="Q10" i="27"/>
  <c r="Q42" i="37" l="1"/>
  <c r="D21" i="15"/>
  <c r="D20" i="15"/>
  <c r="D19" i="15"/>
  <c r="D17" i="15"/>
  <c r="D16" i="15"/>
  <c r="D15" i="15"/>
  <c r="D13" i="15"/>
  <c r="D12" i="15"/>
  <c r="D11" i="15"/>
  <c r="D9" i="15"/>
  <c r="D8" i="15"/>
  <c r="D7" i="15"/>
  <c r="S38" i="35"/>
  <c r="Q38" i="35"/>
  <c r="Q36" i="35"/>
  <c r="Q35" i="35"/>
  <c r="P5" i="35"/>
  <c r="Q11" i="35" s="1"/>
  <c r="S38" i="36"/>
  <c r="Q38" i="36"/>
  <c r="Q36" i="36"/>
  <c r="Q35" i="36"/>
  <c r="Q13" i="36"/>
  <c r="Q10" i="36"/>
  <c r="Q9" i="36"/>
  <c r="P5" i="36"/>
  <c r="O20" i="15" s="1"/>
  <c r="S38" i="33"/>
  <c r="Q38" i="33"/>
  <c r="Q36" i="33"/>
  <c r="Q35" i="33"/>
  <c r="P5" i="33"/>
  <c r="O5" i="32" a="1"/>
  <c r="S38" i="32"/>
  <c r="Q38" i="32"/>
  <c r="Q36" i="32"/>
  <c r="Q35" i="32"/>
  <c r="P5" i="32"/>
  <c r="S38" i="31"/>
  <c r="Q38" i="31"/>
  <c r="Q36" i="31"/>
  <c r="Q35" i="31"/>
  <c r="Q13" i="31"/>
  <c r="Q10" i="31"/>
  <c r="Q9" i="31"/>
  <c r="P5" i="31"/>
  <c r="Q11" i="31" s="1"/>
  <c r="S38" i="30"/>
  <c r="Q38" i="30"/>
  <c r="Q36" i="30"/>
  <c r="Q35" i="30"/>
  <c r="U35" i="27"/>
  <c r="O5" i="25" a="1"/>
  <c r="P5" i="30"/>
  <c r="S38" i="28"/>
  <c r="Q38" i="28"/>
  <c r="Q36" i="28"/>
  <c r="Q35" i="28"/>
  <c r="Q13" i="28"/>
  <c r="Q10" i="28"/>
  <c r="Q9" i="28"/>
  <c r="P5" i="28"/>
  <c r="O12" i="15" s="1"/>
  <c r="P5" i="27"/>
  <c r="S38" i="26"/>
  <c r="Q38" i="26"/>
  <c r="Q36" i="26"/>
  <c r="Q35" i="26"/>
  <c r="Q14" i="26"/>
  <c r="Q10" i="26"/>
  <c r="Q9" i="26"/>
  <c r="P5" i="26"/>
  <c r="O9" i="15" s="1"/>
  <c r="S38" i="25"/>
  <c r="Q38" i="25"/>
  <c r="Q36" i="25"/>
  <c r="Q35" i="25"/>
  <c r="Q13" i="25"/>
  <c r="Q10" i="25"/>
  <c r="Q9" i="25"/>
  <c r="P5" i="25"/>
  <c r="O8" i="15" s="1"/>
  <c r="S33" i="35"/>
  <c r="Q33" i="35"/>
  <c r="O5" i="35" a="1"/>
  <c r="S33" i="36"/>
  <c r="Q33" i="36"/>
  <c r="O5" i="36" a="1"/>
  <c r="S33" i="33"/>
  <c r="Q33" i="33"/>
  <c r="O5" i="33" a="1"/>
  <c r="S33" i="32"/>
  <c r="Q33" i="32"/>
  <c r="S33" i="31"/>
  <c r="Q33" i="31"/>
  <c r="O5" i="31" a="1"/>
  <c r="S33" i="30"/>
  <c r="Q33" i="30"/>
  <c r="O5" i="30" a="1"/>
  <c r="S33" i="28"/>
  <c r="Q33" i="28"/>
  <c r="O5" i="28" a="1"/>
  <c r="S33" i="27"/>
  <c r="Q33" i="27"/>
  <c r="O5" i="27" a="1"/>
  <c r="S33" i="26"/>
  <c r="Q33" i="26"/>
  <c r="O5" i="26" a="1"/>
  <c r="Q37" i="33" l="1"/>
  <c r="Q37" i="28"/>
  <c r="E10" i="2" s="1"/>
  <c r="I12" i="15" s="1"/>
  <c r="K12" i="15" s="1"/>
  <c r="Q37" i="25"/>
  <c r="E7" i="2" s="1"/>
  <c r="I8" i="15" s="1"/>
  <c r="K8" i="15" s="1"/>
  <c r="Q37" i="35"/>
  <c r="E17" i="2" s="1"/>
  <c r="I21" i="15" s="1"/>
  <c r="K21" i="15" s="1"/>
  <c r="Q37" i="26"/>
  <c r="E8" i="2" s="1"/>
  <c r="I9" i="15" s="1"/>
  <c r="K9" i="15" s="1"/>
  <c r="Q37" i="32"/>
  <c r="E14" i="2" s="1"/>
  <c r="I17" i="15" s="1"/>
  <c r="K17" i="15" s="1"/>
  <c r="Q37" i="36"/>
  <c r="E16" i="2" s="1"/>
  <c r="I20" i="15" s="1"/>
  <c r="K20" i="15" s="1"/>
  <c r="Q37" i="30"/>
  <c r="E12" i="2" s="1"/>
  <c r="I15" i="15" s="1"/>
  <c r="Q37" i="31"/>
  <c r="E13" i="2" s="1"/>
  <c r="I16" i="15" s="1"/>
  <c r="K16" i="15" s="1"/>
  <c r="U36" i="37"/>
  <c r="Q11" i="26"/>
  <c r="Q39" i="26"/>
  <c r="U38" i="35"/>
  <c r="Q39" i="32"/>
  <c r="S39" i="28"/>
  <c r="O11" i="15"/>
  <c r="Q11" i="27"/>
  <c r="U38" i="33"/>
  <c r="U38" i="36"/>
  <c r="U38" i="31"/>
  <c r="U38" i="27"/>
  <c r="U38" i="25"/>
  <c r="Q39" i="28"/>
  <c r="U38" i="28"/>
  <c r="U38" i="30"/>
  <c r="U38" i="26"/>
  <c r="U35" i="25"/>
  <c r="U38" i="32"/>
  <c r="Q11" i="36"/>
  <c r="O19" i="15"/>
  <c r="Q11" i="33"/>
  <c r="O17" i="15"/>
  <c r="Q11" i="32"/>
  <c r="U35" i="36"/>
  <c r="U35" i="31"/>
  <c r="U35" i="35"/>
  <c r="U35" i="33"/>
  <c r="U35" i="32"/>
  <c r="U35" i="28"/>
  <c r="U35" i="26"/>
  <c r="U35" i="30"/>
  <c r="S39" i="25"/>
  <c r="O15" i="15"/>
  <c r="Q11" i="30"/>
  <c r="O21" i="15"/>
  <c r="O16" i="15"/>
  <c r="Q11" i="28"/>
  <c r="Q11" i="25"/>
  <c r="E9" i="2"/>
  <c r="I11" i="15" s="1"/>
  <c r="Q39" i="35"/>
  <c r="Q39" i="36"/>
  <c r="S39" i="36"/>
  <c r="Q39" i="33"/>
  <c r="Q39" i="31"/>
  <c r="Q39" i="30"/>
  <c r="Q39" i="27"/>
  <c r="S39" i="27"/>
  <c r="Q39" i="25"/>
  <c r="S39" i="35"/>
  <c r="S39" i="33"/>
  <c r="S39" i="32"/>
  <c r="S39" i="31"/>
  <c r="S39" i="30"/>
  <c r="S39" i="26"/>
  <c r="K15" i="15" l="1"/>
  <c r="I18" i="15"/>
  <c r="K18" i="15" s="1"/>
  <c r="K11" i="15"/>
  <c r="I14" i="15"/>
  <c r="K14" i="15" s="1"/>
  <c r="E15" i="2"/>
  <c r="I19" i="15" s="1"/>
  <c r="U39" i="26"/>
  <c r="U37" i="37"/>
  <c r="U39" i="32"/>
  <c r="U39" i="28"/>
  <c r="U39" i="25"/>
  <c r="U39" i="35"/>
  <c r="U39" i="36"/>
  <c r="U39" i="33"/>
  <c r="U39" i="31"/>
  <c r="U39" i="27"/>
  <c r="U39" i="30"/>
  <c r="K19" i="15" l="1"/>
  <c r="I22" i="15"/>
  <c r="K22" i="15" s="1"/>
  <c r="S38" i="3"/>
  <c r="Q38" i="3"/>
  <c r="Q36" i="3"/>
  <c r="Q35" i="3"/>
  <c r="Q37" i="3" l="1"/>
  <c r="E6" i="2" s="1"/>
  <c r="I7" i="15" s="1"/>
  <c r="U38" i="3"/>
  <c r="U35" i="3"/>
  <c r="S39" i="3"/>
  <c r="Q39" i="3"/>
  <c r="K7" i="15" l="1"/>
  <c r="I10" i="15"/>
  <c r="U39" i="3"/>
  <c r="Q8" i="3"/>
  <c r="Q8" i="35"/>
  <c r="Q8" i="32"/>
  <c r="Q8" i="33"/>
  <c r="Q8" i="27"/>
  <c r="S9" i="27" s="1"/>
  <c r="Q8" i="30"/>
  <c r="S9" i="30" s="1"/>
  <c r="Q8" i="31"/>
  <c r="S9" i="31" s="1"/>
  <c r="Q8" i="25"/>
  <c r="Q8" i="36"/>
  <c r="Q8" i="28"/>
  <c r="Q8" i="26"/>
  <c r="Q13" i="26" s="1"/>
  <c r="K10" i="15" l="1"/>
  <c r="I23" i="15"/>
  <c r="K23" i="15" s="1"/>
  <c r="Q15" i="26"/>
  <c r="Q41" i="26"/>
  <c r="S9" i="3"/>
  <c r="Q13" i="27"/>
  <c r="D32" i="15" s="1"/>
  <c r="Q13" i="30"/>
  <c r="Q13" i="33"/>
  <c r="S9" i="33"/>
  <c r="S9" i="32"/>
  <c r="Q13" i="32"/>
  <c r="Q13" i="35"/>
  <c r="S9" i="35"/>
  <c r="Q12" i="31"/>
  <c r="S9" i="26"/>
  <c r="S9" i="36"/>
  <c r="Q12" i="36"/>
  <c r="Q12" i="28"/>
  <c r="S9" i="28"/>
  <c r="S9" i="25"/>
  <c r="D33" i="15" l="1"/>
  <c r="D35" i="15"/>
  <c r="F35" i="15" s="1"/>
  <c r="J35" i="15" s="1"/>
  <c r="D34" i="15"/>
  <c r="Q42" i="25"/>
  <c r="Q42" i="27"/>
  <c r="G32" i="15" s="1"/>
  <c r="Q42" i="26"/>
  <c r="Q15" i="27"/>
  <c r="F32" i="15" s="1"/>
  <c r="S40" i="30"/>
  <c r="S40" i="27"/>
  <c r="Q41" i="27"/>
  <c r="Q40" i="27"/>
  <c r="S41" i="27"/>
  <c r="S41" i="30"/>
  <c r="Q15" i="30"/>
  <c r="F33" i="15" s="1"/>
  <c r="S41" i="28"/>
  <c r="S40" i="28"/>
  <c r="Q41" i="28"/>
  <c r="Q40" i="28"/>
  <c r="Q40" i="30"/>
  <c r="Q15" i="35"/>
  <c r="O16" i="35" s="1"/>
  <c r="S40" i="35"/>
  <c r="Q41" i="35"/>
  <c r="S41" i="35"/>
  <c r="Q40" i="35"/>
  <c r="Q41" i="33"/>
  <c r="S40" i="33"/>
  <c r="S41" i="33"/>
  <c r="Q15" i="33"/>
  <c r="F34" i="15" s="1"/>
  <c r="Q40" i="33"/>
  <c r="Q41" i="30"/>
  <c r="S41" i="32"/>
  <c r="Q41" i="32"/>
  <c r="S40" i="32"/>
  <c r="Q15" i="32"/>
  <c r="O16" i="32" s="1"/>
  <c r="Q40" i="32"/>
  <c r="Q41" i="31"/>
  <c r="Q14" i="31"/>
  <c r="O15" i="31" s="1"/>
  <c r="Q40" i="31"/>
  <c r="S40" i="31"/>
  <c r="S41" i="31"/>
  <c r="Q40" i="26"/>
  <c r="O16" i="26"/>
  <c r="S40" i="26"/>
  <c r="S41" i="26"/>
  <c r="Q14" i="36"/>
  <c r="O15" i="36" s="1"/>
  <c r="S40" i="36"/>
  <c r="S41" i="36"/>
  <c r="Q41" i="36"/>
  <c r="Q40" i="36"/>
  <c r="Q14" i="28"/>
  <c r="O15" i="28" s="1"/>
  <c r="S41" i="25"/>
  <c r="Q41" i="25"/>
  <c r="Q40" i="25"/>
  <c r="Q14" i="25"/>
  <c r="O15" i="25" s="1"/>
  <c r="S40" i="25"/>
  <c r="H35" i="15" l="1"/>
  <c r="J32" i="15"/>
  <c r="H32" i="15"/>
  <c r="I32" i="15" s="1"/>
  <c r="J33" i="15"/>
  <c r="H33" i="15"/>
  <c r="J34" i="15"/>
  <c r="H34" i="15"/>
  <c r="O16" i="33"/>
  <c r="O16" i="27"/>
  <c r="O16" i="30"/>
  <c r="U40" i="31"/>
  <c r="U41" i="26"/>
  <c r="U40" i="26"/>
  <c r="L17" i="15"/>
  <c r="U40" i="32"/>
  <c r="M19" i="15"/>
  <c r="U41" i="33"/>
  <c r="L21" i="15"/>
  <c r="U40" i="35"/>
  <c r="M17" i="15"/>
  <c r="U41" i="32"/>
  <c r="L16" i="15"/>
  <c r="M12" i="15"/>
  <c r="U41" i="28"/>
  <c r="M21" i="15"/>
  <c r="U41" i="35"/>
  <c r="M16" i="15"/>
  <c r="U41" i="31"/>
  <c r="L20" i="15"/>
  <c r="U40" i="36"/>
  <c r="M20" i="15"/>
  <c r="U41" i="36"/>
  <c r="L12" i="15"/>
  <c r="U40" i="28"/>
  <c r="L15" i="15"/>
  <c r="U40" i="30"/>
  <c r="L11" i="15"/>
  <c r="U40" i="27"/>
  <c r="L19" i="15"/>
  <c r="U40" i="33"/>
  <c r="M11" i="15"/>
  <c r="U41" i="27"/>
  <c r="M15" i="15"/>
  <c r="U41" i="30"/>
  <c r="U36" i="27"/>
  <c r="U36" i="26"/>
  <c r="M8" i="15"/>
  <c r="U41" i="25"/>
  <c r="L8" i="15"/>
  <c r="U40" i="25"/>
  <c r="U36" i="25"/>
  <c r="M9" i="15"/>
  <c r="L9" i="15"/>
  <c r="C20" i="15"/>
  <c r="C21" i="15"/>
  <c r="C19" i="15"/>
  <c r="C16" i="15"/>
  <c r="C17" i="15"/>
  <c r="C15" i="15"/>
  <c r="C12" i="15"/>
  <c r="C13" i="15"/>
  <c r="C11" i="15"/>
  <c r="C8" i="15"/>
  <c r="C9" i="15"/>
  <c r="C7" i="15"/>
  <c r="D23" i="2" l="1"/>
  <c r="U37" i="27"/>
  <c r="U37" i="26"/>
  <c r="U37" i="25"/>
  <c r="E8" i="15"/>
  <c r="E11" i="15"/>
  <c r="E21" i="15"/>
  <c r="D22" i="15"/>
  <c r="E20" i="15"/>
  <c r="E17" i="15"/>
  <c r="D18" i="15"/>
  <c r="D14" i="15"/>
  <c r="C22" i="15"/>
  <c r="E19" i="15"/>
  <c r="C18" i="15"/>
  <c r="E16" i="15"/>
  <c r="E15" i="15"/>
  <c r="E13" i="15"/>
  <c r="E12" i="15"/>
  <c r="C14" i="15"/>
  <c r="E7" i="15"/>
  <c r="C10" i="15"/>
  <c r="E9" i="15"/>
  <c r="D10" i="15"/>
  <c r="E14" i="15" l="1"/>
  <c r="C23" i="15"/>
  <c r="E18" i="15"/>
  <c r="E22" i="15"/>
  <c r="E10" i="15"/>
  <c r="D23" i="15"/>
  <c r="Q42" i="28" l="1"/>
  <c r="Q42" i="33"/>
  <c r="G34" i="15" s="1"/>
  <c r="I34" i="15" s="1"/>
  <c r="Q42" i="32"/>
  <c r="Q42" i="31"/>
  <c r="Q42" i="35"/>
  <c r="G35" i="15" s="1"/>
  <c r="I35" i="15" s="1"/>
  <c r="Q42" i="30"/>
  <c r="G33" i="15" s="1"/>
  <c r="I33" i="15" s="1"/>
  <c r="Q42" i="36"/>
  <c r="D27" i="2"/>
  <c r="E23" i="15"/>
  <c r="O5" i="3" a="1"/>
  <c r="U36" i="35" l="1"/>
  <c r="U36" i="36"/>
  <c r="U36" i="33"/>
  <c r="U36" i="32"/>
  <c r="U36" i="31"/>
  <c r="U36" i="30"/>
  <c r="U36" i="28"/>
  <c r="P5" i="3"/>
  <c r="Q17" i="3" l="1"/>
  <c r="D26" i="2"/>
  <c r="D30" i="2"/>
  <c r="D29" i="2"/>
  <c r="D28" i="2"/>
  <c r="D31" i="2"/>
  <c r="D33" i="2"/>
  <c r="D32" i="2"/>
  <c r="O7" i="15"/>
  <c r="Q11" i="3"/>
  <c r="Q13" i="3" s="1"/>
  <c r="U37" i="35"/>
  <c r="U37" i="36"/>
  <c r="U37" i="33"/>
  <c r="U37" i="32"/>
  <c r="U37" i="31"/>
  <c r="U37" i="30"/>
  <c r="U37" i="28"/>
  <c r="O14" i="15"/>
  <c r="S36" i="3"/>
  <c r="S37" i="3" l="1"/>
  <c r="Q42" i="3"/>
  <c r="Q15" i="3"/>
  <c r="O16" i="3" s="1"/>
  <c r="S41" i="3"/>
  <c r="Q41" i="3"/>
  <c r="Q40" i="3"/>
  <c r="S40" i="3"/>
  <c r="O10" i="15"/>
  <c r="O18" i="15"/>
  <c r="O22" i="15"/>
  <c r="D22" i="2" l="1"/>
  <c r="U36" i="3"/>
  <c r="L7" i="15"/>
  <c r="U40" i="3"/>
  <c r="M7" i="15"/>
  <c r="U41" i="3"/>
  <c r="O23" i="15"/>
  <c r="U37" i="3" l="1"/>
  <c r="M18" i="15"/>
  <c r="M22" i="15"/>
  <c r="M10" i="15"/>
  <c r="L10" i="15"/>
  <c r="L18" i="15"/>
  <c r="L22" i="15"/>
  <c r="L14" i="15" l="1"/>
  <c r="L23" i="15" s="1"/>
  <c r="M14" i="15"/>
  <c r="M23" i="15" s="1"/>
  <c r="N15" i="15" l="1"/>
  <c r="Q5" i="30"/>
  <c r="N16" i="15"/>
  <c r="P16" i="15" s="1"/>
  <c r="Q5" i="31"/>
  <c r="N7" i="15"/>
  <c r="Q5" i="3"/>
  <c r="N17" i="15"/>
  <c r="P17" i="15" s="1"/>
  <c r="Q5" i="32"/>
  <c r="Q5" i="25"/>
  <c r="N8" i="15"/>
  <c r="P8" i="15" s="1"/>
  <c r="N19" i="15"/>
  <c r="Q5" i="33"/>
  <c r="N20" i="15"/>
  <c r="P20" i="15" s="1"/>
  <c r="Q5" i="36"/>
  <c r="Q5" i="26"/>
  <c r="N9" i="15"/>
  <c r="P9" i="15" s="1"/>
  <c r="N11" i="15"/>
  <c r="P11" i="15" s="1"/>
  <c r="Q5" i="27"/>
  <c r="N21" i="15"/>
  <c r="P21" i="15" s="1"/>
  <c r="Q5" i="35"/>
  <c r="N13" i="15"/>
  <c r="P13" i="15" s="1"/>
  <c r="Q5" i="37"/>
  <c r="N12" i="15"/>
  <c r="Q5" i="28"/>
  <c r="O6" i="32" l="1"/>
  <c r="R5" i="32"/>
  <c r="O6" i="3"/>
  <c r="R5" i="3"/>
  <c r="O6" i="35"/>
  <c r="R5" i="35"/>
  <c r="O6" i="37"/>
  <c r="R5" i="37"/>
  <c r="N10" i="15"/>
  <c r="P10" i="15" s="1"/>
  <c r="P7" i="15"/>
  <c r="O6" i="31"/>
  <c r="R5" i="31"/>
  <c r="N22" i="15"/>
  <c r="P22" i="15" s="1"/>
  <c r="P19" i="15"/>
  <c r="O6" i="30"/>
  <c r="R5" i="30"/>
  <c r="O6" i="26"/>
  <c r="R5" i="26"/>
  <c r="O6" i="36"/>
  <c r="R5" i="36"/>
  <c r="O6" i="33"/>
  <c r="R5" i="33"/>
  <c r="O6" i="27"/>
  <c r="R5" i="27"/>
  <c r="O6" i="25"/>
  <c r="R5" i="25"/>
  <c r="P15" i="15"/>
  <c r="N18" i="15"/>
  <c r="P18" i="15" s="1"/>
  <c r="O6" i="28"/>
  <c r="R5" i="28"/>
  <c r="P12" i="15"/>
  <c r="N14" i="15"/>
  <c r="P14" i="15" l="1"/>
  <c r="N23" i="15"/>
  <c r="P23" i="15"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<sst xmlns="http://schemas.openxmlformats.org/spreadsheetml/2006/main" count="3996" uniqueCount="431">
  <si>
    <t>KV Gruppe</t>
  </si>
  <si>
    <t>Monatslohn</t>
  </si>
  <si>
    <t>BG1</t>
  </si>
  <si>
    <t>BG1_5</t>
  </si>
  <si>
    <t>BG1_10</t>
  </si>
  <si>
    <t>BG1_15</t>
  </si>
  <si>
    <t>BG2</t>
  </si>
  <si>
    <t>BG2_5</t>
  </si>
  <si>
    <t>BG2_10</t>
  </si>
  <si>
    <t>BG2_15</t>
  </si>
  <si>
    <t>BG3</t>
  </si>
  <si>
    <t>BG3_5</t>
  </si>
  <si>
    <t>BG3_10</t>
  </si>
  <si>
    <t>BG3_15</t>
  </si>
  <si>
    <t>URLAUB ABBAU</t>
  </si>
  <si>
    <t>MUSTERDIENSTPLAN STUNDEN</t>
  </si>
  <si>
    <t>NACHTZUSCHLÄGE</t>
  </si>
  <si>
    <t>SALES</t>
  </si>
  <si>
    <t>CREW LABOR</t>
  </si>
  <si>
    <t>CREW LABOR %</t>
  </si>
  <si>
    <t>GUEST COUNT</t>
  </si>
  <si>
    <t>monatlich/stunden</t>
  </si>
  <si>
    <t>monatlich/eurowert</t>
  </si>
  <si>
    <t>Jänner:</t>
  </si>
  <si>
    <t>Februar:</t>
  </si>
  <si>
    <t>Febuar:</t>
  </si>
  <si>
    <t>März:</t>
  </si>
  <si>
    <t>April:</t>
  </si>
  <si>
    <t>Mai:</t>
  </si>
  <si>
    <t>Juni:</t>
  </si>
  <si>
    <t>Juli:</t>
  </si>
  <si>
    <t>August:</t>
  </si>
  <si>
    <t>September:</t>
  </si>
  <si>
    <t>Oktober:</t>
  </si>
  <si>
    <t>November:</t>
  </si>
  <si>
    <t>Dezember:</t>
  </si>
  <si>
    <t>Projection/Aktuell Zahlen</t>
  </si>
  <si>
    <t>FEIERTAGSTUNDEN</t>
  </si>
  <si>
    <t>KRANKSTUNDEN</t>
  </si>
  <si>
    <t>Name</t>
  </si>
  <si>
    <t>Stunden</t>
  </si>
  <si>
    <t>Lohn</t>
  </si>
  <si>
    <t>Aktuelle Stunden</t>
  </si>
  <si>
    <t>Offene Urlaubstage</t>
  </si>
  <si>
    <t>Urlaub in €</t>
  </si>
  <si>
    <t>Letztes Gehalt</t>
  </si>
  <si>
    <t>Bemerkung</t>
  </si>
  <si>
    <t>U-Aufbau</t>
  </si>
  <si>
    <t>U-Abbau</t>
  </si>
  <si>
    <t>Diff.</t>
  </si>
  <si>
    <t>Diff. (€)</t>
  </si>
  <si>
    <t>2.</t>
  </si>
  <si>
    <t>3.</t>
  </si>
  <si>
    <t>4.</t>
  </si>
  <si>
    <t>5.</t>
  </si>
  <si>
    <t>6.</t>
  </si>
  <si>
    <t>Gesamt Crew Stunden:</t>
  </si>
  <si>
    <t>7.</t>
  </si>
  <si>
    <t>Krankstunden:</t>
  </si>
  <si>
    <t>8.</t>
  </si>
  <si>
    <t>Feiertagstunden:</t>
  </si>
  <si>
    <t>9.</t>
  </si>
  <si>
    <t>Urlaubsstunden:</t>
  </si>
  <si>
    <t>10.</t>
  </si>
  <si>
    <t>Vormonat +/- Stunden</t>
  </si>
  <si>
    <t>11.</t>
  </si>
  <si>
    <t>Verfügbare Stunden für DPL:</t>
  </si>
  <si>
    <t>12.</t>
  </si>
  <si>
    <t>Musterdienstplan Stunden:</t>
  </si>
  <si>
    <t>13.</t>
  </si>
  <si>
    <t>Stunden Differenz:</t>
  </si>
  <si>
    <t>14.</t>
  </si>
  <si>
    <t>15.</t>
  </si>
  <si>
    <t>Reine Laborcost:</t>
  </si>
  <si>
    <t>16.</t>
  </si>
  <si>
    <t>17.</t>
  </si>
  <si>
    <t>18.</t>
  </si>
  <si>
    <t>19.</t>
  </si>
  <si>
    <t>20.</t>
  </si>
  <si>
    <t>21.</t>
  </si>
  <si>
    <t>22.</t>
  </si>
  <si>
    <t>23.</t>
  </si>
  <si>
    <t>24.</t>
  </si>
  <si>
    <t>25.</t>
  </si>
  <si>
    <t>Die Zellen werden nicht mitkopiert.</t>
  </si>
  <si>
    <t>26.</t>
  </si>
  <si>
    <t>27.</t>
  </si>
  <si>
    <t>Nachtzuschlag:</t>
  </si>
  <si>
    <t>28.</t>
  </si>
  <si>
    <t>29.</t>
  </si>
  <si>
    <t>FLUKTUATION</t>
  </si>
  <si>
    <t>30.</t>
  </si>
  <si>
    <t>31.</t>
  </si>
  <si>
    <t>Budget</t>
  </si>
  <si>
    <t>Aktuell/Projection</t>
  </si>
  <si>
    <t>Differenz</t>
  </si>
  <si>
    <t>32.</t>
  </si>
  <si>
    <t>33.</t>
  </si>
  <si>
    <t>Sales</t>
  </si>
  <si>
    <t>34.</t>
  </si>
  <si>
    <t>Crew Labor Summe</t>
  </si>
  <si>
    <t>35.</t>
  </si>
  <si>
    <t>Crew Labor Prozent</t>
  </si>
  <si>
    <t>36.</t>
  </si>
  <si>
    <t>Guest Count (GC)</t>
  </si>
  <si>
    <t>37.</t>
  </si>
  <si>
    <t>Durchschnittverkauf (AVG)</t>
  </si>
  <si>
    <t>38.</t>
  </si>
  <si>
    <t>Sales Produktivität</t>
  </si>
  <si>
    <t>39.</t>
  </si>
  <si>
    <t>GC's Produktivität</t>
  </si>
  <si>
    <t>40.</t>
  </si>
  <si>
    <t>AVG Bruttolohn</t>
  </si>
  <si>
    <t>41.</t>
  </si>
  <si>
    <t>42.</t>
  </si>
  <si>
    <t>Wähle das Eintrittsdatum eines bestimmten Mitarbeiters aus, und du erfährst, seit wann er im Unternehmen tätig ist:</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</si>
  <si>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</si>
  <si>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</si>
  <si>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</si>
  <si>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</si>
  <si>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</si>
  <si>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</si>
  <si>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</si>
  <si>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</si>
  <si>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</si>
  <si>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</si>
  <si>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</si>
  <si>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</si>
  <si>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</si>
  <si>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</si>
  <si>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</si>
  <si>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</si>
  <si>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</si>
  <si>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</si>
  <si>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</si>
  <si>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</si>
  <si>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</si>
  <si>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</si>
  <si>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</si>
  <si>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</si>
  <si>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</si>
  <si>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</si>
  <si>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</si>
  <si>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</si>
  <si>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</si>
  <si>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</si>
  <si>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</si>
  <si>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</si>
  <si>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</si>
  <si>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</si>
  <si>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</si>
  <si>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</si>
  <si>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</si>
  <si>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</si>
  <si>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CREW LABOR SUMME</t>
  </si>
  <si>
    <t>CREW LABOR PROZENT</t>
  </si>
  <si>
    <t>PRODUKTIVITÄT SALES</t>
  </si>
  <si>
    <t>PRODUKTIVITÄT GC`S</t>
  </si>
  <si>
    <t>URLAUB</t>
  </si>
  <si>
    <t>BUDGET</t>
  </si>
  <si>
    <t>IST</t>
  </si>
  <si>
    <t>DIFFERENZ</t>
  </si>
  <si>
    <t>AUFBAU</t>
  </si>
  <si>
    <t>ABBAU</t>
  </si>
  <si>
    <t>Jänner</t>
  </si>
  <si>
    <t>Febuar</t>
  </si>
  <si>
    <t>März</t>
  </si>
  <si>
    <t>Q1</t>
  </si>
  <si>
    <t>April</t>
  </si>
  <si>
    <t>Mai</t>
  </si>
  <si>
    <t>Juni</t>
  </si>
  <si>
    <t>Q2</t>
  </si>
  <si>
    <t>Juli</t>
  </si>
  <si>
    <t>August</t>
  </si>
  <si>
    <t>September</t>
  </si>
  <si>
    <t>Q3</t>
  </si>
  <si>
    <t>Oktober</t>
  </si>
  <si>
    <t>November</t>
  </si>
  <si>
    <t>Dezember</t>
  </si>
  <si>
    <t>Q4</t>
  </si>
  <si>
    <t>Personal ID</t>
  </si>
  <si>
    <t>Eintritts-datum</t>
  </si>
  <si>
    <t>Austritts-datum</t>
  </si>
  <si>
    <t>Austrittsgrund</t>
  </si>
  <si>
    <t>Einvernehmliche Auflösung</t>
  </si>
  <si>
    <t>Karenz</t>
  </si>
  <si>
    <t>Dienstgeber Kündigung</t>
  </si>
  <si>
    <t>Gewicht</t>
  </si>
  <si>
    <t>Storetransfer</t>
  </si>
  <si>
    <t>Beförderung</t>
  </si>
  <si>
    <t>Nicht eingetreten</t>
  </si>
  <si>
    <t>Befristung Ende</t>
  </si>
  <si>
    <t>Probezeit beendet</t>
  </si>
  <si>
    <t>Berechtigter vorzeitiger Austritt</t>
  </si>
  <si>
    <t>Dienstnehmer Kündigung</t>
  </si>
  <si>
    <t>Unberechtigter vorzeitiger Austritt</t>
  </si>
  <si>
    <t>Sonstiges</t>
  </si>
  <si>
    <t>Betriebszugehörigkeit</t>
  </si>
  <si>
    <t>Faktor</t>
  </si>
  <si>
    <t>0-30 Tage</t>
  </si>
  <si>
    <t>31-90 Tage</t>
  </si>
  <si>
    <t>91-180 Tage</t>
  </si>
  <si>
    <t>181-365 Tage</t>
  </si>
  <si>
    <t>1-2 Jahre</t>
  </si>
  <si>
    <t>2-5 Jahre</t>
  </si>
  <si>
    <t>5+ Jahre</t>
  </si>
  <si>
    <t>Monat</t>
  </si>
  <si>
    <t>Eintrittsdatum</t>
  </si>
  <si>
    <t>Austrittsdatum</t>
  </si>
  <si>
    <t>Grund-Gewicht</t>
  </si>
  <si>
    <t>Zeit-Faktor</t>
  </si>
  <si>
    <t>Kategorie</t>
  </si>
  <si>
    <t>Austritte gesamt</t>
  </si>
  <si>
    <t>Tage im Unternehmen</t>
  </si>
  <si>
    <t>Verlust-Score</t>
  </si>
  <si>
    <t>Verlust erfahrener Mitarbeiter</t>
  </si>
  <si>
    <t>Neutrale Bewegung</t>
  </si>
  <si>
    <t>Austritte</t>
  </si>
  <si>
    <t>Austritt in den ersten 90 Tagen</t>
  </si>
  <si>
    <t>Wichtiger Austritt</t>
  </si>
  <si>
    <t>Aktuelle Jahresfluktuation</t>
  </si>
  <si>
    <t>Fluktuation %</t>
  </si>
  <si>
    <t>Zeigt die Fluktuation vom Jahresbeginn bis zum aktuellen Auswertungsmonat. Der Wert wird nicht auf das ganze Jahr hochgerechnet.</t>
  </si>
  <si>
    <t>KNEISSL Erna</t>
  </si>
  <si>
    <t>SUN Sovanmealy</t>
  </si>
  <si>
    <t>PHOO-IN Sunari</t>
  </si>
  <si>
    <t>DELIC Snjezana</t>
  </si>
  <si>
    <t>NOU Satyaroth</t>
  </si>
  <si>
    <t>PRAHER Meraflor</t>
  </si>
  <si>
    <t>SAHBAZ Refika</t>
  </si>
  <si>
    <t>MINEVA Kremena</t>
  </si>
  <si>
    <t>MATEI Elena</t>
  </si>
  <si>
    <t>HEGEDUS Nikolett</t>
  </si>
  <si>
    <t>MOISA Marian</t>
  </si>
  <si>
    <t>SENG Dalin</t>
  </si>
  <si>
    <t>MILETIC Nikolina</t>
  </si>
  <si>
    <t>PAIOR Imre-Oliver</t>
  </si>
  <si>
    <t>DUCA Melinda</t>
  </si>
  <si>
    <t>DJEKANOVIC Obrenka</t>
  </si>
  <si>
    <t>SAFI Najeeb</t>
  </si>
  <si>
    <t>JUNDANG Akson</t>
  </si>
  <si>
    <t>TURSUNOVIC Dzemila</t>
  </si>
  <si>
    <t>AL ALI Yaser</t>
  </si>
  <si>
    <t>PATAKI Barbara</t>
  </si>
  <si>
    <t>CORIC Marko</t>
  </si>
  <si>
    <t>SALAMON Jozsefne</t>
  </si>
  <si>
    <t>DECSI Ferenc</t>
  </si>
  <si>
    <t>SALA Dorina-Daniela</t>
  </si>
  <si>
    <t>TINCA Alexandra</t>
  </si>
  <si>
    <t>SZABO Greta</t>
  </si>
  <si>
    <t>SAFI Fahim</t>
  </si>
  <si>
    <t>ALIPOUR Mohsen</t>
  </si>
  <si>
    <t>ZDRENDEA Mariana-Rodica</t>
  </si>
  <si>
    <t>SHEGIWAL Mosawir</t>
  </si>
  <si>
    <t>VOJNIKOVIC Alma</t>
  </si>
  <si>
    <t>ALALI ALSHEKH Jawad</t>
  </si>
  <si>
    <t>NIYAZI Faisal</t>
  </si>
  <si>
    <t>HOVHANNISYAN Tigran</t>
  </si>
  <si>
    <t>KHAN Imran</t>
  </si>
  <si>
    <t>JMO Mohammed</t>
  </si>
  <si>
    <t>PUTRO Arian</t>
  </si>
  <si>
    <t>PUTRO Majlinda</t>
  </si>
  <si>
    <t>VAJGEL Alexandra</t>
  </si>
  <si>
    <t>SAFI Sharafat</t>
  </si>
  <si>
    <t>KHALEQYAR Faisal</t>
  </si>
  <si>
    <t>ADAMEK Mischelle</t>
  </si>
  <si>
    <t>TURGUT Zehra</t>
  </si>
  <si>
    <t>SHAJU Aneeta</t>
  </si>
  <si>
    <t>PATTIKKADAN Swalih</t>
  </si>
  <si>
    <t>AHANIAN Taron</t>
  </si>
  <si>
    <t>YARI Rahmatullah</t>
  </si>
  <si>
    <t>RAUFI Saberullah</t>
  </si>
  <si>
    <t>SAFIZADEH Parwan</t>
  </si>
  <si>
    <t>PANAGIOTIDOU Sousanna</t>
  </si>
  <si>
    <t>Durchschnittlicher Verlust-Score</t>
  </si>
  <si>
    <t>Januar</t>
  </si>
  <si>
    <t>Normaler Austritt</t>
  </si>
  <si>
    <t>KV-SCHEMA PFLEGE</t>
  </si>
  <si>
    <t>Basis / bis 5 Jahre</t>
  </si>
  <si>
    <t>5 bis 10 Jahre</t>
  </si>
  <si>
    <t>10 bis 15 Jahre</t>
  </si>
  <si>
    <t>über 15 Jahre</t>
  </si>
  <si>
    <t>KV-Periode</t>
  </si>
  <si>
    <t>KV-Gruppe</t>
  </si>
  <si>
    <t>Monatsstunden</t>
  </si>
  <si>
    <t>Status</t>
  </si>
  <si>
    <t>KV-Code</t>
  </si>
  <si>
    <t>BG1_Basis</t>
  </si>
  <si>
    <t>BG2_Basis</t>
  </si>
  <si>
    <t>BG3_Basis</t>
  </si>
  <si>
    <t>KV 2025/2026</t>
  </si>
  <si>
    <t>Monats-Hinweis</t>
  </si>
  <si>
    <t>teszt karcsi</t>
  </si>
  <si>
    <t>asd</t>
  </si>
  <si>
    <t>Rigo Janos</t>
  </si>
  <si>
    <t>Aprilisban Jottem</t>
  </si>
  <si>
    <t>Majus Mate</t>
  </si>
  <si>
    <t>Vadiuj Test</t>
  </si>
  <si>
    <t>Marika</t>
  </si>
  <si>
    <t>Janoska</t>
  </si>
  <si>
    <t>Ferike</t>
  </si>
  <si>
    <t>Janika</t>
  </si>
  <si>
    <t>GERGO</t>
  </si>
  <si>
    <t>Year</t>
  </si>
  <si>
    <t>Month</t>
  </si>
  <si>
    <t>EmployeeKey</t>
  </si>
  <si>
    <t>Field</t>
  </si>
  <si>
    <t>Value</t>
  </si>
  <si>
    <t>Agika</t>
  </si>
  <si>
    <t>Pityuka</t>
  </si>
  <si>
    <t>Februar</t>
  </si>
  <si>
    <t>AKTUELLES JAHR</t>
  </si>
  <si>
    <t>F</t>
  </si>
  <si>
    <t>Jahr</t>
  </si>
  <si>
    <t>Stand</t>
  </si>
  <si>
    <t>Auf einen Blick</t>
  </si>
  <si>
    <t>Jahresfluktuation</t>
  </si>
  <si>
    <t>Kritische Austritte</t>
  </si>
  <si>
    <t>Daten offen</t>
  </si>
  <si>
    <t>Nr.</t>
  </si>
  <si>
    <t>Problem</t>
  </si>
  <si>
    <t>Wo nachschauen</t>
  </si>
  <si>
    <t>Empfehlungen</t>
  </si>
  <si>
    <t>Anzahl</t>
  </si>
  <si>
    <t>Normal</t>
  </si>
  <si>
    <t>Diagramme</t>
  </si>
  <si>
    <t>Zeitraum</t>
  </si>
  <si>
    <t>Mai-Jun-Jul</t>
  </si>
  <si>
    <t>Aug-Sep-Okt</t>
  </si>
  <si>
    <t>Neutrale Bewegungen</t>
  </si>
  <si>
    <t>Karenz (1)</t>
  </si>
  <si>
    <t>Nur neutrale Bewegungen. Kein direkter Handlungsbedarf.</t>
  </si>
  <si>
    <t>Neutral</t>
  </si>
  <si>
    <t>Endmonat</t>
  </si>
  <si>
    <t>Muster</t>
  </si>
  <si>
    <t>Lohn/h</t>
  </si>
  <si>
    <t>Std</t>
  </si>
  <si>
    <t>EUR</t>
  </si>
  <si>
    <t>Status / Hinweis</t>
  </si>
  <si>
    <t>Jänner Verfügbar Plan (nächstes Jahr):</t>
  </si>
  <si>
    <t>Jänner Muster Plan (nächstes Jahr):</t>
  </si>
  <si>
    <t>Verfügbar</t>
  </si>
  <si>
    <t>Feb-Mär-Apr</t>
  </si>
  <si>
    <t>Nov-Dez-Jän</t>
  </si>
  <si>
    <t>Jän (Plan)</t>
  </si>
  <si>
    <t>Überstunden EUR = Überstunden Std x AVG Lohn/h x 1,5 (Spalte G aus Schlussmonat Q42). Nur bei negativem Schluss (rote Differenz). Positive Differenz = Reserve ohne EUR-Kosten.</t>
  </si>
  <si>
    <t>EINSTELLUNG - Zentrale Konfiguration</t>
  </si>
  <si>
    <t>Jede Zeile = 3 Monate bis zum Schlussmonat. Differenz rot = zu wenig Stunden (Überstunden-Risiko), gelb = Reserve. Überstunden-EUR nutzt den AVG Bruttolohn/h aus dem Schlussmonat (Monatsblatt Q42). Nur Jänner-Plan (nächstes Jahr) sind die weissen Felder (E30, I30) manuell editierbar.</t>
  </si>
  <si>
    <t>Gültig ab</t>
  </si>
  <si>
    <t>Gültig bis</t>
  </si>
  <si>
    <t>Beschäftigungsdauer</t>
  </si>
  <si>
    <t>Prüfung</t>
  </si>
  <si>
    <t>KV 2025/2026   |   gültig von 01.05.2025 bis 30.04.2026</t>
  </si>
  <si>
    <t>800000|PITYUKA</t>
  </si>
  <si>
    <t xml:space="preserve">Asadadad </t>
  </si>
  <si>
    <t>asdasd</t>
  </si>
  <si>
    <t>Fluktuation - Übersicht für die Restaurantleitung</t>
  </si>
  <si>
    <t>Sofort prüfen</t>
  </si>
  <si>
    <t>Nächster Schritt</t>
  </si>
  <si>
    <t>Onboarding, Training und erste Dienstpläne für neue Mitarbeiter prüfen.</t>
  </si>
  <si>
    <t>Monat März, Name: PANAGIOTIDOU Sousanna, Grund: Dienstnehmer Kündigung</t>
  </si>
  <si>
    <t>Monatsübersicht im Detail</t>
  </si>
  <si>
    <t>Austrittsgründe</t>
  </si>
  <si>
    <t>Kurz erklärt</t>
  </si>
  <si>
    <t>Durchschnittlicher Verlust-Score pro Austritt. Je höher der Wert, desto schwerer wiegen die Austritte im Durchschnitt.</t>
  </si>
  <si>
    <t>Ein Austritt kurz nach Eintritt. Das kann auf Recruiting, Onboarding, Training oder erste Dienstpläne hinweisen.</t>
  </si>
  <si>
    <t>Ein erfahrener Mitarbeiter verlässt das Restaurant. Das bedeutet meist Wissensverlust, Stabilitätsverlust und höheren Nachbesetzungsaufwand.</t>
  </si>
  <si>
    <t>Ein Austritt mit erhöhtem Verlust-Score. Die Bewertung entsteht automatisch aus Austrittsgrund und Betriebszugehörigkeit.</t>
  </si>
  <si>
    <t>Storetransfer, Beförderung, Karenz oder Nicht eingetreten werden nicht negativ bewertet.</t>
  </si>
  <si>
    <t>Unvollständiger Austritt</t>
  </si>
  <si>
    <t>Der Austrittsgrund fehlt oder ist unbekannt. Diese Austritte müssen geprüft und ergänzt werden.</t>
  </si>
  <si>
    <t>a</t>
  </si>
  <si>
    <t>Erfahrener Mitarbeiter ausgeschieden</t>
  </si>
  <si>
    <t>Exit-Gespräch auswerten, Wissensübergabe und Nachbesetzung planen.</t>
  </si>
  <si>
    <t>Erfahrene Mitarbeiter halten: Exit-Gespräche auswerten, Entwicklungsgespräche planen, Schichtplanung und Führung im Team prüfen.</t>
  </si>
  <si>
    <t>Erfahrene MA</t>
  </si>
  <si>
    <t>Erfahrener Mitarbeiter ausgeschieden. Mitarbeiterbindung und Teamstabilität prüfen.</t>
  </si>
  <si>
    <t>Gesamt</t>
  </si>
  <si>
    <t>© Adam Nagy · McOpCo · Personalsheet 2026</t>
  </si>
  <si>
    <t>Verlust-Score senken: Häufige Austrittsgründe sammeln und konkrete Maßnahmen zur Mitarbeiterbindung ableiten.</t>
  </si>
  <si>
    <t>ja</t>
  </si>
  <si>
    <t>Monat Januar, Name: ja, Grund: Dienstnehmer Kündigung</t>
  </si>
  <si>
    <t>Fluktuation beobachten: Die bisherige Jahresfluktuation liegt über 8 Prozent. Personalplanung und Nachbesetzungen frühzeitig abstimmen.</t>
  </si>
  <si>
    <t>1.</t>
  </si>
  <si>
    <t>PID_EIGEN</t>
  </si>
  <si>
    <t>Monat April, Name: MOISA Marian, Grund: Einvernehmliche Auflösung</t>
  </si>
  <si>
    <t>SAHBAZ Refikas</t>
  </si>
  <si>
    <t>Piros Paprika</t>
  </si>
  <si>
    <t>Personalsheet â€” Admin</t>
  </si>
  <si>
    <t>Alt+F8 â†’ PID_ToggleAdminSheet  |  Nur Entwickler / Release</t>
  </si>
  <si>
    <t>Jahr:</t>
  </si>
  <si>
    <t>Excel:</t>
  </si>
  <si>
    <t>Bewertung Jahresfluktuation</t>
  </si>
  <si>
    <t>Sehr gut / stabil</t>
  </si>
  <si>
    <t>Ø Verlust-Score</t>
  </si>
  <si>
    <t>Verlust-Score (nur Info)</t>
  </si>
  <si>
    <t>Bewertet die Auswirkungen der bisherigen Austritte auf Wissen, Erfahrung und Führungskompetenz (aus Austrittsgrund und Dauer der Betriebszugehörigkeit). Je höher der Wert, desto größer der potenzielle Verlust für das Restaurant. Der Verlust-Score beeinflusst NICHT die Fluktuationsbewertung.</t>
  </si>
  <si>
    <t>Bewertung &amp; Ziel</t>
  </si>
  <si>
    <t>Ziel</t>
  </si>
  <si>
    <t>unter 20 % Jahresfluktuation (Sehr gut / stabil).</t>
  </si>
  <si>
    <t>Bewertungsstufen</t>
  </si>
  <si>
    <t>Die folgenden Stufen gelten primär für Jahr-/YTD-Werte.</t>
  </si>
  <si>
    <t>0,00 % - 19,99 %</t>
  </si>
  <si>
    <t>20,00 % - 34,99 %</t>
  </si>
  <si>
    <t>Gut / normal</t>
  </si>
  <si>
    <t>35,00 % - 49,99 %</t>
  </si>
  <si>
    <t>Erhöht / beobachten</t>
  </si>
  <si>
    <t>50,00 % - 69,99 %</t>
  </si>
  <si>
    <t>Hoch / analysieren</t>
  </si>
  <si>
    <t>70,00 % - 99,99 %</t>
  </si>
  <si>
    <t>Sehr hoch / kritisch</t>
  </si>
  <si>
    <t>ab 100,00 %</t>
  </si>
  <si>
    <t>Extrem hoch / akuter Handlungsbedarf</t>
  </si>
  <si>
    <t>Hinweis Monatswerte</t>
  </si>
  <si>
    <t>Ein einzelner Austritt ergibt monatlich oft nur ca. 1-2 % (Austritte im Monat / durchschnittlicher Personalbestand). Das ist mathematisch korrekt. Die Führungsbewertung erfolgt hauptsächlich über die Jahresfluktuation (YTD).</t>
  </si>
  <si>
    <t>Fluktuation:</t>
  </si>
  <si>
    <t>Monat April, Name: Piros Paprika, Grund: Dienstnehmer Kündigung</t>
  </si>
  <si>
    <t>400002|JA</t>
  </si>
  <si>
    <t>401010|KNEISSL ERNA</t>
  </si>
  <si>
    <t>Dienstnehmer Kündigung (1), Einvernehmliche Auflösung (1)</t>
  </si>
  <si>
    <t>Storetransfer (1)</t>
  </si>
  <si>
    <t>Nicht eingetreten (1)</t>
  </si>
  <si>
    <t>19.06.2026</t>
  </si>
  <si>
    <t>Betriebszugehörigkeit: 9 Monate</t>
  </si>
  <si>
    <t>401049|SUN SOVANMEALY</t>
  </si>
  <si>
    <t>Sehr gut</t>
  </si>
  <si>
    <t>Austritt vorhanden, aktuell nicht kritisch. Entwicklung beobachten.</t>
  </si>
  <si>
    <t>Karenz (1), Dienstgeber Kündigung (1)</t>
  </si>
  <si>
    <t>Dienstgeber Kündigung (1)</t>
  </si>
  <si>
    <t>Jahresfluktuation (YTD): 11,01% - Bewertung: Sehr gut / stabil. Basis: 13 Austritt(e) im Jahr 2026, bezogen auf den durchschnittlichen Personalbestand. Ziel: unter 20 % Jahresfluktuation (Sehr gut / stabil). Handlungsbedarf: kein akuter Handlungsbedarf.</t>
  </si>
  <si>
    <t>Einvernehmliche Auflösung (1), Dienstnehmer Kündigung (1), Storetransfer (1), Karenz (1), Beförderung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</si>
</sst>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0.00_);_(* \(#,##0.00\);_(* &quot;-&quot;??_);_(@_)"/>
    <numFmt numFmtId="165" formatCode="_(&quot;€&quot;* #,##0.00_);_(&quot;€&quot;* \(#,##0.00\);_(&quot;€&quot;* &quot;-&quot;??_);_(@_)"/>
    <numFmt numFmtId="166" formatCode="&quot;€&quot;\ #,##0.00"/>
    <numFmt numFmtId="167" formatCode="#,##0.00\ &quot;€&quot;"/>
    <numFmt numFmtId="168" formatCode="dd/mm/yyyy;@"/>
    <numFmt numFmtId="169" formatCode="dd\.mm\.yyyy"/>
    <numFmt numFmtId="170" formatCode="&quot;€&quot;\ #,##0.00;\-&quot;€&quot;\ #,##0.00;;@"/>
  </numFmts>
  <fonts count="62">
    <font>
      <sz val="11"/>
      <color theme="1"/>
      <name val="Calibri"/>
      <family val="2"/>
      <scheme val="minor"/>
    </font>
    <font>
      <sz val="12"/>
      <color theme="1"/>
      <name val="Calibri"/>
      <family val="2"/>
      <scheme val="minor"/>
    </font>
    <font>
      <b/>
      <sz val="11"/>
      <color theme="1"/>
      <name val="Calibri"/>
      <family val="2"/>
      <scheme val="minor"/>
    </font>
    <font>
      <sz val="11"/>
      <color theme="1"/>
      <name val="Speedee"/>
      <family val="2"/>
    </font>
    <font>
      <b/>
      <sz val="11"/>
      <color theme="1"/>
      <name val="Speedee"/>
      <family val="2"/>
    </font>
    <font>
      <b/>
      <sz val="12"/>
      <color theme="1"/>
      <name val="Speedee"/>
      <family val="2"/>
    </font>
    <font>
      <i/>
      <sz val="11"/>
      <color theme="1"/>
      <name val="Speedee"/>
      <family val="2"/>
    </font>
    <font>
      <b/>
      <sz val="20"/>
      <color theme="1"/>
      <name val="Speedee"/>
      <family val="2"/>
    </font>
    <font>
      <b/>
      <i/>
      <sz val="12"/>
      <color theme="1"/>
      <name val="Calibri"/>
      <family val="2"/>
      <scheme val="minor"/>
    </font>
    <font>
      <sz val="8"/>
      <name val="Calibri"/>
      <family val="2"/>
      <scheme val="minor"/>
    </font>
    <font>
      <b/>
      <i/>
      <sz val="11"/>
      <color rgb="FFFF0000"/>
      <name val="Calibri"/>
      <family val="2"/>
      <scheme val="minor"/>
    </font>
    <font>
      <sz val="10"/>
      <name val="Arial"/>
      <family val="2"/>
    </font>
    <font>
      <b/>
      <sz val="11"/>
      <color rgb="FF000000"/>
      <name val="Speedee"/>
      <family val="2"/>
    </font>
    <font>
      <sz val="11"/>
      <color theme="0"/>
      <name val="Speedee"/>
      <family val="2"/>
    </font>
    <font>
      <sz val="11"/>
      <color theme="5"/>
      <name val="Calibri"/>
      <family val="2"/>
      <scheme val="minor"/>
    </font>
    <font>
      <sz val="8"/>
      <color theme="0" tint="-0.249977111117893"/>
      <name val="Calibri"/>
      <family val="2"/>
      <scheme val="minor"/>
    </font>
    <font>
      <sz val="8"/>
      <color theme="0" tint="-0.249977111117893"/>
      <name val="Speedee"/>
      <family val="2"/>
    </font>
    <font>
      <sz val="11"/>
      <color rgb="FF000000"/>
      <name val="Calibri"/>
      <family val="2"/>
      <scheme val="minor"/>
    </font>
    <font>
      <b/>
      <sz val="13"/>
      <color rgb="FF000000"/>
      <name val="Calibri"/>
      <family val="2"/>
      <scheme val="minor"/>
    </font>
    <font>
      <sz val="10"/>
      <color theme="1"/>
      <name val="Arial"/>
      <family val="2"/>
    </font>
    <font>
      <sz val="11"/>
      <color rgb="FF000000"/>
      <name val="Speedee"/>
    </font>
    <font>
      <b/>
      <sz val="11"/>
      <color theme="1"/>
      <name val="Speedee"/>
    </font>
    <font>
      <b/>
      <sz val="13"/>
      <color rgb="FFFFFFFF"/>
      <name val="Speedee"/>
    </font>
    <font>
      <i/>
      <sz val="9"/>
      <color rgb="FF595959"/>
      <name val="Speedee"/>
    </font>
    <font>
      <b/>
      <sz val="10"/>
      <color rgb="FF1F4E79"/>
      <name val="Speedee"/>
    </font>
    <font>
      <b/>
      <sz val="13"/>
      <color rgb="FFFFFFFF"/>
      <name val="Calibri"/>
      <family val="2"/>
      <scheme val="minor"/>
    </font>
    <font>
      <sz val="11"/>
      <color rgb="FF1F4E79"/>
      <name val="Calibri"/>
      <family val="2"/>
      <scheme val="minor"/>
    </font>
    <font>
      <b/>
      <sz val="10"/>
      <color rgb="FF1F4E79"/>
      <name val="Calibri"/>
      <family val="2"/>
      <scheme val="minor"/>
    </font>
    <font>
      <sz val="10"/>
      <color rgb="FF1F4E79"/>
      <name val="Calibri"/>
      <family val="2"/>
      <scheme val="minor"/>
    </font>
    <font>
      <sz val="10"/>
      <color rgb="FF000000"/>
      <name val="Calibri"/>
      <family val="2"/>
      <scheme val="minor"/>
    </font>
    <font>
      <b/>
      <sz val="13"/>
      <color rgb="FFFFFFFF"/>
      <name val="Calibri"/>
      <family val="2"/>
    </font>
    <font>
      <b/>
      <sz val="10"/>
      <color rgb="FF1F4E79"/>
      <name val="Calibri"/>
      <family val="2"/>
    </font>
    <font>
      <sz val="10"/>
      <color rgb="FF000000"/>
      <name val="Calibri"/>
      <family val="2"/>
    </font>
    <font>
      <b/>
      <sz val="9"/>
      <color rgb="FF1F4E79"/>
      <name val="Calibri"/>
      <family val="2"/>
      <scheme val="minor"/>
    </font>
    <font>
      <b/>
      <i/>
      <sz val="9"/>
      <color rgb="FF1F4E79"/>
      <name val="Calibri"/>
      <family val="2"/>
      <scheme val="minor"/>
    </font>
    <font>
      <b/>
      <sz val="9"/>
      <color rgb="FF1F4E79"/>
      <name val="Speedee"/>
    </font>
    <font>
      <sz val="10"/>
      <color rgb="FF2C3E50"/>
      <name val="Calibri"/>
      <family val="2"/>
    </font>
    <font>
      <b/>
      <sz val="13"/>
      <color rgb="FFFFFFFF"/>
      <name val="Arial"/>
      <family val="2"/>
    </font>
    <font>
      <sz val="12"/>
      <color rgb="FF000000"/>
      <name val="Speedee"/>
    </font>
    <font>
      <i/>
      <sz val="12"/>
      <color rgb="FF000000"/>
      <name val="Speedee"/>
    </font>
    <font>
      <i/>
      <sz val="11"/>
      <color rgb="FF000000"/>
      <name val="Speedee"/>
    </font>
    <font>
      <sz val="11"/>
      <color rgb="FF1F4E79"/>
      <name val="Speedee"/>
    </font>
    <font>
      <b/>
      <i/>
      <sz val="11"/>
      <color rgb="FF1F4E79"/>
      <name val="Speedee"/>
    </font>
    <font>
      <sz val="9"/>
      <color rgb="FF1F4E79"/>
      <name val="Speedee"/>
    </font>
    <font>
      <b/>
      <sz val="10"/>
      <color rgb="FF1F4E79"/>
      <name val="Arial"/>
      <family val="2"/>
    </font>
    <font>
      <sz val="7"/>
      <color rgb="FF6E8094"/>
      <name val="Calibri"/>
      <family val="2"/>
    </font>
    <font>
      <sz val="8"/>
      <color rgb="FF6E8094"/>
      <name val="Calibri"/>
      <family val="2"/>
    </font>
    <font>
      <sz val="10"/>
      <color rgb="FF1F4E79"/>
      <name val="Arial"/>
      <family val="2"/>
    </font>
    <font>
      <b/>
      <sz val="11"/>
      <color rgb="FF1F4E79"/>
      <name val="Speedee"/>
    </font>
    <font>
      <sz val="9"/>
      <color rgb="FF000000"/>
      <name val="Speedee"/>
    </font>
    <font>
      <sz val="8"/>
      <color rgb="FF000000"/>
      <name val="Speedee"/>
    </font>
    <font>
      <i/>
      <sz val="10"/>
      <color rgb="FF000000"/>
      <name val="Speedee"/>
    </font>
    <font>
      <sz val="10"/>
      <color rgb="FF000000"/>
      <name val="Speedee"/>
    </font>
    <font>
      <b/>
      <sz val="8"/>
      <color rgb="FF595959"/>
      <name val="Speedee"/>
    </font>
    <font>
      <b/>
      <sz val="9"/>
      <color rgb="FFDDEBF7"/>
      <name val="Speedee"/>
    </font>
    <font>
      <b/>
      <sz val="16"/>
      <color rgb="FF1F3864"/>
      <name val="Calibri"/>
      <family val="2"/>
      <scheme val="minor"/>
    </font>
    <font>
      <sz val="9"/>
      <color rgb="FF5A6C7D"/>
      <name val="Calibri"/>
      <family val="2"/>
      <scheme val="minor"/>
    </font>
    <font>
      <sz val="9"/>
      <color rgb="FF465569"/>
      <name val="Calibri"/>
      <family val="2"/>
      <scheme val="minor"/>
    </font>
    <font>
      <b/>
      <sz val="11"/>
      <color rgb="FF1F3864"/>
      <name val="Calibri"/>
      <family val="2"/>
      <scheme val="minor"/>
    </font>
    <font>
      <sz val="11"/>
      <color rgb="FF5A6C7D"/>
      <name val="Calibri"/>
      <family val="2"/>
      <scheme val="minor"/>
    </font>
    <font>
      <b/>
      <sz val="11"/>
      <color rgb="FF1F4E79"/>
      <name val="Calibri"/>
      <family val="2"/>
      <scheme val="minor"/>
    </font>
    <font>
      <b/>
      <sz val="11"/>
      <color rgb="FF006100"/>
      <name val="Calibri"/>
      <family val="2"/>
      <scheme val="minor"/>
    </font>
  </fonts>
  <fills count="11">
    <fill>
      <patternFill patternType="none"/>
    </fill>
    <fill>
      <patternFill patternType="gray125"/>
    </fill>
    <fill>
      <patternFill patternType="solid">
        <fgColor rgb="FFFFFFFF"/>
        <bgColor indexed="64"/>
      </patternFill>
    </fill>
    <fill>
      <patternFill patternType="solid">
        <fgColor theme="0"/>
        <bgColor indexed="64"/>
      </patternFill>
    </fill>
    <fill>
      <patternFill patternType="solid">
        <fgColor rgb="FFDDEBF7"/>
        <bgColor indexed="64"/>
      </patternFill>
    </fill>
    <fill>
      <patternFill patternType="solid">
        <fgColor rgb="FF1F4E79"/>
        <bgColor indexed="64"/>
      </patternFill>
    </fill>
    <fill>
      <patternFill patternType="solid">
        <fgColor rgb="FFF2F2F2"/>
        <bgColor indexed="64"/>
      </patternFill>
    </fill>
    <fill>
      <patternFill patternType="solid">
        <fgColor rgb="FFFFF2CC"/>
        <bgColor indexed="64"/>
      </patternFill>
    </fill>
    <fill>
      <patternFill patternType="solid">
        <fgColor rgb="FFF8F8F8"/>
        <bgColor indexed="64"/>
      </patternFill>
    </fill>
    <fill>
      <patternFill patternType="solid">
        <fgColor rgb="FFF5F5F5"/>
        <bgColor indexed="64"/>
      </patternFill>
    </fill>
    <fill>
      <patternFill patternType="solid">
        <fgColor rgb="FFC6EFCE"/>
        <bgColor indexed="64"/>
      </patternFill>
    </fill>
  </fills>
  <borders count="66">
    <border>
      <left/>
      <right/>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right/>
      <top/>
      <bottom style="thin">
        <color indexed="64"/>
      </bottom>
      <diagonal/>
    </border>
    <border>
      <left/>
      <right/>
      <top style="thin">
        <color indexed="64"/>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medium">
        <color rgb="FF1F4E79"/>
      </left>
      <right/>
      <top/>
      <bottom/>
      <diagonal/>
    </border>
    <border>
      <left/>
      <right style="medium">
        <color rgb="FF1F4E79"/>
      </right>
      <top/>
      <bottom/>
      <diagonal/>
    </border>
    <border>
      <left style="medium">
        <color rgb="FF1F4E79"/>
      </left>
      <right/>
      <top style="medium">
        <color rgb="FF1F4E79"/>
      </top>
      <bottom/>
      <diagonal/>
    </border>
    <border>
      <left/>
      <right/>
      <top style="medium">
        <color rgb="FF1F4E79"/>
      </top>
      <bottom/>
      <diagonal/>
    </border>
    <border>
      <left/>
      <right style="medium">
        <color rgb="FF1F4E79"/>
      </right>
      <top style="medium">
        <color rgb="FF1F4E79"/>
      </top>
      <bottom/>
      <diagonal/>
    </border>
    <border>
      <left style="medium">
        <color rgb="FF1F4E79"/>
      </left>
      <right/>
      <top/>
      <bottom style="medium">
        <color rgb="FF1F4E79"/>
      </bottom>
      <diagonal/>
    </border>
    <border>
      <left/>
      <right/>
      <top/>
      <bottom style="medium">
        <color rgb="FF1F4E79"/>
      </bottom>
      <diagonal/>
    </border>
    <border>
      <left/>
      <right style="medium">
        <color rgb="FF1F4E79"/>
      </right>
      <top/>
      <bottom style="medium">
        <color rgb="FF1F4E79"/>
      </bottom>
      <diagonal/>
    </border>
    <border>
      <left style="medium">
        <color rgb="FFFFC000"/>
      </left>
      <right style="medium">
        <color rgb="FFFFC000"/>
      </right>
      <top style="medium">
        <color rgb="FFFFC000"/>
      </top>
      <bottom style="medium">
        <color rgb="FFFFC000"/>
      </bottom>
      <diagonal/>
    </border>
    <border>
      <left style="thin">
        <color rgb="FFB4B4B4"/>
      </left>
      <right style="thin">
        <color rgb="FFB4B4B4"/>
      </right>
      <top style="thin">
        <color rgb="FFB4B4B4"/>
      </top>
      <bottom style="thin">
        <color rgb="FFB4B4B4"/>
      </bottom>
      <diagonal/>
    </border>
    <border>
      <left style="thin">
        <color rgb="FFB4B4B4"/>
      </left>
      <right/>
      <top style="thin">
        <color rgb="FFB4B4B4"/>
      </top>
      <bottom style="thin">
        <color rgb="FFB4B4B4"/>
      </bottom>
      <diagonal/>
    </border>
    <border>
      <left style="medium">
        <color rgb="FF1F4E79"/>
      </left>
      <right style="thin">
        <color rgb="FFB4B4B4"/>
      </right>
      <top style="thin">
        <color rgb="FFB4B4B4"/>
      </top>
      <bottom style="thin">
        <color rgb="FFB4B4B4"/>
      </bottom>
      <diagonal/>
    </border>
    <border>
      <left style="medium">
        <color rgb="FF1F4E79"/>
      </left>
      <right style="thin">
        <color rgb="FFB4B4B4"/>
      </right>
      <top style="medium">
        <color rgb="FF1F4E79"/>
      </top>
      <bottom style="thin">
        <color rgb="FFB4B4B4"/>
      </bottom>
      <diagonal/>
    </border>
    <border>
      <left style="thin">
        <color rgb="FFB4B4B4"/>
      </left>
      <right style="thin">
        <color rgb="FFB4B4B4"/>
      </right>
      <top style="medium">
        <color rgb="FF1F4E79"/>
      </top>
      <bottom style="thin">
        <color rgb="FFB4B4B4"/>
      </bottom>
      <diagonal/>
    </border>
    <border>
      <left style="medium">
        <color rgb="FF1F4E79"/>
      </left>
      <right style="thin">
        <color rgb="FFB4B4B4"/>
      </right>
      <top style="thin">
        <color rgb="FFB4B4B4"/>
      </top>
      <bottom style="medium">
        <color rgb="FF1F4E79"/>
      </bottom>
      <diagonal/>
    </border>
    <border>
      <left style="thin">
        <color rgb="FFB4B4B4"/>
      </left>
      <right style="thin">
        <color rgb="FFB4B4B4"/>
      </right>
      <top style="thin">
        <color rgb="FFB4B4B4"/>
      </top>
      <bottom style="medium">
        <color rgb="FF1F4E79"/>
      </bottom>
      <diagonal/>
    </border>
    <border>
      <left style="thin">
        <color rgb="FFB4B4B4"/>
      </left>
      <right style="medium">
        <color rgb="FF1F4E79"/>
      </right>
      <top style="thin">
        <color rgb="FFB4B4B4"/>
      </top>
      <bottom style="medium">
        <color rgb="FF1F4E79"/>
      </bottom>
      <diagonal/>
    </border>
    <border>
      <left style="thin">
        <color rgb="FFB4B4B4"/>
      </left>
      <right/>
      <top style="thin">
        <color rgb="FFB4B4B4"/>
      </top>
      <bottom style="medium">
        <color rgb="FF1F4E79"/>
      </bottom>
      <diagonal/>
    </border>
    <border>
      <left style="medium">
        <color rgb="FF1F4E79"/>
      </left>
      <right/>
      <top style="thin">
        <color rgb="FFB4B4B4"/>
      </top>
      <bottom style="medium">
        <color rgb="FF1F4E79"/>
      </bottom>
      <diagonal/>
    </border>
    <border>
      <left style="thin">
        <color rgb="FFB4B4B4"/>
      </left>
      <right style="thin">
        <color rgb="FFB4B4B4"/>
      </right>
      <top/>
      <bottom style="thin">
        <color rgb="FFB4B4B4"/>
      </bottom>
      <diagonal/>
    </border>
    <border>
      <left style="thin">
        <color rgb="FFB4B4B4"/>
      </left>
      <right/>
      <top/>
      <bottom style="thin">
        <color rgb="FFB4B4B4"/>
      </bottom>
      <diagonal/>
    </border>
    <border>
      <left style="thin">
        <color rgb="FFB4B4B4"/>
      </left>
      <right style="medium">
        <color rgb="FF1F4E79"/>
      </right>
      <top style="thin">
        <color rgb="FFB4B4B4"/>
      </top>
      <bottom style="thin">
        <color rgb="FFB4B4B4"/>
      </bottom>
      <diagonal/>
    </border>
    <border>
      <left/>
      <right/>
      <top style="thin">
        <color rgb="FFB4B4B4"/>
      </top>
      <bottom style="medium">
        <color rgb="FF1F4E79"/>
      </bottom>
      <diagonal/>
    </border>
    <border>
      <left style="thin">
        <color rgb="FFB4B4B4"/>
      </left>
      <right style="medium">
        <color rgb="FF1F4E79"/>
      </right>
      <top style="medium">
        <color rgb="FF1F4E79"/>
      </top>
      <bottom style="thin">
        <color rgb="FFB4B4B4"/>
      </bottom>
      <diagonal/>
    </border>
    <border>
      <left style="medium">
        <color rgb="FF1F4E79"/>
      </left>
      <right/>
      <top style="medium">
        <color rgb="FF1F4E79"/>
      </top>
      <bottom style="medium">
        <color rgb="FF1F4E79"/>
      </bottom>
      <diagonal/>
    </border>
    <border>
      <left/>
      <right/>
      <top style="medium">
        <color rgb="FF1F4E79"/>
      </top>
      <bottom style="medium">
        <color rgb="FF1F4E79"/>
      </bottom>
      <diagonal/>
    </border>
    <border>
      <left/>
      <right style="medium">
        <color rgb="FF1F4E79"/>
      </right>
      <top style="medium">
        <color rgb="FF1F4E79"/>
      </top>
      <bottom style="medium">
        <color rgb="FF1F4E79"/>
      </bottom>
      <diagonal/>
    </border>
    <border>
      <left style="medium">
        <color rgb="FF1F4E79"/>
      </left>
      <right/>
      <top style="medium">
        <color rgb="FF1F4E79"/>
      </top>
      <bottom style="thin">
        <color rgb="FFB4B4B4"/>
      </bottom>
      <diagonal/>
    </border>
    <border>
      <left/>
      <right/>
      <top style="medium">
        <color rgb="FF1F4E79"/>
      </top>
      <bottom style="thin">
        <color rgb="FFB4B4B4"/>
      </bottom>
      <diagonal/>
    </border>
    <border>
      <left/>
      <right style="medium">
        <color rgb="FF1F4E79"/>
      </right>
      <top style="medium">
        <color rgb="FF1F4E79"/>
      </top>
      <bottom style="thin">
        <color rgb="FFB4B4B4"/>
      </bottom>
      <diagonal/>
    </border>
    <border>
      <left style="medium">
        <color rgb="FF1F4E79"/>
      </left>
      <right/>
      <top style="thin">
        <color rgb="FFB4B4B4"/>
      </top>
      <bottom style="thin">
        <color rgb="FFB4B4B4"/>
      </bottom>
      <diagonal/>
    </border>
    <border>
      <left/>
      <right/>
      <top style="thin">
        <color rgb="FFB4B4B4"/>
      </top>
      <bottom style="thin">
        <color rgb="FFB4B4B4"/>
      </bottom>
      <diagonal/>
    </border>
    <border>
      <left/>
      <right style="medium">
        <color rgb="FF1F4E79"/>
      </right>
      <top style="thin">
        <color rgb="FFB4B4B4"/>
      </top>
      <bottom style="thin">
        <color rgb="FFB4B4B4"/>
      </bottom>
      <diagonal/>
    </border>
    <border>
      <left/>
      <right style="medium">
        <color rgb="FF1F4E79"/>
      </right>
      <top style="thin">
        <color rgb="FFB4B4B4"/>
      </top>
      <bottom style="medium">
        <color rgb="FF1F4E79"/>
      </bottom>
      <diagonal/>
    </border>
    <border>
      <left style="medium">
        <color rgb="FF1F4E79"/>
      </left>
      <right style="thin">
        <color rgb="FFB4B4B4"/>
      </right>
      <top style="medium">
        <color rgb="FF1F4E79"/>
      </top>
      <bottom style="medium">
        <color rgb="FF1F4E79"/>
      </bottom>
      <diagonal/>
    </border>
    <border>
      <left style="thin">
        <color rgb="FFB4B4B4"/>
      </left>
      <right style="medium">
        <color rgb="FF1F4E79"/>
      </right>
      <top style="medium">
        <color rgb="FF1F4E79"/>
      </top>
      <bottom style="medium">
        <color rgb="FF1F4E79"/>
      </bottom>
      <diagonal/>
    </border>
    <border>
      <left style="medium">
        <color rgb="FF1F4E79"/>
      </left>
      <right style="thin">
        <color rgb="FFB4B4B4"/>
      </right>
      <top style="thin">
        <color rgb="FFB4B4B4"/>
      </top>
      <bottom/>
      <diagonal/>
    </border>
    <border>
      <left style="thin">
        <color rgb="FFB4B4B4"/>
      </left>
      <right style="thin">
        <color rgb="FFB4B4B4"/>
      </right>
      <top style="thin">
        <color rgb="FFB4B4B4"/>
      </top>
      <bottom/>
      <diagonal/>
    </border>
    <border>
      <left style="thin">
        <color rgb="FFB4B4B4"/>
      </left>
      <right style="medium">
        <color rgb="FF1F4E79"/>
      </right>
      <top style="thin">
        <color rgb="FFB4B4B4"/>
      </top>
      <bottom/>
      <diagonal/>
    </border>
    <border>
      <left style="thin">
        <color rgb="FFB4B4B4"/>
      </left>
      <right style="thin">
        <color rgb="FFB4B4B4"/>
      </right>
      <top style="medium">
        <color rgb="FF1F4E79"/>
      </top>
      <bottom style="medium">
        <color rgb="FF1F4E79"/>
      </bottom>
      <diagonal/>
    </border>
    <border>
      <left style="thin">
        <color rgb="FFB4B4B4"/>
      </left>
      <right/>
      <top style="medium">
        <color rgb="FF1F4E79"/>
      </top>
      <bottom style="thin">
        <color rgb="FFB4B4B4"/>
      </bottom>
      <diagonal/>
    </border>
    <border>
      <left style="thin">
        <color rgb="FFB4B4B4"/>
      </left>
      <right style="thin">
        <color rgb="FFB4B4B4"/>
      </right>
      <top style="medium">
        <color rgb="FF1F4E79"/>
      </top>
      <bottom/>
      <diagonal/>
    </border>
    <border>
      <left style="medium">
        <color rgb="FF1F4E79"/>
      </left>
      <right style="thin">
        <color rgb="FFB4B4B4"/>
      </right>
      <top style="medium">
        <color rgb="FF1F4E79"/>
      </top>
      <bottom/>
      <diagonal/>
    </border>
    <border>
      <left style="thin">
        <color rgb="FFB4B4B4"/>
      </left>
      <right style="medium">
        <color rgb="FF1F4E79"/>
      </right>
      <top style="medium">
        <color rgb="FF1F4E79"/>
      </top>
      <bottom/>
      <diagonal/>
    </border>
    <border>
      <left/>
      <right style="thin">
        <color indexed="64"/>
      </right>
      <top/>
      <bottom style="medium">
        <color rgb="FF1F4E79"/>
      </bottom>
      <diagonal/>
    </border>
    <border>
      <left style="thin">
        <color indexed="64"/>
      </left>
      <right/>
      <top/>
      <bottom style="medium">
        <color rgb="FF1F4E79"/>
      </bottom>
      <diagonal/>
    </border>
    <border>
      <left/>
      <right style="thin">
        <color rgb="FFB4B4B4"/>
      </right>
      <top style="medium">
        <color rgb="FF1F4E79"/>
      </top>
      <bottom style="thin">
        <color rgb="FFB4B4B4"/>
      </bottom>
      <diagonal/>
    </border>
    <border>
      <left/>
      <right style="thin">
        <color rgb="FFB4B4B4"/>
      </right>
      <top style="thin">
        <color rgb="FFB4B4B4"/>
      </top>
      <bottom style="thin">
        <color rgb="FFB4B4B4"/>
      </bottom>
      <diagonal/>
    </border>
    <border>
      <left/>
      <right style="thin">
        <color rgb="FFB4B4B4"/>
      </right>
      <top style="thin">
        <color rgb="FFB4B4B4"/>
      </top>
      <bottom/>
      <diagonal/>
    </border>
    <border>
      <left/>
      <right style="thin">
        <color rgb="FFB4B4B4"/>
      </right>
      <top style="thin">
        <color rgb="FFB4B4B4"/>
      </top>
      <bottom style="medium">
        <color rgb="FF1F4E79"/>
      </bottom>
      <diagonal/>
    </border>
    <border>
      <left/>
      <right style="thin">
        <color rgb="FFB4B4B4"/>
      </right>
      <top style="medium">
        <color rgb="FF1F4E79"/>
      </top>
      <bottom style="medium">
        <color rgb="FF1F4E79"/>
      </bottom>
      <diagonal/>
    </border>
    <border>
      <left style="thin">
        <color indexed="64"/>
      </left>
      <right/>
      <top/>
      <bottom/>
      <diagonal/>
    </border>
    <border>
      <left/>
      <right style="thin">
        <color indexed="64"/>
      </right>
      <top/>
      <bottom/>
      <diagonal/>
    </border>
    <border>
      <left style="thin">
        <color rgb="FFB4B4B4"/>
      </left>
      <right style="medium">
        <color rgb="FF1F4E79"/>
      </right>
      <top/>
      <bottom style="thin">
        <color rgb="FFB4B4B4"/>
      </bottom>
      <diagonal/>
    </border>
    <border>
      <left/>
      <right style="thin">
        <color rgb="FF1F4E79"/>
      </right>
      <top style="thin">
        <color rgb="FF1F4E79"/>
      </top>
      <bottom style="thin">
        <color rgb="FF1F4E79"/>
      </bottom>
      <diagonal/>
    </border>
    <border>
      <left style="thin">
        <color rgb="FFB4B4B4"/>
      </left>
      <right/>
      <top style="thin">
        <color rgb="FFB4B4B4"/>
      </top>
      <bottom/>
      <diagonal/>
    </border>
  </borders>
  <cellStyleXfs count="6">
    <xf numFmtId="0" fontId="0" fillId="0" borderId="0"/>
    <xf numFmtId="0" fontId="11" fillId="0" borderId="0"/>
    <xf numFmtId="164" fontId="11" fillId="0" borderId="0" applyFont="0" applyFill="0" applyBorder="0" applyAlignment="0" applyProtection="0"/>
    <xf numFmtId="9" fontId="11" fillId="0" borderId="0" applyFont="0" applyFill="0" applyBorder="0" applyAlignment="0" applyProtection="0"/>
    <xf numFmtId="165" fontId="11" fillId="0" borderId="0" applyFont="0" applyFill="0" applyBorder="0" applyAlignment="0" applyProtection="0"/>
    <xf numFmtId="0" fontId="1" fillId="0" borderId="0"/>
  </cellStyleXfs>
  <cellXfs count="428">
    <xf numFmtId="0" fontId="0" fillId="0" borderId="0" xfId="0"/>
    <xf numFmtId="0" fontId="2" fillId="0" borderId="0" xfId="0" applyFont="1" applyAlignment="1">
      <alignment horizontal="center" vertical="center"/>
    </xf>
    <xf numFmtId="169" fontId="2" fillId="0" borderId="0" xfId="0" applyNumberFormat="1" applyFont="1" applyAlignment="1">
      <alignment horizontal="center" vertical="center"/>
    </xf>
    <xf numFmtId="169" fontId="0" fillId="0" borderId="0" xfId="0" applyNumberFormat="1"/>
    <xf numFmtId="2" fontId="2" fillId="0" borderId="0" xfId="0" applyNumberFormat="1" applyFont="1" applyAlignment="1">
      <alignment horizontal="center" vertical="center"/>
    </xf>
    <xf numFmtId="2" fontId="0" fillId="0" borderId="0" xfId="0" applyNumberFormat="1"/>
    <xf numFmtId="0" fontId="19" fillId="0" borderId="0" xfId="0" applyFont="1"/>
    <xf numFmtId="166" fontId="19" fillId="0" borderId="0" xfId="0" applyNumberFormat="1" applyFont="1"/>
    <xf numFmtId="0" fontId="27" fillId="4" borderId="0" xfId="0" applyFont="1" applyFill="1" applyAlignment="1">
      <alignment horizontal="center" vertical="center" wrapText="1"/>
    </xf>
    <xf numFmtId="0" fontId="27" fillId="4" borderId="22" xfId="0" applyFont="1" applyFill="1" applyBorder="1" applyAlignment="1">
      <alignment horizontal="center" vertical="center" wrapText="1"/>
    </xf>
    <xf numFmtId="0" fontId="27" fillId="4" borderId="23" xfId="0" applyFont="1" applyFill="1" applyBorder="1" applyAlignment="1">
      <alignment horizontal="center" vertical="center" wrapText="1"/>
    </xf>
    <xf numFmtId="0" fontId="27" fillId="4" borderId="33" xfId="0" applyFont="1" applyFill="1" applyBorder="1" applyAlignment="1">
      <alignment horizontal="center" vertical="center" wrapText="1"/>
    </xf>
    <xf numFmtId="166" fontId="29" fillId="2" borderId="21" xfId="0" applyNumberFormat="1" applyFont="1" applyFill="1" applyBorder="1" applyAlignment="1" applyProtection="1">
      <alignment horizontal="center" vertical="center"/>
      <protection locked="0"/>
    </xf>
    <xf numFmtId="166" fontId="29" fillId="2" borderId="19" xfId="0" applyNumberFormat="1" applyFont="1" applyFill="1" applyBorder="1" applyAlignment="1" applyProtection="1">
      <alignment horizontal="center" vertical="center"/>
      <protection locked="0"/>
    </xf>
    <xf numFmtId="3" fontId="29" fillId="2" borderId="31" xfId="0" applyNumberFormat="1" applyFont="1" applyFill="1" applyBorder="1" applyAlignment="1" applyProtection="1">
      <alignment horizontal="center" vertical="center"/>
      <protection locked="0"/>
    </xf>
    <xf numFmtId="2" fontId="29" fillId="2" borderId="31" xfId="0" applyNumberFormat="1" applyFont="1" applyFill="1" applyBorder="1" applyAlignment="1" applyProtection="1">
      <alignment horizontal="center" vertical="center"/>
      <protection locked="0"/>
    </xf>
    <xf numFmtId="1" fontId="29" fillId="2" borderId="45" xfId="0" applyNumberFormat="1" applyFont="1" applyFill="1" applyBorder="1" applyAlignment="1" applyProtection="1">
      <alignment horizontal="center" vertical="center"/>
      <protection locked="0"/>
    </xf>
    <xf numFmtId="166" fontId="29" fillId="2" borderId="24" xfId="0" applyNumberFormat="1" applyFont="1" applyFill="1" applyBorder="1" applyAlignment="1" applyProtection="1">
      <alignment horizontal="center" vertical="center"/>
      <protection locked="0"/>
    </xf>
    <xf numFmtId="166" fontId="29" fillId="2" borderId="25" xfId="0" applyNumberFormat="1" applyFont="1" applyFill="1" applyBorder="1" applyAlignment="1" applyProtection="1">
      <alignment horizontal="center" vertical="center"/>
      <protection locked="0"/>
    </xf>
    <xf numFmtId="3" fontId="29" fillId="2" borderId="26" xfId="0" applyNumberFormat="1" applyFont="1" applyFill="1" applyBorder="1" applyAlignment="1" applyProtection="1">
      <alignment horizontal="center" vertical="center"/>
      <protection locked="0"/>
    </xf>
    <xf numFmtId="2" fontId="29" fillId="2" borderId="26" xfId="0" applyNumberFormat="1" applyFont="1" applyFill="1" applyBorder="1" applyAlignment="1" applyProtection="1">
      <alignment horizontal="center" vertical="center"/>
      <protection locked="0"/>
    </xf>
    <xf numFmtId="4" fontId="20" fillId="2" borderId="18" xfId="0" applyNumberFormat="1" applyFont="1" applyFill="1" applyBorder="1" applyAlignment="1" applyProtection="1">
      <alignment horizontal="center" vertical="center"/>
      <protection locked="0"/>
    </xf>
    <xf numFmtId="0" fontId="26" fillId="7" borderId="25" xfId="0" applyFont="1" applyFill="1" applyBorder="1" applyAlignment="1">
      <alignment horizontal="left" vertical="center" wrapText="1"/>
    </xf>
    <xf numFmtId="0" fontId="33" fillId="7" borderId="21" xfId="0" applyFont="1" applyFill="1" applyBorder="1" applyAlignment="1">
      <alignment horizontal="left" vertical="center"/>
    </xf>
    <xf numFmtId="0" fontId="26" fillId="7" borderId="19" xfId="0" applyFont="1" applyFill="1" applyBorder="1" applyAlignment="1">
      <alignment horizontal="left" vertical="center" wrapText="1"/>
    </xf>
    <xf numFmtId="0" fontId="33" fillId="7" borderId="24" xfId="0" applyFont="1" applyFill="1" applyBorder="1" applyAlignment="1">
      <alignment horizontal="left" vertical="center"/>
    </xf>
    <xf numFmtId="0" fontId="33" fillId="7" borderId="21" xfId="0" applyFont="1" applyFill="1" applyBorder="1" applyAlignment="1">
      <alignment horizontal="left" vertical="center" wrapText="1"/>
    </xf>
    <xf numFmtId="0" fontId="17" fillId="7" borderId="19" xfId="0" applyFont="1" applyFill="1" applyBorder="1" applyAlignment="1">
      <alignment horizontal="center" vertical="center" wrapText="1"/>
    </xf>
    <xf numFmtId="10" fontId="17" fillId="7" borderId="19" xfId="0" applyNumberFormat="1" applyFont="1" applyFill="1" applyBorder="1" applyAlignment="1">
      <alignment horizontal="center" vertical="center" wrapText="1"/>
    </xf>
    <xf numFmtId="2" fontId="17" fillId="7" borderId="19" xfId="0" applyNumberFormat="1" applyFont="1" applyFill="1" applyBorder="1" applyAlignment="1">
      <alignment horizontal="center" vertical="center" wrapText="1"/>
    </xf>
    <xf numFmtId="0" fontId="17" fillId="7" borderId="19" xfId="0" applyFont="1" applyFill="1" applyBorder="1" applyAlignment="1">
      <alignment horizontal="left" vertical="center" wrapText="1"/>
    </xf>
    <xf numFmtId="0" fontId="33" fillId="7" borderId="24" xfId="0" applyFont="1" applyFill="1" applyBorder="1" applyAlignment="1">
      <alignment horizontal="left" vertical="center" wrapText="1"/>
    </xf>
    <xf numFmtId="0" fontId="20" fillId="8" borderId="23" xfId="0" applyFont="1" applyFill="1" applyBorder="1" applyAlignment="1" applyProtection="1">
      <alignment horizontal="left"/>
      <protection locked="0"/>
    </xf>
    <xf numFmtId="14" fontId="20" fillId="8" borderId="23" xfId="0" applyNumberFormat="1" applyFont="1" applyFill="1" applyBorder="1" applyAlignment="1" applyProtection="1">
      <alignment horizontal="center"/>
      <protection locked="0"/>
    </xf>
    <xf numFmtId="0" fontId="20" fillId="8" borderId="23" xfId="0" applyFont="1" applyFill="1" applyBorder="1" applyAlignment="1" applyProtection="1">
      <alignment horizontal="center"/>
      <protection locked="0"/>
    </xf>
    <xf numFmtId="2" fontId="38" fillId="8" borderId="23" xfId="0" applyNumberFormat="1" applyFont="1" applyFill="1" applyBorder="1" applyAlignment="1" applyProtection="1">
      <alignment horizontal="center"/>
      <protection locked="0"/>
    </xf>
    <xf numFmtId="168" fontId="20" fillId="8" borderId="23" xfId="0" applyNumberFormat="1" applyFont="1" applyFill="1" applyBorder="1" applyAlignment="1" applyProtection="1">
      <alignment horizontal="center"/>
      <protection locked="0"/>
    </xf>
    <xf numFmtId="166" fontId="20" fillId="8" borderId="23" xfId="0" applyNumberFormat="1" applyFont="1" applyFill="1" applyBorder="1" applyAlignment="1" applyProtection="1">
      <alignment horizontal="center"/>
      <protection locked="0"/>
    </xf>
    <xf numFmtId="49" fontId="40" fillId="8" borderId="23" xfId="0" applyNumberFormat="1" applyFont="1" applyFill="1" applyBorder="1" applyAlignment="1" applyProtection="1">
      <alignment horizontal="left"/>
      <protection locked="0"/>
    </xf>
    <xf numFmtId="0" fontId="20" fillId="2" borderId="19" xfId="0" applyFont="1" applyFill="1" applyBorder="1" applyAlignment="1" applyProtection="1">
      <alignment horizontal="left"/>
      <protection locked="0"/>
    </xf>
    <xf numFmtId="14" fontId="20" fillId="2" borderId="19" xfId="0" applyNumberFormat="1" applyFont="1" applyFill="1" applyBorder="1" applyAlignment="1" applyProtection="1">
      <alignment horizontal="center"/>
      <protection locked="0"/>
    </xf>
    <xf numFmtId="0" fontId="20" fillId="2" borderId="19" xfId="0" applyFont="1" applyFill="1" applyBorder="1" applyAlignment="1" applyProtection="1">
      <alignment horizontal="center"/>
      <protection locked="0"/>
    </xf>
    <xf numFmtId="2" fontId="20" fillId="2" borderId="19" xfId="0" applyNumberFormat="1" applyFont="1" applyFill="1" applyBorder="1" applyAlignment="1" applyProtection="1">
      <alignment horizontal="center"/>
      <protection locked="0"/>
    </xf>
    <xf numFmtId="168" fontId="20" fillId="2" borderId="19" xfId="0" applyNumberFormat="1" applyFont="1" applyFill="1" applyBorder="1" applyAlignment="1" applyProtection="1">
      <alignment horizontal="center"/>
      <protection locked="0"/>
    </xf>
    <xf numFmtId="166" fontId="20" fillId="2" borderId="19" xfId="0" applyNumberFormat="1" applyFont="1" applyFill="1" applyBorder="1" applyAlignment="1" applyProtection="1">
      <alignment horizontal="center"/>
      <protection locked="0"/>
    </xf>
    <xf numFmtId="49" fontId="40" fillId="2" borderId="19" xfId="0" applyNumberFormat="1" applyFont="1" applyFill="1" applyBorder="1" applyAlignment="1" applyProtection="1">
      <alignment horizontal="left"/>
      <protection locked="0"/>
    </xf>
    <xf numFmtId="0" fontId="20" fillId="8" borderId="19" xfId="0" applyFont="1" applyFill="1" applyBorder="1" applyAlignment="1" applyProtection="1">
      <alignment horizontal="left"/>
      <protection locked="0"/>
    </xf>
    <xf numFmtId="14" fontId="20" fillId="8" borderId="19" xfId="0" applyNumberFormat="1" applyFont="1" applyFill="1" applyBorder="1" applyAlignment="1" applyProtection="1">
      <alignment horizontal="center"/>
      <protection locked="0"/>
    </xf>
    <xf numFmtId="0" fontId="20" fillId="8" borderId="19" xfId="0" applyFont="1" applyFill="1" applyBorder="1" applyAlignment="1" applyProtection="1">
      <alignment horizontal="center"/>
      <protection locked="0"/>
    </xf>
    <xf numFmtId="2" fontId="20" fillId="8" borderId="19" xfId="0" applyNumberFormat="1" applyFont="1" applyFill="1" applyBorder="1" applyAlignment="1" applyProtection="1">
      <alignment horizontal="center"/>
      <protection locked="0"/>
    </xf>
    <xf numFmtId="168" fontId="20" fillId="8" borderId="19" xfId="0" applyNumberFormat="1" applyFont="1" applyFill="1" applyBorder="1" applyAlignment="1" applyProtection="1">
      <alignment horizontal="center"/>
      <protection locked="0"/>
    </xf>
    <xf numFmtId="166" fontId="20" fillId="8" borderId="19" xfId="0" applyNumberFormat="1" applyFont="1" applyFill="1" applyBorder="1" applyAlignment="1" applyProtection="1">
      <alignment horizontal="center"/>
      <protection locked="0"/>
    </xf>
    <xf numFmtId="49" fontId="40" fillId="8" borderId="19" xfId="0" applyNumberFormat="1" applyFont="1" applyFill="1" applyBorder="1" applyAlignment="1" applyProtection="1">
      <alignment horizontal="left"/>
      <protection locked="0"/>
    </xf>
    <xf numFmtId="11" fontId="20" fillId="2" borderId="19" xfId="0" applyNumberFormat="1" applyFont="1" applyFill="1" applyBorder="1" applyAlignment="1" applyProtection="1">
      <alignment horizontal="left"/>
      <protection locked="0"/>
    </xf>
    <xf numFmtId="0" fontId="20" fillId="2" borderId="25" xfId="0" applyFont="1" applyFill="1" applyBorder="1" applyAlignment="1" applyProtection="1">
      <alignment horizontal="left"/>
      <protection locked="0"/>
    </xf>
    <xf numFmtId="168" fontId="20" fillId="2" borderId="25" xfId="0" applyNumberFormat="1" applyFont="1" applyFill="1" applyBorder="1" applyAlignment="1" applyProtection="1">
      <alignment horizontal="center"/>
      <protection locked="0"/>
    </xf>
    <xf numFmtId="0" fontId="20" fillId="2" borderId="25" xfId="0" applyFont="1" applyFill="1" applyBorder="1" applyAlignment="1" applyProtection="1">
      <alignment horizontal="center"/>
      <protection locked="0"/>
    </xf>
    <xf numFmtId="2" fontId="20" fillId="2" borderId="25" xfId="0" applyNumberFormat="1" applyFont="1" applyFill="1" applyBorder="1" applyAlignment="1" applyProtection="1">
      <alignment horizontal="center"/>
      <protection locked="0"/>
    </xf>
    <xf numFmtId="166" fontId="20" fillId="2" borderId="25" xfId="0" applyNumberFormat="1" applyFont="1" applyFill="1" applyBorder="1" applyAlignment="1" applyProtection="1">
      <alignment horizontal="center"/>
      <protection locked="0"/>
    </xf>
    <xf numFmtId="49" fontId="40" fillId="2" borderId="25" xfId="0" applyNumberFormat="1" applyFont="1" applyFill="1" applyBorder="1" applyAlignment="1" applyProtection="1">
      <alignment horizontal="left"/>
      <protection locked="0"/>
    </xf>
    <xf numFmtId="2" fontId="20" fillId="8" borderId="23" xfId="0" applyNumberFormat="1" applyFont="1" applyFill="1" applyBorder="1" applyAlignment="1" applyProtection="1">
      <alignment horizontal="center"/>
      <protection locked="0"/>
    </xf>
    <xf numFmtId="2" fontId="38" fillId="2" borderId="19" xfId="0" applyNumberFormat="1" applyFont="1" applyFill="1" applyBorder="1" applyAlignment="1" applyProtection="1">
      <alignment horizontal="center"/>
      <protection locked="0"/>
    </xf>
    <xf numFmtId="0" fontId="44" fillId="4" borderId="3" xfId="0" applyFont="1" applyFill="1" applyBorder="1" applyAlignment="1">
      <alignment horizontal="center" vertical="center" wrapText="1"/>
    </xf>
    <xf numFmtId="166" fontId="44" fillId="4" borderId="3" xfId="0" applyNumberFormat="1" applyFont="1" applyFill="1" applyBorder="1" applyAlignment="1">
      <alignment horizontal="center" vertical="center" wrapText="1"/>
    </xf>
    <xf numFmtId="49" fontId="39" fillId="8" borderId="33" xfId="0" applyNumberFormat="1" applyFont="1" applyFill="1" applyBorder="1" applyAlignment="1" applyProtection="1">
      <alignment horizontal="left" vertical="top" wrapText="1"/>
      <protection locked="0"/>
    </xf>
    <xf numFmtId="49" fontId="39" fillId="2" borderId="31" xfId="0" applyNumberFormat="1" applyFont="1" applyFill="1" applyBorder="1" applyAlignment="1" applyProtection="1">
      <alignment horizontal="left" vertical="top" wrapText="1"/>
      <protection locked="0"/>
    </xf>
    <xf numFmtId="49" fontId="39" fillId="8" borderId="31" xfId="0" applyNumberFormat="1" applyFont="1" applyFill="1" applyBorder="1" applyAlignment="1" applyProtection="1">
      <alignment horizontal="left" vertical="top" wrapText="1"/>
      <protection locked="0"/>
    </xf>
    <xf numFmtId="49" fontId="39" fillId="2" borderId="20" xfId="0" applyNumberFormat="1" applyFont="1" applyFill="1" applyBorder="1" applyAlignment="1" applyProtection="1">
      <alignment horizontal="left" vertical="top" wrapText="1"/>
      <protection locked="0"/>
    </xf>
    <xf numFmtId="49" fontId="39" fillId="8" borderId="20" xfId="0" applyNumberFormat="1" applyFont="1" applyFill="1" applyBorder="1" applyAlignment="1" applyProtection="1">
      <alignment horizontal="left" vertical="top" wrapText="1"/>
      <protection locked="0"/>
    </xf>
    <xf numFmtId="49" fontId="39" fillId="2" borderId="26" xfId="0" applyNumberFormat="1" applyFont="1" applyFill="1" applyBorder="1" applyAlignment="1" applyProtection="1">
      <alignment horizontal="left" vertical="top" wrapText="1"/>
      <protection locked="0"/>
    </xf>
    <xf numFmtId="0" fontId="29" fillId="7" borderId="25" xfId="0" applyFont="1" applyFill="1" applyBorder="1" applyAlignment="1">
      <alignment horizontal="center" vertical="center" wrapText="1"/>
    </xf>
    <xf numFmtId="10" fontId="29" fillId="7" borderId="25" xfId="0" applyNumberFormat="1" applyFont="1" applyFill="1" applyBorder="1" applyAlignment="1">
      <alignment horizontal="center" vertical="center" wrapText="1"/>
    </xf>
    <xf numFmtId="2" fontId="29" fillId="7" borderId="25" xfId="0" applyNumberFormat="1" applyFont="1" applyFill="1" applyBorder="1" applyAlignment="1">
      <alignment horizontal="center" vertical="center" wrapText="1"/>
    </xf>
    <xf numFmtId="0" fontId="29" fillId="7" borderId="25" xfId="0" applyFont="1" applyFill="1" applyBorder="1" applyAlignment="1">
      <alignment horizontal="left" vertical="center" wrapText="1"/>
    </xf>
    <xf numFmtId="0" fontId="29" fillId="7" borderId="26" xfId="0" applyFont="1" applyFill="1" applyBorder="1" applyAlignment="1">
      <alignment horizontal="left" vertical="center" wrapText="1"/>
    </xf>
    <xf numFmtId="0" fontId="46" fillId="0" borderId="0" xfId="0" applyFont="1" applyAlignment="1">
      <alignment horizontal="right" vertical="center"/>
    </xf>
    <xf numFmtId="2" fontId="47" fillId="4" borderId="51" xfId="0" applyNumberFormat="1" applyFont="1" applyFill="1" applyBorder="1" applyAlignment="1" applyProtection="1">
      <alignment horizontal="center" vertical="center" wrapText="1"/>
      <protection locked="0"/>
    </xf>
    <xf numFmtId="166" fontId="47" fillId="4" borderId="51" xfId="0" applyNumberFormat="1" applyFont="1" applyFill="1" applyBorder="1" applyAlignment="1" applyProtection="1">
      <alignment horizontal="center" vertical="center" wrapText="1"/>
      <protection locked="0"/>
    </xf>
    <xf numFmtId="2" fontId="47" fillId="4" borderId="47" xfId="0" applyNumberFormat="1" applyFont="1" applyFill="1" applyBorder="1" applyAlignment="1" applyProtection="1">
      <alignment horizontal="center" vertical="center" wrapText="1"/>
      <protection locked="0"/>
    </xf>
    <xf numFmtId="166" fontId="47" fillId="4" borderId="47" xfId="0" applyNumberFormat="1" applyFont="1" applyFill="1" applyBorder="1" applyAlignment="1" applyProtection="1">
      <alignment horizontal="center" vertical="center" wrapText="1"/>
      <protection locked="0"/>
    </xf>
    <xf numFmtId="2" fontId="47" fillId="2" borderId="51" xfId="0" applyNumberFormat="1" applyFont="1" applyFill="1" applyBorder="1" applyAlignment="1" applyProtection="1">
      <alignment horizontal="center" vertical="center" wrapText="1"/>
      <protection locked="0"/>
    </xf>
    <xf numFmtId="166" fontId="47" fillId="2" borderId="51" xfId="0" applyNumberFormat="1" applyFont="1" applyFill="1" applyBorder="1" applyAlignment="1" applyProtection="1">
      <alignment horizontal="center" vertical="center" wrapText="1"/>
      <protection locked="0"/>
    </xf>
    <xf numFmtId="2" fontId="47" fillId="2" borderId="47" xfId="0" applyNumberFormat="1" applyFont="1" applyFill="1" applyBorder="1" applyAlignment="1" applyProtection="1">
      <alignment horizontal="center" vertical="center" wrapText="1"/>
      <protection locked="0"/>
    </xf>
    <xf numFmtId="166" fontId="47" fillId="2" borderId="47" xfId="0" applyNumberFormat="1" applyFont="1" applyFill="1" applyBorder="1" applyAlignment="1" applyProtection="1">
      <alignment horizontal="center" vertical="center" wrapText="1"/>
      <protection locked="0"/>
    </xf>
    <xf numFmtId="2" fontId="47" fillId="7" borderId="51" xfId="0" applyNumberFormat="1" applyFont="1" applyFill="1" applyBorder="1" applyAlignment="1" applyProtection="1">
      <alignment horizontal="center" vertical="center" wrapText="1"/>
      <protection locked="0"/>
    </xf>
    <xf numFmtId="166" fontId="47" fillId="7" borderId="51" xfId="0" applyNumberFormat="1" applyFont="1" applyFill="1" applyBorder="1" applyAlignment="1" applyProtection="1">
      <alignment horizontal="center" vertical="center" wrapText="1"/>
      <protection locked="0"/>
    </xf>
    <xf numFmtId="2" fontId="47" fillId="7" borderId="47" xfId="0" applyNumberFormat="1" applyFont="1" applyFill="1" applyBorder="1" applyAlignment="1" applyProtection="1">
      <alignment horizontal="center" vertical="center" wrapText="1"/>
      <protection locked="0"/>
    </xf>
    <xf numFmtId="166" fontId="47" fillId="7" borderId="47" xfId="0" applyNumberFormat="1" applyFont="1" applyFill="1" applyBorder="1" applyAlignment="1" applyProtection="1">
      <alignment horizontal="center" vertical="center" wrapText="1"/>
      <protection locked="0"/>
    </xf>
    <xf numFmtId="2" fontId="47" fillId="7" borderId="25" xfId="0" applyNumberFormat="1" applyFont="1" applyFill="1" applyBorder="1" applyAlignment="1" applyProtection="1">
      <alignment horizontal="center" vertical="center" wrapText="1"/>
      <protection locked="0"/>
    </xf>
    <xf numFmtId="166" fontId="47" fillId="7" borderId="25" xfId="0" applyNumberFormat="1" applyFont="1" applyFill="1" applyBorder="1" applyAlignment="1" applyProtection="1">
      <alignment horizontal="center" vertical="center" wrapText="1"/>
      <protection locked="0"/>
    </xf>
    <xf numFmtId="0" fontId="38" fillId="8" borderId="23" xfId="0" applyFont="1" applyFill="1" applyBorder="1" applyAlignment="1" applyProtection="1">
      <alignment horizontal="left"/>
      <protection locked="0"/>
    </xf>
    <xf numFmtId="0" fontId="38" fillId="2" borderId="19" xfId="0" applyFont="1" applyFill="1" applyBorder="1" applyAlignment="1" applyProtection="1">
      <alignment horizontal="left"/>
      <protection locked="0"/>
    </xf>
    <xf numFmtId="0" fontId="38" fillId="8" borderId="19" xfId="0" applyFont="1" applyFill="1" applyBorder="1" applyAlignment="1" applyProtection="1">
      <alignment horizontal="left"/>
      <protection locked="0"/>
    </xf>
    <xf numFmtId="0" fontId="38" fillId="2" borderId="25" xfId="0" applyFont="1" applyFill="1" applyBorder="1" applyAlignment="1" applyProtection="1">
      <alignment horizontal="left"/>
      <protection locked="0"/>
    </xf>
    <xf numFmtId="0" fontId="57" fillId="0" borderId="0" xfId="0" applyFont="1"/>
    <xf numFmtId="2" fontId="38" fillId="8" borderId="19" xfId="0" applyNumberFormat="1" applyFont="1" applyFill="1" applyBorder="1" applyAlignment="1" applyProtection="1">
      <alignment horizontal="center"/>
      <protection locked="0"/>
    </xf>
    <xf numFmtId="0" fontId="45" fillId="0" borderId="0" xfId="0" applyFont="1" applyAlignment="1">
      <alignment horizontal="right" vertical="center"/>
    </xf>
    <xf numFmtId="0" fontId="8" fillId="0" borderId="0" xfId="0" applyFont="1" applyAlignment="1">
      <alignment vertical="center"/>
    </xf>
    <xf numFmtId="0" fontId="0" fillId="0" borderId="0" xfId="0" applyAlignment="1">
      <alignment vertical="center"/>
    </xf>
    <xf numFmtId="0" fontId="33" fillId="7" borderId="8" xfId="0" applyFont="1" applyFill="1" applyBorder="1" applyAlignment="1">
      <alignment horizontal="center" vertical="center" wrapText="1"/>
    </xf>
    <xf numFmtId="0" fontId="33" fillId="7" borderId="22" xfId="0" applyFont="1" applyFill="1" applyBorder="1" applyAlignment="1">
      <alignment horizontal="center" vertical="center" wrapText="1"/>
    </xf>
    <xf numFmtId="0" fontId="33" fillId="7" borderId="23" xfId="0" applyFont="1" applyFill="1" applyBorder="1" applyAlignment="1">
      <alignment horizontal="center" vertical="center" wrapText="1"/>
    </xf>
    <xf numFmtId="0" fontId="33" fillId="7" borderId="33" xfId="0" applyFont="1" applyFill="1" applyBorder="1" applyAlignment="1">
      <alignment horizontal="center" vertical="center" wrapText="1"/>
    </xf>
    <xf numFmtId="10" fontId="28" fillId="7" borderId="19" xfId="0" applyNumberFormat="1" applyFont="1" applyFill="1" applyBorder="1" applyAlignment="1">
      <alignment horizontal="center" vertical="center"/>
    </xf>
    <xf numFmtId="10" fontId="28" fillId="7" borderId="25" xfId="0" applyNumberFormat="1" applyFont="1" applyFill="1" applyBorder="1" applyAlignment="1">
      <alignment horizontal="center" vertical="center"/>
    </xf>
    <xf numFmtId="0" fontId="14" fillId="0" borderId="0" xfId="0" applyFont="1" applyAlignment="1">
      <alignment vertical="center" wrapText="1"/>
    </xf>
    <xf numFmtId="166" fontId="28" fillId="7" borderId="19" xfId="0" applyNumberFormat="1" applyFont="1" applyFill="1" applyBorder="1" applyAlignment="1">
      <alignment horizontal="center" vertical="center"/>
    </xf>
    <xf numFmtId="0" fontId="10" fillId="0" borderId="0" xfId="0" applyFont="1" applyAlignment="1">
      <alignment vertical="center" wrapText="1"/>
    </xf>
    <xf numFmtId="166" fontId="28" fillId="7" borderId="25" xfId="0" applyNumberFormat="1" applyFont="1" applyFill="1" applyBorder="1" applyAlignment="1">
      <alignment horizontal="center" vertical="center"/>
    </xf>
    <xf numFmtId="0" fontId="15" fillId="0" borderId="0" xfId="5" applyFont="1" applyAlignment="1">
      <alignment vertical="center" wrapText="1"/>
    </xf>
    <xf numFmtId="0" fontId="33" fillId="7" borderId="22" xfId="5" applyFont="1" applyFill="1" applyBorder="1" applyAlignment="1">
      <alignment horizontal="center" vertical="center" wrapText="1"/>
    </xf>
    <xf numFmtId="0" fontId="33" fillId="7" borderId="33" xfId="5" applyFont="1" applyFill="1" applyBorder="1" applyAlignment="1">
      <alignment horizontal="center" vertical="center" wrapText="1"/>
    </xf>
    <xf numFmtId="0" fontId="33" fillId="7" borderId="21" xfId="5" applyFont="1" applyFill="1" applyBorder="1" applyAlignment="1">
      <alignment horizontal="left" vertical="center" wrapText="1"/>
    </xf>
    <xf numFmtId="2" fontId="29" fillId="2" borderId="31" xfId="5" applyNumberFormat="1" applyFont="1" applyFill="1" applyBorder="1" applyAlignment="1">
      <alignment horizontal="center" vertical="center"/>
    </xf>
    <xf numFmtId="0" fontId="33" fillId="7" borderId="24" xfId="5" applyFont="1" applyFill="1" applyBorder="1" applyAlignment="1">
      <alignment horizontal="left" vertical="center" wrapText="1"/>
    </xf>
    <xf numFmtId="2" fontId="29" fillId="2" borderId="26" xfId="5" applyNumberFormat="1" applyFont="1" applyFill="1" applyBorder="1" applyAlignment="1">
      <alignment horizontal="center" vertical="center"/>
    </xf>
    <xf numFmtId="0" fontId="1" fillId="0" borderId="0" xfId="5" applyAlignment="1">
      <alignment vertical="center"/>
    </xf>
    <xf numFmtId="0" fontId="33" fillId="7" borderId="8" xfId="0" applyFont="1" applyFill="1" applyBorder="1" applyAlignment="1">
      <alignment horizontal="left" vertical="center"/>
    </xf>
    <xf numFmtId="2" fontId="33" fillId="7" borderId="21" xfId="0" applyNumberFormat="1" applyFont="1" applyFill="1" applyBorder="1" applyAlignment="1">
      <alignment horizontal="left" vertical="center"/>
    </xf>
    <xf numFmtId="2" fontId="33" fillId="7" borderId="24" xfId="0" applyNumberFormat="1" applyFont="1" applyFill="1" applyBorder="1" applyAlignment="1">
      <alignment horizontal="left" vertical="center"/>
    </xf>
    <xf numFmtId="0" fontId="33" fillId="7" borderId="44" xfId="0" applyFont="1" applyFill="1" applyBorder="1" applyAlignment="1">
      <alignment horizontal="left" vertical="center" wrapText="1"/>
    </xf>
    <xf numFmtId="0" fontId="26" fillId="7" borderId="46" xfId="0" applyFont="1" applyFill="1" applyBorder="1" applyAlignment="1">
      <alignment horizontal="center" vertical="center"/>
    </xf>
    <xf numFmtId="2" fontId="26" fillId="7" borderId="47" xfId="0" applyNumberFormat="1" applyFont="1" applyFill="1" applyBorder="1" applyAlignment="1">
      <alignment horizontal="center" vertical="center"/>
    </xf>
    <xf numFmtId="0" fontId="26" fillId="7" borderId="47" xfId="0" applyFont="1" applyFill="1" applyBorder="1" applyAlignment="1">
      <alignment horizontal="center" vertical="center"/>
    </xf>
    <xf numFmtId="0" fontId="26" fillId="7" borderId="48" xfId="0" applyFont="1" applyFill="1" applyBorder="1" applyAlignment="1">
      <alignment horizontal="center" vertical="center"/>
    </xf>
    <xf numFmtId="0" fontId="33" fillId="7" borderId="44" xfId="0" applyFont="1" applyFill="1" applyBorder="1" applyAlignment="1">
      <alignment horizontal="left" vertical="center"/>
    </xf>
    <xf numFmtId="0" fontId="33" fillId="7" borderId="22" xfId="0" applyFont="1" applyFill="1" applyBorder="1" applyAlignment="1">
      <alignment horizontal="left" vertical="center"/>
    </xf>
    <xf numFmtId="49" fontId="39" fillId="8" borderId="63" xfId="0" applyNumberFormat="1" applyFont="1" applyFill="1" applyBorder="1" applyAlignment="1" applyProtection="1">
      <alignment horizontal="left" vertical="top" wrapText="1"/>
      <protection locked="0"/>
    </xf>
    <xf numFmtId="49" fontId="40" fillId="8" borderId="20" xfId="0" applyNumberFormat="1" applyFont="1" applyFill="1" applyBorder="1" applyAlignment="1" applyProtection="1">
      <alignment horizontal="left"/>
      <protection locked="0"/>
    </xf>
    <xf numFmtId="49" fontId="40" fillId="2" borderId="20" xfId="0" applyNumberFormat="1" applyFont="1" applyFill="1" applyBorder="1" applyAlignment="1" applyProtection="1">
      <alignment horizontal="left"/>
      <protection locked="0"/>
    </xf>
    <xf numFmtId="49" fontId="39" fillId="2" borderId="65" xfId="0" applyNumberFormat="1" applyFont="1" applyFill="1" applyBorder="1" applyAlignment="1" applyProtection="1">
      <alignment horizontal="left" vertical="top" wrapText="1"/>
      <protection locked="0"/>
    </xf>
    <xf numFmtId="0" fontId="17" fillId="7" borderId="19" xfId="0" applyFont="1" applyFill="1" applyBorder="1" applyAlignment="1">
      <alignment horizontal="left" vertical="center" wrapText="1"/>
    </xf>
    <xf numFmtId="0" fontId="17" fillId="7" borderId="31" xfId="0" applyFont="1" applyFill="1" applyBorder="1" applyAlignment="1">
      <alignment horizontal="left" vertical="center" wrapText="1"/>
    </xf>
    <xf numFmtId="0" fontId="26" fillId="7" borderId="19" xfId="0" applyFont="1" applyFill="1" applyBorder="1" applyAlignment="1">
      <alignment horizontal="center" vertical="center" wrapText="1"/>
    </xf>
    <xf numFmtId="0" fontId="17" fillId="7" borderId="25" xfId="0" applyFont="1" applyFill="1" applyBorder="1" applyAlignment="1">
      <alignment horizontal="left" vertical="center" wrapText="1"/>
    </xf>
    <xf numFmtId="0" fontId="17" fillId="7" borderId="26" xfId="0" applyFont="1" applyFill="1" applyBorder="1" applyAlignment="1">
      <alignment horizontal="left" vertical="center" wrapText="1"/>
    </xf>
    <xf numFmtId="0" fontId="26" fillId="7" borderId="25" xfId="0" applyFont="1" applyFill="1" applyBorder="1" applyAlignment="1">
      <alignment horizontal="center" vertical="center" wrapText="1"/>
    </xf>
    <xf numFmtId="0" fontId="25" fillId="5" borderId="0" xfId="0" applyFont="1" applyFill="1" applyAlignment="1">
      <alignment horizontal="center" vertical="center" wrapText="1"/>
    </xf>
    <xf numFmtId="0" fontId="27" fillId="4" borderId="0" xfId="0" applyFont="1" applyFill="1" applyAlignment="1">
      <alignment horizontal="left" vertical="center" wrapText="1"/>
    </xf>
    <xf numFmtId="0" fontId="27" fillId="4" borderId="13" xfId="0" applyFont="1" applyFill="1" applyBorder="1" applyAlignment="1">
      <alignment horizontal="left" vertical="center" wrapText="1"/>
    </xf>
    <xf numFmtId="0" fontId="26" fillId="7" borderId="23" xfId="0" applyFont="1" applyFill="1" applyBorder="1" applyAlignment="1">
      <alignment horizontal="left" vertical="center" wrapText="1"/>
    </xf>
    <xf numFmtId="0" fontId="26" fillId="7" borderId="33" xfId="0" applyFont="1" applyFill="1" applyBorder="1" applyAlignment="1">
      <alignment horizontal="left" vertical="center" wrapText="1"/>
    </xf>
    <xf numFmtId="0" fontId="26" fillId="7" borderId="25" xfId="0" applyFont="1" applyFill="1" applyBorder="1" applyAlignment="1">
      <alignment horizontal="left" vertical="center" wrapText="1"/>
    </xf>
    <xf numFmtId="0" fontId="26" fillId="7" borderId="26" xfId="0" applyFont="1" applyFill="1" applyBorder="1" applyAlignment="1">
      <alignment horizontal="left" vertical="center" wrapText="1"/>
    </xf>
    <xf numFmtId="0" fontId="27" fillId="4" borderId="22" xfId="0" applyFont="1" applyFill="1" applyBorder="1" applyAlignment="1">
      <alignment horizontal="center" vertical="center" wrapText="1"/>
    </xf>
    <xf numFmtId="0" fontId="27" fillId="4" borderId="24" xfId="0" applyFont="1" applyFill="1" applyBorder="1" applyAlignment="1">
      <alignment horizontal="center" vertical="center" wrapText="1"/>
    </xf>
    <xf numFmtId="0" fontId="61" fillId="10" borderId="23" xfId="0" applyFont="1" applyFill="1" applyBorder="1" applyAlignment="1">
      <alignment horizontal="center" vertical="center"/>
    </xf>
    <xf numFmtId="0" fontId="27" fillId="4" borderId="23" xfId="0" applyFont="1" applyFill="1" applyBorder="1" applyAlignment="1">
      <alignment horizontal="center" vertical="center" wrapText="1"/>
    </xf>
    <xf numFmtId="0" fontId="27" fillId="4" borderId="33" xfId="0" applyFont="1" applyFill="1" applyBorder="1" applyAlignment="1">
      <alignment horizontal="center" vertical="center" wrapText="1"/>
    </xf>
    <xf numFmtId="0" fontId="26" fillId="7" borderId="19" xfId="0" applyFont="1" applyFill="1" applyBorder="1" applyAlignment="1">
      <alignment horizontal="left" vertical="center" wrapText="1"/>
    </xf>
    <xf numFmtId="0" fontId="26" fillId="7" borderId="31" xfId="0" applyFont="1" applyFill="1" applyBorder="1" applyAlignment="1">
      <alignment horizontal="left" vertical="center" wrapText="1"/>
    </xf>
    <xf numFmtId="0" fontId="60" fillId="7" borderId="49" xfId="0" applyFont="1" applyFill="1" applyBorder="1" applyAlignment="1">
      <alignment horizontal="left" vertical="center"/>
    </xf>
    <xf numFmtId="0" fontId="60" fillId="7" borderId="45" xfId="0" applyFont="1" applyFill="1" applyBorder="1" applyAlignment="1">
      <alignment horizontal="left" vertical="center"/>
    </xf>
    <xf numFmtId="0" fontId="27" fillId="4" borderId="22" xfId="0" applyFont="1" applyFill="1" applyBorder="1" applyAlignment="1">
      <alignment horizontal="left" vertical="center" wrapText="1"/>
    </xf>
    <xf numFmtId="0" fontId="27" fillId="4" borderId="23" xfId="0" applyFont="1" applyFill="1" applyBorder="1" applyAlignment="1">
      <alignment horizontal="left" vertical="center" wrapText="1"/>
    </xf>
    <xf numFmtId="0" fontId="27" fillId="4" borderId="33" xfId="0" applyFont="1" applyFill="1" applyBorder="1" applyAlignment="1">
      <alignment horizontal="left" vertical="center" wrapText="1"/>
    </xf>
    <xf numFmtId="0" fontId="55" fillId="0" borderId="0" xfId="0" applyFont="1"/>
    <xf numFmtId="0" fontId="58" fillId="0" borderId="0" xfId="0" applyFont="1"/>
    <xf numFmtId="0" fontId="56" fillId="0" borderId="0" xfId="0" applyFont="1"/>
    <xf numFmtId="0" fontId="59" fillId="0" borderId="0" xfId="0" applyFont="1"/>
    <xf numFmtId="0" fontId="37" fillId="5" borderId="0" xfId="0" applyFont="1" applyFill="1" applyAlignment="1">
      <alignment horizontal="center" vertical="center" wrapText="1"/>
    </xf>
    <xf numFmtId="0" fontId="46" fillId="0" borderId="0" xfId="0" applyFont="1" applyAlignment="1">
      <alignment horizontal="left" vertical="center"/>
    </xf>
    <xf numFmtId="0" fontId="25" fillId="5" borderId="1" xfId="0" applyFont="1" applyFill="1" applyBorder="1" applyAlignment="1">
      <alignment horizontal="center" vertical="center" wrapText="1"/>
    </xf>
    <xf numFmtId="0" fontId="25" fillId="5" borderId="3" xfId="0" applyFont="1" applyFill="1" applyBorder="1" applyAlignment="1">
      <alignment horizontal="center" vertical="center" wrapText="1"/>
    </xf>
    <xf numFmtId="0" fontId="34" fillId="7" borderId="22" xfId="0" applyFont="1" applyFill="1" applyBorder="1" applyAlignment="1">
      <alignment horizontal="center" vertical="center" wrapText="1"/>
    </xf>
    <xf numFmtId="0" fontId="34" fillId="7" borderId="33" xfId="0" applyFont="1" applyFill="1" applyBorder="1" applyAlignment="1">
      <alignment horizontal="center" vertical="center" wrapText="1"/>
    </xf>
    <xf numFmtId="0" fontId="46" fillId="0" borderId="0" xfId="0" applyFont="1" applyAlignment="1">
      <alignment horizontal="right" vertical="center"/>
    </xf>
    <xf numFmtId="0" fontId="25" fillId="5" borderId="5" xfId="0" applyFont="1" applyFill="1" applyBorder="1" applyAlignment="1">
      <alignment horizontal="center" vertical="center" wrapText="1"/>
    </xf>
    <xf numFmtId="0" fontId="25" fillId="5" borderId="7" xfId="0" applyFont="1" applyFill="1" applyBorder="1" applyAlignment="1">
      <alignment horizontal="center" vertical="center" wrapText="1"/>
    </xf>
    <xf numFmtId="0" fontId="25" fillId="5" borderId="4" xfId="0" applyFont="1" applyFill="1" applyBorder="1" applyAlignment="1">
      <alignment horizontal="center" vertical="center" wrapText="1"/>
    </xf>
    <xf numFmtId="0" fontId="25" fillId="5" borderId="61" xfId="0" applyFont="1" applyFill="1" applyBorder="1" applyAlignment="1">
      <alignment horizontal="center" vertical="center" wrapText="1"/>
    </xf>
    <xf numFmtId="0" fontId="25" fillId="5" borderId="62" xfId="0" applyFont="1" applyFill="1" applyBorder="1" applyAlignment="1">
      <alignment horizontal="center" vertical="center" wrapText="1"/>
    </xf>
    <xf numFmtId="2" fontId="20" fillId="2" borderId="19" xfId="0" applyNumberFormat="1" applyFont="1" applyFill="1" applyBorder="1" applyAlignment="1" applyProtection="1">
      <alignment horizontal="center" vertical="center"/>
      <protection locked="0"/>
    </xf>
    <xf numFmtId="2" fontId="20" fillId="2" borderId="31" xfId="0" applyNumberFormat="1" applyFont="1" applyFill="1" applyBorder="1" applyAlignment="1" applyProtection="1">
      <alignment horizontal="center" vertical="center"/>
      <protection locked="0"/>
    </xf>
    <xf numFmtId="0" fontId="30" fillId="5" borderId="5" xfId="0" applyFont="1" applyFill="1" applyBorder="1" applyAlignment="1" applyProtection="1">
      <alignment horizontal="center" vertical="center" wrapText="1"/>
    </xf>
    <xf numFmtId="0" fontId="30" fillId="5" borderId="7" xfId="0" applyFont="1" applyFill="1" applyBorder="1" applyAlignment="1" applyProtection="1">
      <alignment horizontal="center" vertical="center" wrapText="1"/>
    </xf>
    <xf numFmtId="0" fontId="30" fillId="5" borderId="4" xfId="0" applyFont="1" applyFill="1" applyBorder="1" applyAlignment="1" applyProtection="1">
      <alignment horizontal="center" vertical="center" wrapText="1"/>
    </xf>
    <xf numFmtId="0" fontId="7" fillId="0" borderId="0" xfId="0" applyFont="1" applyAlignment="1" applyProtection="1">
      <alignment vertical="center"/>
    </xf>
    <xf numFmtId="0" fontId="46" fillId="0" borderId="0" xfId="0" applyFont="1" applyAlignment="1" applyProtection="1">
      <alignment horizontal="right" vertical="center"/>
    </xf>
    <xf numFmtId="0" fontId="3" fillId="0" borderId="0" xfId="0" applyFont="1" applyProtection="1"/>
    <xf numFmtId="0" fontId="30" fillId="5" borderId="55" xfId="0" applyFont="1" applyFill="1" applyBorder="1" applyAlignment="1" applyProtection="1">
      <alignment horizontal="center" vertical="center" wrapText="1"/>
    </xf>
    <xf numFmtId="0" fontId="30" fillId="5" borderId="16" xfId="0" applyFont="1" applyFill="1" applyBorder="1" applyAlignment="1" applyProtection="1">
      <alignment horizontal="center" vertical="center" wrapText="1"/>
    </xf>
    <xf numFmtId="0" fontId="30" fillId="5" borderId="54" xfId="0" applyFont="1" applyFill="1" applyBorder="1" applyAlignment="1" applyProtection="1">
      <alignment horizontal="center" vertical="center" wrapText="1"/>
    </xf>
    <xf numFmtId="0" fontId="31" fillId="4" borderId="22" xfId="0" applyFont="1" applyFill="1" applyBorder="1" applyAlignment="1" applyProtection="1">
      <alignment horizontal="center" vertical="center" wrapText="1"/>
    </xf>
    <xf numFmtId="0" fontId="31" fillId="4" borderId="23" xfId="0" applyFont="1" applyFill="1" applyBorder="1" applyAlignment="1" applyProtection="1">
      <alignment horizontal="center" vertical="center" wrapText="1"/>
    </xf>
    <xf numFmtId="0" fontId="31" fillId="4" borderId="33" xfId="0" applyFont="1" applyFill="1" applyBorder="1" applyAlignment="1" applyProtection="1">
      <alignment horizontal="center" vertical="center" wrapText="1"/>
    </xf>
    <xf numFmtId="0" fontId="31" fillId="4" borderId="21" xfId="0" applyFont="1" applyFill="1" applyBorder="1" applyAlignment="1" applyProtection="1">
      <alignment horizontal="center" vertical="center" wrapText="1"/>
    </xf>
    <xf numFmtId="0" fontId="31" fillId="4" borderId="19" xfId="0" applyFont="1" applyFill="1" applyBorder="1" applyAlignment="1" applyProtection="1">
      <alignment horizontal="center" vertical="center" wrapText="1"/>
    </xf>
    <xf numFmtId="0" fontId="31" fillId="4" borderId="31" xfId="0" applyFont="1" applyFill="1" applyBorder="1" applyAlignment="1" applyProtection="1">
      <alignment horizontal="center" vertical="center" wrapText="1"/>
    </xf>
    <xf numFmtId="0" fontId="31" fillId="4" borderId="19" xfId="0" applyFont="1" applyFill="1" applyBorder="1" applyAlignment="1" applyProtection="1">
      <alignment horizontal="center" vertical="center" wrapText="1"/>
    </xf>
    <xf numFmtId="0" fontId="32" fillId="2" borderId="21" xfId="0" applyFont="1" applyFill="1" applyBorder="1" applyAlignment="1" applyProtection="1">
      <alignment horizontal="center" vertical="center"/>
    </xf>
    <xf numFmtId="166" fontId="32" fillId="2" borderId="19" xfId="0" applyNumberFormat="1" applyFont="1" applyFill="1" applyBorder="1" applyAlignment="1" applyProtection="1">
      <alignment horizontal="center" vertical="center"/>
    </xf>
    <xf numFmtId="10" fontId="32" fillId="2" borderId="19" xfId="0" applyNumberFormat="1" applyFont="1" applyFill="1" applyBorder="1" applyAlignment="1" applyProtection="1">
      <alignment horizontal="center" vertical="center"/>
    </xf>
    <xf numFmtId="4" fontId="32" fillId="2" borderId="19" xfId="0" applyNumberFormat="1" applyFont="1" applyFill="1" applyBorder="1" applyAlignment="1" applyProtection="1">
      <alignment horizontal="center" vertical="center"/>
    </xf>
    <xf numFmtId="10" fontId="32" fillId="2" borderId="31" xfId="0" applyNumberFormat="1" applyFont="1" applyFill="1" applyBorder="1" applyAlignment="1" applyProtection="1">
      <alignment horizontal="center" vertical="center"/>
    </xf>
    <xf numFmtId="0" fontId="32" fillId="8" borderId="21" xfId="0" applyFont="1" applyFill="1" applyBorder="1" applyAlignment="1" applyProtection="1">
      <alignment horizontal="center" vertical="center"/>
    </xf>
    <xf numFmtId="166" fontId="32" fillId="8" borderId="19" xfId="0" applyNumberFormat="1" applyFont="1" applyFill="1" applyBorder="1" applyAlignment="1" applyProtection="1">
      <alignment horizontal="center" vertical="center"/>
    </xf>
    <xf numFmtId="10" fontId="32" fillId="8" borderId="19" xfId="0" applyNumberFormat="1" applyFont="1" applyFill="1" applyBorder="1" applyAlignment="1" applyProtection="1">
      <alignment horizontal="center" vertical="center"/>
    </xf>
    <xf numFmtId="4" fontId="32" fillId="8" borderId="19" xfId="0" applyNumberFormat="1" applyFont="1" applyFill="1" applyBorder="1" applyAlignment="1" applyProtection="1">
      <alignment horizontal="center" vertical="center"/>
    </xf>
    <xf numFmtId="10" fontId="32" fillId="8" borderId="31" xfId="0" applyNumberFormat="1" applyFont="1" applyFill="1" applyBorder="1" applyAlignment="1" applyProtection="1">
      <alignment horizontal="center" vertical="center"/>
    </xf>
    <xf numFmtId="0" fontId="31" fillId="7" borderId="21" xfId="0" applyFont="1" applyFill="1" applyBorder="1" applyAlignment="1" applyProtection="1">
      <alignment horizontal="center" vertical="center"/>
    </xf>
    <xf numFmtId="166" fontId="31" fillId="7" borderId="19" xfId="0" applyNumberFormat="1" applyFont="1" applyFill="1" applyBorder="1" applyAlignment="1" applyProtection="1">
      <alignment horizontal="center" vertical="center"/>
    </xf>
    <xf numFmtId="10" fontId="31" fillId="7" borderId="19" xfId="0" applyNumberFormat="1" applyFont="1" applyFill="1" applyBorder="1" applyAlignment="1" applyProtection="1">
      <alignment horizontal="center" vertical="center"/>
    </xf>
    <xf numFmtId="4" fontId="31" fillId="7" borderId="19" xfId="0" applyNumberFormat="1" applyFont="1" applyFill="1" applyBorder="1" applyAlignment="1" applyProtection="1">
      <alignment horizontal="center" vertical="center"/>
    </xf>
    <xf numFmtId="10" fontId="31" fillId="7" borderId="31" xfId="0" applyNumberFormat="1" applyFont="1" applyFill="1" applyBorder="1" applyAlignment="1" applyProtection="1">
      <alignment horizontal="center" vertical="center"/>
    </xf>
    <xf numFmtId="0" fontId="31" fillId="7" borderId="24" xfId="0" applyFont="1" applyFill="1" applyBorder="1" applyAlignment="1" applyProtection="1">
      <alignment horizontal="center" vertical="center"/>
    </xf>
    <xf numFmtId="166" fontId="31" fillId="7" borderId="25" xfId="0" applyNumberFormat="1" applyFont="1" applyFill="1" applyBorder="1" applyAlignment="1" applyProtection="1">
      <alignment horizontal="center" vertical="center"/>
    </xf>
    <xf numFmtId="10" fontId="31" fillId="7" borderId="25" xfId="0" applyNumberFormat="1" applyFont="1" applyFill="1" applyBorder="1" applyAlignment="1" applyProtection="1">
      <alignment horizontal="center" vertical="center"/>
    </xf>
    <xf numFmtId="4" fontId="31" fillId="7" borderId="25" xfId="0" applyNumberFormat="1" applyFont="1" applyFill="1" applyBorder="1" applyAlignment="1" applyProtection="1">
      <alignment horizontal="center" vertical="center"/>
    </xf>
    <xf numFmtId="10" fontId="31" fillId="7" borderId="26" xfId="0" applyNumberFormat="1" applyFont="1" applyFill="1" applyBorder="1" applyAlignment="1" applyProtection="1">
      <alignment horizontal="center" vertical="center"/>
    </xf>
    <xf numFmtId="0" fontId="46" fillId="0" borderId="0" xfId="0" applyFont="1" applyAlignment="1" applyProtection="1">
      <alignment horizontal="left" vertical="center"/>
    </xf>
    <xf numFmtId="0" fontId="12" fillId="2" borderId="0" xfId="0" applyFont="1" applyFill="1" applyProtection="1"/>
    <xf numFmtId="0" fontId="16" fillId="0" borderId="0" xfId="0" applyFont="1" applyAlignment="1" applyProtection="1">
      <alignment horizontal="center" vertical="center" wrapText="1"/>
    </xf>
    <xf numFmtId="0" fontId="22" fillId="5" borderId="12" xfId="0" applyFont="1" applyFill="1" applyBorder="1" applyAlignment="1" applyProtection="1">
      <alignment horizontal="center" vertical="center" wrapText="1"/>
    </xf>
    <xf numFmtId="0" fontId="22" fillId="5" borderId="13" xfId="0" applyFont="1" applyFill="1" applyBorder="1" applyAlignment="1" applyProtection="1">
      <alignment horizontal="center" vertical="center" wrapText="1"/>
    </xf>
    <xf numFmtId="0" fontId="22" fillId="5" borderId="14" xfId="0" applyFont="1" applyFill="1" applyBorder="1" applyAlignment="1" applyProtection="1">
      <alignment horizontal="center" vertical="center" wrapText="1"/>
    </xf>
    <xf numFmtId="0" fontId="23" fillId="6" borderId="10" xfId="0" applyFont="1" applyFill="1" applyBorder="1" applyAlignment="1" applyProtection="1">
      <alignment horizontal="left" vertical="center" wrapText="1"/>
    </xf>
    <xf numFmtId="0" fontId="23" fillId="6" borderId="0" xfId="0" applyFont="1" applyFill="1" applyAlignment="1" applyProtection="1">
      <alignment horizontal="left" vertical="center" wrapText="1"/>
    </xf>
    <xf numFmtId="0" fontId="23" fillId="6" borderId="11" xfId="0" applyFont="1" applyFill="1" applyBorder="1" applyAlignment="1" applyProtection="1">
      <alignment horizontal="left" vertical="center" wrapText="1"/>
    </xf>
    <xf numFmtId="0" fontId="35" fillId="7" borderId="15" xfId="0" applyFont="1" applyFill="1" applyBorder="1" applyAlignment="1" applyProtection="1">
      <alignment horizontal="center" vertical="center" wrapText="1"/>
    </xf>
    <xf numFmtId="0" fontId="35" fillId="7" borderId="16" xfId="0" applyFont="1" applyFill="1" applyBorder="1" applyAlignment="1" applyProtection="1">
      <alignment horizontal="center" vertical="center" wrapText="1"/>
    </xf>
    <xf numFmtId="0" fontId="35" fillId="7" borderId="16" xfId="0" applyFont="1" applyFill="1" applyBorder="1" applyAlignment="1" applyProtection="1">
      <alignment horizontal="center" vertical="center"/>
    </xf>
    <xf numFmtId="0" fontId="35" fillId="7" borderId="17" xfId="0" applyFont="1" applyFill="1" applyBorder="1" applyAlignment="1" applyProtection="1">
      <alignment horizontal="center" vertical="center"/>
    </xf>
    <xf numFmtId="0" fontId="24" fillId="4" borderId="22" xfId="0" applyFont="1" applyFill="1" applyBorder="1" applyAlignment="1" applyProtection="1">
      <alignment horizontal="center" vertical="center"/>
    </xf>
    <xf numFmtId="0" fontId="24" fillId="4" borderId="23" xfId="0" applyFont="1" applyFill="1" applyBorder="1" applyAlignment="1" applyProtection="1">
      <alignment horizontal="center" vertical="center"/>
    </xf>
    <xf numFmtId="0" fontId="24" fillId="4" borderId="29" xfId="0" applyFont="1" applyFill="1" applyBorder="1" applyAlignment="1" applyProtection="1">
      <alignment horizontal="center" vertical="center"/>
    </xf>
    <xf numFmtId="0" fontId="24" fillId="4" borderId="30" xfId="0" applyFont="1" applyFill="1" applyBorder="1" applyAlignment="1" applyProtection="1">
      <alignment horizontal="center" vertical="center"/>
    </xf>
    <xf numFmtId="0" fontId="24" fillId="4" borderId="37" xfId="0" applyFont="1" applyFill="1" applyBorder="1" applyAlignment="1" applyProtection="1">
      <alignment horizontal="center" vertical="center"/>
    </xf>
    <xf numFmtId="0" fontId="24" fillId="4" borderId="38" xfId="0" applyFont="1" applyFill="1" applyBorder="1" applyAlignment="1" applyProtection="1">
      <alignment horizontal="center" vertical="center"/>
    </xf>
    <xf numFmtId="0" fontId="24" fillId="4" borderId="39" xfId="0" applyFont="1" applyFill="1" applyBorder="1" applyAlignment="1" applyProtection="1">
      <alignment horizontal="center" vertical="center"/>
    </xf>
    <xf numFmtId="0" fontId="21" fillId="0" borderId="0" xfId="0" applyFont="1" applyProtection="1"/>
    <xf numFmtId="0" fontId="20" fillId="0" borderId="21" xfId="0" applyFont="1" applyBorder="1" applyAlignment="1" applyProtection="1">
      <alignment horizontal="center" vertical="center"/>
    </xf>
    <xf numFmtId="0" fontId="20" fillId="0" borderId="19" xfId="0" applyFont="1" applyBorder="1" applyAlignment="1" applyProtection="1">
      <alignment horizontal="center" vertical="center"/>
    </xf>
    <xf numFmtId="4" fontId="20" fillId="0" borderId="19" xfId="0" applyNumberFormat="1" applyFont="1" applyBorder="1" applyAlignment="1" applyProtection="1">
      <alignment horizontal="center" vertical="center"/>
    </xf>
    <xf numFmtId="166" fontId="20" fillId="0" borderId="19" xfId="0" applyNumberFormat="1" applyFont="1" applyBorder="1" applyAlignment="1" applyProtection="1">
      <alignment horizontal="center" vertical="center"/>
    </xf>
    <xf numFmtId="166" fontId="20" fillId="0" borderId="20" xfId="0" applyNumberFormat="1" applyFont="1" applyBorder="1" applyAlignment="1" applyProtection="1">
      <alignment horizontal="center" vertical="center"/>
    </xf>
    <xf numFmtId="0" fontId="20" fillId="0" borderId="40" xfId="0" applyFont="1" applyBorder="1" applyAlignment="1" applyProtection="1">
      <alignment horizontal="center" vertical="center" wrapText="1"/>
    </xf>
    <xf numFmtId="0" fontId="20" fillId="0" borderId="41" xfId="0" applyFont="1" applyBorder="1" applyAlignment="1" applyProtection="1">
      <alignment horizontal="center" vertical="center" wrapText="1"/>
    </xf>
    <xf numFmtId="0" fontId="20" fillId="0" borderId="42" xfId="0" applyFont="1" applyBorder="1" applyAlignment="1" applyProtection="1">
      <alignment horizontal="center" vertical="center" wrapText="1"/>
    </xf>
    <xf numFmtId="0" fontId="20" fillId="8" borderId="21" xfId="0" applyFont="1" applyFill="1" applyBorder="1" applyAlignment="1" applyProtection="1">
      <alignment horizontal="center" vertical="center"/>
    </xf>
    <xf numFmtId="0" fontId="20" fillId="8" borderId="19" xfId="0" applyFont="1" applyFill="1" applyBorder="1" applyAlignment="1" applyProtection="1">
      <alignment horizontal="center" vertical="center"/>
    </xf>
    <xf numFmtId="4" fontId="20" fillId="8" borderId="19" xfId="0" applyNumberFormat="1" applyFont="1" applyFill="1" applyBorder="1" applyAlignment="1" applyProtection="1">
      <alignment horizontal="center" vertical="center"/>
    </xf>
    <xf numFmtId="166" fontId="20" fillId="8" borderId="19" xfId="0" applyNumberFormat="1" applyFont="1" applyFill="1" applyBorder="1" applyAlignment="1" applyProtection="1">
      <alignment horizontal="center" vertical="center"/>
    </xf>
    <xf numFmtId="166" fontId="20" fillId="8" borderId="20" xfId="0" applyNumberFormat="1" applyFont="1" applyFill="1" applyBorder="1" applyAlignment="1" applyProtection="1">
      <alignment horizontal="center" vertical="center"/>
    </xf>
    <xf numFmtId="0" fontId="20" fillId="8" borderId="40" xfId="0" applyFont="1" applyFill="1" applyBorder="1" applyAlignment="1" applyProtection="1">
      <alignment horizontal="center" vertical="center" wrapText="1"/>
    </xf>
    <xf numFmtId="0" fontId="20" fillId="8" borderId="41" xfId="0" applyFont="1" applyFill="1" applyBorder="1" applyAlignment="1" applyProtection="1">
      <alignment horizontal="center" vertical="center" wrapText="1"/>
    </xf>
    <xf numFmtId="0" fontId="20" fillId="8" borderId="42" xfId="0" applyFont="1" applyFill="1" applyBorder="1" applyAlignment="1" applyProtection="1">
      <alignment horizontal="center" vertical="center" wrapText="1"/>
    </xf>
    <xf numFmtId="0" fontId="20" fillId="8" borderId="24" xfId="0" applyFont="1" applyFill="1" applyBorder="1" applyAlignment="1" applyProtection="1">
      <alignment horizontal="center" vertical="center"/>
    </xf>
    <xf numFmtId="0" fontId="20" fillId="8" borderId="25" xfId="0" applyFont="1" applyFill="1" applyBorder="1" applyAlignment="1" applyProtection="1">
      <alignment horizontal="center" vertical="center"/>
    </xf>
    <xf numFmtId="4" fontId="20" fillId="8" borderId="25" xfId="0" applyNumberFormat="1" applyFont="1" applyFill="1" applyBorder="1" applyAlignment="1" applyProtection="1">
      <alignment horizontal="center" vertical="center"/>
    </xf>
    <xf numFmtId="166" fontId="20" fillId="8" borderId="25" xfId="0" applyNumberFormat="1" applyFont="1" applyFill="1" applyBorder="1" applyAlignment="1" applyProtection="1">
      <alignment horizontal="center" vertical="center"/>
    </xf>
    <xf numFmtId="166" fontId="20" fillId="8" borderId="27" xfId="0" applyNumberFormat="1" applyFont="1" applyFill="1" applyBorder="1" applyAlignment="1" applyProtection="1">
      <alignment horizontal="center" vertical="center"/>
    </xf>
    <xf numFmtId="0" fontId="20" fillId="8" borderId="28" xfId="0" applyFont="1" applyFill="1" applyBorder="1" applyAlignment="1" applyProtection="1">
      <alignment horizontal="center" vertical="center" wrapText="1"/>
    </xf>
    <xf numFmtId="0" fontId="20" fillId="8" borderId="32" xfId="0" applyFont="1" applyFill="1" applyBorder="1" applyAlignment="1" applyProtection="1">
      <alignment horizontal="center" vertical="center" wrapText="1"/>
    </xf>
    <xf numFmtId="0" fontId="20" fillId="8" borderId="43" xfId="0" applyFont="1" applyFill="1" applyBorder="1" applyAlignment="1" applyProtection="1">
      <alignment horizontal="center" vertical="center" wrapText="1"/>
    </xf>
    <xf numFmtId="0" fontId="23" fillId="9" borderId="34" xfId="0" applyFont="1" applyFill="1" applyBorder="1" applyAlignment="1" applyProtection="1">
      <alignment horizontal="left" vertical="center" wrapText="1"/>
    </xf>
    <xf numFmtId="0" fontId="23" fillId="9" borderId="35" xfId="0" applyFont="1" applyFill="1" applyBorder="1" applyAlignment="1" applyProtection="1">
      <alignment horizontal="left" vertical="center" wrapText="1"/>
    </xf>
    <xf numFmtId="0" fontId="23" fillId="9" borderId="36" xfId="0" applyFont="1" applyFill="1" applyBorder="1" applyAlignment="1" applyProtection="1">
      <alignment horizontal="left" vertical="center" wrapText="1"/>
    </xf>
    <xf numFmtId="0" fontId="20" fillId="0" borderId="0" xfId="0" applyFont="1" applyAlignment="1" applyProtection="1">
      <alignment vertical="center"/>
    </xf>
    <xf numFmtId="0" fontId="45" fillId="0" borderId="0" xfId="0" applyFont="1" applyAlignment="1" applyProtection="1">
      <alignment horizontal="right" vertical="center"/>
    </xf>
    <xf numFmtId="0" fontId="0" fillId="0" borderId="0" xfId="0" applyFont="1"/>
    <xf numFmtId="1" fontId="54" fillId="4" borderId="22" xfId="0" applyNumberFormat="1" applyFont="1" applyFill="1" applyBorder="1" applyAlignment="1" applyProtection="1">
      <alignment horizontal="center" vertical="center" wrapText="1"/>
    </xf>
    <xf numFmtId="1" fontId="35" fillId="4" borderId="23" xfId="0" applyNumberFormat="1" applyFont="1" applyFill="1" applyBorder="1" applyAlignment="1" applyProtection="1">
      <alignment horizontal="center" vertical="center" wrapText="1"/>
    </xf>
    <xf numFmtId="0" fontId="35" fillId="4" borderId="23" xfId="0" applyFont="1" applyFill="1" applyBorder="1" applyAlignment="1" applyProtection="1">
      <alignment horizontal="center" vertical="center" wrapText="1"/>
    </xf>
    <xf numFmtId="0" fontId="35" fillId="4" borderId="33" xfId="0" applyFont="1" applyFill="1" applyBorder="1" applyAlignment="1" applyProtection="1">
      <alignment horizontal="center" vertical="center" wrapText="1"/>
    </xf>
    <xf numFmtId="168" fontId="13" fillId="0" borderId="0" xfId="0" applyNumberFormat="1" applyFont="1" applyProtection="1"/>
    <xf numFmtId="1" fontId="35" fillId="4" borderId="46" xfId="0" applyNumberFormat="1" applyFont="1" applyFill="1" applyBorder="1" applyAlignment="1" applyProtection="1">
      <alignment horizontal="center" vertical="center" wrapText="1"/>
    </xf>
    <xf numFmtId="1" fontId="35" fillId="4" borderId="47" xfId="0" applyNumberFormat="1" applyFont="1" applyFill="1" applyBorder="1" applyAlignment="1" applyProtection="1">
      <alignment horizontal="center" vertical="center" wrapText="1"/>
    </xf>
    <xf numFmtId="0" fontId="35" fillId="4" borderId="47" xfId="0" applyFont="1" applyFill="1" applyBorder="1" applyAlignment="1" applyProtection="1">
      <alignment horizontal="center" vertical="center" wrapText="1"/>
    </xf>
    <xf numFmtId="0" fontId="35" fillId="4" borderId="48" xfId="0" applyFont="1" applyFill="1" applyBorder="1" applyAlignment="1" applyProtection="1">
      <alignment horizontal="center" vertical="center" wrapText="1"/>
    </xf>
    <xf numFmtId="0" fontId="46" fillId="0" borderId="6" xfId="0" applyFont="1" applyBorder="1" applyAlignment="1" applyProtection="1">
      <alignment horizontal="right" vertical="center"/>
    </xf>
    <xf numFmtId="0" fontId="46" fillId="0" borderId="0" xfId="0" applyFont="1" applyAlignment="1" applyProtection="1">
      <alignment horizontal="left" vertical="center"/>
    </xf>
    <xf numFmtId="49" fontId="53" fillId="0" borderId="22" xfId="0" applyNumberFormat="1" applyFont="1" applyBorder="1" applyAlignment="1" applyProtection="1">
      <alignment horizontal="center" vertical="center"/>
    </xf>
    <xf numFmtId="166" fontId="41" fillId="7" borderId="23" xfId="0" applyNumberFormat="1" applyFont="1" applyFill="1" applyBorder="1" applyAlignment="1" applyProtection="1">
      <alignment horizontal="center" vertical="center"/>
    </xf>
    <xf numFmtId="2" fontId="41" fillId="7" borderId="23" xfId="0" applyNumberFormat="1" applyFont="1" applyFill="1" applyBorder="1" applyAlignment="1" applyProtection="1">
      <alignment horizontal="center" vertical="center"/>
    </xf>
    <xf numFmtId="170" fontId="41" fillId="7" borderId="23" xfId="0" applyNumberFormat="1" applyFont="1" applyFill="1" applyBorder="1" applyAlignment="1" applyProtection="1">
      <alignment horizontal="center" vertical="center"/>
    </xf>
    <xf numFmtId="0" fontId="35" fillId="4" borderId="7" xfId="0" applyFont="1" applyFill="1" applyBorder="1" applyAlignment="1" applyProtection="1">
      <alignment horizontal="center" vertical="center" wrapText="1"/>
    </xf>
    <xf numFmtId="0" fontId="35" fillId="4" borderId="4" xfId="0" applyFont="1" applyFill="1" applyBorder="1" applyAlignment="1" applyProtection="1">
      <alignment horizontal="center" vertical="center" wrapText="1"/>
    </xf>
    <xf numFmtId="0" fontId="20" fillId="2" borderId="0" xfId="0" applyFont="1" applyFill="1" applyAlignment="1" applyProtection="1">
      <alignment vertical="center"/>
    </xf>
    <xf numFmtId="0" fontId="13" fillId="0" borderId="0" xfId="0" applyFont="1" applyProtection="1"/>
    <xf numFmtId="49" fontId="53" fillId="0" borderId="21" xfId="0" applyNumberFormat="1" applyFont="1" applyBorder="1" applyAlignment="1" applyProtection="1">
      <alignment horizontal="center" vertical="center"/>
    </xf>
    <xf numFmtId="166" fontId="41" fillId="7" borderId="19" xfId="0" applyNumberFormat="1" applyFont="1" applyFill="1" applyBorder="1" applyAlignment="1" applyProtection="1">
      <alignment horizontal="center" vertical="center"/>
    </xf>
    <xf numFmtId="2" fontId="41" fillId="7" borderId="19" xfId="0" applyNumberFormat="1" applyFont="1" applyFill="1" applyBorder="1" applyAlignment="1" applyProtection="1">
      <alignment horizontal="center" vertical="center"/>
    </xf>
    <xf numFmtId="170" fontId="41" fillId="7" borderId="19" xfId="0" applyNumberFormat="1" applyFont="1" applyFill="1" applyBorder="1" applyAlignment="1" applyProtection="1">
      <alignment horizontal="center" vertical="center"/>
    </xf>
    <xf numFmtId="0" fontId="35" fillId="4" borderId="6" xfId="0" applyFont="1" applyFill="1" applyBorder="1" applyAlignment="1" applyProtection="1">
      <alignment horizontal="center" vertical="center" wrapText="1"/>
    </xf>
    <xf numFmtId="0" fontId="35" fillId="4" borderId="2" xfId="0" applyFont="1" applyFill="1" applyBorder="1" applyAlignment="1" applyProtection="1">
      <alignment horizontal="center" vertical="center" wrapText="1"/>
    </xf>
    <xf numFmtId="2" fontId="35" fillId="4" borderId="9" xfId="0" applyNumberFormat="1" applyFont="1" applyFill="1" applyBorder="1" applyAlignment="1" applyProtection="1">
      <alignment horizontal="center" vertical="center" wrapText="1"/>
    </xf>
    <xf numFmtId="2" fontId="35" fillId="4" borderId="1" xfId="0" applyNumberFormat="1" applyFont="1" applyFill="1" applyBorder="1" applyAlignment="1" applyProtection="1">
      <alignment horizontal="center" vertical="center" wrapText="1"/>
    </xf>
    <xf numFmtId="167" fontId="35" fillId="4" borderId="1" xfId="0" applyNumberFormat="1" applyFont="1" applyFill="1" applyBorder="1" applyAlignment="1" applyProtection="1">
      <alignment horizontal="center" vertical="center" wrapText="1"/>
    </xf>
    <xf numFmtId="0" fontId="50" fillId="2" borderId="4" xfId="0" applyFont="1" applyFill="1" applyBorder="1" applyAlignment="1" applyProtection="1">
      <alignment horizontal="center" vertical="center" wrapText="1"/>
    </xf>
    <xf numFmtId="0" fontId="50" fillId="2" borderId="3" xfId="0" applyFont="1" applyFill="1" applyBorder="1" applyAlignment="1" applyProtection="1">
      <alignment horizontal="center" vertical="center" wrapText="1"/>
    </xf>
    <xf numFmtId="0" fontId="50" fillId="2" borderId="5" xfId="0" applyFont="1" applyFill="1" applyBorder="1" applyAlignment="1" applyProtection="1">
      <alignment horizontal="center" vertical="center" wrapText="1"/>
    </xf>
    <xf numFmtId="0" fontId="43" fillId="7" borderId="22" xfId="0" applyFont="1" applyFill="1" applyBorder="1" applyAlignment="1" applyProtection="1">
      <alignment horizontal="center" vertical="center"/>
    </xf>
    <xf numFmtId="0" fontId="43" fillId="7" borderId="23" xfId="0" applyFont="1" applyFill="1" applyBorder="1" applyAlignment="1" applyProtection="1">
      <alignment horizontal="center" vertical="center"/>
    </xf>
    <xf numFmtId="2" fontId="41" fillId="7" borderId="23" xfId="0" applyNumberFormat="1" applyFont="1" applyFill="1" applyBorder="1" applyAlignment="1" applyProtection="1">
      <alignment horizontal="center" vertical="center"/>
    </xf>
    <xf numFmtId="2" fontId="41" fillId="7" borderId="33" xfId="0" applyNumberFormat="1" applyFont="1" applyFill="1" applyBorder="1" applyAlignment="1" applyProtection="1">
      <alignment horizontal="center" vertical="center"/>
    </xf>
    <xf numFmtId="0" fontId="43" fillId="7" borderId="21" xfId="0" applyFont="1" applyFill="1" applyBorder="1" applyAlignment="1" applyProtection="1">
      <alignment horizontal="center" vertical="center"/>
    </xf>
    <xf numFmtId="0" fontId="43" fillId="7" borderId="19" xfId="0" applyFont="1" applyFill="1" applyBorder="1" applyAlignment="1" applyProtection="1">
      <alignment horizontal="center" vertical="center"/>
    </xf>
    <xf numFmtId="2" fontId="41" fillId="7" borderId="19" xfId="0" applyNumberFormat="1" applyFont="1" applyFill="1" applyBorder="1" applyAlignment="1" applyProtection="1">
      <alignment horizontal="center" vertical="center"/>
    </xf>
    <xf numFmtId="2" fontId="41" fillId="7" borderId="31" xfId="0" applyNumberFormat="1" applyFont="1" applyFill="1" applyBorder="1" applyAlignment="1" applyProtection="1">
      <alignment horizontal="center" vertical="center"/>
    </xf>
    <xf numFmtId="10" fontId="49" fillId="2" borderId="9" xfId="0" applyNumberFormat="1" applyFont="1" applyFill="1" applyBorder="1" applyAlignment="1" applyProtection="1">
      <alignment horizontal="center" vertical="center" wrapText="1"/>
    </xf>
    <xf numFmtId="0" fontId="40" fillId="2" borderId="0" xfId="0" applyFont="1" applyFill="1" applyAlignment="1" applyProtection="1">
      <alignment vertical="center"/>
    </xf>
    <xf numFmtId="0" fontId="35" fillId="2" borderId="46" xfId="0" applyFont="1" applyFill="1" applyBorder="1" applyAlignment="1" applyProtection="1">
      <alignment horizontal="left" vertical="center" wrapText="1"/>
    </xf>
    <xf numFmtId="0" fontId="35" fillId="2" borderId="47" xfId="0" applyFont="1" applyFill="1" applyBorder="1" applyAlignment="1" applyProtection="1">
      <alignment horizontal="left" vertical="center" wrapText="1"/>
    </xf>
    <xf numFmtId="0" fontId="35" fillId="2" borderId="65" xfId="0" applyFont="1" applyFill="1" applyBorder="1" applyAlignment="1" applyProtection="1">
      <alignment horizontal="left" vertical="center" wrapText="1"/>
    </xf>
    <xf numFmtId="0" fontId="48" fillId="2" borderId="0" xfId="0" applyFont="1" applyFill="1" applyAlignment="1" applyProtection="1">
      <alignment horizontal="left" vertical="center" wrapText="1"/>
    </xf>
    <xf numFmtId="0" fontId="4" fillId="0" borderId="0" xfId="0" applyFont="1" applyProtection="1"/>
    <xf numFmtId="166" fontId="41" fillId="7" borderId="50" xfId="0" applyNumberFormat="1" applyFont="1" applyFill="1" applyBorder="1" applyAlignment="1" applyProtection="1">
      <alignment horizontal="center" vertical="center"/>
    </xf>
    <xf numFmtId="166" fontId="41" fillId="7" borderId="33" xfId="0" applyNumberFormat="1" applyFont="1" applyFill="1" applyBorder="1" applyAlignment="1" applyProtection="1">
      <alignment horizontal="center" vertical="center"/>
    </xf>
    <xf numFmtId="0" fontId="35" fillId="7" borderId="21" xfId="0" applyFont="1" applyFill="1" applyBorder="1" applyAlignment="1" applyProtection="1">
      <alignment horizontal="left" vertical="center" indent="1"/>
    </xf>
    <xf numFmtId="0" fontId="35" fillId="7" borderId="19" xfId="0" applyFont="1" applyFill="1" applyBorder="1" applyAlignment="1" applyProtection="1">
      <alignment horizontal="left" vertical="center" indent="1"/>
    </xf>
    <xf numFmtId="166" fontId="20" fillId="2" borderId="20" xfId="0" applyNumberFormat="1" applyFont="1" applyFill="1" applyBorder="1" applyAlignment="1" applyProtection="1">
      <alignment horizontal="center" vertical="center"/>
    </xf>
    <xf numFmtId="166" fontId="20" fillId="2" borderId="31" xfId="0" applyNumberFormat="1" applyFont="1" applyFill="1" applyBorder="1" applyAlignment="1" applyProtection="1">
      <alignment horizontal="center" vertical="center"/>
    </xf>
    <xf numFmtId="0" fontId="51" fillId="2" borderId="0" xfId="0" applyFont="1" applyFill="1" applyAlignment="1" applyProtection="1">
      <alignment horizontal="center" vertical="center"/>
    </xf>
    <xf numFmtId="0" fontId="43" fillId="7" borderId="24" xfId="0" applyFont="1" applyFill="1" applyBorder="1" applyAlignment="1" applyProtection="1">
      <alignment horizontal="center" vertical="center"/>
    </xf>
    <xf numFmtId="0" fontId="43" fillId="7" borderId="25" xfId="0" applyFont="1" applyFill="1" applyBorder="1" applyAlignment="1" applyProtection="1">
      <alignment horizontal="center" vertical="center"/>
    </xf>
    <xf numFmtId="166" fontId="41" fillId="7" borderId="27" xfId="0" applyNumberFormat="1" applyFont="1" applyFill="1" applyBorder="1" applyAlignment="1" applyProtection="1">
      <alignment horizontal="center" vertical="center"/>
    </xf>
    <xf numFmtId="166" fontId="41" fillId="7" borderId="26" xfId="0" applyNumberFormat="1" applyFont="1" applyFill="1" applyBorder="1" applyAlignment="1" applyProtection="1">
      <alignment horizontal="center" vertical="center"/>
    </xf>
    <xf numFmtId="0" fontId="6" fillId="0" borderId="0" xfId="0" applyFont="1" applyProtection="1"/>
    <xf numFmtId="10" fontId="43" fillId="7" borderId="44" xfId="0" applyNumberFormat="1" applyFont="1" applyFill="1" applyBorder="1" applyAlignment="1" applyProtection="1">
      <alignment horizontal="center" vertical="center"/>
    </xf>
    <xf numFmtId="0" fontId="43" fillId="7" borderId="49" xfId="0" applyFont="1" applyFill="1" applyBorder="1" applyAlignment="1" applyProtection="1">
      <alignment horizontal="center" vertical="center"/>
    </xf>
    <xf numFmtId="10" fontId="41" fillId="7" borderId="49" xfId="0" applyNumberFormat="1" applyFont="1" applyFill="1" applyBorder="1" applyAlignment="1" applyProtection="1">
      <alignment horizontal="center" vertical="center"/>
    </xf>
    <xf numFmtId="2" fontId="41" fillId="7" borderId="45" xfId="0" applyNumberFormat="1" applyFont="1" applyFill="1" applyBorder="1" applyAlignment="1" applyProtection="1">
      <alignment horizontal="center" vertical="center"/>
    </xf>
    <xf numFmtId="0" fontId="20" fillId="2" borderId="22" xfId="0" applyFont="1" applyFill="1" applyBorder="1" applyAlignment="1" applyProtection="1">
      <alignment vertical="center"/>
    </xf>
    <xf numFmtId="0" fontId="20" fillId="2" borderId="23" xfId="0" applyFont="1" applyFill="1" applyBorder="1" applyAlignment="1" applyProtection="1">
      <alignment vertical="center"/>
    </xf>
    <xf numFmtId="0" fontId="20" fillId="2" borderId="21" xfId="0" applyFont="1" applyFill="1" applyBorder="1" applyAlignment="1" applyProtection="1">
      <alignment vertical="center"/>
    </xf>
    <xf numFmtId="0" fontId="20" fillId="2" borderId="19" xfId="0" applyFont="1" applyFill="1" applyBorder="1" applyAlignment="1" applyProtection="1">
      <alignment vertical="center"/>
    </xf>
    <xf numFmtId="0" fontId="35" fillId="4" borderId="19" xfId="0" applyFont="1" applyFill="1" applyBorder="1" applyAlignment="1" applyProtection="1">
      <alignment horizontal="center" vertical="center" wrapText="1"/>
    </xf>
    <xf numFmtId="0" fontId="35" fillId="4" borderId="31" xfId="0" applyFont="1" applyFill="1" applyBorder="1" applyAlignment="1" applyProtection="1">
      <alignment horizontal="center" vertical="center" wrapText="1"/>
    </xf>
    <xf numFmtId="166" fontId="41" fillId="7" borderId="19" xfId="0" applyNumberFormat="1" applyFont="1" applyFill="1" applyBorder="1" applyAlignment="1" applyProtection="1">
      <alignment horizontal="center" vertical="center"/>
    </xf>
    <xf numFmtId="166" fontId="41" fillId="7" borderId="31" xfId="0" applyNumberFormat="1" applyFont="1" applyFill="1" applyBorder="1" applyAlignment="1" applyProtection="1">
      <alignment horizontal="center" vertical="center"/>
    </xf>
    <xf numFmtId="10" fontId="41" fillId="7" borderId="19" xfId="0" applyNumberFormat="1" applyFont="1" applyFill="1" applyBorder="1" applyAlignment="1" applyProtection="1">
      <alignment horizontal="center" vertical="center"/>
    </xf>
    <xf numFmtId="10" fontId="41" fillId="7" borderId="31" xfId="0" applyNumberFormat="1" applyFont="1" applyFill="1" applyBorder="1" applyAlignment="1" applyProtection="1">
      <alignment horizontal="center" vertical="center"/>
    </xf>
    <xf numFmtId="0" fontId="43" fillId="7" borderId="46" xfId="0" applyFont="1" applyFill="1" applyBorder="1" applyAlignment="1" applyProtection="1">
      <alignment horizontal="center" vertical="center"/>
    </xf>
    <xf numFmtId="0" fontId="43" fillId="7" borderId="47" xfId="0" applyFont="1" applyFill="1" applyBorder="1" applyAlignment="1" applyProtection="1">
      <alignment horizontal="center" vertical="center"/>
    </xf>
    <xf numFmtId="2" fontId="41" fillId="7" borderId="47" xfId="0" applyNumberFormat="1" applyFont="1" applyFill="1" applyBorder="1" applyAlignment="1" applyProtection="1">
      <alignment horizontal="center" vertical="center"/>
    </xf>
    <xf numFmtId="2" fontId="41" fillId="7" borderId="48" xfId="0" applyNumberFormat="1" applyFont="1" applyFill="1" applyBorder="1" applyAlignment="1" applyProtection="1">
      <alignment horizontal="center" vertical="center"/>
    </xf>
    <xf numFmtId="166" fontId="41" fillId="7" borderId="25" xfId="0" applyNumberFormat="1" applyFont="1" applyFill="1" applyBorder="1" applyAlignment="1" applyProtection="1">
      <alignment horizontal="center" vertical="center"/>
    </xf>
    <xf numFmtId="166" fontId="41" fillId="7" borderId="59" xfId="0" applyNumberFormat="1" applyFont="1" applyFill="1" applyBorder="1" applyAlignment="1" applyProtection="1">
      <alignment horizontal="center" vertical="center"/>
    </xf>
    <xf numFmtId="0" fontId="20" fillId="2" borderId="0" xfId="0" applyFont="1" applyFill="1" applyAlignment="1" applyProtection="1">
      <alignment horizontal="left" vertical="top" wrapText="1"/>
    </xf>
    <xf numFmtId="0" fontId="49" fillId="2" borderId="0" xfId="0" applyFont="1" applyFill="1" applyAlignment="1" applyProtection="1">
      <alignment horizontal="left" wrapText="1"/>
    </xf>
    <xf numFmtId="0" fontId="24" fillId="2" borderId="0" xfId="0" applyFont="1" applyFill="1" applyAlignment="1" applyProtection="1">
      <alignment horizontal="left" vertical="center" wrapText="1"/>
    </xf>
    <xf numFmtId="0" fontId="52" fillId="2" borderId="0" xfId="0" applyFont="1" applyFill="1" applyAlignment="1" applyProtection="1">
      <alignment horizontal="left" vertical="center" wrapText="1"/>
    </xf>
    <xf numFmtId="49" fontId="53" fillId="0" borderId="24" xfId="0" applyNumberFormat="1" applyFont="1" applyBorder="1" applyAlignment="1" applyProtection="1">
      <alignment horizontal="center" vertical="center"/>
    </xf>
    <xf numFmtId="166" fontId="41" fillId="7" borderId="25" xfId="0" applyNumberFormat="1" applyFont="1" applyFill="1" applyBorder="1" applyAlignment="1" applyProtection="1">
      <alignment horizontal="center" vertical="center"/>
    </xf>
    <xf numFmtId="2" fontId="41" fillId="7" borderId="25" xfId="0" applyNumberFormat="1" applyFont="1" applyFill="1" applyBorder="1" applyAlignment="1" applyProtection="1">
      <alignment horizontal="center" vertical="center"/>
    </xf>
    <xf numFmtId="170" fontId="41" fillId="7" borderId="25" xfId="0" applyNumberFormat="1" applyFont="1" applyFill="1" applyBorder="1" applyAlignment="1" applyProtection="1">
      <alignment horizontal="center" vertical="center"/>
    </xf>
    <xf numFmtId="0" fontId="4" fillId="0" borderId="0" xfId="0" applyFont="1" applyAlignment="1" applyProtection="1">
      <alignment horizontal="right"/>
    </xf>
    <xf numFmtId="0" fontId="5" fillId="0" borderId="0" xfId="0" applyFont="1" applyAlignment="1" applyProtection="1">
      <alignment horizontal="center" wrapText="1"/>
    </xf>
    <xf numFmtId="0" fontId="5" fillId="0" borderId="0" xfId="0" applyFont="1" applyAlignment="1" applyProtection="1">
      <alignment horizontal="center" wrapText="1"/>
    </xf>
    <xf numFmtId="166" fontId="4" fillId="0" borderId="0" xfId="0" applyNumberFormat="1" applyFont="1" applyAlignment="1" applyProtection="1">
      <alignment horizontal="center"/>
    </xf>
    <xf numFmtId="166" fontId="4" fillId="0" borderId="0" xfId="0" applyNumberFormat="1" applyFont="1" applyAlignment="1" applyProtection="1">
      <alignment horizontal="center"/>
    </xf>
    <xf numFmtId="10" fontId="4" fillId="0" borderId="0" xfId="0" applyNumberFormat="1" applyFont="1" applyAlignment="1" applyProtection="1">
      <alignment horizontal="center"/>
    </xf>
    <xf numFmtId="10" fontId="4" fillId="0" borderId="0" xfId="0" applyNumberFormat="1" applyFont="1" applyAlignment="1" applyProtection="1">
      <alignment horizontal="center"/>
    </xf>
    <xf numFmtId="2" fontId="4" fillId="0" borderId="0" xfId="0" applyNumberFormat="1" applyFont="1" applyAlignment="1" applyProtection="1">
      <alignment horizontal="center"/>
    </xf>
    <xf numFmtId="2" fontId="4" fillId="0" borderId="0" xfId="0" applyNumberFormat="1" applyFont="1" applyAlignment="1" applyProtection="1">
      <alignment horizontal="center"/>
    </xf>
    <xf numFmtId="166" fontId="4" fillId="0" borderId="0" xfId="0" applyNumberFormat="1" applyFont="1" applyProtection="1"/>
    <xf numFmtId="0" fontId="43" fillId="7" borderId="56" xfId="0" applyFont="1" applyFill="1" applyBorder="1" applyAlignment="1" applyProtection="1">
      <alignment horizontal="center" vertical="center"/>
    </xf>
    <xf numFmtId="0" fontId="43" fillId="7" borderId="57" xfId="0" applyFont="1" applyFill="1" applyBorder="1" applyAlignment="1" applyProtection="1">
      <alignment horizontal="center" vertical="center"/>
    </xf>
    <xf numFmtId="10" fontId="49" fillId="2" borderId="64" xfId="0" applyNumberFormat="1" applyFont="1" applyFill="1" applyBorder="1" applyAlignment="1" applyProtection="1">
      <alignment horizontal="center" vertical="center" wrapText="1"/>
    </xf>
    <xf numFmtId="0" fontId="35" fillId="2" borderId="57" xfId="0" applyFont="1" applyFill="1" applyBorder="1" applyAlignment="1" applyProtection="1">
      <alignment horizontal="left" vertical="center" wrapText="1"/>
    </xf>
    <xf numFmtId="0" fontId="35" fillId="2" borderId="19" xfId="0" applyFont="1" applyFill="1" applyBorder="1" applyAlignment="1" applyProtection="1">
      <alignment horizontal="left" vertical="center" wrapText="1"/>
    </xf>
    <xf numFmtId="0" fontId="35" fillId="2" borderId="31" xfId="0" applyFont="1" applyFill="1" applyBorder="1" applyAlignment="1" applyProtection="1">
      <alignment horizontal="left" vertical="center" wrapText="1"/>
    </xf>
    <xf numFmtId="0" fontId="42" fillId="2" borderId="58" xfId="0" applyFont="1" applyFill="1" applyBorder="1" applyAlignment="1" applyProtection="1">
      <alignment horizontal="left" vertical="center" wrapText="1" indent="1"/>
    </xf>
    <xf numFmtId="0" fontId="42" fillId="2" borderId="47" xfId="0" applyFont="1" applyFill="1" applyBorder="1" applyAlignment="1" applyProtection="1">
      <alignment horizontal="left" vertical="center" wrapText="1" indent="1"/>
    </xf>
    <xf numFmtId="0" fontId="42" fillId="2" borderId="65" xfId="0" applyFont="1" applyFill="1" applyBorder="1" applyAlignment="1" applyProtection="1">
      <alignment horizontal="left" vertical="center" wrapText="1" indent="1"/>
    </xf>
    <xf numFmtId="0" fontId="35" fillId="7" borderId="57" xfId="0" applyFont="1" applyFill="1" applyBorder="1" applyAlignment="1" applyProtection="1">
      <alignment horizontal="left" vertical="center" indent="1"/>
    </xf>
    <xf numFmtId="0" fontId="43" fillId="7" borderId="59" xfId="0" applyFont="1" applyFill="1" applyBorder="1" applyAlignment="1" applyProtection="1">
      <alignment horizontal="center" vertical="center"/>
    </xf>
    <xf numFmtId="10" fontId="43" fillId="7" borderId="60" xfId="0" applyNumberFormat="1" applyFont="1" applyFill="1" applyBorder="1" applyAlignment="1" applyProtection="1">
      <alignment horizontal="center" vertical="center"/>
    </xf>
    <xf numFmtId="0" fontId="20" fillId="2" borderId="56" xfId="0" applyFont="1" applyFill="1" applyBorder="1" applyAlignment="1" applyProtection="1">
      <alignment vertical="center"/>
    </xf>
    <xf numFmtId="0" fontId="20" fillId="2" borderId="57" xfId="0" applyFont="1" applyFill="1" applyBorder="1" applyAlignment="1" applyProtection="1">
      <alignment vertical="center"/>
    </xf>
    <xf numFmtId="0" fontId="43" fillId="7" borderId="58" xfId="0" applyFont="1" applyFill="1" applyBorder="1" applyAlignment="1" applyProtection="1">
      <alignment horizontal="center" vertical="center"/>
    </xf>
    <xf numFmtId="0" fontId="3" fillId="3" borderId="0" xfId="0" applyFont="1" applyFill="1" applyProtection="1"/>
    <xf numFmtId="0" fontId="35" fillId="2" borderId="58" xfId="0" applyFont="1" applyFill="1" applyBorder="1" applyAlignment="1" applyProtection="1">
      <alignment horizontal="left" vertical="center" wrapText="1"/>
    </xf>
    <xf numFmtId="16" fontId="4" fillId="0" borderId="0" xfId="0" applyNumberFormat="1" applyFont="1" applyAlignment="1" applyProtection="1">
      <alignment horizontal="right"/>
    </xf>
    <xf numFmtId="0" fontId="36" fillId="0" borderId="6" xfId="0" applyFont="1" applyFill="1" applyBorder="1" applyAlignment="1">
      <alignment horizontal="left" vertical="top" wrapText="1"/>
    </xf>
    <xf numFmtId="166" fontId="36" fillId="0" borderId="6" xfId="0" applyNumberFormat="1" applyFont="1" applyFill="1" applyBorder="1" applyAlignment="1">
      <alignment horizontal="left" vertical="top" wrapText="1"/>
    </xf>
    <xf numFmtId="0" fontId="19" fillId="0" borderId="6" xfId="0" applyFont="1" applyFill="1" applyBorder="1" applyAlignment="1">
      <alignment horizontal="left" vertical="center" wrapText="1"/>
    </xf>
    <xf numFmtId="0" fontId="17" fillId="0" borderId="0" xfId="0" applyFont="1" applyFill="1" applyAlignment="1">
      <alignment vertical="center"/>
    </xf>
    <xf numFmtId="0" fontId="18" fillId="0" borderId="0" xfId="0" applyFont="1" applyFill="1" applyAlignment="1">
      <alignment vertical="center"/>
    </xf>
    <xf numFmtId="0" fontId="17" fillId="0" borderId="25" xfId="0" applyFont="1" applyFill="1" applyBorder="1" applyAlignment="1">
      <alignment horizontal="center" vertical="center"/>
    </xf>
    <xf numFmtId="10" fontId="17" fillId="0" borderId="47" xfId="0" applyNumberFormat="1" applyFont="1" applyFill="1" applyBorder="1" applyAlignment="1">
      <alignment horizontal="center" vertical="center"/>
    </xf>
    <xf numFmtId="0" fontId="17" fillId="0" borderId="19" xfId="0" applyFont="1" applyFill="1" applyBorder="1" applyAlignment="1">
      <alignment horizontal="center" vertical="center" wrapText="1"/>
    </xf>
    <xf numFmtId="0" fontId="17" fillId="0" borderId="31" xfId="0" applyFont="1" applyFill="1" applyBorder="1" applyAlignment="1">
      <alignment horizontal="center" vertical="center" wrapText="1"/>
    </xf>
    <xf numFmtId="0" fontId="17" fillId="0" borderId="25" xfId="0" applyFont="1" applyFill="1" applyBorder="1" applyAlignment="1">
      <alignment horizontal="center" vertical="center" wrapText="1"/>
    </xf>
    <xf numFmtId="0" fontId="17" fillId="0" borderId="26" xfId="0" applyFont="1" applyFill="1" applyBorder="1" applyAlignment="1">
      <alignment horizontal="center" vertical="center" wrapText="1"/>
    </xf>
    <xf numFmtId="169" fontId="44" fillId="4" borderId="47" xfId="0" applyNumberFormat="1" applyFont="1" applyFill="1" applyBorder="1" applyAlignment="1" applyProtection="1">
      <alignment horizontal="center" vertical="center" wrapText="1"/>
    </xf>
    <xf numFmtId="0" fontId="44" fillId="4" borderId="47" xfId="0" applyFont="1" applyFill="1" applyBorder="1" applyAlignment="1" applyProtection="1">
      <alignment horizontal="center" vertical="center" wrapText="1"/>
    </xf>
    <xf numFmtId="2" fontId="44" fillId="4" borderId="47" xfId="0" applyNumberFormat="1" applyFont="1" applyFill="1" applyBorder="1" applyAlignment="1" applyProtection="1">
      <alignment horizontal="center" vertical="center" wrapText="1"/>
    </xf>
    <xf numFmtId="166" fontId="44" fillId="4" borderId="47" xfId="0" applyNumberFormat="1" applyFont="1" applyFill="1" applyBorder="1" applyAlignment="1" applyProtection="1">
      <alignment horizontal="center" vertical="center" wrapText="1"/>
    </xf>
    <xf numFmtId="0" fontId="44" fillId="4" borderId="47" xfId="0" applyFont="1" applyFill="1" applyBorder="1" applyAlignment="1" applyProtection="1">
      <alignment horizontal="center" vertical="center"/>
    </xf>
    <xf numFmtId="169" fontId="47" fillId="4" borderId="51" xfId="0" applyNumberFormat="1" applyFont="1" applyFill="1" applyBorder="1" applyAlignment="1" applyProtection="1">
      <alignment horizontal="center" vertical="center" wrapText="1"/>
    </xf>
    <xf numFmtId="0" fontId="47" fillId="4" borderId="51" xfId="0" applyFont="1" applyFill="1" applyBorder="1" applyAlignment="1" applyProtection="1">
      <alignment horizontal="center" vertical="center" wrapText="1"/>
    </xf>
    <xf numFmtId="0" fontId="47" fillId="4" borderId="51" xfId="0" applyFont="1" applyFill="1" applyBorder="1" applyAlignment="1" applyProtection="1">
      <alignment horizontal="center" vertical="center"/>
    </xf>
    <xf numFmtId="169" fontId="47" fillId="4" borderId="47" xfId="0" applyNumberFormat="1" applyFont="1" applyFill="1" applyBorder="1" applyAlignment="1" applyProtection="1">
      <alignment horizontal="center" vertical="center" wrapText="1"/>
    </xf>
    <xf numFmtId="0" fontId="47" fillId="4" borderId="47" xfId="0" applyFont="1" applyFill="1" applyBorder="1" applyAlignment="1" applyProtection="1">
      <alignment horizontal="center" vertical="center" wrapText="1"/>
    </xf>
    <xf numFmtId="0" fontId="47" fillId="4" borderId="47" xfId="0" applyFont="1" applyFill="1" applyBorder="1" applyAlignment="1" applyProtection="1">
      <alignment horizontal="center" vertical="center"/>
    </xf>
    <xf numFmtId="169" fontId="47" fillId="2" borderId="51" xfId="0" applyNumberFormat="1" applyFont="1" applyFill="1" applyBorder="1" applyAlignment="1" applyProtection="1">
      <alignment horizontal="center" vertical="center" wrapText="1"/>
    </xf>
    <xf numFmtId="0" fontId="47" fillId="2" borderId="51" xfId="0" applyFont="1" applyFill="1" applyBorder="1" applyAlignment="1" applyProtection="1">
      <alignment horizontal="center" vertical="center" wrapText="1"/>
    </xf>
    <xf numFmtId="0" fontId="47" fillId="2" borderId="51" xfId="0" applyFont="1" applyFill="1" applyBorder="1" applyAlignment="1" applyProtection="1">
      <alignment horizontal="center" vertical="center"/>
    </xf>
    <xf numFmtId="169" fontId="47" fillId="2" borderId="47" xfId="0" applyNumberFormat="1" applyFont="1" applyFill="1" applyBorder="1" applyAlignment="1" applyProtection="1">
      <alignment horizontal="center" vertical="center" wrapText="1"/>
    </xf>
    <xf numFmtId="0" fontId="47" fillId="2" borderId="47" xfId="0" applyFont="1" applyFill="1" applyBorder="1" applyAlignment="1" applyProtection="1">
      <alignment horizontal="center" vertical="center" wrapText="1"/>
    </xf>
    <xf numFmtId="0" fontId="47" fillId="2" borderId="47" xfId="0" applyFont="1" applyFill="1" applyBorder="1" applyAlignment="1" applyProtection="1">
      <alignment horizontal="center" vertical="center"/>
    </xf>
    <xf numFmtId="169" fontId="47" fillId="7" borderId="51" xfId="0" applyNumberFormat="1" applyFont="1" applyFill="1" applyBorder="1" applyAlignment="1" applyProtection="1">
      <alignment horizontal="center" vertical="center" wrapText="1"/>
    </xf>
    <xf numFmtId="0" fontId="47" fillId="7" borderId="51" xfId="0" applyFont="1" applyFill="1" applyBorder="1" applyAlignment="1" applyProtection="1">
      <alignment horizontal="center" vertical="center" wrapText="1"/>
    </xf>
    <xf numFmtId="0" fontId="47" fillId="7" borderId="51" xfId="0" applyFont="1" applyFill="1" applyBorder="1" applyAlignment="1" applyProtection="1">
      <alignment horizontal="center" vertical="center"/>
    </xf>
    <xf numFmtId="169" fontId="47" fillId="7" borderId="47" xfId="0" applyNumberFormat="1" applyFont="1" applyFill="1" applyBorder="1" applyAlignment="1" applyProtection="1">
      <alignment horizontal="center" vertical="center" wrapText="1"/>
    </xf>
    <xf numFmtId="0" fontId="47" fillId="7" borderId="47" xfId="0" applyFont="1" applyFill="1" applyBorder="1" applyAlignment="1" applyProtection="1">
      <alignment horizontal="center" vertical="center" wrapText="1"/>
    </xf>
    <xf numFmtId="0" fontId="47" fillId="7" borderId="47" xfId="0" applyFont="1" applyFill="1" applyBorder="1" applyAlignment="1" applyProtection="1">
      <alignment horizontal="center" vertical="center"/>
    </xf>
    <xf numFmtId="49" fontId="44" fillId="4" borderId="46" xfId="0" applyNumberFormat="1" applyFont="1" applyFill="1" applyBorder="1" applyAlignment="1" applyProtection="1">
      <alignment horizontal="center" vertical="center" wrapText="1"/>
    </xf>
    <xf numFmtId="49" fontId="47" fillId="4" borderId="52" xfId="0" applyNumberFormat="1" applyFont="1" applyFill="1" applyBorder="1" applyAlignment="1" applyProtection="1">
      <alignment horizontal="center" vertical="center" wrapText="1"/>
    </xf>
    <xf numFmtId="49" fontId="47" fillId="4" borderId="46" xfId="0" applyNumberFormat="1" applyFont="1" applyFill="1" applyBorder="1" applyAlignment="1" applyProtection="1">
      <alignment horizontal="center" vertical="center" wrapText="1"/>
    </xf>
    <xf numFmtId="49" fontId="47" fillId="2" borderId="52" xfId="0" applyNumberFormat="1" applyFont="1" applyFill="1" applyBorder="1" applyAlignment="1" applyProtection="1">
      <alignment horizontal="center" vertical="center" wrapText="1"/>
    </xf>
    <xf numFmtId="49" fontId="47" fillId="2" borderId="46" xfId="0" applyNumberFormat="1" applyFont="1" applyFill="1" applyBorder="1" applyAlignment="1" applyProtection="1">
      <alignment horizontal="center" vertical="center" wrapText="1"/>
    </xf>
    <xf numFmtId="49" fontId="47" fillId="7" borderId="52" xfId="0" applyNumberFormat="1" applyFont="1" applyFill="1" applyBorder="1" applyAlignment="1" applyProtection="1">
      <alignment horizontal="center" vertical="center" wrapText="1"/>
    </xf>
    <xf numFmtId="49" fontId="47" fillId="7" borderId="46" xfId="0" applyNumberFormat="1" applyFont="1" applyFill="1" applyBorder="1" applyAlignment="1" applyProtection="1">
      <alignment horizontal="center" vertical="center" wrapText="1"/>
    </xf>
    <xf numFmtId="0" fontId="44" fillId="4" borderId="48" xfId="0" applyFont="1" applyFill="1" applyBorder="1" applyAlignment="1" applyProtection="1">
      <alignment horizontal="center" vertical="center"/>
    </xf>
    <xf numFmtId="0" fontId="47" fillId="4" borderId="53" xfId="0" applyFont="1" applyFill="1" applyBorder="1" applyAlignment="1" applyProtection="1">
      <alignment horizontal="center" vertical="center"/>
    </xf>
    <xf numFmtId="0" fontId="47" fillId="4" borderId="48" xfId="0" applyFont="1" applyFill="1" applyBorder="1" applyAlignment="1" applyProtection="1">
      <alignment horizontal="center" vertical="center"/>
    </xf>
    <xf numFmtId="0" fontId="47" fillId="2" borderId="53" xfId="0" applyFont="1" applyFill="1" applyBorder="1" applyAlignment="1" applyProtection="1">
      <alignment horizontal="center" vertical="center"/>
    </xf>
    <xf numFmtId="0" fontId="47" fillId="2" borderId="48" xfId="0" applyFont="1" applyFill="1" applyBorder="1" applyAlignment="1" applyProtection="1">
      <alignment horizontal="center" vertical="center"/>
    </xf>
    <xf numFmtId="0" fontId="47" fillId="7" borderId="53" xfId="0" applyFont="1" applyFill="1" applyBorder="1" applyAlignment="1" applyProtection="1">
      <alignment horizontal="center" vertical="center"/>
    </xf>
    <xf numFmtId="0" fontId="47" fillId="7" borderId="48" xfId="0" applyFont="1" applyFill="1" applyBorder="1" applyAlignment="1" applyProtection="1">
      <alignment horizontal="center" vertical="center"/>
    </xf>
    <xf numFmtId="49" fontId="47" fillId="7" borderId="24" xfId="0" applyNumberFormat="1" applyFont="1" applyFill="1" applyBorder="1" applyAlignment="1" applyProtection="1">
      <alignment horizontal="center" vertical="center" wrapText="1"/>
    </xf>
    <xf numFmtId="169" fontId="47" fillId="7" borderId="25" xfId="0" applyNumberFormat="1" applyFont="1" applyFill="1" applyBorder="1" applyAlignment="1" applyProtection="1">
      <alignment horizontal="center" vertical="center" wrapText="1"/>
    </xf>
    <xf numFmtId="0" fontId="47" fillId="7" borderId="25" xfId="0" applyFont="1" applyFill="1" applyBorder="1" applyAlignment="1" applyProtection="1">
      <alignment horizontal="center" vertical="center" wrapText="1"/>
    </xf>
    <xf numFmtId="0" fontId="47" fillId="7" borderId="25" xfId="0" applyFont="1" applyFill="1" applyBorder="1" applyAlignment="1" applyProtection="1">
      <alignment horizontal="center" vertical="center"/>
    </xf>
    <xf numFmtId="0" fontId="47" fillId="7" borderId="26" xfId="0" applyFont="1" applyFill="1" applyBorder="1" applyAlignment="1" applyProtection="1">
      <alignment horizontal="center" vertical="center"/>
    </xf>
  </cellXfs>
  <cellStyles count="6">
    <cellStyle name="Komma 2" xfId="2" xr:uid="{9A15DB16-AC56-4B1C-B1FA-109392DA5A8C}"/>
    <cellStyle name="Prozent 2" xfId="3" xr:uid="{C99D48E9-F77D-4B3C-B4F4-10BC43930501}"/>
    <cellStyle name="Standard" xfId="0" builtinId="0"/>
    <cellStyle name="Standard 2" xfId="1" xr:uid="{BD246245-DCE4-4353-B148-E05A0212ECE0}"/>
    <cellStyle name="Standard 3" xfId="5" xr:uid="{09EAA06B-F081-E740-9498-6059285E22C5}"/>
    <cellStyle name="Währung 2" xfId="4" xr:uid="{D1EEB12E-973F-4E9B-93F6-7C6840E4AB66}"/>
  </cellStyles>
  <dxfs count="1">
    <dxf>
      <font>
        <b/>
        <i val="0"/>
        <color rgb="FF006100"/>
      </font>
      <fill>
        <patternFill>
          <bgColor rgb="FFC6EFCE"/>
        </patternFill>
      </fill>
    </dxf>
  </dxfs>
  <tableStyles count="0" defaultTableStyle="TableStyleMedium9" defaultPivotStyle="PivotStyleLight16"/>
  <colors>
    <mruColors>
      <color rgb="FF1F4E79"/>
      <color rgb="FFFFF2CC"/>
      <color rgb="FFDDEBF7"/>
      <color rgb="FFA3B7CC"/>
      <color rgb="FFF2DDDC"/>
      <color rgb="FFE9EFB3"/>
      <color rgb="FFE3C567"/>
      <color rgb="FFFFFF00"/>
      <color rgb="FFD6D6D6"/>
      <color rgb="FFD1BFA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de-DE"/>
              <a:t>Austritte pro Monat</a:t>
            </a:r>
          </a:p>
        </c:rich>
      </c:tx>
      <c:overlay val="0"/>
    </c:title>
    <c:autoTitleDeleted val="0"/>
    <c:plotArea>
      <c:layout/>
      <c:barChart>
        <c:barDir val="col"/>
        <c:grouping val="clustered"/>
        <c:varyColors val="0"/>
        <c:ser>
          <c:idx val="0"/>
          <c:order val="0"/>
          <c:tx>
            <c:v>Austritte</c:v>
          </c:tx>
          <c:invertIfNegative val="0"/>
          <c:cat>
            <c:strRef>
              <c:f>FLUKTUATION!$P$2:$P$8</c:f>
              <c:strCache>
                <c:ptCount val="7"/>
                <c:pt idx="0">
                  <c:v>Januar</c:v>
                </c:pt>
                <c:pt idx="1">
                  <c:v>Februar</c:v>
                </c:pt>
                <c:pt idx="2">
                  <c:v>April</c:v>
                </c:pt>
                <c:pt idx="3">
                  <c:v>Mai</c:v>
                </c:pt>
                <c:pt idx="4">
                  <c:v>Juni</c:v>
                </c:pt>
                <c:pt idx="5">
                  <c:v>September</c:v>
                </c:pt>
                <c:pt idx="6">
                  <c:v>Oktober</c:v>
                </c:pt>
              </c:strCache>
            </c:strRef>
          </c:cat>
          <c:val>
            <c:numRef>
              <c:f>FLUKTUATION!$Q$2:$Q$8</c:f>
              <c:numCache>
                <c:formatCode>General</c:formatCode>
                <c:ptCount val="7"/>
                <c:pt idx="0">
                  <c:v>2</c:v>
                </c:pt>
                <c:pt idx="1">
                  <c:v>1</c:v>
                </c:pt>
                <c:pt idx="2">
                  <c:v>5</c:v>
                </c:pt>
                <c:pt idx="3">
                  <c:v>2</c:v>
                </c:pt>
                <c:pt idx="4">
                  <c:v>1</c:v>
                </c:pt>
                <c:pt idx="5">
                  <c:v>1</c:v>
                </c:pt>
                <c:pt idx="6">
                  <c:v>1</c:v>
                </c:pt>
              </c:numCache>
            </c:numRef>
          </c:val>
          <c:extLst>
            <c:ext xmlns:c16="http://schemas.microsoft.com/office/drawing/2014/chart" uri="{C3380CC4-5D6E-409C-BE32-E72D297353CC}">
              <c16:uniqueId val="{00000000-A5C8-45AB-8F2C-F9B275AECADB}"/>
            </c:ext>
          </c:extLst>
        </c:ser>
        <c:dLbls>
          <c:showLegendKey val="0"/>
          <c:showVal val="0"/>
          <c:showCatName val="0"/>
          <c:showSerName val="0"/>
          <c:showPercent val="0"/>
          <c:showBubbleSize val="0"/>
        </c:dLbls>
        <c:gapWidth val="150"/>
        <c:axId val="2050228800"/>
        <c:axId val="2050226880"/>
      </c:barChart>
      <c:catAx>
        <c:axId val="2050228800"/>
        <c:scaling>
          <c:orientation val="minMax"/>
        </c:scaling>
        <c:delete val="0"/>
        <c:axPos val="b"/>
        <c:numFmt formatCode="General" sourceLinked="1"/>
        <c:majorTickMark val="out"/>
        <c:minorTickMark val="none"/>
        <c:tickLblPos val="nextTo"/>
        <c:crossAx val="2050226880"/>
        <c:crosses val="autoZero"/>
        <c:auto val="1"/>
        <c:lblAlgn val="ctr"/>
        <c:lblOffset val="100"/>
        <c:noMultiLvlLbl val="0"/>
      </c:catAx>
      <c:valAx>
        <c:axId val="2050226880"/>
        <c:scaling>
          <c:orientation val="minMax"/>
        </c:scaling>
        <c:delete val="0"/>
        <c:axPos val="l"/>
        <c:majorGridlines/>
        <c:numFmt formatCode="General" sourceLinked="1"/>
        <c:majorTickMark val="out"/>
        <c:minorTickMark val="none"/>
        <c:tickLblPos val="nextTo"/>
        <c:crossAx val="2050228800"/>
        <c:crosses val="autoZero"/>
        <c:crossBetween val="between"/>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de-DE"/>
              <a:t>Austritte nach Kategorie</a:t>
            </a:r>
          </a:p>
        </c:rich>
      </c:tx>
      <c:overlay val="0"/>
    </c:title>
    <c:autoTitleDeleted val="0"/>
    <c:plotArea>
      <c:layout/>
      <c:pieChart>
        <c:varyColors val="1"/>
        <c:ser>
          <c:idx val="0"/>
          <c:order val="0"/>
          <c:tx>
            <c:v>Kategorien</c:v>
          </c:tx>
          <c:cat>
            <c:strRef>
              <c:f>FLUKTUATION!$P$21:$P$23</c:f>
              <c:strCache>
                <c:ptCount val="3"/>
                <c:pt idx="0">
                  <c:v>Erfahrene MA</c:v>
                </c:pt>
                <c:pt idx="1">
                  <c:v>Normal</c:v>
                </c:pt>
                <c:pt idx="2">
                  <c:v>Neutral</c:v>
                </c:pt>
              </c:strCache>
            </c:strRef>
          </c:cat>
          <c:val>
            <c:numRef>
              <c:f>FLUKTUATION!$Q$21:$Q$23</c:f>
              <c:numCache>
                <c:formatCode>General</c:formatCode>
                <c:ptCount val="3"/>
                <c:pt idx="0">
                  <c:v>3</c:v>
                </c:pt>
                <c:pt idx="1">
                  <c:v>3</c:v>
                </c:pt>
                <c:pt idx="2">
                  <c:v>7</c:v>
                </c:pt>
              </c:numCache>
            </c:numRef>
          </c:val>
          <c:extLst>
            <c:ext xmlns:c16="http://schemas.microsoft.com/office/drawing/2014/chart" uri="{C3380CC4-5D6E-409C-BE32-E72D297353CC}">
              <c16:uniqueId val="{00000000-418D-48DE-9EF0-09B5C2B7A2B6}"/>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de-DE"/>
              <a:t>Austritte nach Austrittsgrund</a:t>
            </a:r>
          </a:p>
        </c:rich>
      </c:tx>
      <c:overlay val="0"/>
    </c:title>
    <c:autoTitleDeleted val="0"/>
    <c:plotArea>
      <c:layout/>
      <c:barChart>
        <c:barDir val="bar"/>
        <c:grouping val="clustered"/>
        <c:varyColors val="0"/>
        <c:ser>
          <c:idx val="0"/>
          <c:order val="0"/>
          <c:tx>
            <c:v>Austritte</c:v>
          </c:tx>
          <c:invertIfNegative val="0"/>
          <c:cat>
            <c:strRef>
              <c:f>FLUKTUATION!$R$41:$R$47</c:f>
              <c:strCache>
                <c:ptCount val="7"/>
                <c:pt idx="0">
                  <c:v>Dienstnehmer Kündigung</c:v>
                </c:pt>
                <c:pt idx="1">
                  <c:v>Einvernehmliche Auflösung</c:v>
                </c:pt>
                <c:pt idx="2">
                  <c:v>Nicht eingetreten</c:v>
                </c:pt>
                <c:pt idx="3">
                  <c:v>Storetransfer</c:v>
                </c:pt>
                <c:pt idx="4">
                  <c:v>Karenz</c:v>
                </c:pt>
                <c:pt idx="5">
                  <c:v>Beförderung</c:v>
                </c:pt>
                <c:pt idx="6">
                  <c:v>Dienstgeber Kündigung</c:v>
                </c:pt>
              </c:strCache>
            </c:strRef>
          </c:cat>
          <c:val>
            <c:numRef>
              <c:f>FLUKTUATION!$S$41:$S$47</c:f>
              <c:numCache>
                <c:formatCode>General</c:formatCode>
                <c:ptCount val="7"/>
                <c:pt idx="0">
                  <c:v>3</c:v>
                </c:pt>
                <c:pt idx="1">
                  <c:v>2</c:v>
                </c:pt>
                <c:pt idx="2">
                  <c:v>1</c:v>
                </c:pt>
                <c:pt idx="3">
                  <c:v>2</c:v>
                </c:pt>
                <c:pt idx="4">
                  <c:v>3</c:v>
                </c:pt>
                <c:pt idx="5">
                  <c:v>1</c:v>
                </c:pt>
                <c:pt idx="6">
                  <c:v>2</c:v>
                </c:pt>
              </c:numCache>
            </c:numRef>
          </c:val>
          <c:extLst>
            <c:ext xmlns:c16="http://schemas.microsoft.com/office/drawing/2014/chart" uri="{C3380CC4-5D6E-409C-BE32-E72D297353CC}">
              <c16:uniqueId val="{00000000-831A-4534-819C-FAD909469090}"/>
            </c:ext>
          </c:extLst>
        </c:ser>
        <c:dLbls>
          <c:showLegendKey val="0"/>
          <c:showVal val="0"/>
          <c:showCatName val="0"/>
          <c:showSerName val="0"/>
          <c:showPercent val="0"/>
          <c:showBubbleSize val="0"/>
        </c:dLbls>
        <c:gapWidth val="150"/>
        <c:axId val="1674417311"/>
        <c:axId val="1674417791"/>
      </c:barChart>
      <c:catAx>
        <c:axId val="1674417311"/>
        <c:scaling>
          <c:orientation val="minMax"/>
        </c:scaling>
        <c:delete val="0"/>
        <c:axPos val="l"/>
        <c:numFmt formatCode="General" sourceLinked="1"/>
        <c:majorTickMark val="out"/>
        <c:minorTickMark val="none"/>
        <c:tickLblPos val="nextTo"/>
        <c:crossAx val="1674417791"/>
        <c:crosses val="autoZero"/>
        <c:auto val="1"/>
        <c:lblAlgn val="ctr"/>
        <c:lblOffset val="100"/>
        <c:noMultiLvlLbl val="0"/>
      </c:catAx>
      <c:valAx>
        <c:axId val="1674417791"/>
        <c:scaling>
          <c:orientation val="minMax"/>
        </c:scaling>
        <c:delete val="0"/>
        <c:axPos val="b"/>
        <c:majorGridlines/>
        <c:numFmt formatCode="General" sourceLinked="1"/>
        <c:majorTickMark val="out"/>
        <c:minorTickMark val="none"/>
        <c:tickLblPos val="nextTo"/>
        <c:crossAx val="1674417311"/>
        <c:crosses val="autoZero"/>
        <c:crossBetween val="between"/>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absolute">
    <xdr:from>
      <xdr:col>1</xdr:col>
      <xdr:colOff>0</xdr:colOff>
      <xdr:row>4</xdr:row>
      <xdr:rowOff>0</xdr:rowOff>
    </xdr:from>
    <xdr:to>
      <xdr:col>2</xdr:col>
      <xdr:colOff>298450</xdr:colOff>
      <xdr:row>6</xdr:row>
      <xdr:rowOff>12700</xdr:rowOff>
    </xdr:to>
    <xdr:sp macro="PID_AdminRunSmokeCheck" textlink="">
      <xdr:nvSpPr>
        <xdr:cNvPr id="30" name="btn_Admin_Smoke">
          <a:extLst>
            <a:ext uri="{FF2B5EF4-FFF2-40B4-BE49-F238E27FC236}">
              <a16:creationId xmlns:a16="http://schemas.microsoft.com/office/drawing/2014/main" id="{DC830E32-7934-7BE0-A236-9004C5313AFD}"/>
            </a:ext>
          </a:extLst>
        </xdr:cNvPr>
        <xdr:cNvSpPr/>
      </xdr:nvSpPr>
      <xdr:spPr>
        <a:xfrm>
          <a:off x="184150" y="819150"/>
          <a:ext cx="1879600" cy="3810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Smoke Check</a:t>
          </a:r>
        </a:p>
      </xdr:txBody>
    </xdr:sp>
    <xdr:clientData/>
  </xdr:twoCellAnchor>
  <xdr:twoCellAnchor editAs="absolute">
    <xdr:from>
      <xdr:col>2</xdr:col>
      <xdr:colOff>476250</xdr:colOff>
      <xdr:row>4</xdr:row>
      <xdr:rowOff>0</xdr:rowOff>
    </xdr:from>
    <xdr:to>
      <xdr:col>3</xdr:col>
      <xdr:colOff>774700</xdr:colOff>
      <xdr:row>6</xdr:row>
      <xdr:rowOff>12700</xdr:rowOff>
    </xdr:to>
    <xdr:sp macro="PID_AdminRunFullRefresh" textlink="">
      <xdr:nvSpPr>
        <xdr:cNvPr id="31" name="btn_Admin_Refresh">
          <a:extLst>
            <a:ext uri="{FF2B5EF4-FFF2-40B4-BE49-F238E27FC236}">
              <a16:creationId xmlns:a16="http://schemas.microsoft.com/office/drawing/2014/main" id="{D5B23344-FDB0-7D7A-5ADD-6E94F2C18298}"/>
            </a:ext>
          </a:extLst>
        </xdr:cNvPr>
        <xdr:cNvSpPr/>
      </xdr:nvSpPr>
      <xdr:spPr>
        <a:xfrm>
          <a:off x="2241550" y="819150"/>
          <a:ext cx="1879600" cy="3810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Full Refresh</a:t>
          </a:r>
        </a:p>
      </xdr:txBody>
    </xdr:sp>
    <xdr:clientData/>
  </xdr:twoCellAnchor>
  <xdr:twoCellAnchor editAs="absolute">
    <xdr:from>
      <xdr:col>1</xdr:col>
      <xdr:colOff>0</xdr:colOff>
      <xdr:row>6</xdr:row>
      <xdr:rowOff>139700</xdr:rowOff>
    </xdr:from>
    <xdr:to>
      <xdr:col>2</xdr:col>
      <xdr:colOff>298450</xdr:colOff>
      <xdr:row>8</xdr:row>
      <xdr:rowOff>152400</xdr:rowOff>
    </xdr:to>
    <xdr:sp macro="PID_AdminRunQuickCheck" textlink="">
      <xdr:nvSpPr>
        <xdr:cNvPr id="32" name="btn_Admin_Quick">
          <a:extLst>
            <a:ext uri="{FF2B5EF4-FFF2-40B4-BE49-F238E27FC236}">
              <a16:creationId xmlns:a16="http://schemas.microsoft.com/office/drawing/2014/main" id="{36E7208D-54AA-449C-91CA-4E0C3AC26525}"/>
            </a:ext>
          </a:extLst>
        </xdr:cNvPr>
        <xdr:cNvSpPr/>
      </xdr:nvSpPr>
      <xdr:spPr>
        <a:xfrm>
          <a:off x="184150" y="1327150"/>
          <a:ext cx="1879600" cy="381000"/>
        </a:xfrm>
        <a:prstGeom prst="roundRect">
          <a:avLst>
            <a:gd name="adj" fmla="val 16000"/>
          </a:avLst>
        </a:prstGeom>
        <a:solidFill>
          <a:srgbClr val="DDEBF7"/>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Quick Check</a:t>
          </a:r>
        </a:p>
      </xdr:txBody>
    </xdr:sp>
    <xdr:clientData/>
  </xdr:twoCellAnchor>
  <xdr:twoCellAnchor editAs="absolute">
    <xdr:from>
      <xdr:col>2</xdr:col>
      <xdr:colOff>476250</xdr:colOff>
      <xdr:row>6</xdr:row>
      <xdr:rowOff>139700</xdr:rowOff>
    </xdr:from>
    <xdr:to>
      <xdr:col>3</xdr:col>
      <xdr:colOff>774700</xdr:colOff>
      <xdr:row>8</xdr:row>
      <xdr:rowOff>152400</xdr:rowOff>
    </xdr:to>
    <xdr:sp macro="PID_AdminRunFormatMonths" textlink="">
      <xdr:nvSpPr>
        <xdr:cNvPr id="33" name="btn_Admin_Format">
          <a:extLst>
            <a:ext uri="{FF2B5EF4-FFF2-40B4-BE49-F238E27FC236}">
              <a16:creationId xmlns:a16="http://schemas.microsoft.com/office/drawing/2014/main" id="{18402159-505F-021E-277A-9E4B1AFEBE9B}"/>
            </a:ext>
          </a:extLst>
        </xdr:cNvPr>
        <xdr:cNvSpPr/>
      </xdr:nvSpPr>
      <xdr:spPr>
        <a:xfrm>
          <a:off x="2241550" y="1327150"/>
          <a:ext cx="1879600" cy="381000"/>
        </a:xfrm>
        <a:prstGeom prst="roundRect">
          <a:avLst>
            <a:gd name="adj" fmla="val 16000"/>
          </a:avLst>
        </a:prstGeom>
        <a:solidFill>
          <a:srgbClr val="DDEBF7"/>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Format Monate</a:t>
          </a:r>
        </a:p>
      </xdr:txBody>
    </xdr:sp>
    <xdr:clientData/>
  </xdr:twoCellAnchor>
  <xdr:twoCellAnchor editAs="absolute">
    <xdr:from>
      <xdr:col>1</xdr:col>
      <xdr:colOff>0</xdr:colOff>
      <xdr:row>9</xdr:row>
      <xdr:rowOff>95250</xdr:rowOff>
    </xdr:from>
    <xdr:to>
      <xdr:col>2</xdr:col>
      <xdr:colOff>298450</xdr:colOff>
      <xdr:row>11</xdr:row>
      <xdr:rowOff>107950</xdr:rowOff>
    </xdr:to>
    <xdr:sp macro="ResetAndImportVBAFiles" textlink="">
      <xdr:nvSpPr>
        <xdr:cNvPr id="34" name="btn_Admin_Import">
          <a:extLst>
            <a:ext uri="{FF2B5EF4-FFF2-40B4-BE49-F238E27FC236}">
              <a16:creationId xmlns:a16="http://schemas.microsoft.com/office/drawing/2014/main" id="{27E05F6B-EBED-F73C-F8C5-FB529C409C4A}"/>
            </a:ext>
          </a:extLst>
        </xdr:cNvPr>
        <xdr:cNvSpPr/>
      </xdr:nvSpPr>
      <xdr:spPr>
        <a:xfrm>
          <a:off x="184150" y="1835150"/>
          <a:ext cx="1879600" cy="3810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VBA Import</a:t>
          </a:r>
        </a:p>
      </xdr:txBody>
    </xdr:sp>
    <xdr:clientData/>
  </xdr:twoCellAnchor>
  <xdr:twoCellAnchor editAs="absolute">
    <xdr:from>
      <xdr:col>2</xdr:col>
      <xdr:colOff>476250</xdr:colOff>
      <xdr:row>9</xdr:row>
      <xdr:rowOff>95250</xdr:rowOff>
    </xdr:from>
    <xdr:to>
      <xdr:col>3</xdr:col>
      <xdr:colOff>774700</xdr:colOff>
      <xdr:row>11</xdr:row>
      <xdr:rowOff>107950</xdr:rowOff>
    </xdr:to>
    <xdr:sp macro="PID_AdminRunPerfBaseline" textlink="">
      <xdr:nvSpPr>
        <xdr:cNvPr id="35" name="btn_Admin_Perf">
          <a:extLst>
            <a:ext uri="{FF2B5EF4-FFF2-40B4-BE49-F238E27FC236}">
              <a16:creationId xmlns:a16="http://schemas.microsoft.com/office/drawing/2014/main" id="{E0D38659-91D7-E2FF-3C75-94EBECAC3F9B}"/>
            </a:ext>
          </a:extLst>
        </xdr:cNvPr>
        <xdr:cNvSpPr/>
      </xdr:nvSpPr>
      <xdr:spPr>
        <a:xfrm>
          <a:off x="2241550" y="1835150"/>
          <a:ext cx="1879600" cy="3810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Perf. Baseline</a:t>
          </a:r>
        </a:p>
      </xdr:txBody>
    </xdr:sp>
    <xdr:clientData/>
  </xdr:twoCellAnchor>
  <xdr:twoCellAnchor editAs="absolute">
    <xdr:from>
      <xdr:col>1</xdr:col>
      <xdr:colOff>0</xdr:colOff>
      <xdr:row>12</xdr:row>
      <xdr:rowOff>50800</xdr:rowOff>
    </xdr:from>
    <xdr:to>
      <xdr:col>2</xdr:col>
      <xdr:colOff>298450</xdr:colOff>
      <xdr:row>14</xdr:row>
      <xdr:rowOff>63500</xdr:rowOff>
    </xdr:to>
    <xdr:sp macro="PID_AdminRunProtectAll" textlink="">
      <xdr:nvSpPr>
        <xdr:cNvPr id="36" name="btn_Admin_Protect">
          <a:extLst>
            <a:ext uri="{FF2B5EF4-FFF2-40B4-BE49-F238E27FC236}">
              <a16:creationId xmlns:a16="http://schemas.microsoft.com/office/drawing/2014/main" id="{EC7EB251-3ED1-EA2C-9B9D-BECF3BAF865C}"/>
            </a:ext>
          </a:extLst>
        </xdr:cNvPr>
        <xdr:cNvSpPr/>
      </xdr:nvSpPr>
      <xdr:spPr>
        <a:xfrm>
          <a:off x="184150" y="2343150"/>
          <a:ext cx="1879600" cy="381000"/>
        </a:xfrm>
        <a:prstGeom prst="roundRect">
          <a:avLst>
            <a:gd name="adj" fmla="val 16000"/>
          </a:avLst>
        </a:prstGeom>
        <a:solidFill>
          <a:srgbClr val="F8F8F8"/>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Schutz AN</a:t>
          </a:r>
        </a:p>
      </xdr:txBody>
    </xdr:sp>
    <xdr:clientData/>
  </xdr:twoCellAnchor>
  <xdr:twoCellAnchor editAs="absolute">
    <xdr:from>
      <xdr:col>2</xdr:col>
      <xdr:colOff>476250</xdr:colOff>
      <xdr:row>12</xdr:row>
      <xdr:rowOff>50800</xdr:rowOff>
    </xdr:from>
    <xdr:to>
      <xdr:col>3</xdr:col>
      <xdr:colOff>774700</xdr:colOff>
      <xdr:row>14</xdr:row>
      <xdr:rowOff>63500</xdr:rowOff>
    </xdr:to>
    <xdr:sp macro="PID_AdminRunUnprotectAll" textlink="">
      <xdr:nvSpPr>
        <xdr:cNvPr id="37" name="btn_Admin_Unprotect">
          <a:extLst>
            <a:ext uri="{FF2B5EF4-FFF2-40B4-BE49-F238E27FC236}">
              <a16:creationId xmlns:a16="http://schemas.microsoft.com/office/drawing/2014/main" id="{BFAF405B-E3FD-ED1C-EBFB-4F28E4C5094C}"/>
            </a:ext>
          </a:extLst>
        </xdr:cNvPr>
        <xdr:cNvSpPr/>
      </xdr:nvSpPr>
      <xdr:spPr>
        <a:xfrm>
          <a:off x="2241550" y="2343150"/>
          <a:ext cx="1879600" cy="3810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Schutz AUS</a:t>
          </a:r>
        </a:p>
      </xdr:txBody>
    </xdr:sp>
    <xdr:clientData/>
  </xdr:twoCellAnchor>
  <xdr:twoCellAnchor editAs="absolute">
    <xdr:from>
      <xdr:col>1</xdr:col>
      <xdr:colOff>0</xdr:colOff>
      <xdr:row>15</xdr:row>
      <xdr:rowOff>6350</xdr:rowOff>
    </xdr:from>
    <xdr:to>
      <xdr:col>2</xdr:col>
      <xdr:colOff>298450</xdr:colOff>
      <xdr:row>17</xdr:row>
      <xdr:rowOff>19050</xdr:rowOff>
    </xdr:to>
    <xdr:sp macro="PID_AdminShowTechSheets" textlink="">
      <xdr:nvSpPr>
        <xdr:cNvPr id="38" name="btn_Admin_ShowTech">
          <a:extLst>
            <a:ext uri="{FF2B5EF4-FFF2-40B4-BE49-F238E27FC236}">
              <a16:creationId xmlns:a16="http://schemas.microsoft.com/office/drawing/2014/main" id="{7E32280B-1068-9F56-B3C6-AECAD32F0BE0}"/>
            </a:ext>
          </a:extLst>
        </xdr:cNvPr>
        <xdr:cNvSpPr/>
      </xdr:nvSpPr>
      <xdr:spPr>
        <a:xfrm>
          <a:off x="184150" y="2851150"/>
          <a:ext cx="1879600" cy="381000"/>
        </a:xfrm>
        <a:prstGeom prst="roundRect">
          <a:avLst>
            <a:gd name="adj" fmla="val 16000"/>
          </a:avLst>
        </a:prstGeom>
        <a:solidFill>
          <a:srgbClr val="DDEBF7"/>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Tech-Bl. zeigen</a:t>
          </a:r>
        </a:p>
      </xdr:txBody>
    </xdr:sp>
    <xdr:clientData/>
  </xdr:twoCellAnchor>
  <xdr:twoCellAnchor editAs="absolute">
    <xdr:from>
      <xdr:col>2</xdr:col>
      <xdr:colOff>476250</xdr:colOff>
      <xdr:row>15</xdr:row>
      <xdr:rowOff>6350</xdr:rowOff>
    </xdr:from>
    <xdr:to>
      <xdr:col>3</xdr:col>
      <xdr:colOff>774700</xdr:colOff>
      <xdr:row>17</xdr:row>
      <xdr:rowOff>19050</xdr:rowOff>
    </xdr:to>
    <xdr:sp macro="PID_AdminHideTechSheets" textlink="">
      <xdr:nvSpPr>
        <xdr:cNvPr id="39" name="btn_Admin_HideTech">
          <a:extLst>
            <a:ext uri="{FF2B5EF4-FFF2-40B4-BE49-F238E27FC236}">
              <a16:creationId xmlns:a16="http://schemas.microsoft.com/office/drawing/2014/main" id="{726A871D-84D1-E9DB-42B8-EFEE886C659E}"/>
            </a:ext>
          </a:extLst>
        </xdr:cNvPr>
        <xdr:cNvSpPr/>
      </xdr:nvSpPr>
      <xdr:spPr>
        <a:xfrm>
          <a:off x="2241550" y="2851150"/>
          <a:ext cx="1879600" cy="381000"/>
        </a:xfrm>
        <a:prstGeom prst="roundRect">
          <a:avLst>
            <a:gd name="adj" fmla="val 16000"/>
          </a:avLst>
        </a:prstGeom>
        <a:solidFill>
          <a:srgbClr val="DDEBF7"/>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Tech-Bl. verbergen</a:t>
          </a:r>
        </a:p>
      </xdr:txBody>
    </xdr:sp>
    <xdr:clientData/>
  </xdr:twoCellAnchor>
  <xdr:twoCellAnchor editAs="absolute">
    <xdr:from>
      <xdr:col>1</xdr:col>
      <xdr:colOff>0</xdr:colOff>
      <xdr:row>17</xdr:row>
      <xdr:rowOff>146050</xdr:rowOff>
    </xdr:from>
    <xdr:to>
      <xdr:col>2</xdr:col>
      <xdr:colOff>298450</xdr:colOff>
      <xdr:row>19</xdr:row>
      <xdr:rowOff>158750</xdr:rowOff>
    </xdr:to>
    <xdr:sp macro="PID_AdminRunRebuildLohn" textlink="">
      <xdr:nvSpPr>
        <xdr:cNvPr id="40" name="btn_Admin_Lohn">
          <a:extLst>
            <a:ext uri="{FF2B5EF4-FFF2-40B4-BE49-F238E27FC236}">
              <a16:creationId xmlns:a16="http://schemas.microsoft.com/office/drawing/2014/main" id="{5F27BD33-3F71-0DE3-4A5E-4CBF752695EE}"/>
            </a:ext>
          </a:extLst>
        </xdr:cNvPr>
        <xdr:cNvSpPr/>
      </xdr:nvSpPr>
      <xdr:spPr>
        <a:xfrm>
          <a:off x="184150" y="3359150"/>
          <a:ext cx="1879600" cy="3810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LOHNTABELLE</a:t>
          </a:r>
        </a:p>
      </xdr:txBody>
    </xdr:sp>
    <xdr:clientData/>
  </xdr:twoCellAnchor>
  <xdr:twoCellAnchor editAs="absolute">
    <xdr:from>
      <xdr:col>2</xdr:col>
      <xdr:colOff>476250</xdr:colOff>
      <xdr:row>17</xdr:row>
      <xdr:rowOff>146050</xdr:rowOff>
    </xdr:from>
    <xdr:to>
      <xdr:col>3</xdr:col>
      <xdr:colOff>774700</xdr:colOff>
      <xdr:row>19</xdr:row>
      <xdr:rowOff>158750</xdr:rowOff>
    </xdr:to>
    <xdr:sp macro="PID_AdminResetHourOverrideLog" textlink="">
      <xdr:nvSpPr>
        <xdr:cNvPr id="41" name="btn_Admin_ResetHours">
          <a:extLst>
            <a:ext uri="{FF2B5EF4-FFF2-40B4-BE49-F238E27FC236}">
              <a16:creationId xmlns:a16="http://schemas.microsoft.com/office/drawing/2014/main" id="{6AC8B762-BC73-30A0-E6BE-470809D2B7C8}"/>
            </a:ext>
          </a:extLst>
        </xdr:cNvPr>
        <xdr:cNvSpPr/>
      </xdr:nvSpPr>
      <xdr:spPr>
        <a:xfrm>
          <a:off x="2241550" y="3359150"/>
          <a:ext cx="1879600" cy="3810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Stunden-Log</a:t>
          </a:r>
        </a:p>
      </xdr:txBody>
    </xdr:sp>
    <xdr:clientData/>
  </xdr:twoCellAnchor>
  <xdr:twoCellAnchor editAs="absolute">
    <xdr:from>
      <xdr:col>1</xdr:col>
      <xdr:colOff>0</xdr:colOff>
      <xdr:row>20</xdr:row>
      <xdr:rowOff>101600</xdr:rowOff>
    </xdr:from>
    <xdr:to>
      <xdr:col>2</xdr:col>
      <xdr:colOff>298450</xdr:colOff>
      <xdr:row>22</xdr:row>
      <xdr:rowOff>114300</xdr:rowOff>
    </xdr:to>
    <xdr:sp macro="PID_AdminOpenSmokeSheet" textlink="">
      <xdr:nvSpPr>
        <xdr:cNvPr id="42" name="btn_Admin_SmokeSheet">
          <a:extLst>
            <a:ext uri="{FF2B5EF4-FFF2-40B4-BE49-F238E27FC236}">
              <a16:creationId xmlns:a16="http://schemas.microsoft.com/office/drawing/2014/main" id="{49607D40-C210-7739-FD22-AB2B16D79843}"/>
            </a:ext>
          </a:extLst>
        </xdr:cNvPr>
        <xdr:cNvSpPr/>
      </xdr:nvSpPr>
      <xdr:spPr>
        <a:xfrm>
          <a:off x="184150" y="3867150"/>
          <a:ext cx="1879600" cy="381000"/>
        </a:xfrm>
        <a:prstGeom prst="roundRect">
          <a:avLst>
            <a:gd name="adj" fmla="val 16000"/>
          </a:avLst>
        </a:prstGeom>
        <a:solidFill>
          <a:srgbClr val="F8F8F8"/>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SYSTEM_CHECK</a:t>
          </a:r>
        </a:p>
      </xdr:txBody>
    </xdr:sp>
    <xdr:clientData/>
  </xdr:twoCellAnchor>
  <xdr:twoCellAnchor editAs="absolute">
    <xdr:from>
      <xdr:col>2</xdr:col>
      <xdr:colOff>476250</xdr:colOff>
      <xdr:row>20</xdr:row>
      <xdr:rowOff>101600</xdr:rowOff>
    </xdr:from>
    <xdr:to>
      <xdr:col>3</xdr:col>
      <xdr:colOff>774700</xdr:colOff>
      <xdr:row>22</xdr:row>
      <xdr:rowOff>114300</xdr:rowOff>
    </xdr:to>
    <xdr:sp macro="PID_AdminHidePanel" textlink="">
      <xdr:nvSpPr>
        <xdr:cNvPr id="43" name="btn_Admin_Hide">
          <a:extLst>
            <a:ext uri="{FF2B5EF4-FFF2-40B4-BE49-F238E27FC236}">
              <a16:creationId xmlns:a16="http://schemas.microsoft.com/office/drawing/2014/main" id="{22D3C8D0-CECE-E1AB-DACA-BC4D423910D3}"/>
            </a:ext>
          </a:extLst>
        </xdr:cNvPr>
        <xdr:cNvSpPr/>
      </xdr:nvSpPr>
      <xdr:spPr>
        <a:xfrm>
          <a:off x="2241550" y="3867150"/>
          <a:ext cx="1879600" cy="381000"/>
        </a:xfrm>
        <a:prstGeom prst="roundRect">
          <a:avLst>
            <a:gd name="adj" fmla="val 16000"/>
          </a:avLst>
        </a:prstGeom>
        <a:solidFill>
          <a:srgbClr val="F8F8F8"/>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Admin verbergen</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63500</xdr:colOff>
      <xdr:row>1</xdr:row>
      <xdr:rowOff>44450</xdr:rowOff>
    </xdr:from>
    <xdr:to>
      <xdr:col>2</xdr:col>
      <xdr:colOff>885826</xdr:colOff>
      <xdr:row>1</xdr:row>
      <xdr:rowOff>260350</xdr:rowOff>
    </xdr:to>
    <xdr:sp macro="AddNewKVPeriodOnTop" textlink="">
      <xdr:nvSpPr>
        <xdr:cNvPr id="2" name="btn_AddNewKVPeriodOnTop">
          <a:extLst>
            <a:ext uri="{FF2B5EF4-FFF2-40B4-BE49-F238E27FC236}">
              <a16:creationId xmlns:a16="http://schemas.microsoft.com/office/drawing/2014/main" id="{3564EA8B-2B11-A017-B37A-095AB3D27A9A}"/>
            </a:ext>
          </a:extLst>
        </xdr:cNvPr>
        <xdr:cNvSpPr/>
      </xdr:nvSpPr>
      <xdr:spPr>
        <a:xfrm>
          <a:off x="63500" y="298450"/>
          <a:ext cx="3209925" cy="2159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1) Neue Periode</a:t>
          </a:r>
        </a:p>
      </xdr:txBody>
    </xdr:sp>
    <xdr:clientData/>
  </xdr:twoCellAnchor>
  <xdr:twoCellAnchor editAs="absolute">
    <xdr:from>
      <xdr:col>2</xdr:col>
      <xdr:colOff>949326</xdr:colOff>
      <xdr:row>1</xdr:row>
      <xdr:rowOff>44450</xdr:rowOff>
    </xdr:from>
    <xdr:to>
      <xdr:col>5</xdr:col>
      <xdr:colOff>874182</xdr:colOff>
      <xdr:row>1</xdr:row>
      <xdr:rowOff>260350</xdr:rowOff>
    </xdr:to>
    <xdr:sp macro="AddCustomKVMonatsstunden" textlink="">
      <xdr:nvSpPr>
        <xdr:cNvPr id="3" name="btn_AddCustomKVMonatsstunden">
          <a:extLst>
            <a:ext uri="{FF2B5EF4-FFF2-40B4-BE49-F238E27FC236}">
              <a16:creationId xmlns:a16="http://schemas.microsoft.com/office/drawing/2014/main" id="{C24C570C-4C73-3606-19B4-B08B825F37B4}"/>
            </a:ext>
          </a:extLst>
        </xdr:cNvPr>
        <xdr:cNvSpPr/>
      </xdr:nvSpPr>
      <xdr:spPr>
        <a:xfrm>
          <a:off x="3336925" y="298450"/>
          <a:ext cx="3209925" cy="215900"/>
        </a:xfrm>
        <a:prstGeom prst="roundRect">
          <a:avLst>
            <a:gd name="adj" fmla="val 16000"/>
          </a:avLst>
        </a:prstGeom>
        <a:solidFill>
          <a:srgbClr val="DDEBF7"/>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2) Eigene Stunden</a:t>
          </a:r>
        </a:p>
      </xdr:txBody>
    </xdr:sp>
    <xdr:clientData/>
  </xdr:twoCellAnchor>
  <xdr:twoCellAnchor editAs="absolute">
    <xdr:from>
      <xdr:col>5</xdr:col>
      <xdr:colOff>937682</xdr:colOff>
      <xdr:row>1</xdr:row>
      <xdr:rowOff>44450</xdr:rowOff>
    </xdr:from>
    <xdr:to>
      <xdr:col>8</xdr:col>
      <xdr:colOff>111124</xdr:colOff>
      <xdr:row>1</xdr:row>
      <xdr:rowOff>260350</xdr:rowOff>
    </xdr:to>
    <xdr:sp macro="DeleteSelectedKVPeriods" textlink="">
      <xdr:nvSpPr>
        <xdr:cNvPr id="4" name="btn_DeleteKVPeriods">
          <a:extLst>
            <a:ext uri="{FF2B5EF4-FFF2-40B4-BE49-F238E27FC236}">
              <a16:creationId xmlns:a16="http://schemas.microsoft.com/office/drawing/2014/main" id="{B572570C-6187-05B9-D0BE-8CA2E8C48D2C}"/>
            </a:ext>
          </a:extLst>
        </xdr:cNvPr>
        <xdr:cNvSpPr/>
      </xdr:nvSpPr>
      <xdr:spPr>
        <a:xfrm>
          <a:off x="6610350" y="298450"/>
          <a:ext cx="3209925" cy="2159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3) Alte Periode löschen</a:t>
          </a:r>
        </a:p>
      </xdr:txBody>
    </xdr:sp>
    <xdr:clientData/>
  </xdr:twoCellAnchor>
  <xdr:twoCellAnchor editAs="absolute">
    <xdr:from>
      <xdr:col>8</xdr:col>
      <xdr:colOff>111124</xdr:colOff>
      <xdr:row>1</xdr:row>
      <xdr:rowOff>44450</xdr:rowOff>
    </xdr:from>
    <xdr:to>
      <xdr:col>9</xdr:col>
      <xdr:colOff>1585384</xdr:colOff>
      <xdr:row>1</xdr:row>
      <xdr:rowOff>260350</xdr:rowOff>
    </xdr:to>
    <xdr:sp macro="DeleteCustomKVMonatsstunden" textlink="">
      <xdr:nvSpPr>
        <xdr:cNvPr id="5" name="btn_DeleteCustomKVMonatsstunden">
          <a:extLst>
            <a:ext uri="{FF2B5EF4-FFF2-40B4-BE49-F238E27FC236}">
              <a16:creationId xmlns:a16="http://schemas.microsoft.com/office/drawing/2014/main" id="{D1379986-60FF-A4B9-0818-1D340436594C}"/>
            </a:ext>
          </a:extLst>
        </xdr:cNvPr>
        <xdr:cNvSpPr/>
      </xdr:nvSpPr>
      <xdr:spPr>
        <a:xfrm>
          <a:off x="9883775" y="298450"/>
          <a:ext cx="3209925" cy="215900"/>
        </a:xfrm>
        <a:prstGeom prst="roundRect">
          <a:avLst>
            <a:gd name="adj" fmla="val 16000"/>
          </a:avLst>
        </a:prstGeom>
        <a:solidFill>
          <a:srgbClr val="F8F8F8"/>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4) Stunde löschen</a:t>
          </a: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14</xdr:col>
      <xdr:colOff>76200</xdr:colOff>
      <xdr:row>0</xdr:row>
      <xdr:rowOff>50800</xdr:rowOff>
    </xdr:from>
    <xdr:to>
      <xdr:col>17</xdr:col>
      <xdr:colOff>501650</xdr:colOff>
      <xdr:row>1</xdr:row>
      <xdr:rowOff>127000</xdr:rowOff>
    </xdr:to>
    <xdr:sp macro="CopyData" textlink="">
      <xdr:nvSpPr>
        <xdr:cNvPr id="4" name="btn_CopyDataMonth">
          <a:extLst>
            <a:ext uri="{FF2B5EF4-FFF2-40B4-BE49-F238E27FC236}">
              <a16:creationId xmlns:a16="http://schemas.microsoft.com/office/drawing/2014/main" id="{A50712D4-2554-C7B7-C461-4B4683FEFC00}"/>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CBD84E76-9592-4B2E-A72B-780142AFAA1A}"/>
            </a:ext>
          </a:extLst>
        </xdr:cNvPr>
        <xdr:cNvSpPr/>
      </xdr:nvSpPr>
      <xdr:spPr>
        <a:xfrm>
          <a:off x="189420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3" name="btn_CopyDataMonth">
          <a:extLst>
            <a:ext uri="{FF2B5EF4-FFF2-40B4-BE49-F238E27FC236}">
              <a16:creationId xmlns:a16="http://schemas.microsoft.com/office/drawing/2014/main" id="{CA227C7E-68EF-195D-ECDC-61F75D71C09C}"/>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965E14F4-42E5-443E-BE9E-32D5BE75956A}"/>
            </a:ext>
          </a:extLst>
        </xdr:cNvPr>
        <xdr:cNvSpPr/>
      </xdr:nvSpPr>
      <xdr:spPr>
        <a:xfrm>
          <a:off x="189420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3" name="btn_CopyDataMonth">
          <a:extLst>
            <a:ext uri="{FF2B5EF4-FFF2-40B4-BE49-F238E27FC236}">
              <a16:creationId xmlns:a16="http://schemas.microsoft.com/office/drawing/2014/main" id="{3935C03F-996F-9902-94D2-5E4F54BD0B9D}"/>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7DB19571-57EA-46CD-A333-A38D408950D4}"/>
            </a:ext>
          </a:extLst>
        </xdr:cNvPr>
        <xdr:cNvSpPr/>
      </xdr:nvSpPr>
      <xdr:spPr>
        <a:xfrm>
          <a:off x="190500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4" name="btn_CopyDataMonth">
          <a:extLst>
            <a:ext uri="{FF2B5EF4-FFF2-40B4-BE49-F238E27FC236}">
              <a16:creationId xmlns:a16="http://schemas.microsoft.com/office/drawing/2014/main" id="{9D674794-68F2-E482-8B22-DF6A9A218916}"/>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7EFEC6BD-B8D6-40AB-A5C4-0CEFE39E0E27}"/>
            </a:ext>
          </a:extLst>
        </xdr:cNvPr>
        <xdr:cNvSpPr/>
      </xdr:nvSpPr>
      <xdr:spPr>
        <a:xfrm>
          <a:off x="190373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4" name="btn_CopyDataMonth">
          <a:extLst>
            <a:ext uri="{FF2B5EF4-FFF2-40B4-BE49-F238E27FC236}">
              <a16:creationId xmlns:a16="http://schemas.microsoft.com/office/drawing/2014/main" id="{76D81E31-0F8C-34D3-A374-5519AB3CF02A}"/>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34F42C4E-3211-C149-83A2-6E9C8B6712F0}"/>
            </a:ext>
          </a:extLst>
        </xdr:cNvPr>
        <xdr:cNvSpPr/>
      </xdr:nvSpPr>
      <xdr:spPr>
        <a:xfrm>
          <a:off x="188531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3" name="btn_CopyDataMonth">
          <a:extLst>
            <a:ext uri="{FF2B5EF4-FFF2-40B4-BE49-F238E27FC236}">
              <a16:creationId xmlns:a16="http://schemas.microsoft.com/office/drawing/2014/main" id="{F647AEB7-7890-052C-0881-EDD2543B97B0}"/>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8AAF8835-C08B-4BEC-B025-348B6E52485D}"/>
            </a:ext>
          </a:extLst>
        </xdr:cNvPr>
        <xdr:cNvSpPr/>
      </xdr:nvSpPr>
      <xdr:spPr>
        <a:xfrm>
          <a:off x="189420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3" name="btn_CopyDataMonth">
          <a:extLst>
            <a:ext uri="{FF2B5EF4-FFF2-40B4-BE49-F238E27FC236}">
              <a16:creationId xmlns:a16="http://schemas.microsoft.com/office/drawing/2014/main" id="{878FFB45-85A3-B563-6795-A0F5E83453DE}"/>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D1817145-B0AC-4265-85C7-5E9D9C29F707}"/>
            </a:ext>
          </a:extLst>
        </xdr:cNvPr>
        <xdr:cNvSpPr/>
      </xdr:nvSpPr>
      <xdr:spPr>
        <a:xfrm>
          <a:off x="189992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3" name="btn_CopyDataMonth">
          <a:extLst>
            <a:ext uri="{FF2B5EF4-FFF2-40B4-BE49-F238E27FC236}">
              <a16:creationId xmlns:a16="http://schemas.microsoft.com/office/drawing/2014/main" id="{23891325-B764-BF99-B6DD-8ABEF31C5DA5}"/>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25B27030-DD97-4D72-9458-0299F688273A}"/>
            </a:ext>
          </a:extLst>
        </xdr:cNvPr>
        <xdr:cNvSpPr/>
      </xdr:nvSpPr>
      <xdr:spPr>
        <a:xfrm>
          <a:off x="189103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3" name="btn_CopyDataMonth">
          <a:extLst>
            <a:ext uri="{FF2B5EF4-FFF2-40B4-BE49-F238E27FC236}">
              <a16:creationId xmlns:a16="http://schemas.microsoft.com/office/drawing/2014/main" id="{FC5364F6-85FE-6548-9B59-3F6E3BB98C0B}"/>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42F424AA-DF50-45B3-AE82-AD894B46ABBD}"/>
            </a:ext>
          </a:extLst>
        </xdr:cNvPr>
        <xdr:cNvSpPr/>
      </xdr:nvSpPr>
      <xdr:spPr>
        <a:xfrm>
          <a:off x="189293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3" name="btn_CopyDataMonth">
          <a:extLst>
            <a:ext uri="{FF2B5EF4-FFF2-40B4-BE49-F238E27FC236}">
              <a16:creationId xmlns:a16="http://schemas.microsoft.com/office/drawing/2014/main" id="{C3FD2B71-5694-B0E0-193D-4CC3657958D2}"/>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DE0AD477-D6CF-42DF-AF13-33A5F85CE1EF}"/>
            </a:ext>
          </a:extLst>
        </xdr:cNvPr>
        <xdr:cNvSpPr/>
      </xdr:nvSpPr>
      <xdr:spPr>
        <a:xfrm>
          <a:off x="190373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3" name="btn_CopyDataMonth">
          <a:extLst>
            <a:ext uri="{FF2B5EF4-FFF2-40B4-BE49-F238E27FC236}">
              <a16:creationId xmlns:a16="http://schemas.microsoft.com/office/drawing/2014/main" id="{09FF025A-BCAE-C2C6-0229-D20CCEB01381}"/>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14.xml><?xml version="1.0" encoding="utf-8"?>
<xdr:wsDr xmlns:xdr="http://schemas.openxmlformats.org/drawingml/2006/spreadsheetDrawing" xmlns:a="http://schemas.openxmlformats.org/drawingml/2006/main">
  <xdr:twoCellAnchor editAs="absolute">
    <xdr:from>
      <xdr:col>14</xdr:col>
      <xdr:colOff>76200</xdr:colOff>
      <xdr:row>0</xdr:row>
      <xdr:rowOff>50800</xdr:rowOff>
    </xdr:from>
    <xdr:to>
      <xdr:col>17</xdr:col>
      <xdr:colOff>501650</xdr:colOff>
      <xdr:row>1</xdr:row>
      <xdr:rowOff>127000</xdr:rowOff>
    </xdr:to>
    <xdr:sp macro="CopyData" textlink="">
      <xdr:nvSpPr>
        <xdr:cNvPr id="3" name="btn_CopyDataMonth">
          <a:extLst>
            <a:ext uri="{FF2B5EF4-FFF2-40B4-BE49-F238E27FC236}">
              <a16:creationId xmlns:a16="http://schemas.microsoft.com/office/drawing/2014/main" id="{DBC22AED-880F-8DCF-3BA6-3A9C389E14AD}"/>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15.xml><?xml version="1.0" encoding="utf-8"?>
<xdr:wsDr xmlns:xdr="http://schemas.openxmlformats.org/drawingml/2006/spreadsheetDrawing" xmlns:a="http://schemas.openxmlformats.org/drawingml/2006/main">
  <xdr:twoCellAnchor editAs="oneCell">
    <xdr:from>
      <xdr:col>1</xdr:col>
      <xdr:colOff>152854</xdr:colOff>
      <xdr:row>3</xdr:row>
      <xdr:rowOff>352713</xdr:rowOff>
    </xdr:from>
    <xdr:to>
      <xdr:col>1</xdr:col>
      <xdr:colOff>708025</xdr:colOff>
      <xdr:row>5</xdr:row>
      <xdr:rowOff>92363</xdr:rowOff>
    </xdr:to>
    <xdr:pic>
      <xdr:nvPicPr>
        <xdr:cNvPr id="3" name="Grafik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flipH="1">
          <a:off x="499218" y="941531"/>
          <a:ext cx="555171" cy="4762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xdr:from>
      <xdr:col>0</xdr:col>
      <xdr:colOff>0</xdr:colOff>
      <xdr:row>24</xdr:row>
      <xdr:rowOff>0</xdr:rowOff>
    </xdr:from>
    <xdr:to>
      <xdr:col>2</xdr:col>
      <xdr:colOff>552450</xdr:colOff>
      <xdr:row>38</xdr:row>
      <xdr:rowOff>0</xdr:rowOff>
    </xdr:to>
    <xdr:graphicFrame macro="">
      <xdr:nvGraphicFramePr>
        <xdr:cNvPr id="2" name="Diagramm 1">
          <a:extLst>
            <a:ext uri="{FF2B5EF4-FFF2-40B4-BE49-F238E27FC236}">
              <a16:creationId xmlns:a16="http://schemas.microsoft.com/office/drawing/2014/main" id="{6780F194-44C3-E244-D233-53D08D62EBC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755650</xdr:colOff>
      <xdr:row>24</xdr:row>
      <xdr:rowOff>0</xdr:rowOff>
    </xdr:from>
    <xdr:to>
      <xdr:col>4</xdr:col>
      <xdr:colOff>844550</xdr:colOff>
      <xdr:row>38</xdr:row>
      <xdr:rowOff>0</xdr:rowOff>
    </xdr:to>
    <xdr:graphicFrame macro="">
      <xdr:nvGraphicFramePr>
        <xdr:cNvPr id="3" name="Diagramm 2">
          <a:extLst>
            <a:ext uri="{FF2B5EF4-FFF2-40B4-BE49-F238E27FC236}">
              <a16:creationId xmlns:a16="http://schemas.microsoft.com/office/drawing/2014/main" id="{CC74F097-CF56-7A01-7D99-92D046FA522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38</xdr:row>
      <xdr:rowOff>152400</xdr:rowOff>
    </xdr:from>
    <xdr:to>
      <xdr:col>4</xdr:col>
      <xdr:colOff>844550</xdr:colOff>
      <xdr:row>52</xdr:row>
      <xdr:rowOff>152400</xdr:rowOff>
    </xdr:to>
    <xdr:graphicFrame macro="">
      <xdr:nvGraphicFramePr>
        <xdr:cNvPr id="4" name="Diagramm 3">
          <a:extLst>
            <a:ext uri="{FF2B5EF4-FFF2-40B4-BE49-F238E27FC236}">
              <a16:creationId xmlns:a16="http://schemas.microsoft.com/office/drawing/2014/main" id="{829C1929-2E22-9EF5-AAA6-E523CE22A2F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3.bin"/></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EDADBB-1A01-456F-8D74-E7A7C1E408EF}">
  <sheetPr codeName="Tabelle18">
    <tabColor rgb="FFC00000"/>
  </sheetPr>
  <dimension ref="B1:E3"/>
  <sheetViews>
    <sheetView workbookViewId="0">
      <selection activeCell="F17" sqref="F17"/>
    </sheetView>
  </sheetViews>
  <sheetFormatPr baseColWidth="10" defaultRowHeight="14.5"/>
  <cols>
    <col min="1" max="1" width="2.6328125" style="260" customWidth="1"/>
    <col min="2" max="5" width="22.6328125" style="260" customWidth="1"/>
    <col min="6" max="16384" width="10.90625" style="260"/>
  </cols>
  <sheetData>
    <row r="1" spans="2:5" ht="21">
      <c r="B1" s="156" t="s">
        <v>388</v>
      </c>
      <c r="C1" s="157"/>
      <c r="D1" s="157"/>
      <c r="E1" s="157"/>
    </row>
    <row r="2" spans="2:5">
      <c r="B2" s="158" t="s">
        <v>389</v>
      </c>
      <c r="C2" s="159"/>
      <c r="D2" s="159"/>
      <c r="E2" s="159"/>
    </row>
    <row r="3" spans="2:5">
      <c r="B3" s="94" t="s">
        <v>390</v>
      </c>
      <c r="C3" s="94">
        <v>2026</v>
      </c>
      <c r="D3" s="94" t="s">
        <v>391</v>
      </c>
      <c r="E3" s="94">
        <v>16</v>
      </c>
    </row>
  </sheetData>
  <mergeCells count="2">
    <mergeCell ref="B1:E1"/>
    <mergeCell ref="B2:E2"/>
  </mergeCells>
  <pageMargins left="0.7" right="0.7" top="0.78740157499999996" bottom="0.78740157499999996"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7E50DC-6A2C-6747-BC8B-D9AA73B73494}">
  <sheetPr codeName="Tabelle20"/>
  <dimension ref="A1:O162"/>
  <sheetViews>
    <sheetView showGridLines="0" tabSelected="1" zoomScale="120" zoomScaleNormal="120" workbookViewId="0">
      <pane ySplit="3" topLeftCell="A4" activePane="bottomLeft" state="frozen"/>
      <selection pane="bottomLeft" activeCell="G15" sqref="G15"/>
    </sheetView>
  </sheetViews>
  <sheetFormatPr baseColWidth="10" defaultRowHeight="18" customHeight="1"/>
  <cols>
    <col min="1" max="1" width="16.6328125" style="6" customWidth="1"/>
    <col min="2" max="4" width="14.6328125" style="6" customWidth="1"/>
    <col min="5" max="5" width="13.6328125" style="6" customWidth="1"/>
    <col min="6" max="6" width="25.6328125" style="6" customWidth="1"/>
    <col min="7" max="7" width="13.6328125" style="6" customWidth="1"/>
    <col min="8" max="8" width="14.6328125" style="7" customWidth="1"/>
    <col min="9" max="9" width="22.6328125" style="6" customWidth="1"/>
    <col min="10" max="10" width="24.6328125" style="6" customWidth="1"/>
    <col min="11" max="11" width="3.6328125" hidden="1" customWidth="1"/>
    <col min="12" max="14" width="18.81640625" customWidth="1"/>
    <col min="27" max="29" width="0" hidden="1" customWidth="1"/>
  </cols>
  <sheetData>
    <row r="1" spans="1:15" ht="20" customHeight="1">
      <c r="A1" s="160" t="s">
        <v>277</v>
      </c>
      <c r="B1" s="160"/>
      <c r="C1" s="160"/>
      <c r="D1" s="160"/>
      <c r="E1" s="160"/>
      <c r="F1" s="160"/>
      <c r="G1" s="160"/>
      <c r="H1" s="160"/>
      <c r="I1" s="160"/>
      <c r="J1" s="160"/>
    </row>
    <row r="2" spans="1:15" ht="24" customHeight="1">
      <c r="A2" s="375"/>
      <c r="B2" s="375"/>
      <c r="C2" s="375"/>
      <c r="D2" s="375"/>
      <c r="E2" s="375"/>
      <c r="F2" s="375"/>
      <c r="G2" s="375"/>
      <c r="H2" s="376"/>
      <c r="I2" s="377"/>
      <c r="J2" s="377"/>
      <c r="L2" s="161" t="s">
        <v>378</v>
      </c>
      <c r="M2" s="161"/>
      <c r="N2" s="161"/>
      <c r="O2" s="75"/>
    </row>
    <row r="3" spans="1:15" ht="18" customHeight="1">
      <c r="A3" s="62" t="s">
        <v>282</v>
      </c>
      <c r="B3" s="62" t="s">
        <v>348</v>
      </c>
      <c r="C3" s="62" t="s">
        <v>349</v>
      </c>
      <c r="D3" s="62" t="s">
        <v>286</v>
      </c>
      <c r="E3" s="62" t="s">
        <v>283</v>
      </c>
      <c r="F3" s="62" t="s">
        <v>350</v>
      </c>
      <c r="G3" s="62" t="s">
        <v>284</v>
      </c>
      <c r="H3" s="63" t="s">
        <v>1</v>
      </c>
      <c r="I3" s="62" t="s">
        <v>285</v>
      </c>
      <c r="J3" s="62" t="s">
        <v>351</v>
      </c>
    </row>
    <row r="4" spans="1:15" ht="24" customHeight="1" thickBot="1">
      <c r="A4" s="409" t="s">
        <v>352</v>
      </c>
      <c r="B4" s="386"/>
      <c r="C4" s="386"/>
      <c r="D4" s="387"/>
      <c r="E4" s="387"/>
      <c r="F4" s="387"/>
      <c r="G4" s="388"/>
      <c r="H4" s="389"/>
      <c r="I4" s="390"/>
      <c r="J4" s="416"/>
    </row>
    <row r="5" spans="1:15" ht="24" customHeight="1">
      <c r="A5" s="410" t="s">
        <v>290</v>
      </c>
      <c r="B5" s="391">
        <v>45778</v>
      </c>
      <c r="C5" s="391">
        <v>46142</v>
      </c>
      <c r="D5" s="392" t="s">
        <v>287</v>
      </c>
      <c r="E5" s="392" t="s">
        <v>2</v>
      </c>
      <c r="F5" s="392" t="s">
        <v>278</v>
      </c>
      <c r="G5" s="76">
        <v>173</v>
      </c>
      <c r="H5" s="77">
        <v>2021</v>
      </c>
      <c r="I5" s="393" t="str">
        <f>IF($A5="","",IF(OR($B5="",$C5="",$D5="",$E5="",$F5=""),"Stammdaten fehlen",IF(AND($G5="",$H5=""),"Werte fehlen",IF($G5="","Monatsstunden fehlen",IF($H5="","Monatslohn fehlt","OK")))))</f>
        <v>OK</v>
      </c>
      <c r="J5" s="417" t="str">
        <f>IF($G5="","",IF(COUNTIFS($A:$A,$A5,$D:$D,$D5,$G:$G,$G5)&gt;1,"Doppelte Monatsstunden",""))</f>
        <v/>
      </c>
    </row>
    <row r="6" spans="1:15" ht="24" customHeight="1">
      <c r="A6" s="411" t="s">
        <v>290</v>
      </c>
      <c r="B6" s="394">
        <v>45778</v>
      </c>
      <c r="C6" s="394">
        <v>46142</v>
      </c>
      <c r="D6" s="395" t="s">
        <v>287</v>
      </c>
      <c r="E6" s="395" t="s">
        <v>2</v>
      </c>
      <c r="F6" s="395" t="s">
        <v>278</v>
      </c>
      <c r="G6" s="78">
        <v>171</v>
      </c>
      <c r="H6" s="79">
        <v>2500</v>
      </c>
      <c r="I6" s="396" t="str">
        <f>IF($A6="","",IF(OR($B6="",$C6="",$D6="",$E6="",$F6=""),"Stammdaten fehlen",IF(AND($G6="",$H6=""),"Werte fehlen",IF($G6="","Monatsstunden fehlen",IF($H6="","Monatslohn fehlt","OK")))))</f>
        <v>OK</v>
      </c>
      <c r="J6" s="418" t="str">
        <f>IF($G6="","",IF(COUNTIFS($A:$A,$A6,$D:$D,$D6,$G:$G,$G6)&gt;1,"Doppelte Monatsstunden",""))</f>
        <v/>
      </c>
      <c r="K6" t="s">
        <v>384</v>
      </c>
    </row>
    <row r="7" spans="1:15" ht="24" customHeight="1">
      <c r="A7" s="411" t="s">
        <v>290</v>
      </c>
      <c r="B7" s="394">
        <v>45778</v>
      </c>
      <c r="C7" s="394">
        <v>46142</v>
      </c>
      <c r="D7" s="395" t="s">
        <v>287</v>
      </c>
      <c r="E7" s="395" t="s">
        <v>2</v>
      </c>
      <c r="F7" s="395" t="s">
        <v>278</v>
      </c>
      <c r="G7" s="78">
        <v>169</v>
      </c>
      <c r="H7" s="79">
        <v>2000</v>
      </c>
      <c r="I7" s="396" t="str">
        <f>IF($A7="","",IF(OR($B7="",$C7="",$D7="",$E7="",$F7=""),"Stammdaten fehlen",IF(AND($G7="",$H7=""),"Werte fehlen",IF($G7="","Monatsstunden fehlen",IF($H7="","Monatslohn fehlt","OK")))))</f>
        <v>OK</v>
      </c>
      <c r="J7" s="418" t="str">
        <f>IF($G7="","",IF(COUNTIFS($A:$A,$A7,$D:$D,$D7,$G:$G,$G7)&gt;1,"Doppelte Monatsstunden",""))</f>
        <v/>
      </c>
      <c r="K7" t="s">
        <v>384</v>
      </c>
    </row>
    <row r="8" spans="1:15" ht="24" customHeight="1">
      <c r="A8" s="411" t="s">
        <v>290</v>
      </c>
      <c r="B8" s="394">
        <v>45778</v>
      </c>
      <c r="C8" s="394">
        <v>46142</v>
      </c>
      <c r="D8" s="395" t="s">
        <v>287</v>
      </c>
      <c r="E8" s="395" t="s">
        <v>2</v>
      </c>
      <c r="F8" s="395" t="s">
        <v>278</v>
      </c>
      <c r="G8" s="78">
        <v>151.38</v>
      </c>
      <c r="H8" s="79">
        <v>1768.38</v>
      </c>
      <c r="I8" s="396" t="str">
        <f>IF($A8="","",IF(OR($B8="",$C8="",$D8="",$E8="",$F8=""),"Stammdaten fehlen",IF(AND($G8="",$H8=""),"Werte fehlen",IF($G8="","Monatsstunden fehlen",IF($H8="","Monatslohn fehlt","OK")))))</f>
        <v>OK</v>
      </c>
      <c r="J8" s="418" t="str">
        <f>IF($G8="","",IF(COUNTIFS($A:$A,$A8,$D:$D,$D8,$G:$G,$G8)&gt;1,"Doppelte Monatsstunden",""))</f>
        <v/>
      </c>
    </row>
    <row r="9" spans="1:15" ht="24" customHeight="1">
      <c r="A9" s="411" t="s">
        <v>290</v>
      </c>
      <c r="B9" s="394">
        <v>45778</v>
      </c>
      <c r="C9" s="394">
        <v>46142</v>
      </c>
      <c r="D9" s="395" t="s">
        <v>287</v>
      </c>
      <c r="E9" s="395" t="s">
        <v>2</v>
      </c>
      <c r="F9" s="395" t="s">
        <v>278</v>
      </c>
      <c r="G9" s="78">
        <v>138.4</v>
      </c>
      <c r="H9" s="79">
        <v>1616.8</v>
      </c>
      <c r="I9" s="396" t="str">
        <f>IF($A9="","",IF(OR($B9="",$C9="",$D9="",$E9="",$F9=""),"Stammdaten fehlen",IF(AND($G9="",$H9=""),"Werte fehlen",IF($G9="","Monatsstunden fehlen",IF($H9="","Monatslohn fehlt","OK")))))</f>
        <v>OK</v>
      </c>
      <c r="J9" s="418" t="str">
        <f>IF($G9="","",IF(COUNTIFS($A:$A,$A9,$D:$D,$D9,$G:$G,$G9)&gt;1,"Doppelte Monatsstunden",""))</f>
        <v/>
      </c>
    </row>
    <row r="10" spans="1:15" ht="24" customHeight="1">
      <c r="A10" s="411" t="s">
        <v>290</v>
      </c>
      <c r="B10" s="394">
        <v>45778</v>
      </c>
      <c r="C10" s="394">
        <v>46142</v>
      </c>
      <c r="D10" s="395" t="s">
        <v>287</v>
      </c>
      <c r="E10" s="395" t="s">
        <v>2</v>
      </c>
      <c r="F10" s="395" t="s">
        <v>278</v>
      </c>
      <c r="G10" s="78">
        <v>129.75</v>
      </c>
      <c r="H10" s="79">
        <v>1515.75</v>
      </c>
      <c r="I10" s="396" t="str">
        <f>IF($A10="","",IF(OR($B10="",$C10="",$D10="",$E10="",$F10=""),"Stammdaten fehlen",IF(AND($G10="",$H10=""),"Werte fehlen",IF($G10="","Monatsstunden fehlen",IF($H10="","Monatslohn fehlt","OK")))))</f>
        <v>OK</v>
      </c>
      <c r="J10" s="418" t="str">
        <f>IF($G10="","",IF(COUNTIFS($A:$A,$A10,$D:$D,$D10,$G:$G,$G10)&gt;1,"Doppelte Monatsstunden",""))</f>
        <v/>
      </c>
    </row>
    <row r="11" spans="1:15" ht="24" customHeight="1">
      <c r="A11" s="411" t="s">
        <v>290</v>
      </c>
      <c r="B11" s="394">
        <v>45778</v>
      </c>
      <c r="C11" s="394">
        <v>46142</v>
      </c>
      <c r="D11" s="395" t="s">
        <v>287</v>
      </c>
      <c r="E11" s="395" t="s">
        <v>2</v>
      </c>
      <c r="F11" s="395" t="s">
        <v>278</v>
      </c>
      <c r="G11" s="78">
        <v>108.13</v>
      </c>
      <c r="H11" s="79">
        <v>1263.1300000000001</v>
      </c>
      <c r="I11" s="396" t="str">
        <f>IF($A11="","",IF(OR($B11="",$C11="",$D11="",$E11="",$F11=""),"Stammdaten fehlen",IF(AND($G11="",$H11=""),"Werte fehlen",IF($G11="","Monatsstunden fehlen",IF($H11="","Monatslohn fehlt","OK")))))</f>
        <v>OK</v>
      </c>
      <c r="J11" s="418" t="str">
        <f>IF($G11="","",IF(COUNTIFS($A:$A,$A11,$D:$D,$D11,$G:$G,$G11)&gt;1,"Doppelte Monatsstunden",""))</f>
        <v/>
      </c>
    </row>
    <row r="12" spans="1:15" ht="24" customHeight="1">
      <c r="A12" s="411" t="s">
        <v>290</v>
      </c>
      <c r="B12" s="394">
        <v>45778</v>
      </c>
      <c r="C12" s="394">
        <v>46142</v>
      </c>
      <c r="D12" s="395" t="s">
        <v>287</v>
      </c>
      <c r="E12" s="395" t="s">
        <v>2</v>
      </c>
      <c r="F12" s="395" t="s">
        <v>278</v>
      </c>
      <c r="G12" s="78">
        <v>103.8</v>
      </c>
      <c r="H12" s="79">
        <v>1212.5999999999999</v>
      </c>
      <c r="I12" s="396" t="str">
        <f>IF($A12="","",IF(OR($B12="",$C12="",$D12="",$E12="",$F12=""),"Stammdaten fehlen",IF(AND($G12="",$H12=""),"Werte fehlen",IF($G12="","Monatsstunden fehlen",IF($H12="","Monatslohn fehlt","OK")))))</f>
        <v>OK</v>
      </c>
      <c r="J12" s="418" t="str">
        <f>IF($G12="","",IF(COUNTIFS($A:$A,$A12,$D:$D,$D12,$G:$G,$G12)&gt;1,"Doppelte Monatsstunden",""))</f>
        <v/>
      </c>
    </row>
    <row r="13" spans="1:15" ht="24" customHeight="1">
      <c r="A13" s="411" t="s">
        <v>290</v>
      </c>
      <c r="B13" s="394">
        <v>45778</v>
      </c>
      <c r="C13" s="394">
        <v>46142</v>
      </c>
      <c r="D13" s="395" t="s">
        <v>287</v>
      </c>
      <c r="E13" s="395" t="s">
        <v>2</v>
      </c>
      <c r="F13" s="395" t="s">
        <v>278</v>
      </c>
      <c r="G13" s="78">
        <v>86.5</v>
      </c>
      <c r="H13" s="79">
        <v>1010.5</v>
      </c>
      <c r="I13" s="396" t="str">
        <f>IF($A13="","",IF(OR($B13="",$C13="",$D13="",$E13="",$F13=""),"Stammdaten fehlen",IF(AND($G13="",$H13=""),"Werte fehlen",IF($G13="","Monatsstunden fehlen",IF($H13="","Monatslohn fehlt","OK")))))</f>
        <v>OK</v>
      </c>
      <c r="J13" s="418" t="str">
        <f>IF($G13="","",IF(COUNTIFS($A:$A,$A13,$D:$D,$D13,$G:$G,$G13)&gt;1,"Doppelte Monatsstunden",""))</f>
        <v/>
      </c>
    </row>
    <row r="14" spans="1:15" ht="24" customHeight="1">
      <c r="A14" s="411" t="s">
        <v>290</v>
      </c>
      <c r="B14" s="394">
        <v>45778</v>
      </c>
      <c r="C14" s="394">
        <v>46142</v>
      </c>
      <c r="D14" s="395" t="s">
        <v>287</v>
      </c>
      <c r="E14" s="395" t="s">
        <v>2</v>
      </c>
      <c r="F14" s="395" t="s">
        <v>278</v>
      </c>
      <c r="G14" s="78">
        <v>69.2</v>
      </c>
      <c r="H14" s="79">
        <v>808.4</v>
      </c>
      <c r="I14" s="396" t="str">
        <f>IF($A14="","",IF(OR($B14="",$C14="",$D14="",$E14="",$F14=""),"Stammdaten fehlen",IF(AND($G14="",$H14=""),"Werte fehlen",IF($G14="","Monatsstunden fehlen",IF($H14="","Monatslohn fehlt","OK")))))</f>
        <v>OK</v>
      </c>
      <c r="J14" s="418" t="str">
        <f>IF($G14="","",IF(COUNTIFS($A:$A,$A14,$D:$D,$D14,$G:$G,$G14)&gt;1,"Doppelte Monatsstunden",""))</f>
        <v/>
      </c>
    </row>
    <row r="15" spans="1:15" ht="24" customHeight="1">
      <c r="A15" s="411" t="s">
        <v>290</v>
      </c>
      <c r="B15" s="394">
        <v>45778</v>
      </c>
      <c r="C15" s="394">
        <v>46142</v>
      </c>
      <c r="D15" s="395" t="s">
        <v>287</v>
      </c>
      <c r="E15" s="395" t="s">
        <v>2</v>
      </c>
      <c r="F15" s="395" t="s">
        <v>278</v>
      </c>
      <c r="G15" s="78">
        <v>51.9</v>
      </c>
      <c r="H15" s="79">
        <v>606.29999999999995</v>
      </c>
      <c r="I15" s="396" t="str">
        <f>IF($A15="","",IF(OR($B15="",$C15="",$D15="",$E15="",$F15=""),"Stammdaten fehlen",IF(AND($G15="",$H15=""),"Werte fehlen",IF($G15="","Monatsstunden fehlen",IF($H15="","Monatslohn fehlt","OK")))))</f>
        <v>OK</v>
      </c>
      <c r="J15" s="418" t="str">
        <f>IF($G15="","",IF(COUNTIFS($A:$A,$A15,$D:$D,$D15,$G:$G,$G15)&gt;1,"Doppelte Monatsstunden",""))</f>
        <v/>
      </c>
    </row>
    <row r="16" spans="1:15" ht="24" customHeight="1">
      <c r="A16" s="411" t="s">
        <v>290</v>
      </c>
      <c r="B16" s="394">
        <v>45778</v>
      </c>
      <c r="C16" s="394">
        <v>46142</v>
      </c>
      <c r="D16" s="395" t="s">
        <v>287</v>
      </c>
      <c r="E16" s="395" t="s">
        <v>2</v>
      </c>
      <c r="F16" s="395" t="s">
        <v>278</v>
      </c>
      <c r="G16" s="78">
        <v>47.58</v>
      </c>
      <c r="H16" s="79">
        <v>555.78</v>
      </c>
      <c r="I16" s="396" t="str">
        <f>IF($A16="","",IF(OR($B16="",$C16="",$D16="",$E16="",$F16=""),"Stammdaten fehlen",IF(AND($G16="",$H16=""),"Werte fehlen",IF($G16="","Monatsstunden fehlen",IF($H16="","Monatslohn fehlt","OK")))))</f>
        <v>OK</v>
      </c>
      <c r="J16" s="418" t="str">
        <f>IF($G16="","",IF(COUNTIFS($A:$A,$A16,$D:$D,$D16,$G:$G,$G16)&gt;1,"Doppelte Monatsstunden",""))</f>
        <v/>
      </c>
    </row>
    <row r="17" spans="1:10" ht="24" customHeight="1">
      <c r="A17" s="411" t="s">
        <v>290</v>
      </c>
      <c r="B17" s="394">
        <v>45778</v>
      </c>
      <c r="C17" s="394">
        <v>46142</v>
      </c>
      <c r="D17" s="395" t="s">
        <v>287</v>
      </c>
      <c r="E17" s="395" t="s">
        <v>2</v>
      </c>
      <c r="F17" s="395" t="s">
        <v>278</v>
      </c>
      <c r="G17" s="78">
        <v>43.25</v>
      </c>
      <c r="H17" s="79">
        <v>505.25</v>
      </c>
      <c r="I17" s="396" t="str">
        <f>IF($A17="","",IF(OR($B17="",$C17="",$D17="",$E17="",$F17=""),"Stammdaten fehlen",IF(AND($G17="",$H17=""),"Werte fehlen",IF($G17="","Monatsstunden fehlen",IF($H17="","Monatslohn fehlt","OK")))))</f>
        <v>OK</v>
      </c>
      <c r="J17" s="418" t="str">
        <f>IF($G17="","",IF(COUNTIFS($A:$A,$A17,$D:$D,$D17,$G:$G,$G17)&gt;1,"Doppelte Monatsstunden",""))</f>
        <v/>
      </c>
    </row>
    <row r="18" spans="1:10" ht="24" customHeight="1">
      <c r="A18" s="411" t="s">
        <v>290</v>
      </c>
      <c r="B18" s="394">
        <v>45778</v>
      </c>
      <c r="C18" s="394">
        <v>46142</v>
      </c>
      <c r="D18" s="395" t="s">
        <v>287</v>
      </c>
      <c r="E18" s="395" t="s">
        <v>2</v>
      </c>
      <c r="F18" s="395" t="s">
        <v>278</v>
      </c>
      <c r="G18" s="78">
        <v>34.6</v>
      </c>
      <c r="H18" s="79">
        <v>404.2</v>
      </c>
      <c r="I18" s="396" t="str">
        <f>IF($A18="","",IF(OR($B18="",$C18="",$D18="",$E18="",$F18=""),"Stammdaten fehlen",IF(AND($G18="",$H18=""),"Werte fehlen",IF($G18="","Monatsstunden fehlen",IF($H18="","Monatslohn fehlt","OK")))))</f>
        <v>OK</v>
      </c>
      <c r="J18" s="418" t="str">
        <f>IF($G18="","",IF(COUNTIFS($A:$A,$A18,$D:$D,$D18,$G:$G,$G18)&gt;1,"Doppelte Monatsstunden",""))</f>
        <v/>
      </c>
    </row>
    <row r="19" spans="1:10" ht="24" customHeight="1" thickBot="1">
      <c r="A19" s="411" t="s">
        <v>290</v>
      </c>
      <c r="B19" s="394">
        <v>45778</v>
      </c>
      <c r="C19" s="394">
        <v>46142</v>
      </c>
      <c r="D19" s="395" t="s">
        <v>287</v>
      </c>
      <c r="E19" s="395" t="s">
        <v>2</v>
      </c>
      <c r="F19" s="395" t="s">
        <v>278</v>
      </c>
      <c r="G19" s="78">
        <v>32.01</v>
      </c>
      <c r="H19" s="79">
        <v>373.89</v>
      </c>
      <c r="I19" s="396" t="str">
        <f>IF($A19="","",IF(OR($B19="",$C19="",$D19="",$E19="",$F19=""),"Stammdaten fehlen",IF(AND($G19="",$H19=""),"Werte fehlen",IF($G19="","Monatsstunden fehlen",IF($H19="","Monatslohn fehlt","OK")))))</f>
        <v>OK</v>
      </c>
      <c r="J19" s="418" t="str">
        <f>IF($G19="","",IF(COUNTIFS($A:$A,$A19,$D:$D,$D19,$G:$G,$G19)&gt;1,"Doppelte Monatsstunden",""))</f>
        <v/>
      </c>
    </row>
    <row r="20" spans="1:10" ht="24" customHeight="1">
      <c r="A20" s="410" t="s">
        <v>290</v>
      </c>
      <c r="B20" s="391">
        <v>45778</v>
      </c>
      <c r="C20" s="391">
        <v>46142</v>
      </c>
      <c r="D20" s="392" t="s">
        <v>3</v>
      </c>
      <c r="E20" s="392" t="s">
        <v>2</v>
      </c>
      <c r="F20" s="392" t="s">
        <v>279</v>
      </c>
      <c r="G20" s="76">
        <v>173</v>
      </c>
      <c r="H20" s="77">
        <v>2082</v>
      </c>
      <c r="I20" s="393" t="str">
        <f>IF($A20="","",IF(OR($B20="",$C20="",$D20="",$E20="",$F20=""),"Stammdaten fehlen",IF(AND($G20="",$H20=""),"Werte fehlen",IF($G20="","Monatsstunden fehlen",IF($H20="","Monatslohn fehlt","OK")))))</f>
        <v>OK</v>
      </c>
      <c r="J20" s="417" t="str">
        <f>IF($G20="","",IF(COUNTIFS($A:$A,$A20,$D:$D,$D20,$G:$G,$G20)&gt;1,"Doppelte Monatsstunden",""))</f>
        <v/>
      </c>
    </row>
    <row r="21" spans="1:10" ht="24" customHeight="1">
      <c r="A21" s="411" t="s">
        <v>290</v>
      </c>
      <c r="B21" s="394">
        <v>45778</v>
      </c>
      <c r="C21" s="394">
        <v>46142</v>
      </c>
      <c r="D21" s="395" t="s">
        <v>3</v>
      </c>
      <c r="E21" s="395" t="s">
        <v>2</v>
      </c>
      <c r="F21" s="395" t="s">
        <v>279</v>
      </c>
      <c r="G21" s="78">
        <v>151.38</v>
      </c>
      <c r="H21" s="79">
        <v>1821.75</v>
      </c>
      <c r="I21" s="396" t="str">
        <f>IF($A21="","",IF(OR($B21="",$C21="",$D21="",$E21="",$F21=""),"Stammdaten fehlen",IF(AND($G21="",$H21=""),"Werte fehlen",IF($G21="","Monatsstunden fehlen",IF($H21="","Monatslohn fehlt","OK")))))</f>
        <v>OK</v>
      </c>
      <c r="J21" s="418" t="str">
        <f>IF($G21="","",IF(COUNTIFS($A:$A,$A21,$D:$D,$D21,$G:$G,$G21)&gt;1,"Doppelte Monatsstunden",""))</f>
        <v/>
      </c>
    </row>
    <row r="22" spans="1:10" ht="24" customHeight="1">
      <c r="A22" s="411" t="s">
        <v>290</v>
      </c>
      <c r="B22" s="394">
        <v>45778</v>
      </c>
      <c r="C22" s="394">
        <v>46142</v>
      </c>
      <c r="D22" s="395" t="s">
        <v>3</v>
      </c>
      <c r="E22" s="395" t="s">
        <v>2</v>
      </c>
      <c r="F22" s="395" t="s">
        <v>279</v>
      </c>
      <c r="G22" s="78">
        <v>138.4</v>
      </c>
      <c r="H22" s="79">
        <v>1665.6</v>
      </c>
      <c r="I22" s="396" t="str">
        <f>IF($A22="","",IF(OR($B22="",$C22="",$D22="",$E22="",$F22=""),"Stammdaten fehlen",IF(AND($G22="",$H22=""),"Werte fehlen",IF($G22="","Monatsstunden fehlen",IF($H22="","Monatslohn fehlt","OK")))))</f>
        <v>OK</v>
      </c>
      <c r="J22" s="418" t="str">
        <f>IF($G22="","",IF(COUNTIFS($A:$A,$A22,$D:$D,$D22,$G:$G,$G22)&gt;1,"Doppelte Monatsstunden",""))</f>
        <v/>
      </c>
    </row>
    <row r="23" spans="1:10" ht="24" customHeight="1">
      <c r="A23" s="411" t="s">
        <v>290</v>
      </c>
      <c r="B23" s="394">
        <v>45778</v>
      </c>
      <c r="C23" s="394">
        <v>46142</v>
      </c>
      <c r="D23" s="395" t="s">
        <v>3</v>
      </c>
      <c r="E23" s="395" t="s">
        <v>2</v>
      </c>
      <c r="F23" s="395" t="s">
        <v>279</v>
      </c>
      <c r="G23" s="78">
        <v>129.75</v>
      </c>
      <c r="H23" s="79">
        <v>1561.5</v>
      </c>
      <c r="I23" s="396" t="str">
        <f>IF($A23="","",IF(OR($B23="",$C23="",$D23="",$E23="",$F23=""),"Stammdaten fehlen",IF(AND($G23="",$H23=""),"Werte fehlen",IF($G23="","Monatsstunden fehlen",IF($H23="","Monatslohn fehlt","OK")))))</f>
        <v>OK</v>
      </c>
      <c r="J23" s="418" t="str">
        <f>IF($G23="","",IF(COUNTIFS($A:$A,$A23,$D:$D,$D23,$G:$G,$G23)&gt;1,"Doppelte Monatsstunden",""))</f>
        <v/>
      </c>
    </row>
    <row r="24" spans="1:10" ht="24" customHeight="1">
      <c r="A24" s="411" t="s">
        <v>290</v>
      </c>
      <c r="B24" s="394">
        <v>45778</v>
      </c>
      <c r="C24" s="394">
        <v>46142</v>
      </c>
      <c r="D24" s="395" t="s">
        <v>3</v>
      </c>
      <c r="E24" s="395" t="s">
        <v>2</v>
      </c>
      <c r="F24" s="395" t="s">
        <v>279</v>
      </c>
      <c r="G24" s="78">
        <v>108.13</v>
      </c>
      <c r="H24" s="79">
        <v>1301.25</v>
      </c>
      <c r="I24" s="396" t="str">
        <f>IF($A24="","",IF(OR($B24="",$C24="",$D24="",$E24="",$F24=""),"Stammdaten fehlen",IF(AND($G24="",$H24=""),"Werte fehlen",IF($G24="","Monatsstunden fehlen",IF($H24="","Monatslohn fehlt","OK")))))</f>
        <v>OK</v>
      </c>
      <c r="J24" s="418" t="str">
        <f>IF($G24="","",IF(COUNTIFS($A:$A,$A24,$D:$D,$D24,$G:$G,$G24)&gt;1,"Doppelte Monatsstunden",""))</f>
        <v/>
      </c>
    </row>
    <row r="25" spans="1:10" ht="24" customHeight="1">
      <c r="A25" s="411" t="s">
        <v>290</v>
      </c>
      <c r="B25" s="394">
        <v>45778</v>
      </c>
      <c r="C25" s="394">
        <v>46142</v>
      </c>
      <c r="D25" s="395" t="s">
        <v>3</v>
      </c>
      <c r="E25" s="395" t="s">
        <v>2</v>
      </c>
      <c r="F25" s="395" t="s">
        <v>279</v>
      </c>
      <c r="G25" s="78">
        <v>103.8</v>
      </c>
      <c r="H25" s="79">
        <v>1249.2</v>
      </c>
      <c r="I25" s="396" t="str">
        <f>IF($A25="","",IF(OR($B25="",$C25="",$D25="",$E25="",$F25=""),"Stammdaten fehlen",IF(AND($G25="",$H25=""),"Werte fehlen",IF($G25="","Monatsstunden fehlen",IF($H25="","Monatslohn fehlt","OK")))))</f>
        <v>OK</v>
      </c>
      <c r="J25" s="418" t="str">
        <f>IF($G25="","",IF(COUNTIFS($A:$A,$A25,$D:$D,$D25,$G:$G,$G25)&gt;1,"Doppelte Monatsstunden",""))</f>
        <v/>
      </c>
    </row>
    <row r="26" spans="1:10" ht="24" customHeight="1">
      <c r="A26" s="411" t="s">
        <v>290</v>
      </c>
      <c r="B26" s="394">
        <v>45778</v>
      </c>
      <c r="C26" s="394">
        <v>46142</v>
      </c>
      <c r="D26" s="395" t="s">
        <v>3</v>
      </c>
      <c r="E26" s="395" t="s">
        <v>2</v>
      </c>
      <c r="F26" s="395" t="s">
        <v>279</v>
      </c>
      <c r="G26" s="78">
        <v>86.5</v>
      </c>
      <c r="H26" s="79">
        <v>1041.2</v>
      </c>
      <c r="I26" s="396" t="str">
        <f>IF($A26="","",IF(OR($B26="",$C26="",$D26="",$E26="",$F26=""),"Stammdaten fehlen",IF(AND($G26="",$H26=""),"Werte fehlen",IF($G26="","Monatsstunden fehlen",IF($H26="","Monatslohn fehlt","OK")))))</f>
        <v>OK</v>
      </c>
      <c r="J26" s="418" t="str">
        <f>IF($G26="","",IF(COUNTIFS($A:$A,$A26,$D:$D,$D26,$G:$G,$G26)&gt;1,"Doppelte Monatsstunden",""))</f>
        <v/>
      </c>
    </row>
    <row r="27" spans="1:10" ht="24" customHeight="1">
      <c r="A27" s="411" t="s">
        <v>290</v>
      </c>
      <c r="B27" s="394">
        <v>45778</v>
      </c>
      <c r="C27" s="394">
        <v>46142</v>
      </c>
      <c r="D27" s="395" t="s">
        <v>3</v>
      </c>
      <c r="E27" s="395" t="s">
        <v>2</v>
      </c>
      <c r="F27" s="395" t="s">
        <v>279</v>
      </c>
      <c r="G27" s="78">
        <v>69.2</v>
      </c>
      <c r="H27" s="79">
        <v>832.8</v>
      </c>
      <c r="I27" s="396" t="str">
        <f>IF($A27="","",IF(OR($B27="",$C27="",$D27="",$E27="",$F27=""),"Stammdaten fehlen",IF(AND($G27="",$H27=""),"Werte fehlen",IF($G27="","Monatsstunden fehlen",IF($H27="","Monatslohn fehlt","OK")))))</f>
        <v>OK</v>
      </c>
      <c r="J27" s="418" t="str">
        <f>IF($G27="","",IF(COUNTIFS($A:$A,$A27,$D:$D,$D27,$G:$G,$G27)&gt;1,"Doppelte Monatsstunden",""))</f>
        <v/>
      </c>
    </row>
    <row r="28" spans="1:10" ht="24" customHeight="1">
      <c r="A28" s="411" t="s">
        <v>290</v>
      </c>
      <c r="B28" s="394">
        <v>45778</v>
      </c>
      <c r="C28" s="394">
        <v>46142</v>
      </c>
      <c r="D28" s="395" t="s">
        <v>3</v>
      </c>
      <c r="E28" s="395" t="s">
        <v>2</v>
      </c>
      <c r="F28" s="395" t="s">
        <v>279</v>
      </c>
      <c r="G28" s="78">
        <v>51.9</v>
      </c>
      <c r="H28" s="79">
        <v>624.6</v>
      </c>
      <c r="I28" s="396" t="str">
        <f>IF($A28="","",IF(OR($B28="",$C28="",$D28="",$E28="",$F28=""),"Stammdaten fehlen",IF(AND($G28="",$H28=""),"Werte fehlen",IF($G28="","Monatsstunden fehlen",IF($H28="","Monatslohn fehlt","OK")))))</f>
        <v>OK</v>
      </c>
      <c r="J28" s="418" t="str">
        <f>IF($G28="","",IF(COUNTIFS($A:$A,$A28,$D:$D,$D28,$G:$G,$G28)&gt;1,"Doppelte Monatsstunden",""))</f>
        <v/>
      </c>
    </row>
    <row r="29" spans="1:10" ht="24" customHeight="1">
      <c r="A29" s="411" t="s">
        <v>290</v>
      </c>
      <c r="B29" s="394">
        <v>45778</v>
      </c>
      <c r="C29" s="394">
        <v>46142</v>
      </c>
      <c r="D29" s="395" t="s">
        <v>3</v>
      </c>
      <c r="E29" s="395" t="s">
        <v>2</v>
      </c>
      <c r="F29" s="395" t="s">
        <v>279</v>
      </c>
      <c r="G29" s="78">
        <v>47.58</v>
      </c>
      <c r="H29" s="79">
        <v>575.54999999999995</v>
      </c>
      <c r="I29" s="396" t="str">
        <f>IF($A29="","",IF(OR($B29="",$C29="",$D29="",$E29="",$F29=""),"Stammdaten fehlen",IF(AND($G29="",$H29=""),"Werte fehlen",IF($G29="","Monatsstunden fehlen",IF($H29="","Monatslohn fehlt","OK")))))</f>
        <v>OK</v>
      </c>
      <c r="J29" s="418" t="str">
        <f>IF($G29="","",IF(COUNTIFS($A:$A,$A29,$D:$D,$D29,$G:$G,$G29)&gt;1,"Doppelte Monatsstunden",""))</f>
        <v/>
      </c>
    </row>
    <row r="30" spans="1:10" ht="24" customHeight="1">
      <c r="A30" s="411" t="s">
        <v>290</v>
      </c>
      <c r="B30" s="394">
        <v>45778</v>
      </c>
      <c r="C30" s="394">
        <v>46142</v>
      </c>
      <c r="D30" s="395" t="s">
        <v>3</v>
      </c>
      <c r="E30" s="395" t="s">
        <v>2</v>
      </c>
      <c r="F30" s="395" t="s">
        <v>279</v>
      </c>
      <c r="G30" s="78">
        <v>43.25</v>
      </c>
      <c r="H30" s="79">
        <v>520.5</v>
      </c>
      <c r="I30" s="396" t="str">
        <f>IF($A30="","",IF(OR($B30="",$C30="",$D30="",$E30="",$F30=""),"Stammdaten fehlen",IF(AND($G30="",$H30=""),"Werte fehlen",IF($G30="","Monatsstunden fehlen",IF($H30="","Monatslohn fehlt","OK")))))</f>
        <v>OK</v>
      </c>
      <c r="J30" s="418" t="str">
        <f>IF($G30="","",IF(COUNTIFS($A:$A,$A30,$D:$D,$D30,$G:$G,$G30)&gt;1,"Doppelte Monatsstunden",""))</f>
        <v/>
      </c>
    </row>
    <row r="31" spans="1:10" ht="24" customHeight="1">
      <c r="A31" s="411" t="s">
        <v>290</v>
      </c>
      <c r="B31" s="394">
        <v>45778</v>
      </c>
      <c r="C31" s="394">
        <v>46142</v>
      </c>
      <c r="D31" s="395" t="s">
        <v>3</v>
      </c>
      <c r="E31" s="395" t="s">
        <v>2</v>
      </c>
      <c r="F31" s="395" t="s">
        <v>279</v>
      </c>
      <c r="G31" s="78">
        <v>34.6</v>
      </c>
      <c r="H31" s="79">
        <v>416.4</v>
      </c>
      <c r="I31" s="396" t="str">
        <f>IF($A31="","",IF(OR($B31="",$C31="",$D31="",$E31="",$F31=""),"Stammdaten fehlen",IF(AND($G31="",$H31=""),"Werte fehlen",IF($G31="","Monatsstunden fehlen",IF($H31="","Monatslohn fehlt","OK")))))</f>
        <v>OK</v>
      </c>
      <c r="J31" s="418" t="str">
        <f>IF($G31="","",IF(COUNTIFS($A:$A,$A31,$D:$D,$D31,$G:$G,$G31)&gt;1,"Doppelte Monatsstunden",""))</f>
        <v/>
      </c>
    </row>
    <row r="32" spans="1:10" ht="24" customHeight="1" thickBot="1">
      <c r="A32" s="411" t="s">
        <v>290</v>
      </c>
      <c r="B32" s="394">
        <v>45778</v>
      </c>
      <c r="C32" s="394">
        <v>46142</v>
      </c>
      <c r="D32" s="395" t="s">
        <v>3</v>
      </c>
      <c r="E32" s="395" t="s">
        <v>2</v>
      </c>
      <c r="F32" s="395" t="s">
        <v>279</v>
      </c>
      <c r="G32" s="78">
        <v>32.01</v>
      </c>
      <c r="H32" s="79">
        <v>385.17</v>
      </c>
      <c r="I32" s="396" t="str">
        <f>IF($A32="","",IF(OR($B32="",$C32="",$D32="",$E32="",$F32=""),"Stammdaten fehlen",IF(AND($G32="",$H32=""),"Werte fehlen",IF($G32="","Monatsstunden fehlen",IF($H32="","Monatslohn fehlt","OK")))))</f>
        <v>OK</v>
      </c>
      <c r="J32" s="418" t="str">
        <f>IF($G32="","",IF(COUNTIFS($A:$A,$A32,$D:$D,$D32,$G:$G,$G32)&gt;1,"Doppelte Monatsstunden",""))</f>
        <v/>
      </c>
    </row>
    <row r="33" spans="1:10" ht="24" customHeight="1">
      <c r="A33" s="410" t="s">
        <v>290</v>
      </c>
      <c r="B33" s="391">
        <v>45778</v>
      </c>
      <c r="C33" s="391">
        <v>46142</v>
      </c>
      <c r="D33" s="392" t="s">
        <v>4</v>
      </c>
      <c r="E33" s="392" t="s">
        <v>2</v>
      </c>
      <c r="F33" s="392" t="s">
        <v>280</v>
      </c>
      <c r="G33" s="76">
        <v>173</v>
      </c>
      <c r="H33" s="77">
        <v>2123</v>
      </c>
      <c r="I33" s="393" t="str">
        <f>IF($A33="","",IF(OR($B33="",$C33="",$D33="",$E33="",$F33=""),"Stammdaten fehlen",IF(AND($G33="",$H33=""),"Werte fehlen",IF($G33="","Monatsstunden fehlen",IF($H33="","Monatslohn fehlt","OK")))))</f>
        <v>OK</v>
      </c>
      <c r="J33" s="417" t="str">
        <f>IF($G33="","",IF(COUNTIFS($A:$A,$A33,$D:$D,$D33,$G:$G,$G33)&gt;1,"Doppelte Monatsstunden",""))</f>
        <v/>
      </c>
    </row>
    <row r="34" spans="1:10" ht="24" customHeight="1">
      <c r="A34" s="411" t="s">
        <v>290</v>
      </c>
      <c r="B34" s="394">
        <v>45778</v>
      </c>
      <c r="C34" s="394">
        <v>46142</v>
      </c>
      <c r="D34" s="395" t="s">
        <v>4</v>
      </c>
      <c r="E34" s="395" t="s">
        <v>2</v>
      </c>
      <c r="F34" s="395" t="s">
        <v>280</v>
      </c>
      <c r="G34" s="78">
        <v>151.38</v>
      </c>
      <c r="H34" s="79">
        <v>1857.63</v>
      </c>
      <c r="I34" s="396" t="str">
        <f>IF($A34="","",IF(OR($B34="",$C34="",$D34="",$E34="",$F34=""),"Stammdaten fehlen",IF(AND($G34="",$H34=""),"Werte fehlen",IF($G34="","Monatsstunden fehlen",IF($H34="","Monatslohn fehlt","OK")))))</f>
        <v>OK</v>
      </c>
      <c r="J34" s="418" t="str">
        <f>IF($G34="","",IF(COUNTIFS($A:$A,$A34,$D:$D,$D34,$G:$G,$G34)&gt;1,"Doppelte Monatsstunden",""))</f>
        <v/>
      </c>
    </row>
    <row r="35" spans="1:10" ht="24" customHeight="1">
      <c r="A35" s="411" t="s">
        <v>290</v>
      </c>
      <c r="B35" s="394">
        <v>45778</v>
      </c>
      <c r="C35" s="394">
        <v>46142</v>
      </c>
      <c r="D35" s="395" t="s">
        <v>4</v>
      </c>
      <c r="E35" s="395" t="s">
        <v>2</v>
      </c>
      <c r="F35" s="395" t="s">
        <v>280</v>
      </c>
      <c r="G35" s="78">
        <v>138.4</v>
      </c>
      <c r="H35" s="79">
        <v>1698.4</v>
      </c>
      <c r="I35" s="396" t="str">
        <f>IF($A35="","",IF(OR($B35="",$C35="",$D35="",$E35="",$F35=""),"Stammdaten fehlen",IF(AND($G35="",$H35=""),"Werte fehlen",IF($G35="","Monatsstunden fehlen",IF($H35="","Monatslohn fehlt","OK")))))</f>
        <v>OK</v>
      </c>
      <c r="J35" s="418" t="str">
        <f>IF($G35="","",IF(COUNTIFS($A:$A,$A35,$D:$D,$D35,$G:$G,$G35)&gt;1,"Doppelte Monatsstunden",""))</f>
        <v/>
      </c>
    </row>
    <row r="36" spans="1:10" ht="24" customHeight="1">
      <c r="A36" s="411" t="s">
        <v>290</v>
      </c>
      <c r="B36" s="394">
        <v>45778</v>
      </c>
      <c r="C36" s="394">
        <v>46142</v>
      </c>
      <c r="D36" s="395" t="s">
        <v>4</v>
      </c>
      <c r="E36" s="395" t="s">
        <v>2</v>
      </c>
      <c r="F36" s="395" t="s">
        <v>280</v>
      </c>
      <c r="G36" s="78">
        <v>129.75</v>
      </c>
      <c r="H36" s="79">
        <v>1592.25</v>
      </c>
      <c r="I36" s="396" t="str">
        <f>IF($A36="","",IF(OR($B36="",$C36="",$D36="",$E36="",$F36=""),"Stammdaten fehlen",IF(AND($G36="",$H36=""),"Werte fehlen",IF($G36="","Monatsstunden fehlen",IF($H36="","Monatslohn fehlt","OK")))))</f>
        <v>OK</v>
      </c>
      <c r="J36" s="418" t="str">
        <f>IF($G36="","",IF(COUNTIFS($A:$A,$A36,$D:$D,$D36,$G:$G,$G36)&gt;1,"Doppelte Monatsstunden",""))</f>
        <v/>
      </c>
    </row>
    <row r="37" spans="1:10" ht="24" customHeight="1">
      <c r="A37" s="411" t="s">
        <v>290</v>
      </c>
      <c r="B37" s="394">
        <v>45778</v>
      </c>
      <c r="C37" s="394">
        <v>46142</v>
      </c>
      <c r="D37" s="395" t="s">
        <v>4</v>
      </c>
      <c r="E37" s="395" t="s">
        <v>2</v>
      </c>
      <c r="F37" s="395" t="s">
        <v>280</v>
      </c>
      <c r="G37" s="78">
        <v>108.13</v>
      </c>
      <c r="H37" s="79">
        <v>1326.88</v>
      </c>
      <c r="I37" s="396" t="str">
        <f>IF($A37="","",IF(OR($B37="",$C37="",$D37="",$E37="",$F37=""),"Stammdaten fehlen",IF(AND($G37="",$H37=""),"Werte fehlen",IF($G37="","Monatsstunden fehlen",IF($H37="","Monatslohn fehlt","OK")))))</f>
        <v>OK</v>
      </c>
      <c r="J37" s="418" t="str">
        <f>IF($G37="","",IF(COUNTIFS($A:$A,$A37,$D:$D,$D37,$G:$G,$G37)&gt;1,"Doppelte Monatsstunden",""))</f>
        <v/>
      </c>
    </row>
    <row r="38" spans="1:10" ht="24" customHeight="1">
      <c r="A38" s="411" t="s">
        <v>290</v>
      </c>
      <c r="B38" s="394">
        <v>45778</v>
      </c>
      <c r="C38" s="394">
        <v>46142</v>
      </c>
      <c r="D38" s="395" t="s">
        <v>4</v>
      </c>
      <c r="E38" s="395" t="s">
        <v>2</v>
      </c>
      <c r="F38" s="395" t="s">
        <v>280</v>
      </c>
      <c r="G38" s="78">
        <v>103.8</v>
      </c>
      <c r="H38" s="79">
        <v>1273.8</v>
      </c>
      <c r="I38" s="396" t="str">
        <f>IF($A38="","",IF(OR($B38="",$C38="",$D38="",$E38="",$F38=""),"Stammdaten fehlen",IF(AND($G38="",$H38=""),"Werte fehlen",IF($G38="","Monatsstunden fehlen",IF($H38="","Monatslohn fehlt","OK")))))</f>
        <v>OK</v>
      </c>
      <c r="J38" s="418" t="str">
        <f>IF($G38="","",IF(COUNTIFS($A:$A,$A38,$D:$D,$D38,$G:$G,$G38)&gt;1,"Doppelte Monatsstunden",""))</f>
        <v/>
      </c>
    </row>
    <row r="39" spans="1:10" ht="24" customHeight="1">
      <c r="A39" s="411" t="s">
        <v>290</v>
      </c>
      <c r="B39" s="394">
        <v>45778</v>
      </c>
      <c r="C39" s="394">
        <v>46142</v>
      </c>
      <c r="D39" s="395" t="s">
        <v>4</v>
      </c>
      <c r="E39" s="395" t="s">
        <v>2</v>
      </c>
      <c r="F39" s="395" t="s">
        <v>280</v>
      </c>
      <c r="G39" s="78">
        <v>86.5</v>
      </c>
      <c r="H39" s="79">
        <v>1061.5</v>
      </c>
      <c r="I39" s="396" t="str">
        <f>IF($A39="","",IF(OR($B39="",$C39="",$D39="",$E39="",$F39=""),"Stammdaten fehlen",IF(AND($G39="",$H39=""),"Werte fehlen",IF($G39="","Monatsstunden fehlen",IF($H39="","Monatslohn fehlt","OK")))))</f>
        <v>OK</v>
      </c>
      <c r="J39" s="418" t="str">
        <f>IF($G39="","",IF(COUNTIFS($A:$A,$A39,$D:$D,$D39,$G:$G,$G39)&gt;1,"Doppelte Monatsstunden",""))</f>
        <v/>
      </c>
    </row>
    <row r="40" spans="1:10" ht="24" customHeight="1">
      <c r="A40" s="411" t="s">
        <v>290</v>
      </c>
      <c r="B40" s="394">
        <v>45778</v>
      </c>
      <c r="C40" s="394">
        <v>46142</v>
      </c>
      <c r="D40" s="395" t="s">
        <v>4</v>
      </c>
      <c r="E40" s="395" t="s">
        <v>2</v>
      </c>
      <c r="F40" s="395" t="s">
        <v>280</v>
      </c>
      <c r="G40" s="78">
        <v>69.2</v>
      </c>
      <c r="H40" s="79">
        <v>849.2</v>
      </c>
      <c r="I40" s="396" t="str">
        <f>IF($A40="","",IF(OR($B40="",$C40="",$D40="",$E40="",$F40=""),"Stammdaten fehlen",IF(AND($G40="",$H40=""),"Werte fehlen",IF($G40="","Monatsstunden fehlen",IF($H40="","Monatslohn fehlt","OK")))))</f>
        <v>OK</v>
      </c>
      <c r="J40" s="418" t="str">
        <f>IF($G40="","",IF(COUNTIFS($A:$A,$A40,$D:$D,$D40,$G:$G,$G40)&gt;1,"Doppelte Monatsstunden",""))</f>
        <v/>
      </c>
    </row>
    <row r="41" spans="1:10" ht="24" customHeight="1">
      <c r="A41" s="411" t="s">
        <v>290</v>
      </c>
      <c r="B41" s="394">
        <v>45778</v>
      </c>
      <c r="C41" s="394">
        <v>46142</v>
      </c>
      <c r="D41" s="395" t="s">
        <v>4</v>
      </c>
      <c r="E41" s="395" t="s">
        <v>2</v>
      </c>
      <c r="F41" s="395" t="s">
        <v>280</v>
      </c>
      <c r="G41" s="78">
        <v>51.9</v>
      </c>
      <c r="H41" s="79">
        <v>636.9</v>
      </c>
      <c r="I41" s="396" t="str">
        <f>IF($A41="","",IF(OR($B41="",$C41="",$D41="",$E41="",$F41=""),"Stammdaten fehlen",IF(AND($G41="",$H41=""),"Werte fehlen",IF($G41="","Monatsstunden fehlen",IF($H41="","Monatslohn fehlt","OK")))))</f>
        <v>OK</v>
      </c>
      <c r="J41" s="418" t="str">
        <f>IF($G41="","",IF(COUNTIFS($A:$A,$A41,$D:$D,$D41,$G:$G,$G41)&gt;1,"Doppelte Monatsstunden",""))</f>
        <v/>
      </c>
    </row>
    <row r="42" spans="1:10" ht="24" customHeight="1">
      <c r="A42" s="411" t="s">
        <v>290</v>
      </c>
      <c r="B42" s="394">
        <v>45778</v>
      </c>
      <c r="C42" s="394">
        <v>46142</v>
      </c>
      <c r="D42" s="395" t="s">
        <v>4</v>
      </c>
      <c r="E42" s="395" t="s">
        <v>2</v>
      </c>
      <c r="F42" s="395" t="s">
        <v>280</v>
      </c>
      <c r="G42" s="78">
        <v>47.58</v>
      </c>
      <c r="H42" s="79">
        <v>583.83000000000004</v>
      </c>
      <c r="I42" s="396" t="str">
        <f>IF($A42="","",IF(OR($B42="",$C42="",$D42="",$E42="",$F42=""),"Stammdaten fehlen",IF(AND($G42="",$H42=""),"Werte fehlen",IF($G42="","Monatsstunden fehlen",IF($H42="","Monatslohn fehlt","OK")))))</f>
        <v>OK</v>
      </c>
      <c r="J42" s="418" t="str">
        <f>IF($G42="","",IF(COUNTIFS($A:$A,$A42,$D:$D,$D42,$G:$G,$G42)&gt;1,"Doppelte Monatsstunden",""))</f>
        <v/>
      </c>
    </row>
    <row r="43" spans="1:10" ht="24" customHeight="1">
      <c r="A43" s="411" t="s">
        <v>290</v>
      </c>
      <c r="B43" s="394">
        <v>45778</v>
      </c>
      <c r="C43" s="394">
        <v>46142</v>
      </c>
      <c r="D43" s="395" t="s">
        <v>4</v>
      </c>
      <c r="E43" s="395" t="s">
        <v>2</v>
      </c>
      <c r="F43" s="395" t="s">
        <v>280</v>
      </c>
      <c r="G43" s="78">
        <v>43.25</v>
      </c>
      <c r="H43" s="79">
        <v>530.75</v>
      </c>
      <c r="I43" s="396" t="str">
        <f>IF($A43="","",IF(OR($B43="",$C43="",$D43="",$E43="",$F43=""),"Stammdaten fehlen",IF(AND($G43="",$H43=""),"Werte fehlen",IF($G43="","Monatsstunden fehlen",IF($H43="","Monatslohn fehlt","OK")))))</f>
        <v>OK</v>
      </c>
      <c r="J43" s="418" t="str">
        <f>IF($G43="","",IF(COUNTIFS($A:$A,$A43,$D:$D,$D43,$G:$G,$G43)&gt;1,"Doppelte Monatsstunden",""))</f>
        <v/>
      </c>
    </row>
    <row r="44" spans="1:10" ht="24" customHeight="1">
      <c r="A44" s="411" t="s">
        <v>290</v>
      </c>
      <c r="B44" s="394">
        <v>45778</v>
      </c>
      <c r="C44" s="394">
        <v>46142</v>
      </c>
      <c r="D44" s="395" t="s">
        <v>4</v>
      </c>
      <c r="E44" s="395" t="s">
        <v>2</v>
      </c>
      <c r="F44" s="395" t="s">
        <v>280</v>
      </c>
      <c r="G44" s="78">
        <v>34.6</v>
      </c>
      <c r="H44" s="79">
        <v>424.6</v>
      </c>
      <c r="I44" s="396" t="str">
        <f>IF($A44="","",IF(OR($B44="",$C44="",$D44="",$E44="",$F44=""),"Stammdaten fehlen",IF(AND($G44="",$H44=""),"Werte fehlen",IF($G44="","Monatsstunden fehlen",IF($H44="","Monatslohn fehlt","OK")))))</f>
        <v>OK</v>
      </c>
      <c r="J44" s="418" t="str">
        <f>IF($G44="","",IF(COUNTIFS($A:$A,$A44,$D:$D,$D44,$G:$G,$G44)&gt;1,"Doppelte Monatsstunden",""))</f>
        <v/>
      </c>
    </row>
    <row r="45" spans="1:10" ht="24" customHeight="1" thickBot="1">
      <c r="A45" s="411" t="s">
        <v>290</v>
      </c>
      <c r="B45" s="394">
        <v>45778</v>
      </c>
      <c r="C45" s="394">
        <v>46142</v>
      </c>
      <c r="D45" s="395" t="s">
        <v>4</v>
      </c>
      <c r="E45" s="395" t="s">
        <v>2</v>
      </c>
      <c r="F45" s="395" t="s">
        <v>280</v>
      </c>
      <c r="G45" s="78">
        <v>32.01</v>
      </c>
      <c r="H45" s="79">
        <v>392.76</v>
      </c>
      <c r="I45" s="396" t="str">
        <f>IF($A45="","",IF(OR($B45="",$C45="",$D45="",$E45="",$F45=""),"Stammdaten fehlen",IF(AND($G45="",$H45=""),"Werte fehlen",IF($G45="","Monatsstunden fehlen",IF($H45="","Monatslohn fehlt","OK")))))</f>
        <v>OK</v>
      </c>
      <c r="J45" s="418" t="str">
        <f>IF($G45="","",IF(COUNTIFS($A:$A,$A45,$D:$D,$D45,$G:$G,$G45)&gt;1,"Doppelte Monatsstunden",""))</f>
        <v/>
      </c>
    </row>
    <row r="46" spans="1:10" ht="24" customHeight="1">
      <c r="A46" s="410" t="s">
        <v>290</v>
      </c>
      <c r="B46" s="391">
        <v>45778</v>
      </c>
      <c r="C46" s="391">
        <v>46142</v>
      </c>
      <c r="D46" s="392" t="s">
        <v>5</v>
      </c>
      <c r="E46" s="392" t="s">
        <v>2</v>
      </c>
      <c r="F46" s="392" t="s">
        <v>281</v>
      </c>
      <c r="G46" s="76">
        <v>173</v>
      </c>
      <c r="H46" s="77">
        <v>2183</v>
      </c>
      <c r="I46" s="393" t="str">
        <f>IF($A46="","",IF(OR($B46="",$C46="",$D46="",$E46="",$F46=""),"Stammdaten fehlen",IF(AND($G46="",$H46=""),"Werte fehlen",IF($G46="","Monatsstunden fehlen",IF($H46="","Monatslohn fehlt","OK")))))</f>
        <v>OK</v>
      </c>
      <c r="J46" s="417" t="str">
        <f>IF($G46="","",IF(COUNTIFS($A:$A,$A46,$D:$D,$D46,$G:$G,$G46)&gt;1,"Doppelte Monatsstunden",""))</f>
        <v/>
      </c>
    </row>
    <row r="47" spans="1:10" ht="24" customHeight="1">
      <c r="A47" s="411" t="s">
        <v>290</v>
      </c>
      <c r="B47" s="394">
        <v>45778</v>
      </c>
      <c r="C47" s="394">
        <v>46142</v>
      </c>
      <c r="D47" s="395" t="s">
        <v>5</v>
      </c>
      <c r="E47" s="395" t="s">
        <v>2</v>
      </c>
      <c r="F47" s="395" t="s">
        <v>281</v>
      </c>
      <c r="G47" s="78">
        <v>151.38</v>
      </c>
      <c r="H47" s="79">
        <v>1910.13</v>
      </c>
      <c r="I47" s="396" t="str">
        <f>IF($A47="","",IF(OR($B47="",$C47="",$D47="",$E47="",$F47=""),"Stammdaten fehlen",IF(AND($G47="",$H47=""),"Werte fehlen",IF($G47="","Monatsstunden fehlen",IF($H47="","Monatslohn fehlt","OK")))))</f>
        <v>OK</v>
      </c>
      <c r="J47" s="418" t="str">
        <f>IF($G47="","",IF(COUNTIFS($A:$A,$A47,$D:$D,$D47,$G:$G,$G47)&gt;1,"Doppelte Monatsstunden",""))</f>
        <v/>
      </c>
    </row>
    <row r="48" spans="1:10" ht="24" customHeight="1">
      <c r="A48" s="411" t="s">
        <v>290</v>
      </c>
      <c r="B48" s="394">
        <v>45778</v>
      </c>
      <c r="C48" s="394">
        <v>46142</v>
      </c>
      <c r="D48" s="395" t="s">
        <v>5</v>
      </c>
      <c r="E48" s="395" t="s">
        <v>2</v>
      </c>
      <c r="F48" s="395" t="s">
        <v>281</v>
      </c>
      <c r="G48" s="78">
        <v>138.4</v>
      </c>
      <c r="H48" s="79">
        <v>1746.4</v>
      </c>
      <c r="I48" s="396" t="str">
        <f>IF($A48="","",IF(OR($B48="",$C48="",$D48="",$E48="",$F48=""),"Stammdaten fehlen",IF(AND($G48="",$H48=""),"Werte fehlen",IF($G48="","Monatsstunden fehlen",IF($H48="","Monatslohn fehlt","OK")))))</f>
        <v>OK</v>
      </c>
      <c r="J48" s="418" t="str">
        <f>IF($G48="","",IF(COUNTIFS($A:$A,$A48,$D:$D,$D48,$G:$G,$G48)&gt;1,"Doppelte Monatsstunden",""))</f>
        <v/>
      </c>
    </row>
    <row r="49" spans="1:10" ht="24" customHeight="1">
      <c r="A49" s="411" t="s">
        <v>290</v>
      </c>
      <c r="B49" s="394">
        <v>45778</v>
      </c>
      <c r="C49" s="394">
        <v>46142</v>
      </c>
      <c r="D49" s="395" t="s">
        <v>5</v>
      </c>
      <c r="E49" s="395" t="s">
        <v>2</v>
      </c>
      <c r="F49" s="395" t="s">
        <v>281</v>
      </c>
      <c r="G49" s="78">
        <v>129.75</v>
      </c>
      <c r="H49" s="79">
        <v>1637.25</v>
      </c>
      <c r="I49" s="396" t="str">
        <f>IF($A49="","",IF(OR($B49="",$C49="",$D49="",$E49="",$F49=""),"Stammdaten fehlen",IF(AND($G49="",$H49=""),"Werte fehlen",IF($G49="","Monatsstunden fehlen",IF($H49="","Monatslohn fehlt","OK")))))</f>
        <v>OK</v>
      </c>
      <c r="J49" s="418" t="str">
        <f>IF($G49="","",IF(COUNTIFS($A:$A,$A49,$D:$D,$D49,$G:$G,$G49)&gt;1,"Doppelte Monatsstunden",""))</f>
        <v/>
      </c>
    </row>
    <row r="50" spans="1:10" ht="24" customHeight="1">
      <c r="A50" s="411" t="s">
        <v>290</v>
      </c>
      <c r="B50" s="394">
        <v>45778</v>
      </c>
      <c r="C50" s="394">
        <v>46142</v>
      </c>
      <c r="D50" s="395" t="s">
        <v>5</v>
      </c>
      <c r="E50" s="395" t="s">
        <v>2</v>
      </c>
      <c r="F50" s="395" t="s">
        <v>281</v>
      </c>
      <c r="G50" s="78">
        <v>108.13</v>
      </c>
      <c r="H50" s="79">
        <v>1364.38</v>
      </c>
      <c r="I50" s="396" t="str">
        <f>IF($A50="","",IF(OR($B50="",$C50="",$D50="",$E50="",$F50=""),"Stammdaten fehlen",IF(AND($G50="",$H50=""),"Werte fehlen",IF($G50="","Monatsstunden fehlen",IF($H50="","Monatslohn fehlt","OK")))))</f>
        <v>OK</v>
      </c>
      <c r="J50" s="418" t="str">
        <f>IF($G50="","",IF(COUNTIFS($A:$A,$A50,$D:$D,$D50,$G:$G,$G50)&gt;1,"Doppelte Monatsstunden",""))</f>
        <v/>
      </c>
    </row>
    <row r="51" spans="1:10" ht="24" customHeight="1">
      <c r="A51" s="411" t="s">
        <v>290</v>
      </c>
      <c r="B51" s="394">
        <v>45778</v>
      </c>
      <c r="C51" s="394">
        <v>46142</v>
      </c>
      <c r="D51" s="395" t="s">
        <v>5</v>
      </c>
      <c r="E51" s="395" t="s">
        <v>2</v>
      </c>
      <c r="F51" s="395" t="s">
        <v>281</v>
      </c>
      <c r="G51" s="78">
        <v>103.8</v>
      </c>
      <c r="H51" s="79">
        <v>1309.8</v>
      </c>
      <c r="I51" s="396" t="str">
        <f>IF($A51="","",IF(OR($B51="",$C51="",$D51="",$E51="",$F51=""),"Stammdaten fehlen",IF(AND($G51="",$H51=""),"Werte fehlen",IF($G51="","Monatsstunden fehlen",IF($H51="","Monatslohn fehlt","OK")))))</f>
        <v>OK</v>
      </c>
      <c r="J51" s="418" t="str">
        <f>IF($G51="","",IF(COUNTIFS($A:$A,$A51,$D:$D,$D51,$G:$G,$G51)&gt;1,"Doppelte Monatsstunden",""))</f>
        <v/>
      </c>
    </row>
    <row r="52" spans="1:10" ht="24" customHeight="1">
      <c r="A52" s="411" t="s">
        <v>290</v>
      </c>
      <c r="B52" s="394">
        <v>45778</v>
      </c>
      <c r="C52" s="394">
        <v>46142</v>
      </c>
      <c r="D52" s="395" t="s">
        <v>5</v>
      </c>
      <c r="E52" s="395" t="s">
        <v>2</v>
      </c>
      <c r="F52" s="395" t="s">
        <v>281</v>
      </c>
      <c r="G52" s="78">
        <v>86.5</v>
      </c>
      <c r="H52" s="79">
        <v>1091.5</v>
      </c>
      <c r="I52" s="396" t="str">
        <f>IF($A52="","",IF(OR($B52="",$C52="",$D52="",$E52="",$F52=""),"Stammdaten fehlen",IF(AND($G52="",$H52=""),"Werte fehlen",IF($G52="","Monatsstunden fehlen",IF($H52="","Monatslohn fehlt","OK")))))</f>
        <v>OK</v>
      </c>
      <c r="J52" s="418" t="str">
        <f>IF($G52="","",IF(COUNTIFS($A:$A,$A52,$D:$D,$D52,$G:$G,$G52)&gt;1,"Doppelte Monatsstunden",""))</f>
        <v/>
      </c>
    </row>
    <row r="53" spans="1:10" ht="24" customHeight="1">
      <c r="A53" s="411" t="s">
        <v>290</v>
      </c>
      <c r="B53" s="394">
        <v>45778</v>
      </c>
      <c r="C53" s="394">
        <v>46142</v>
      </c>
      <c r="D53" s="395" t="s">
        <v>5</v>
      </c>
      <c r="E53" s="395" t="s">
        <v>2</v>
      </c>
      <c r="F53" s="395" t="s">
        <v>281</v>
      </c>
      <c r="G53" s="78">
        <v>69.2</v>
      </c>
      <c r="H53" s="79">
        <v>873.2</v>
      </c>
      <c r="I53" s="396" t="str">
        <f>IF($A53="","",IF(OR($B53="",$C53="",$D53="",$E53="",$F53=""),"Stammdaten fehlen",IF(AND($G53="",$H53=""),"Werte fehlen",IF($G53="","Monatsstunden fehlen",IF($H53="","Monatslohn fehlt","OK")))))</f>
        <v>OK</v>
      </c>
      <c r="J53" s="418" t="str">
        <f>IF($G53="","",IF(COUNTIFS($A:$A,$A53,$D:$D,$D53,$G:$G,$G53)&gt;1,"Doppelte Monatsstunden",""))</f>
        <v/>
      </c>
    </row>
    <row r="54" spans="1:10" ht="24" customHeight="1">
      <c r="A54" s="411" t="s">
        <v>290</v>
      </c>
      <c r="B54" s="394">
        <v>45778</v>
      </c>
      <c r="C54" s="394">
        <v>46142</v>
      </c>
      <c r="D54" s="395" t="s">
        <v>5</v>
      </c>
      <c r="E54" s="395" t="s">
        <v>2</v>
      </c>
      <c r="F54" s="395" t="s">
        <v>281</v>
      </c>
      <c r="G54" s="78">
        <v>51.9</v>
      </c>
      <c r="H54" s="79">
        <v>654.9</v>
      </c>
      <c r="I54" s="396" t="str">
        <f>IF($A54="","",IF(OR($B54="",$C54="",$D54="",$E54="",$F54=""),"Stammdaten fehlen",IF(AND($G54="",$H54=""),"Werte fehlen",IF($G54="","Monatsstunden fehlen",IF($H54="","Monatslohn fehlt","OK")))))</f>
        <v>OK</v>
      </c>
      <c r="J54" s="418" t="str">
        <f>IF($G54="","",IF(COUNTIFS($A:$A,$A54,$D:$D,$D54,$G:$G,$G54)&gt;1,"Doppelte Monatsstunden",""))</f>
        <v/>
      </c>
    </row>
    <row r="55" spans="1:10" ht="24" customHeight="1">
      <c r="A55" s="411" t="s">
        <v>290</v>
      </c>
      <c r="B55" s="394">
        <v>45778</v>
      </c>
      <c r="C55" s="394">
        <v>46142</v>
      </c>
      <c r="D55" s="395" t="s">
        <v>5</v>
      </c>
      <c r="E55" s="395" t="s">
        <v>2</v>
      </c>
      <c r="F55" s="395" t="s">
        <v>281</v>
      </c>
      <c r="G55" s="78">
        <v>47.58</v>
      </c>
      <c r="H55" s="79">
        <v>600.33000000000004</v>
      </c>
      <c r="I55" s="396" t="str">
        <f>IF($A55="","",IF(OR($B55="",$C55="",$D55="",$E55="",$F55=""),"Stammdaten fehlen",IF(AND($G55="",$H55=""),"Werte fehlen",IF($G55="","Monatsstunden fehlen",IF($H55="","Monatslohn fehlt","OK")))))</f>
        <v>OK</v>
      </c>
      <c r="J55" s="418" t="str">
        <f>IF($G55="","",IF(COUNTIFS($A:$A,$A55,$D:$D,$D55,$G:$G,$G55)&gt;1,"Doppelte Monatsstunden",""))</f>
        <v/>
      </c>
    </row>
    <row r="56" spans="1:10" ht="24" customHeight="1">
      <c r="A56" s="411" t="s">
        <v>290</v>
      </c>
      <c r="B56" s="394">
        <v>45778</v>
      </c>
      <c r="C56" s="394">
        <v>46142</v>
      </c>
      <c r="D56" s="395" t="s">
        <v>5</v>
      </c>
      <c r="E56" s="395" t="s">
        <v>2</v>
      </c>
      <c r="F56" s="395" t="s">
        <v>281</v>
      </c>
      <c r="G56" s="78">
        <v>43.25</v>
      </c>
      <c r="H56" s="79">
        <v>545.75</v>
      </c>
      <c r="I56" s="396" t="str">
        <f>IF($A56="","",IF(OR($B56="",$C56="",$D56="",$E56="",$F56=""),"Stammdaten fehlen",IF(AND($G56="",$H56=""),"Werte fehlen",IF($G56="","Monatsstunden fehlen",IF($H56="","Monatslohn fehlt","OK")))))</f>
        <v>OK</v>
      </c>
      <c r="J56" s="418" t="str">
        <f>IF($G56="","",IF(COUNTIFS($A:$A,$A56,$D:$D,$D56,$G:$G,$G56)&gt;1,"Doppelte Monatsstunden",""))</f>
        <v/>
      </c>
    </row>
    <row r="57" spans="1:10" ht="24" customHeight="1">
      <c r="A57" s="411" t="s">
        <v>290</v>
      </c>
      <c r="B57" s="394">
        <v>45778</v>
      </c>
      <c r="C57" s="394">
        <v>46142</v>
      </c>
      <c r="D57" s="395" t="s">
        <v>5</v>
      </c>
      <c r="E57" s="395" t="s">
        <v>2</v>
      </c>
      <c r="F57" s="395" t="s">
        <v>281</v>
      </c>
      <c r="G57" s="78">
        <v>34.6</v>
      </c>
      <c r="H57" s="79">
        <v>436.6</v>
      </c>
      <c r="I57" s="396" t="str">
        <f>IF($A57="","",IF(OR($B57="",$C57="",$D57="",$E57="",$F57=""),"Stammdaten fehlen",IF(AND($G57="",$H57=""),"Werte fehlen",IF($G57="","Monatsstunden fehlen",IF($H57="","Monatslohn fehlt","OK")))))</f>
        <v>OK</v>
      </c>
      <c r="J57" s="418" t="str">
        <f>IF($G57="","",IF(COUNTIFS($A:$A,$A57,$D:$D,$D57,$G:$G,$G57)&gt;1,"Doppelte Monatsstunden",""))</f>
        <v/>
      </c>
    </row>
    <row r="58" spans="1:10" ht="24" customHeight="1" thickBot="1">
      <c r="A58" s="411" t="s">
        <v>290</v>
      </c>
      <c r="B58" s="394">
        <v>45778</v>
      </c>
      <c r="C58" s="394">
        <v>46142</v>
      </c>
      <c r="D58" s="395" t="s">
        <v>5</v>
      </c>
      <c r="E58" s="395" t="s">
        <v>2</v>
      </c>
      <c r="F58" s="395" t="s">
        <v>281</v>
      </c>
      <c r="G58" s="78">
        <v>32.01</v>
      </c>
      <c r="H58" s="79">
        <v>403.86</v>
      </c>
      <c r="I58" s="396" t="str">
        <f>IF($A58="","",IF(OR($B58="",$C58="",$D58="",$E58="",$F58=""),"Stammdaten fehlen",IF(AND($G58="",$H58=""),"Werte fehlen",IF($G58="","Monatsstunden fehlen",IF($H58="","Monatslohn fehlt","OK")))))</f>
        <v>OK</v>
      </c>
      <c r="J58" s="418" t="str">
        <f>IF($G58="","",IF(COUNTIFS($A:$A,$A58,$D:$D,$D58,$G:$G,$G58)&gt;1,"Doppelte Monatsstunden",""))</f>
        <v/>
      </c>
    </row>
    <row r="59" spans="1:10" ht="24" customHeight="1">
      <c r="A59" s="412" t="s">
        <v>290</v>
      </c>
      <c r="B59" s="397">
        <v>45778</v>
      </c>
      <c r="C59" s="397">
        <v>46142</v>
      </c>
      <c r="D59" s="398" t="s">
        <v>288</v>
      </c>
      <c r="E59" s="398" t="s">
        <v>6</v>
      </c>
      <c r="F59" s="398" t="s">
        <v>278</v>
      </c>
      <c r="G59" s="80">
        <v>173</v>
      </c>
      <c r="H59" s="81">
        <v>2160</v>
      </c>
      <c r="I59" s="399" t="str">
        <f>IF($A59="","",IF(OR($B59="",$C59="",$D59="",$E59="",$F59=""),"Stammdaten fehlen",IF(AND($G59="",$H59=""),"Werte fehlen",IF($G59="","Monatsstunden fehlen",IF($H59="","Monatslohn fehlt","OK")))))</f>
        <v>OK</v>
      </c>
      <c r="J59" s="419" t="str">
        <f>IF($G59="","",IF(COUNTIFS($A:$A,$A59,$D:$D,$D59,$G:$G,$G59)&gt;1,"Doppelte Monatsstunden",""))</f>
        <v/>
      </c>
    </row>
    <row r="60" spans="1:10" ht="24" customHeight="1">
      <c r="A60" s="413" t="s">
        <v>290</v>
      </c>
      <c r="B60" s="400">
        <v>45778</v>
      </c>
      <c r="C60" s="400">
        <v>46142</v>
      </c>
      <c r="D60" s="401" t="s">
        <v>288</v>
      </c>
      <c r="E60" s="401" t="s">
        <v>6</v>
      </c>
      <c r="F60" s="401" t="s">
        <v>278</v>
      </c>
      <c r="G60" s="82">
        <v>151.38</v>
      </c>
      <c r="H60" s="83">
        <v>1890</v>
      </c>
      <c r="I60" s="402" t="str">
        <f>IF($A60="","",IF(OR($B60="",$C60="",$D60="",$E60="",$F60=""),"Stammdaten fehlen",IF(AND($G60="",$H60=""),"Werte fehlen",IF($G60="","Monatsstunden fehlen",IF($H60="","Monatslohn fehlt","OK")))))</f>
        <v>OK</v>
      </c>
      <c r="J60" s="420" t="str">
        <f>IF($G60="","",IF(COUNTIFS($A:$A,$A60,$D:$D,$D60,$G:$G,$G60)&gt;1,"Doppelte Monatsstunden",""))</f>
        <v/>
      </c>
    </row>
    <row r="61" spans="1:10" ht="24" customHeight="1">
      <c r="A61" s="413" t="s">
        <v>290</v>
      </c>
      <c r="B61" s="400">
        <v>45778</v>
      </c>
      <c r="C61" s="400">
        <v>46142</v>
      </c>
      <c r="D61" s="401" t="s">
        <v>288</v>
      </c>
      <c r="E61" s="401" t="s">
        <v>6</v>
      </c>
      <c r="F61" s="401" t="s">
        <v>278</v>
      </c>
      <c r="G61" s="82">
        <v>138.4</v>
      </c>
      <c r="H61" s="83">
        <v>1728</v>
      </c>
      <c r="I61" s="402" t="str">
        <f>IF($A61="","",IF(OR($B61="",$C61="",$D61="",$E61="",$F61=""),"Stammdaten fehlen",IF(AND($G61="",$H61=""),"Werte fehlen",IF($G61="","Monatsstunden fehlen",IF($H61="","Monatslohn fehlt","OK")))))</f>
        <v>OK</v>
      </c>
      <c r="J61" s="420" t="str">
        <f>IF($G61="","",IF(COUNTIFS($A:$A,$A61,$D:$D,$D61,$G:$G,$G61)&gt;1,"Doppelte Monatsstunden",""))</f>
        <v/>
      </c>
    </row>
    <row r="62" spans="1:10" ht="24" customHeight="1">
      <c r="A62" s="413" t="s">
        <v>290</v>
      </c>
      <c r="B62" s="400">
        <v>45778</v>
      </c>
      <c r="C62" s="400">
        <v>46142</v>
      </c>
      <c r="D62" s="401" t="s">
        <v>288</v>
      </c>
      <c r="E62" s="401" t="s">
        <v>6</v>
      </c>
      <c r="F62" s="401" t="s">
        <v>278</v>
      </c>
      <c r="G62" s="82">
        <v>129.75</v>
      </c>
      <c r="H62" s="83">
        <v>1620</v>
      </c>
      <c r="I62" s="402" t="str">
        <f>IF($A62="","",IF(OR($B62="",$C62="",$D62="",$E62="",$F62=""),"Stammdaten fehlen",IF(AND($G62="",$H62=""),"Werte fehlen",IF($G62="","Monatsstunden fehlen",IF($H62="","Monatslohn fehlt","OK")))))</f>
        <v>OK</v>
      </c>
      <c r="J62" s="420" t="str">
        <f>IF($G62="","",IF(COUNTIFS($A:$A,$A62,$D:$D,$D62,$G:$G,$G62)&gt;1,"Doppelte Monatsstunden",""))</f>
        <v/>
      </c>
    </row>
    <row r="63" spans="1:10" ht="24" customHeight="1">
      <c r="A63" s="413" t="s">
        <v>290</v>
      </c>
      <c r="B63" s="400">
        <v>45778</v>
      </c>
      <c r="C63" s="400">
        <v>46142</v>
      </c>
      <c r="D63" s="401" t="s">
        <v>288</v>
      </c>
      <c r="E63" s="401" t="s">
        <v>6</v>
      </c>
      <c r="F63" s="401" t="s">
        <v>278</v>
      </c>
      <c r="G63" s="82">
        <v>108.13</v>
      </c>
      <c r="H63" s="83">
        <v>1350</v>
      </c>
      <c r="I63" s="402" t="str">
        <f>IF($A63="","",IF(OR($B63="",$C63="",$D63="",$E63="",$F63=""),"Stammdaten fehlen",IF(AND($G63="",$H63=""),"Werte fehlen",IF($G63="","Monatsstunden fehlen",IF($H63="","Monatslohn fehlt","OK")))))</f>
        <v>OK</v>
      </c>
      <c r="J63" s="420" t="str">
        <f>IF($G63="","",IF(COUNTIFS($A:$A,$A63,$D:$D,$D63,$G:$G,$G63)&gt;1,"Doppelte Monatsstunden",""))</f>
        <v/>
      </c>
    </row>
    <row r="64" spans="1:10" ht="24" customHeight="1">
      <c r="A64" s="413" t="s">
        <v>290</v>
      </c>
      <c r="B64" s="400">
        <v>45778</v>
      </c>
      <c r="C64" s="400">
        <v>46142</v>
      </c>
      <c r="D64" s="401" t="s">
        <v>288</v>
      </c>
      <c r="E64" s="401" t="s">
        <v>6</v>
      </c>
      <c r="F64" s="401" t="s">
        <v>278</v>
      </c>
      <c r="G64" s="82">
        <v>103.8</v>
      </c>
      <c r="H64" s="83">
        <v>1296</v>
      </c>
      <c r="I64" s="402" t="str">
        <f>IF($A64="","",IF(OR($B64="",$C64="",$D64="",$E64="",$F64=""),"Stammdaten fehlen",IF(AND($G64="",$H64=""),"Werte fehlen",IF($G64="","Monatsstunden fehlen",IF($H64="","Monatslohn fehlt","OK")))))</f>
        <v>OK</v>
      </c>
      <c r="J64" s="420" t="str">
        <f>IF($G64="","",IF(COUNTIFS($A:$A,$A64,$D:$D,$D64,$G:$G,$G64)&gt;1,"Doppelte Monatsstunden",""))</f>
        <v/>
      </c>
    </row>
    <row r="65" spans="1:10" ht="24" customHeight="1">
      <c r="A65" s="413" t="s">
        <v>290</v>
      </c>
      <c r="B65" s="400">
        <v>45778</v>
      </c>
      <c r="C65" s="400">
        <v>46142</v>
      </c>
      <c r="D65" s="401" t="s">
        <v>288</v>
      </c>
      <c r="E65" s="401" t="s">
        <v>6</v>
      </c>
      <c r="F65" s="401" t="s">
        <v>278</v>
      </c>
      <c r="G65" s="82">
        <v>86.5</v>
      </c>
      <c r="H65" s="83">
        <v>1080</v>
      </c>
      <c r="I65" s="402" t="str">
        <f>IF($A65="","",IF(OR($B65="",$C65="",$D65="",$E65="",$F65=""),"Stammdaten fehlen",IF(AND($G65="",$H65=""),"Werte fehlen",IF($G65="","Monatsstunden fehlen",IF($H65="","Monatslohn fehlt","OK")))))</f>
        <v>OK</v>
      </c>
      <c r="J65" s="420" t="str">
        <f>IF($G65="","",IF(COUNTIFS($A:$A,$A65,$D:$D,$D65,$G:$G,$G65)&gt;1,"Doppelte Monatsstunden",""))</f>
        <v/>
      </c>
    </row>
    <row r="66" spans="1:10" ht="24" customHeight="1">
      <c r="A66" s="413" t="s">
        <v>290</v>
      </c>
      <c r="B66" s="400">
        <v>45778</v>
      </c>
      <c r="C66" s="400">
        <v>46142</v>
      </c>
      <c r="D66" s="401" t="s">
        <v>288</v>
      </c>
      <c r="E66" s="401" t="s">
        <v>6</v>
      </c>
      <c r="F66" s="401" t="s">
        <v>278</v>
      </c>
      <c r="G66" s="82">
        <v>69.2</v>
      </c>
      <c r="H66" s="83">
        <v>864</v>
      </c>
      <c r="I66" s="402" t="str">
        <f>IF($A66="","",IF(OR($B66="",$C66="",$D66="",$E66="",$F66=""),"Stammdaten fehlen",IF(AND($G66="",$H66=""),"Werte fehlen",IF($G66="","Monatsstunden fehlen",IF($H66="","Monatslohn fehlt","OK")))))</f>
        <v>OK</v>
      </c>
      <c r="J66" s="420" t="str">
        <f>IF($G66="","",IF(COUNTIFS($A:$A,$A66,$D:$D,$D66,$G:$G,$G66)&gt;1,"Doppelte Monatsstunden",""))</f>
        <v/>
      </c>
    </row>
    <row r="67" spans="1:10" ht="24" customHeight="1">
      <c r="A67" s="413" t="s">
        <v>290</v>
      </c>
      <c r="B67" s="400">
        <v>45778</v>
      </c>
      <c r="C67" s="400">
        <v>46142</v>
      </c>
      <c r="D67" s="401" t="s">
        <v>288</v>
      </c>
      <c r="E67" s="401" t="s">
        <v>6</v>
      </c>
      <c r="F67" s="401" t="s">
        <v>278</v>
      </c>
      <c r="G67" s="82">
        <v>51.9</v>
      </c>
      <c r="H67" s="83">
        <v>648</v>
      </c>
      <c r="I67" s="402" t="str">
        <f>IF($A67="","",IF(OR($B67="",$C67="",$D67="",$E67="",$F67=""),"Stammdaten fehlen",IF(AND($G67="",$H67=""),"Werte fehlen",IF($G67="","Monatsstunden fehlen",IF($H67="","Monatslohn fehlt","OK")))))</f>
        <v>OK</v>
      </c>
      <c r="J67" s="420" t="str">
        <f>IF($G67="","",IF(COUNTIFS($A:$A,$A67,$D:$D,$D67,$G:$G,$G67)&gt;1,"Doppelte Monatsstunden",""))</f>
        <v/>
      </c>
    </row>
    <row r="68" spans="1:10" ht="24" customHeight="1">
      <c r="A68" s="413" t="s">
        <v>290</v>
      </c>
      <c r="B68" s="400">
        <v>45778</v>
      </c>
      <c r="C68" s="400">
        <v>46142</v>
      </c>
      <c r="D68" s="401" t="s">
        <v>288</v>
      </c>
      <c r="E68" s="401" t="s">
        <v>6</v>
      </c>
      <c r="F68" s="401" t="s">
        <v>278</v>
      </c>
      <c r="G68" s="82">
        <v>47.58</v>
      </c>
      <c r="H68" s="83">
        <v>594</v>
      </c>
      <c r="I68" s="402" t="str">
        <f>IF($A68="","",IF(OR($B68="",$C68="",$D68="",$E68="",$F68=""),"Stammdaten fehlen",IF(AND($G68="",$H68=""),"Werte fehlen",IF($G68="","Monatsstunden fehlen",IF($H68="","Monatslohn fehlt","OK")))))</f>
        <v>OK</v>
      </c>
      <c r="J68" s="420" t="str">
        <f>IF($G68="","",IF(COUNTIFS($A:$A,$A68,$D:$D,$D68,$G:$G,$G68)&gt;1,"Doppelte Monatsstunden",""))</f>
        <v/>
      </c>
    </row>
    <row r="69" spans="1:10" ht="24" customHeight="1">
      <c r="A69" s="413" t="s">
        <v>290</v>
      </c>
      <c r="B69" s="400">
        <v>45778</v>
      </c>
      <c r="C69" s="400">
        <v>46142</v>
      </c>
      <c r="D69" s="401" t="s">
        <v>288</v>
      </c>
      <c r="E69" s="401" t="s">
        <v>6</v>
      </c>
      <c r="F69" s="401" t="s">
        <v>278</v>
      </c>
      <c r="G69" s="82">
        <v>43.25</v>
      </c>
      <c r="H69" s="83">
        <v>540</v>
      </c>
      <c r="I69" s="402" t="str">
        <f>IF($A69="","",IF(OR($B69="",$C69="",$D69="",$E69="",$F69=""),"Stammdaten fehlen",IF(AND($G69="",$H69=""),"Werte fehlen",IF($G69="","Monatsstunden fehlen",IF($H69="","Monatslohn fehlt","OK")))))</f>
        <v>OK</v>
      </c>
      <c r="J69" s="420" t="str">
        <f>IF($G69="","",IF(COUNTIFS($A:$A,$A69,$D:$D,$D69,$G:$G,$G69)&gt;1,"Doppelte Monatsstunden",""))</f>
        <v/>
      </c>
    </row>
    <row r="70" spans="1:10" ht="24" customHeight="1">
      <c r="A70" s="413" t="s">
        <v>290</v>
      </c>
      <c r="B70" s="400">
        <v>45778</v>
      </c>
      <c r="C70" s="400">
        <v>46142</v>
      </c>
      <c r="D70" s="401" t="s">
        <v>288</v>
      </c>
      <c r="E70" s="401" t="s">
        <v>6</v>
      </c>
      <c r="F70" s="401" t="s">
        <v>278</v>
      </c>
      <c r="G70" s="82">
        <v>34.6</v>
      </c>
      <c r="H70" s="83">
        <v>432</v>
      </c>
      <c r="I70" s="402" t="str">
        <f>IF($A70="","",IF(OR($B70="",$C70="",$D70="",$E70="",$F70=""),"Stammdaten fehlen",IF(AND($G70="",$H70=""),"Werte fehlen",IF($G70="","Monatsstunden fehlen",IF($H70="","Monatslohn fehlt","OK")))))</f>
        <v>OK</v>
      </c>
      <c r="J70" s="420" t="str">
        <f>IF($G70="","",IF(COUNTIFS($A:$A,$A70,$D:$D,$D70,$G:$G,$G70)&gt;1,"Doppelte Monatsstunden",""))</f>
        <v/>
      </c>
    </row>
    <row r="71" spans="1:10" ht="24" customHeight="1" thickBot="1">
      <c r="A71" s="413" t="s">
        <v>290</v>
      </c>
      <c r="B71" s="400">
        <v>45778</v>
      </c>
      <c r="C71" s="400">
        <v>46142</v>
      </c>
      <c r="D71" s="401" t="s">
        <v>288</v>
      </c>
      <c r="E71" s="401" t="s">
        <v>6</v>
      </c>
      <c r="F71" s="401" t="s">
        <v>278</v>
      </c>
      <c r="G71" s="82">
        <v>32.01</v>
      </c>
      <c r="H71" s="83">
        <v>399.6</v>
      </c>
      <c r="I71" s="402" t="str">
        <f>IF($A71="","",IF(OR($B71="",$C71="",$D71="",$E71="",$F71=""),"Stammdaten fehlen",IF(AND($G71="",$H71=""),"Werte fehlen",IF($G71="","Monatsstunden fehlen",IF($H71="","Monatslohn fehlt","OK")))))</f>
        <v>OK</v>
      </c>
      <c r="J71" s="420" t="str">
        <f>IF($G71="","",IF(COUNTIFS($A:$A,$A71,$D:$D,$D71,$G:$G,$G71)&gt;1,"Doppelte Monatsstunden",""))</f>
        <v/>
      </c>
    </row>
    <row r="72" spans="1:10" ht="24" customHeight="1">
      <c r="A72" s="412" t="s">
        <v>290</v>
      </c>
      <c r="B72" s="397">
        <v>45778</v>
      </c>
      <c r="C72" s="397">
        <v>46142</v>
      </c>
      <c r="D72" s="398" t="s">
        <v>7</v>
      </c>
      <c r="E72" s="398" t="s">
        <v>6</v>
      </c>
      <c r="F72" s="398" t="s">
        <v>279</v>
      </c>
      <c r="G72" s="80">
        <v>173</v>
      </c>
      <c r="H72" s="81">
        <v>2160</v>
      </c>
      <c r="I72" s="399" t="str">
        <f>IF($A72="","",IF(OR($B72="",$C72="",$D72="",$E72="",$F72=""),"Stammdaten fehlen",IF(AND($G72="",$H72=""),"Werte fehlen",IF($G72="","Monatsstunden fehlen",IF($H72="","Monatslohn fehlt","OK")))))</f>
        <v>OK</v>
      </c>
      <c r="J72" s="419" t="str">
        <f>IF($G72="","",IF(COUNTIFS($A:$A,$A72,$D:$D,$D72,$G:$G,$G72)&gt;1,"Doppelte Monatsstunden",""))</f>
        <v/>
      </c>
    </row>
    <row r="73" spans="1:10" ht="24" customHeight="1">
      <c r="A73" s="413" t="s">
        <v>290</v>
      </c>
      <c r="B73" s="400">
        <v>45778</v>
      </c>
      <c r="C73" s="400">
        <v>46142</v>
      </c>
      <c r="D73" s="401" t="s">
        <v>7</v>
      </c>
      <c r="E73" s="401" t="s">
        <v>6</v>
      </c>
      <c r="F73" s="401" t="s">
        <v>279</v>
      </c>
      <c r="G73" s="82">
        <v>151.38</v>
      </c>
      <c r="H73" s="83">
        <v>1890</v>
      </c>
      <c r="I73" s="402" t="str">
        <f>IF($A73="","",IF(OR($B73="",$C73="",$D73="",$E73="",$F73=""),"Stammdaten fehlen",IF(AND($G73="",$H73=""),"Werte fehlen",IF($G73="","Monatsstunden fehlen",IF($H73="","Monatslohn fehlt","OK")))))</f>
        <v>OK</v>
      </c>
      <c r="J73" s="420" t="str">
        <f>IF($G73="","",IF(COUNTIFS($A:$A,$A73,$D:$D,$D73,$G:$G,$G73)&gt;1,"Doppelte Monatsstunden",""))</f>
        <v/>
      </c>
    </row>
    <row r="74" spans="1:10" ht="24" customHeight="1">
      <c r="A74" s="413" t="s">
        <v>290</v>
      </c>
      <c r="B74" s="400">
        <v>45778</v>
      </c>
      <c r="C74" s="400">
        <v>46142</v>
      </c>
      <c r="D74" s="401" t="s">
        <v>7</v>
      </c>
      <c r="E74" s="401" t="s">
        <v>6</v>
      </c>
      <c r="F74" s="401" t="s">
        <v>279</v>
      </c>
      <c r="G74" s="82">
        <v>138.4</v>
      </c>
      <c r="H74" s="83">
        <v>1728</v>
      </c>
      <c r="I74" s="402" t="str">
        <f>IF($A74="","",IF(OR($B74="",$C74="",$D74="",$E74="",$F74=""),"Stammdaten fehlen",IF(AND($G74="",$H74=""),"Werte fehlen",IF($G74="","Monatsstunden fehlen",IF($H74="","Monatslohn fehlt","OK")))))</f>
        <v>OK</v>
      </c>
      <c r="J74" s="420" t="str">
        <f>IF($G74="","",IF(COUNTIFS($A:$A,$A74,$D:$D,$D74,$G:$G,$G74)&gt;1,"Doppelte Monatsstunden",""))</f>
        <v/>
      </c>
    </row>
    <row r="75" spans="1:10" ht="24" customHeight="1">
      <c r="A75" s="413" t="s">
        <v>290</v>
      </c>
      <c r="B75" s="400">
        <v>45778</v>
      </c>
      <c r="C75" s="400">
        <v>46142</v>
      </c>
      <c r="D75" s="401" t="s">
        <v>7</v>
      </c>
      <c r="E75" s="401" t="s">
        <v>6</v>
      </c>
      <c r="F75" s="401" t="s">
        <v>279</v>
      </c>
      <c r="G75" s="82">
        <v>129.75</v>
      </c>
      <c r="H75" s="83">
        <v>1620</v>
      </c>
      <c r="I75" s="402" t="str">
        <f>IF($A75="","",IF(OR($B75="",$C75="",$D75="",$E75="",$F75=""),"Stammdaten fehlen",IF(AND($G75="",$H75=""),"Werte fehlen",IF($G75="","Monatsstunden fehlen",IF($H75="","Monatslohn fehlt","OK")))))</f>
        <v>OK</v>
      </c>
      <c r="J75" s="420" t="str">
        <f>IF($G75="","",IF(COUNTIFS($A:$A,$A75,$D:$D,$D75,$G:$G,$G75)&gt;1,"Doppelte Monatsstunden",""))</f>
        <v/>
      </c>
    </row>
    <row r="76" spans="1:10" ht="24" customHeight="1">
      <c r="A76" s="413" t="s">
        <v>290</v>
      </c>
      <c r="B76" s="400">
        <v>45778</v>
      </c>
      <c r="C76" s="400">
        <v>46142</v>
      </c>
      <c r="D76" s="401" t="s">
        <v>7</v>
      </c>
      <c r="E76" s="401" t="s">
        <v>6</v>
      </c>
      <c r="F76" s="401" t="s">
        <v>279</v>
      </c>
      <c r="G76" s="82">
        <v>108.13</v>
      </c>
      <c r="H76" s="83">
        <v>1350</v>
      </c>
      <c r="I76" s="402" t="str">
        <f>IF($A76="","",IF(OR($B76="",$C76="",$D76="",$E76="",$F76=""),"Stammdaten fehlen",IF(AND($G76="",$H76=""),"Werte fehlen",IF($G76="","Monatsstunden fehlen",IF($H76="","Monatslohn fehlt","OK")))))</f>
        <v>OK</v>
      </c>
      <c r="J76" s="420" t="str">
        <f>IF($G76="","",IF(COUNTIFS($A:$A,$A76,$D:$D,$D76,$G:$G,$G76)&gt;1,"Doppelte Monatsstunden",""))</f>
        <v/>
      </c>
    </row>
    <row r="77" spans="1:10" ht="24" customHeight="1">
      <c r="A77" s="413" t="s">
        <v>290</v>
      </c>
      <c r="B77" s="400">
        <v>45778</v>
      </c>
      <c r="C77" s="400">
        <v>46142</v>
      </c>
      <c r="D77" s="401" t="s">
        <v>7</v>
      </c>
      <c r="E77" s="401" t="s">
        <v>6</v>
      </c>
      <c r="F77" s="401" t="s">
        <v>279</v>
      </c>
      <c r="G77" s="82">
        <v>103.8</v>
      </c>
      <c r="H77" s="83">
        <v>1296</v>
      </c>
      <c r="I77" s="402" t="str">
        <f>IF($A77="","",IF(OR($B77="",$C77="",$D77="",$E77="",$F77=""),"Stammdaten fehlen",IF(AND($G77="",$H77=""),"Werte fehlen",IF($G77="","Monatsstunden fehlen",IF($H77="","Monatslohn fehlt","OK")))))</f>
        <v>OK</v>
      </c>
      <c r="J77" s="420" t="str">
        <f>IF($G77="","",IF(COUNTIFS($A:$A,$A77,$D:$D,$D77,$G:$G,$G77)&gt;1,"Doppelte Monatsstunden",""))</f>
        <v/>
      </c>
    </row>
    <row r="78" spans="1:10" ht="24" customHeight="1">
      <c r="A78" s="413" t="s">
        <v>290</v>
      </c>
      <c r="B78" s="400">
        <v>45778</v>
      </c>
      <c r="C78" s="400">
        <v>46142</v>
      </c>
      <c r="D78" s="401" t="s">
        <v>7</v>
      </c>
      <c r="E78" s="401" t="s">
        <v>6</v>
      </c>
      <c r="F78" s="401" t="s">
        <v>279</v>
      </c>
      <c r="G78" s="82">
        <v>86.5</v>
      </c>
      <c r="H78" s="83">
        <v>1080</v>
      </c>
      <c r="I78" s="402" t="str">
        <f>IF($A78="","",IF(OR($B78="",$C78="",$D78="",$E78="",$F78=""),"Stammdaten fehlen",IF(AND($G78="",$H78=""),"Werte fehlen",IF($G78="","Monatsstunden fehlen",IF($H78="","Monatslohn fehlt","OK")))))</f>
        <v>OK</v>
      </c>
      <c r="J78" s="420" t="str">
        <f>IF($G78="","",IF(COUNTIFS($A:$A,$A78,$D:$D,$D78,$G:$G,$G78)&gt;1,"Doppelte Monatsstunden",""))</f>
        <v/>
      </c>
    </row>
    <row r="79" spans="1:10" ht="24" customHeight="1">
      <c r="A79" s="413" t="s">
        <v>290</v>
      </c>
      <c r="B79" s="400">
        <v>45778</v>
      </c>
      <c r="C79" s="400">
        <v>46142</v>
      </c>
      <c r="D79" s="401" t="s">
        <v>7</v>
      </c>
      <c r="E79" s="401" t="s">
        <v>6</v>
      </c>
      <c r="F79" s="401" t="s">
        <v>279</v>
      </c>
      <c r="G79" s="82">
        <v>69.2</v>
      </c>
      <c r="H79" s="83">
        <v>864</v>
      </c>
      <c r="I79" s="402" t="str">
        <f>IF($A79="","",IF(OR($B79="",$C79="",$D79="",$E79="",$F79=""),"Stammdaten fehlen",IF(AND($G79="",$H79=""),"Werte fehlen",IF($G79="","Monatsstunden fehlen",IF($H79="","Monatslohn fehlt","OK")))))</f>
        <v>OK</v>
      </c>
      <c r="J79" s="420" t="str">
        <f>IF($G79="","",IF(COUNTIFS($A:$A,$A79,$D:$D,$D79,$G:$G,$G79)&gt;1,"Doppelte Monatsstunden",""))</f>
        <v/>
      </c>
    </row>
    <row r="80" spans="1:10" ht="24" customHeight="1">
      <c r="A80" s="413" t="s">
        <v>290</v>
      </c>
      <c r="B80" s="400">
        <v>45778</v>
      </c>
      <c r="C80" s="400">
        <v>46142</v>
      </c>
      <c r="D80" s="401" t="s">
        <v>7</v>
      </c>
      <c r="E80" s="401" t="s">
        <v>6</v>
      </c>
      <c r="F80" s="401" t="s">
        <v>279</v>
      </c>
      <c r="G80" s="82">
        <v>51.9</v>
      </c>
      <c r="H80" s="83">
        <v>648</v>
      </c>
      <c r="I80" s="402" t="str">
        <f>IF($A80="","",IF(OR($B80="",$C80="",$D80="",$E80="",$F80=""),"Stammdaten fehlen",IF(AND($G80="",$H80=""),"Werte fehlen",IF($G80="","Monatsstunden fehlen",IF($H80="","Monatslohn fehlt","OK")))))</f>
        <v>OK</v>
      </c>
      <c r="J80" s="420" t="str">
        <f>IF($G80="","",IF(COUNTIFS($A:$A,$A80,$D:$D,$D80,$G:$G,$G80)&gt;1,"Doppelte Monatsstunden",""))</f>
        <v/>
      </c>
    </row>
    <row r="81" spans="1:10" ht="24" customHeight="1">
      <c r="A81" s="413" t="s">
        <v>290</v>
      </c>
      <c r="B81" s="400">
        <v>45778</v>
      </c>
      <c r="C81" s="400">
        <v>46142</v>
      </c>
      <c r="D81" s="401" t="s">
        <v>7</v>
      </c>
      <c r="E81" s="401" t="s">
        <v>6</v>
      </c>
      <c r="F81" s="401" t="s">
        <v>279</v>
      </c>
      <c r="G81" s="82">
        <v>47.58</v>
      </c>
      <c r="H81" s="83">
        <v>594</v>
      </c>
      <c r="I81" s="402" t="str">
        <f>IF($A81="","",IF(OR($B81="",$C81="",$D81="",$E81="",$F81=""),"Stammdaten fehlen",IF(AND($G81="",$H81=""),"Werte fehlen",IF($G81="","Monatsstunden fehlen",IF($H81="","Monatslohn fehlt","OK")))))</f>
        <v>OK</v>
      </c>
      <c r="J81" s="420" t="str">
        <f>IF($G81="","",IF(COUNTIFS($A:$A,$A81,$D:$D,$D81,$G:$G,$G81)&gt;1,"Doppelte Monatsstunden",""))</f>
        <v/>
      </c>
    </row>
    <row r="82" spans="1:10" ht="24" customHeight="1">
      <c r="A82" s="413" t="s">
        <v>290</v>
      </c>
      <c r="B82" s="400">
        <v>45778</v>
      </c>
      <c r="C82" s="400">
        <v>46142</v>
      </c>
      <c r="D82" s="401" t="s">
        <v>7</v>
      </c>
      <c r="E82" s="401" t="s">
        <v>6</v>
      </c>
      <c r="F82" s="401" t="s">
        <v>279</v>
      </c>
      <c r="G82" s="82">
        <v>43.25</v>
      </c>
      <c r="H82" s="83">
        <v>540</v>
      </c>
      <c r="I82" s="402" t="str">
        <f>IF($A82="","",IF(OR($B82="",$C82="",$D82="",$E82="",$F82=""),"Stammdaten fehlen",IF(AND($G82="",$H82=""),"Werte fehlen",IF($G82="","Monatsstunden fehlen",IF($H82="","Monatslohn fehlt","OK")))))</f>
        <v>OK</v>
      </c>
      <c r="J82" s="420" t="str">
        <f>IF($G82="","",IF(COUNTIFS($A:$A,$A82,$D:$D,$D82,$G:$G,$G82)&gt;1,"Doppelte Monatsstunden",""))</f>
        <v/>
      </c>
    </row>
    <row r="83" spans="1:10" ht="24" customHeight="1">
      <c r="A83" s="413" t="s">
        <v>290</v>
      </c>
      <c r="B83" s="400">
        <v>45778</v>
      </c>
      <c r="C83" s="400">
        <v>46142</v>
      </c>
      <c r="D83" s="401" t="s">
        <v>7</v>
      </c>
      <c r="E83" s="401" t="s">
        <v>6</v>
      </c>
      <c r="F83" s="401" t="s">
        <v>279</v>
      </c>
      <c r="G83" s="82">
        <v>34.6</v>
      </c>
      <c r="H83" s="83">
        <v>432</v>
      </c>
      <c r="I83" s="402" t="str">
        <f>IF($A83="","",IF(OR($B83="",$C83="",$D83="",$E83="",$F83=""),"Stammdaten fehlen",IF(AND($G83="",$H83=""),"Werte fehlen",IF($G83="","Monatsstunden fehlen",IF($H83="","Monatslohn fehlt","OK")))))</f>
        <v>OK</v>
      </c>
      <c r="J83" s="420" t="str">
        <f>IF($G83="","",IF(COUNTIFS($A:$A,$A83,$D:$D,$D83,$G:$G,$G83)&gt;1,"Doppelte Monatsstunden",""))</f>
        <v/>
      </c>
    </row>
    <row r="84" spans="1:10" ht="24" customHeight="1" thickBot="1">
      <c r="A84" s="413" t="s">
        <v>290</v>
      </c>
      <c r="B84" s="400">
        <v>45778</v>
      </c>
      <c r="C84" s="400">
        <v>46142</v>
      </c>
      <c r="D84" s="401" t="s">
        <v>7</v>
      </c>
      <c r="E84" s="401" t="s">
        <v>6</v>
      </c>
      <c r="F84" s="401" t="s">
        <v>279</v>
      </c>
      <c r="G84" s="82">
        <v>32.01</v>
      </c>
      <c r="H84" s="83">
        <v>399.6</v>
      </c>
      <c r="I84" s="402" t="str">
        <f>IF($A84="","",IF(OR($B84="",$C84="",$D84="",$E84="",$F84=""),"Stammdaten fehlen",IF(AND($G84="",$H84=""),"Werte fehlen",IF($G84="","Monatsstunden fehlen",IF($H84="","Monatslohn fehlt","OK")))))</f>
        <v>OK</v>
      </c>
      <c r="J84" s="420" t="str">
        <f>IF($G84="","",IF(COUNTIFS($A:$A,$A84,$D:$D,$D84,$G:$G,$G84)&gt;1,"Doppelte Monatsstunden",""))</f>
        <v/>
      </c>
    </row>
    <row r="85" spans="1:10" ht="24" customHeight="1">
      <c r="A85" s="412" t="s">
        <v>290</v>
      </c>
      <c r="B85" s="397">
        <v>45778</v>
      </c>
      <c r="C85" s="397">
        <v>46142</v>
      </c>
      <c r="D85" s="398" t="s">
        <v>8</v>
      </c>
      <c r="E85" s="398" t="s">
        <v>6</v>
      </c>
      <c r="F85" s="398" t="s">
        <v>280</v>
      </c>
      <c r="G85" s="80">
        <v>173</v>
      </c>
      <c r="H85" s="81">
        <v>2163</v>
      </c>
      <c r="I85" s="399" t="str">
        <f>IF($A85="","",IF(OR($B85="",$C85="",$D85="",$E85="",$F85=""),"Stammdaten fehlen",IF(AND($G85="",$H85=""),"Werte fehlen",IF($G85="","Monatsstunden fehlen",IF($H85="","Monatslohn fehlt","OK")))))</f>
        <v>OK</v>
      </c>
      <c r="J85" s="419" t="str">
        <f>IF($G85="","",IF(COUNTIFS($A:$A,$A85,$D:$D,$D85,$G:$G,$G85)&gt;1,"Doppelte Monatsstunden",""))</f>
        <v/>
      </c>
    </row>
    <row r="86" spans="1:10" ht="24" customHeight="1">
      <c r="A86" s="413" t="s">
        <v>290</v>
      </c>
      <c r="B86" s="400">
        <v>45778</v>
      </c>
      <c r="C86" s="400">
        <v>46142</v>
      </c>
      <c r="D86" s="401" t="s">
        <v>8</v>
      </c>
      <c r="E86" s="401" t="s">
        <v>6</v>
      </c>
      <c r="F86" s="401" t="s">
        <v>280</v>
      </c>
      <c r="G86" s="82">
        <v>151.38</v>
      </c>
      <c r="H86" s="83">
        <v>1892.63</v>
      </c>
      <c r="I86" s="402" t="str">
        <f>IF($A86="","",IF(OR($B86="",$C86="",$D86="",$E86="",$F86=""),"Stammdaten fehlen",IF(AND($G86="",$H86=""),"Werte fehlen",IF($G86="","Monatsstunden fehlen",IF($H86="","Monatslohn fehlt","OK")))))</f>
        <v>OK</v>
      </c>
      <c r="J86" s="420" t="str">
        <f>IF($G86="","",IF(COUNTIFS($A:$A,$A86,$D:$D,$D86,$G:$G,$G86)&gt;1,"Doppelte Monatsstunden",""))</f>
        <v/>
      </c>
    </row>
    <row r="87" spans="1:10" ht="24" customHeight="1">
      <c r="A87" s="413" t="s">
        <v>290</v>
      </c>
      <c r="B87" s="400">
        <v>45778</v>
      </c>
      <c r="C87" s="400">
        <v>46142</v>
      </c>
      <c r="D87" s="401" t="s">
        <v>8</v>
      </c>
      <c r="E87" s="401" t="s">
        <v>6</v>
      </c>
      <c r="F87" s="401" t="s">
        <v>280</v>
      </c>
      <c r="G87" s="82">
        <v>138.4</v>
      </c>
      <c r="H87" s="83">
        <v>1730.4</v>
      </c>
      <c r="I87" s="402" t="str">
        <f>IF($A87="","",IF(OR($B87="",$C87="",$D87="",$E87="",$F87=""),"Stammdaten fehlen",IF(AND($G87="",$H87=""),"Werte fehlen",IF($G87="","Monatsstunden fehlen",IF($H87="","Monatslohn fehlt","OK")))))</f>
        <v>OK</v>
      </c>
      <c r="J87" s="420" t="str">
        <f>IF($G87="","",IF(COUNTIFS($A:$A,$A87,$D:$D,$D87,$G:$G,$G87)&gt;1,"Doppelte Monatsstunden",""))</f>
        <v/>
      </c>
    </row>
    <row r="88" spans="1:10" ht="24" customHeight="1">
      <c r="A88" s="413" t="s">
        <v>290</v>
      </c>
      <c r="B88" s="400">
        <v>45778</v>
      </c>
      <c r="C88" s="400">
        <v>46142</v>
      </c>
      <c r="D88" s="401" t="s">
        <v>8</v>
      </c>
      <c r="E88" s="401" t="s">
        <v>6</v>
      </c>
      <c r="F88" s="401" t="s">
        <v>280</v>
      </c>
      <c r="G88" s="82">
        <v>129.75</v>
      </c>
      <c r="H88" s="83">
        <v>1622.25</v>
      </c>
      <c r="I88" s="402" t="str">
        <f>IF($A88="","",IF(OR($B88="",$C88="",$D88="",$E88="",$F88=""),"Stammdaten fehlen",IF(AND($G88="",$H88=""),"Werte fehlen",IF($G88="","Monatsstunden fehlen",IF($H88="","Monatslohn fehlt","OK")))))</f>
        <v>OK</v>
      </c>
      <c r="J88" s="420" t="str">
        <f>IF($G88="","",IF(COUNTIFS($A:$A,$A88,$D:$D,$D88,$G:$G,$G88)&gt;1,"Doppelte Monatsstunden",""))</f>
        <v/>
      </c>
    </row>
    <row r="89" spans="1:10" ht="24" customHeight="1">
      <c r="A89" s="413" t="s">
        <v>290</v>
      </c>
      <c r="B89" s="400">
        <v>45778</v>
      </c>
      <c r="C89" s="400">
        <v>46142</v>
      </c>
      <c r="D89" s="401" t="s">
        <v>8</v>
      </c>
      <c r="E89" s="401" t="s">
        <v>6</v>
      </c>
      <c r="F89" s="401" t="s">
        <v>280</v>
      </c>
      <c r="G89" s="82">
        <v>108.13</v>
      </c>
      <c r="H89" s="83">
        <v>1351.88</v>
      </c>
      <c r="I89" s="402" t="str">
        <f>IF($A89="","",IF(OR($B89="",$C89="",$D89="",$E89="",$F89=""),"Stammdaten fehlen",IF(AND($G89="",$H89=""),"Werte fehlen",IF($G89="","Monatsstunden fehlen",IF($H89="","Monatslohn fehlt","OK")))))</f>
        <v>OK</v>
      </c>
      <c r="J89" s="420" t="str">
        <f>IF($G89="","",IF(COUNTIFS($A:$A,$A89,$D:$D,$D89,$G:$G,$G89)&gt;1,"Doppelte Monatsstunden",""))</f>
        <v/>
      </c>
    </row>
    <row r="90" spans="1:10" ht="24" customHeight="1">
      <c r="A90" s="413" t="s">
        <v>290</v>
      </c>
      <c r="B90" s="400">
        <v>45778</v>
      </c>
      <c r="C90" s="400">
        <v>46142</v>
      </c>
      <c r="D90" s="401" t="s">
        <v>8</v>
      </c>
      <c r="E90" s="401" t="s">
        <v>6</v>
      </c>
      <c r="F90" s="401" t="s">
        <v>280</v>
      </c>
      <c r="G90" s="82">
        <v>103.8</v>
      </c>
      <c r="H90" s="83">
        <v>1297.8</v>
      </c>
      <c r="I90" s="402" t="str">
        <f>IF($A90="","",IF(OR($B90="",$C90="",$D90="",$E90="",$F90=""),"Stammdaten fehlen",IF(AND($G90="",$H90=""),"Werte fehlen",IF($G90="","Monatsstunden fehlen",IF($H90="","Monatslohn fehlt","OK")))))</f>
        <v>OK</v>
      </c>
      <c r="J90" s="420" t="str">
        <f>IF($G90="","",IF(COUNTIFS($A:$A,$A90,$D:$D,$D90,$G:$G,$G90)&gt;1,"Doppelte Monatsstunden",""))</f>
        <v/>
      </c>
    </row>
    <row r="91" spans="1:10" ht="24" customHeight="1">
      <c r="A91" s="413" t="s">
        <v>290</v>
      </c>
      <c r="B91" s="400">
        <v>45778</v>
      </c>
      <c r="C91" s="400">
        <v>46142</v>
      </c>
      <c r="D91" s="401" t="s">
        <v>8</v>
      </c>
      <c r="E91" s="401" t="s">
        <v>6</v>
      </c>
      <c r="F91" s="401" t="s">
        <v>280</v>
      </c>
      <c r="G91" s="82">
        <v>86.5</v>
      </c>
      <c r="H91" s="83">
        <v>1081.5</v>
      </c>
      <c r="I91" s="402" t="str">
        <f>IF($A91="","",IF(OR($B91="",$C91="",$D91="",$E91="",$F91=""),"Stammdaten fehlen",IF(AND($G91="",$H91=""),"Werte fehlen",IF($G91="","Monatsstunden fehlen",IF($H91="","Monatslohn fehlt","OK")))))</f>
        <v>OK</v>
      </c>
      <c r="J91" s="420" t="str">
        <f>IF($G91="","",IF(COUNTIFS($A:$A,$A91,$D:$D,$D91,$G:$G,$G91)&gt;1,"Doppelte Monatsstunden",""))</f>
        <v/>
      </c>
    </row>
    <row r="92" spans="1:10" ht="24" customHeight="1">
      <c r="A92" s="413" t="s">
        <v>290</v>
      </c>
      <c r="B92" s="400">
        <v>45778</v>
      </c>
      <c r="C92" s="400">
        <v>46142</v>
      </c>
      <c r="D92" s="401" t="s">
        <v>8</v>
      </c>
      <c r="E92" s="401" t="s">
        <v>6</v>
      </c>
      <c r="F92" s="401" t="s">
        <v>280</v>
      </c>
      <c r="G92" s="82">
        <v>69.2</v>
      </c>
      <c r="H92" s="83">
        <v>865.2</v>
      </c>
      <c r="I92" s="402" t="str">
        <f>IF($A92="","",IF(OR($B92="",$C92="",$D92="",$E92="",$F92=""),"Stammdaten fehlen",IF(AND($G92="",$H92=""),"Werte fehlen",IF($G92="","Monatsstunden fehlen",IF($H92="","Monatslohn fehlt","OK")))))</f>
        <v>OK</v>
      </c>
      <c r="J92" s="420" t="str">
        <f>IF($G92="","",IF(COUNTIFS($A:$A,$A92,$D:$D,$D92,$G:$G,$G92)&gt;1,"Doppelte Monatsstunden",""))</f>
        <v/>
      </c>
    </row>
    <row r="93" spans="1:10" ht="24" customHeight="1">
      <c r="A93" s="413" t="s">
        <v>290</v>
      </c>
      <c r="B93" s="400">
        <v>45778</v>
      </c>
      <c r="C93" s="400">
        <v>46142</v>
      </c>
      <c r="D93" s="401" t="s">
        <v>8</v>
      </c>
      <c r="E93" s="401" t="s">
        <v>6</v>
      </c>
      <c r="F93" s="401" t="s">
        <v>280</v>
      </c>
      <c r="G93" s="82">
        <v>51.9</v>
      </c>
      <c r="H93" s="83">
        <v>648.9</v>
      </c>
      <c r="I93" s="402" t="str">
        <f>IF($A93="","",IF(OR($B93="",$C93="",$D93="",$E93="",$F93=""),"Stammdaten fehlen",IF(AND($G93="",$H93=""),"Werte fehlen",IF($G93="","Monatsstunden fehlen",IF($H93="","Monatslohn fehlt","OK")))))</f>
        <v>OK</v>
      </c>
      <c r="J93" s="420" t="str">
        <f>IF($G93="","",IF(COUNTIFS($A:$A,$A93,$D:$D,$D93,$G:$G,$G93)&gt;1,"Doppelte Monatsstunden",""))</f>
        <v/>
      </c>
    </row>
    <row r="94" spans="1:10" ht="24" customHeight="1">
      <c r="A94" s="413" t="s">
        <v>290</v>
      </c>
      <c r="B94" s="400">
        <v>45778</v>
      </c>
      <c r="C94" s="400">
        <v>46142</v>
      </c>
      <c r="D94" s="401" t="s">
        <v>8</v>
      </c>
      <c r="E94" s="401" t="s">
        <v>6</v>
      </c>
      <c r="F94" s="401" t="s">
        <v>280</v>
      </c>
      <c r="G94" s="82">
        <v>47.58</v>
      </c>
      <c r="H94" s="83">
        <v>594.83000000000004</v>
      </c>
      <c r="I94" s="402" t="str">
        <f>IF($A94="","",IF(OR($B94="",$C94="",$D94="",$E94="",$F94=""),"Stammdaten fehlen",IF(AND($G94="",$H94=""),"Werte fehlen",IF($G94="","Monatsstunden fehlen",IF($H94="","Monatslohn fehlt","OK")))))</f>
        <v>OK</v>
      </c>
      <c r="J94" s="420" t="str">
        <f>IF($G94="","",IF(COUNTIFS($A:$A,$A94,$D:$D,$D94,$G:$G,$G94)&gt;1,"Doppelte Monatsstunden",""))</f>
        <v/>
      </c>
    </row>
    <row r="95" spans="1:10" ht="24" customHeight="1">
      <c r="A95" s="413" t="s">
        <v>290</v>
      </c>
      <c r="B95" s="400">
        <v>45778</v>
      </c>
      <c r="C95" s="400">
        <v>46142</v>
      </c>
      <c r="D95" s="401" t="s">
        <v>8</v>
      </c>
      <c r="E95" s="401" t="s">
        <v>6</v>
      </c>
      <c r="F95" s="401" t="s">
        <v>280</v>
      </c>
      <c r="G95" s="82">
        <v>43.25</v>
      </c>
      <c r="H95" s="83">
        <v>540.75</v>
      </c>
      <c r="I95" s="402" t="str">
        <f>IF($A95="","",IF(OR($B95="",$C95="",$D95="",$E95="",$F95=""),"Stammdaten fehlen",IF(AND($G95="",$H95=""),"Werte fehlen",IF($G95="","Monatsstunden fehlen",IF($H95="","Monatslohn fehlt","OK")))))</f>
        <v>OK</v>
      </c>
      <c r="J95" s="420" t="str">
        <f>IF($G95="","",IF(COUNTIFS($A:$A,$A95,$D:$D,$D95,$G:$G,$G95)&gt;1,"Doppelte Monatsstunden",""))</f>
        <v/>
      </c>
    </row>
    <row r="96" spans="1:10" ht="24" customHeight="1">
      <c r="A96" s="413" t="s">
        <v>290</v>
      </c>
      <c r="B96" s="400">
        <v>45778</v>
      </c>
      <c r="C96" s="400">
        <v>46142</v>
      </c>
      <c r="D96" s="401" t="s">
        <v>8</v>
      </c>
      <c r="E96" s="401" t="s">
        <v>6</v>
      </c>
      <c r="F96" s="401" t="s">
        <v>280</v>
      </c>
      <c r="G96" s="82">
        <v>34.6</v>
      </c>
      <c r="H96" s="83">
        <v>432.6</v>
      </c>
      <c r="I96" s="402" t="str">
        <f>IF($A96="","",IF(OR($B96="",$C96="",$D96="",$E96="",$F96=""),"Stammdaten fehlen",IF(AND($G96="",$H96=""),"Werte fehlen",IF($G96="","Monatsstunden fehlen",IF($H96="","Monatslohn fehlt","OK")))))</f>
        <v>OK</v>
      </c>
      <c r="J96" s="420" t="str">
        <f>IF($G96="","",IF(COUNTIFS($A:$A,$A96,$D:$D,$D96,$G:$G,$G96)&gt;1,"Doppelte Monatsstunden",""))</f>
        <v/>
      </c>
    </row>
    <row r="97" spans="1:10" ht="24" customHeight="1" thickBot="1">
      <c r="A97" s="413" t="s">
        <v>290</v>
      </c>
      <c r="B97" s="400">
        <v>45778</v>
      </c>
      <c r="C97" s="400">
        <v>46142</v>
      </c>
      <c r="D97" s="401" t="s">
        <v>8</v>
      </c>
      <c r="E97" s="401" t="s">
        <v>6</v>
      </c>
      <c r="F97" s="401" t="s">
        <v>280</v>
      </c>
      <c r="G97" s="82">
        <v>32.01</v>
      </c>
      <c r="H97" s="83">
        <v>400.16</v>
      </c>
      <c r="I97" s="402" t="str">
        <f>IF($A97="","",IF(OR($B97="",$C97="",$D97="",$E97="",$F97=""),"Stammdaten fehlen",IF(AND($G97="",$H97=""),"Werte fehlen",IF($G97="","Monatsstunden fehlen",IF($H97="","Monatslohn fehlt","OK")))))</f>
        <v>OK</v>
      </c>
      <c r="J97" s="420" t="str">
        <f>IF($G97="","",IF(COUNTIFS($A:$A,$A97,$D:$D,$D97,$G:$G,$G97)&gt;1,"Doppelte Monatsstunden",""))</f>
        <v/>
      </c>
    </row>
    <row r="98" spans="1:10" ht="24" customHeight="1">
      <c r="A98" s="412" t="s">
        <v>290</v>
      </c>
      <c r="B98" s="397">
        <v>45778</v>
      </c>
      <c r="C98" s="397">
        <v>46142</v>
      </c>
      <c r="D98" s="398" t="s">
        <v>9</v>
      </c>
      <c r="E98" s="398" t="s">
        <v>6</v>
      </c>
      <c r="F98" s="398" t="s">
        <v>281</v>
      </c>
      <c r="G98" s="80">
        <v>173</v>
      </c>
      <c r="H98" s="81">
        <v>2225</v>
      </c>
      <c r="I98" s="399" t="str">
        <f>IF($A98="","",IF(OR($B98="",$C98="",$D98="",$E98="",$F98=""),"Stammdaten fehlen",IF(AND($G98="",$H98=""),"Werte fehlen",IF($G98="","Monatsstunden fehlen",IF($H98="","Monatslohn fehlt","OK")))))</f>
        <v>OK</v>
      </c>
      <c r="J98" s="419" t="str">
        <f>IF($G98="","",IF(COUNTIFS($A:$A,$A98,$D:$D,$D98,$G:$G,$G98)&gt;1,"Doppelte Monatsstunden",""))</f>
        <v/>
      </c>
    </row>
    <row r="99" spans="1:10" ht="24" customHeight="1">
      <c r="A99" s="413" t="s">
        <v>290</v>
      </c>
      <c r="B99" s="400">
        <v>45778</v>
      </c>
      <c r="C99" s="400">
        <v>46142</v>
      </c>
      <c r="D99" s="401" t="s">
        <v>9</v>
      </c>
      <c r="E99" s="401" t="s">
        <v>6</v>
      </c>
      <c r="F99" s="401" t="s">
        <v>281</v>
      </c>
      <c r="G99" s="82">
        <v>151.38</v>
      </c>
      <c r="H99" s="83">
        <v>1946.88</v>
      </c>
      <c r="I99" s="402" t="str">
        <f>IF($A99="","",IF(OR($B99="",$C99="",$D99="",$E99="",$F99=""),"Stammdaten fehlen",IF(AND($G99="",$H99=""),"Werte fehlen",IF($G99="","Monatsstunden fehlen",IF($H99="","Monatslohn fehlt","OK")))))</f>
        <v>OK</v>
      </c>
      <c r="J99" s="420" t="str">
        <f>IF($G99="","",IF(COUNTIFS($A:$A,$A99,$D:$D,$D99,$G:$G,$G99)&gt;1,"Doppelte Monatsstunden",""))</f>
        <v/>
      </c>
    </row>
    <row r="100" spans="1:10" ht="24" customHeight="1">
      <c r="A100" s="413" t="s">
        <v>290</v>
      </c>
      <c r="B100" s="400">
        <v>45778</v>
      </c>
      <c r="C100" s="400">
        <v>46142</v>
      </c>
      <c r="D100" s="401" t="s">
        <v>9</v>
      </c>
      <c r="E100" s="401" t="s">
        <v>6</v>
      </c>
      <c r="F100" s="401" t="s">
        <v>281</v>
      </c>
      <c r="G100" s="82">
        <v>138.4</v>
      </c>
      <c r="H100" s="83">
        <v>1780</v>
      </c>
      <c r="I100" s="402" t="str">
        <f>IF($A100="","",IF(OR($B100="",$C100="",$D100="",$E100="",$F100=""),"Stammdaten fehlen",IF(AND($G100="",$H100=""),"Werte fehlen",IF($G100="","Monatsstunden fehlen",IF($H100="","Monatslohn fehlt","OK")))))</f>
        <v>OK</v>
      </c>
      <c r="J100" s="420" t="str">
        <f>IF($G100="","",IF(COUNTIFS($A:$A,$A100,$D:$D,$D100,$G:$G,$G100)&gt;1,"Doppelte Monatsstunden",""))</f>
        <v/>
      </c>
    </row>
    <row r="101" spans="1:10" ht="24" customHeight="1">
      <c r="A101" s="413" t="s">
        <v>290</v>
      </c>
      <c r="B101" s="400">
        <v>45778</v>
      </c>
      <c r="C101" s="400">
        <v>46142</v>
      </c>
      <c r="D101" s="401" t="s">
        <v>9</v>
      </c>
      <c r="E101" s="401" t="s">
        <v>6</v>
      </c>
      <c r="F101" s="401" t="s">
        <v>281</v>
      </c>
      <c r="G101" s="82">
        <v>129.75</v>
      </c>
      <c r="H101" s="83">
        <v>1668.75</v>
      </c>
      <c r="I101" s="402" t="str">
        <f>IF($A101="","",IF(OR($B101="",$C101="",$D101="",$E101="",$F101=""),"Stammdaten fehlen",IF(AND($G101="",$H101=""),"Werte fehlen",IF($G101="","Monatsstunden fehlen",IF($H101="","Monatslohn fehlt","OK")))))</f>
        <v>OK</v>
      </c>
      <c r="J101" s="420" t="str">
        <f>IF($G101="","",IF(COUNTIFS($A:$A,$A101,$D:$D,$D101,$G:$G,$G101)&gt;1,"Doppelte Monatsstunden",""))</f>
        <v/>
      </c>
    </row>
    <row r="102" spans="1:10" ht="24" customHeight="1">
      <c r="A102" s="413" t="s">
        <v>290</v>
      </c>
      <c r="B102" s="400">
        <v>45778</v>
      </c>
      <c r="C102" s="400">
        <v>46142</v>
      </c>
      <c r="D102" s="401" t="s">
        <v>9</v>
      </c>
      <c r="E102" s="401" t="s">
        <v>6</v>
      </c>
      <c r="F102" s="401" t="s">
        <v>281</v>
      </c>
      <c r="G102" s="82">
        <v>108.13</v>
      </c>
      <c r="H102" s="83">
        <v>1390.63</v>
      </c>
      <c r="I102" s="402" t="str">
        <f>IF($A102="","",IF(OR($B102="",$C102="",$D102="",$E102="",$F102=""),"Stammdaten fehlen",IF(AND($G102="",$H102=""),"Werte fehlen",IF($G102="","Monatsstunden fehlen",IF($H102="","Monatslohn fehlt","OK")))))</f>
        <v>OK</v>
      </c>
      <c r="J102" s="420" t="str">
        <f>IF($G102="","",IF(COUNTIFS($A:$A,$A102,$D:$D,$D102,$G:$G,$G102)&gt;1,"Doppelte Monatsstunden",""))</f>
        <v/>
      </c>
    </row>
    <row r="103" spans="1:10" ht="24" customHeight="1">
      <c r="A103" s="413" t="s">
        <v>290</v>
      </c>
      <c r="B103" s="400">
        <v>45778</v>
      </c>
      <c r="C103" s="400">
        <v>46142</v>
      </c>
      <c r="D103" s="401" t="s">
        <v>9</v>
      </c>
      <c r="E103" s="401" t="s">
        <v>6</v>
      </c>
      <c r="F103" s="401" t="s">
        <v>281</v>
      </c>
      <c r="G103" s="82">
        <v>103.8</v>
      </c>
      <c r="H103" s="83">
        <v>1335</v>
      </c>
      <c r="I103" s="402" t="str">
        <f>IF($A103="","",IF(OR($B103="",$C103="",$D103="",$E103="",$F103=""),"Stammdaten fehlen",IF(AND($G103="",$H103=""),"Werte fehlen",IF($G103="","Monatsstunden fehlen",IF($H103="","Monatslohn fehlt","OK")))))</f>
        <v>OK</v>
      </c>
      <c r="J103" s="420" t="str">
        <f>IF($G103="","",IF(COUNTIFS($A:$A,$A103,$D:$D,$D103,$G:$G,$G103)&gt;1,"Doppelte Monatsstunden",""))</f>
        <v/>
      </c>
    </row>
    <row r="104" spans="1:10" ht="24" customHeight="1">
      <c r="A104" s="413" t="s">
        <v>290</v>
      </c>
      <c r="B104" s="400">
        <v>45778</v>
      </c>
      <c r="C104" s="400">
        <v>46142</v>
      </c>
      <c r="D104" s="401" t="s">
        <v>9</v>
      </c>
      <c r="E104" s="401" t="s">
        <v>6</v>
      </c>
      <c r="F104" s="401" t="s">
        <v>281</v>
      </c>
      <c r="G104" s="82">
        <v>86.5</v>
      </c>
      <c r="H104" s="83">
        <v>1112.5</v>
      </c>
      <c r="I104" s="402" t="str">
        <f>IF($A104="","",IF(OR($B104="",$C104="",$D104="",$E104="",$F104=""),"Stammdaten fehlen",IF(AND($G104="",$H104=""),"Werte fehlen",IF($G104="","Monatsstunden fehlen",IF($H104="","Monatslohn fehlt","OK")))))</f>
        <v>OK</v>
      </c>
      <c r="J104" s="420" t="str">
        <f>IF($G104="","",IF(COUNTIFS($A:$A,$A104,$D:$D,$D104,$G:$G,$G104)&gt;1,"Doppelte Monatsstunden",""))</f>
        <v/>
      </c>
    </row>
    <row r="105" spans="1:10" ht="24" customHeight="1">
      <c r="A105" s="413" t="s">
        <v>290</v>
      </c>
      <c r="B105" s="400">
        <v>45778</v>
      </c>
      <c r="C105" s="400">
        <v>46142</v>
      </c>
      <c r="D105" s="401" t="s">
        <v>9</v>
      </c>
      <c r="E105" s="401" t="s">
        <v>6</v>
      </c>
      <c r="F105" s="401" t="s">
        <v>281</v>
      </c>
      <c r="G105" s="82">
        <v>69.2</v>
      </c>
      <c r="H105" s="83">
        <v>890</v>
      </c>
      <c r="I105" s="402" t="str">
        <f>IF($A105="","",IF(OR($B105="",$C105="",$D105="",$E105="",$F105=""),"Stammdaten fehlen",IF(AND($G105="",$H105=""),"Werte fehlen",IF($G105="","Monatsstunden fehlen",IF($H105="","Monatslohn fehlt","OK")))))</f>
        <v>OK</v>
      </c>
      <c r="J105" s="420" t="str">
        <f>IF($G105="","",IF(COUNTIFS($A:$A,$A105,$D:$D,$D105,$G:$G,$G105)&gt;1,"Doppelte Monatsstunden",""))</f>
        <v/>
      </c>
    </row>
    <row r="106" spans="1:10" ht="24" customHeight="1">
      <c r="A106" s="413" t="s">
        <v>290</v>
      </c>
      <c r="B106" s="400">
        <v>45778</v>
      </c>
      <c r="C106" s="400">
        <v>46142</v>
      </c>
      <c r="D106" s="401" t="s">
        <v>9</v>
      </c>
      <c r="E106" s="401" t="s">
        <v>6</v>
      </c>
      <c r="F106" s="401" t="s">
        <v>281</v>
      </c>
      <c r="G106" s="82">
        <v>51.9</v>
      </c>
      <c r="H106" s="83">
        <v>667.5</v>
      </c>
      <c r="I106" s="402" t="str">
        <f>IF($A106="","",IF(OR($B106="",$C106="",$D106="",$E106="",$F106=""),"Stammdaten fehlen",IF(AND($G106="",$H106=""),"Werte fehlen",IF($G106="","Monatsstunden fehlen",IF($H106="","Monatslohn fehlt","OK")))))</f>
        <v>OK</v>
      </c>
      <c r="J106" s="420" t="str">
        <f>IF($G106="","",IF(COUNTIFS($A:$A,$A106,$D:$D,$D106,$G:$G,$G106)&gt;1,"Doppelte Monatsstunden",""))</f>
        <v/>
      </c>
    </row>
    <row r="107" spans="1:10" ht="24" customHeight="1">
      <c r="A107" s="413" t="s">
        <v>290</v>
      </c>
      <c r="B107" s="400">
        <v>45778</v>
      </c>
      <c r="C107" s="400">
        <v>46142</v>
      </c>
      <c r="D107" s="401" t="s">
        <v>9</v>
      </c>
      <c r="E107" s="401" t="s">
        <v>6</v>
      </c>
      <c r="F107" s="401" t="s">
        <v>281</v>
      </c>
      <c r="G107" s="82">
        <v>47.58</v>
      </c>
      <c r="H107" s="83">
        <v>611.88</v>
      </c>
      <c r="I107" s="402" t="str">
        <f>IF($A107="","",IF(OR($B107="",$C107="",$D107="",$E107="",$F107=""),"Stammdaten fehlen",IF(AND($G107="",$H107=""),"Werte fehlen",IF($G107="","Monatsstunden fehlen",IF($H107="","Monatslohn fehlt","OK")))))</f>
        <v>OK</v>
      </c>
      <c r="J107" s="420" t="str">
        <f>IF($G107="","",IF(COUNTIFS($A:$A,$A107,$D:$D,$D107,$G:$G,$G107)&gt;1,"Doppelte Monatsstunden",""))</f>
        <v/>
      </c>
    </row>
    <row r="108" spans="1:10" ht="24" customHeight="1">
      <c r="A108" s="413" t="s">
        <v>290</v>
      </c>
      <c r="B108" s="400">
        <v>45778</v>
      </c>
      <c r="C108" s="400">
        <v>46142</v>
      </c>
      <c r="D108" s="401" t="s">
        <v>9</v>
      </c>
      <c r="E108" s="401" t="s">
        <v>6</v>
      </c>
      <c r="F108" s="401" t="s">
        <v>281</v>
      </c>
      <c r="G108" s="82">
        <v>43.25</v>
      </c>
      <c r="H108" s="83">
        <v>556.25</v>
      </c>
      <c r="I108" s="402" t="str">
        <f>IF($A108="","",IF(OR($B108="",$C108="",$D108="",$E108="",$F108=""),"Stammdaten fehlen",IF(AND($G108="",$H108=""),"Werte fehlen",IF($G108="","Monatsstunden fehlen",IF($H108="","Monatslohn fehlt","OK")))))</f>
        <v>OK</v>
      </c>
      <c r="J108" s="420" t="str">
        <f>IF($G108="","",IF(COUNTIFS($A:$A,$A108,$D:$D,$D108,$G:$G,$G108)&gt;1,"Doppelte Monatsstunden",""))</f>
        <v/>
      </c>
    </row>
    <row r="109" spans="1:10" ht="24" customHeight="1">
      <c r="A109" s="413" t="s">
        <v>290</v>
      </c>
      <c r="B109" s="400">
        <v>45778</v>
      </c>
      <c r="C109" s="400">
        <v>46142</v>
      </c>
      <c r="D109" s="401" t="s">
        <v>9</v>
      </c>
      <c r="E109" s="401" t="s">
        <v>6</v>
      </c>
      <c r="F109" s="401" t="s">
        <v>281</v>
      </c>
      <c r="G109" s="82">
        <v>34.6</v>
      </c>
      <c r="H109" s="83">
        <v>445</v>
      </c>
      <c r="I109" s="402" t="str">
        <f>IF($A109="","",IF(OR($B109="",$C109="",$D109="",$E109="",$F109=""),"Stammdaten fehlen",IF(AND($G109="",$H109=""),"Werte fehlen",IF($G109="","Monatsstunden fehlen",IF($H109="","Monatslohn fehlt","OK")))))</f>
        <v>OK</v>
      </c>
      <c r="J109" s="420" t="str">
        <f>IF($G109="","",IF(COUNTIFS($A:$A,$A109,$D:$D,$D109,$G:$G,$G109)&gt;1,"Doppelte Monatsstunden",""))</f>
        <v/>
      </c>
    </row>
    <row r="110" spans="1:10" ht="24" customHeight="1" thickBot="1">
      <c r="A110" s="413" t="s">
        <v>290</v>
      </c>
      <c r="B110" s="400">
        <v>45778</v>
      </c>
      <c r="C110" s="400">
        <v>46142</v>
      </c>
      <c r="D110" s="401" t="s">
        <v>9</v>
      </c>
      <c r="E110" s="401" t="s">
        <v>6</v>
      </c>
      <c r="F110" s="401" t="s">
        <v>281</v>
      </c>
      <c r="G110" s="82">
        <v>32.01</v>
      </c>
      <c r="H110" s="83">
        <v>411.63</v>
      </c>
      <c r="I110" s="402" t="str">
        <f>IF($A110="","",IF(OR($B110="",$C110="",$D110="",$E110="",$F110=""),"Stammdaten fehlen",IF(AND($G110="",$H110=""),"Werte fehlen",IF($G110="","Monatsstunden fehlen",IF($H110="","Monatslohn fehlt","OK")))))</f>
        <v>OK</v>
      </c>
      <c r="J110" s="420" t="str">
        <f>IF($G110="","",IF(COUNTIFS($A:$A,$A110,$D:$D,$D110,$G:$G,$G110)&gt;1,"Doppelte Monatsstunden",""))</f>
        <v/>
      </c>
    </row>
    <row r="111" spans="1:10" ht="24" customHeight="1">
      <c r="A111" s="414" t="s">
        <v>290</v>
      </c>
      <c r="B111" s="403">
        <v>45778</v>
      </c>
      <c r="C111" s="403">
        <v>46142</v>
      </c>
      <c r="D111" s="404" t="s">
        <v>289</v>
      </c>
      <c r="E111" s="404" t="s">
        <v>10</v>
      </c>
      <c r="F111" s="404" t="s">
        <v>278</v>
      </c>
      <c r="G111" s="84">
        <v>173</v>
      </c>
      <c r="H111" s="85">
        <v>2300</v>
      </c>
      <c r="I111" s="405" t="str">
        <f>IF($A111="","",IF(OR($B111="",$C111="",$D111="",$E111="",$F111=""),"Stammdaten fehlen",IF(AND($G111="",$H111=""),"Werte fehlen",IF($G111="","Monatsstunden fehlen",IF($H111="","Monatslohn fehlt","OK")))))</f>
        <v>OK</v>
      </c>
      <c r="J111" s="421" t="str">
        <f>IF($G111="","",IF(COUNTIFS($A:$A,$A111,$D:$D,$D111,$G:$G,$G111)&gt;1,"Doppelte Monatsstunden",""))</f>
        <v/>
      </c>
    </row>
    <row r="112" spans="1:10" ht="24" customHeight="1">
      <c r="A112" s="415" t="s">
        <v>290</v>
      </c>
      <c r="B112" s="406">
        <v>45778</v>
      </c>
      <c r="C112" s="406">
        <v>46142</v>
      </c>
      <c r="D112" s="407" t="s">
        <v>289</v>
      </c>
      <c r="E112" s="407" t="s">
        <v>10</v>
      </c>
      <c r="F112" s="407" t="s">
        <v>278</v>
      </c>
      <c r="G112" s="86">
        <v>151.38</v>
      </c>
      <c r="H112" s="87">
        <v>2012.5</v>
      </c>
      <c r="I112" s="408" t="str">
        <f>IF($A112="","",IF(OR($B112="",$C112="",$D112="",$E112="",$F112=""),"Stammdaten fehlen",IF(AND($G112="",$H112=""),"Werte fehlen",IF($G112="","Monatsstunden fehlen",IF($H112="","Monatslohn fehlt","OK")))))</f>
        <v>OK</v>
      </c>
      <c r="J112" s="422" t="str">
        <f>IF($G112="","",IF(COUNTIFS($A:$A,$A112,$D:$D,$D112,$G:$G,$G112)&gt;1,"Doppelte Monatsstunden",""))</f>
        <v/>
      </c>
    </row>
    <row r="113" spans="1:10" ht="24" customHeight="1">
      <c r="A113" s="415" t="s">
        <v>290</v>
      </c>
      <c r="B113" s="406">
        <v>45778</v>
      </c>
      <c r="C113" s="406">
        <v>46142</v>
      </c>
      <c r="D113" s="407" t="s">
        <v>289</v>
      </c>
      <c r="E113" s="407" t="s">
        <v>10</v>
      </c>
      <c r="F113" s="407" t="s">
        <v>278</v>
      </c>
      <c r="G113" s="86">
        <v>138.4</v>
      </c>
      <c r="H113" s="87">
        <v>1840</v>
      </c>
      <c r="I113" s="408" t="str">
        <f>IF($A113="","",IF(OR($B113="",$C113="",$D113="",$E113="",$F113=""),"Stammdaten fehlen",IF(AND($G113="",$H113=""),"Werte fehlen",IF($G113="","Monatsstunden fehlen",IF($H113="","Monatslohn fehlt","OK")))))</f>
        <v>OK</v>
      </c>
      <c r="J113" s="422" t="str">
        <f>IF($G113="","",IF(COUNTIFS($A:$A,$A113,$D:$D,$D113,$G:$G,$G113)&gt;1,"Doppelte Monatsstunden",""))</f>
        <v/>
      </c>
    </row>
    <row r="114" spans="1:10" ht="24" customHeight="1">
      <c r="A114" s="415" t="s">
        <v>290</v>
      </c>
      <c r="B114" s="406">
        <v>45778</v>
      </c>
      <c r="C114" s="406">
        <v>46142</v>
      </c>
      <c r="D114" s="407" t="s">
        <v>289</v>
      </c>
      <c r="E114" s="407" t="s">
        <v>10</v>
      </c>
      <c r="F114" s="407" t="s">
        <v>278</v>
      </c>
      <c r="G114" s="86">
        <v>129.75</v>
      </c>
      <c r="H114" s="87">
        <v>1725</v>
      </c>
      <c r="I114" s="408" t="str">
        <f>IF($A114="","",IF(OR($B114="",$C114="",$D114="",$E114="",$F114=""),"Stammdaten fehlen",IF(AND($G114="",$H114=""),"Werte fehlen",IF($G114="","Monatsstunden fehlen",IF($H114="","Monatslohn fehlt","OK")))))</f>
        <v>OK</v>
      </c>
      <c r="J114" s="422" t="str">
        <f>IF($G114="","",IF(COUNTIFS($A:$A,$A114,$D:$D,$D114,$G:$G,$G114)&gt;1,"Doppelte Monatsstunden",""))</f>
        <v/>
      </c>
    </row>
    <row r="115" spans="1:10" ht="24" customHeight="1">
      <c r="A115" s="415" t="s">
        <v>290</v>
      </c>
      <c r="B115" s="406">
        <v>45778</v>
      </c>
      <c r="C115" s="406">
        <v>46142</v>
      </c>
      <c r="D115" s="407" t="s">
        <v>289</v>
      </c>
      <c r="E115" s="407" t="s">
        <v>10</v>
      </c>
      <c r="F115" s="407" t="s">
        <v>278</v>
      </c>
      <c r="G115" s="86">
        <v>108.13</v>
      </c>
      <c r="H115" s="87">
        <v>1437.5</v>
      </c>
      <c r="I115" s="408" t="str">
        <f>IF($A115="","",IF(OR($B115="",$C115="",$D115="",$E115="",$F115=""),"Stammdaten fehlen",IF(AND($G115="",$H115=""),"Werte fehlen",IF($G115="","Monatsstunden fehlen",IF($H115="","Monatslohn fehlt","OK")))))</f>
        <v>OK</v>
      </c>
      <c r="J115" s="422" t="str">
        <f>IF($G115="","",IF(COUNTIFS($A:$A,$A115,$D:$D,$D115,$G:$G,$G115)&gt;1,"Doppelte Monatsstunden",""))</f>
        <v/>
      </c>
    </row>
    <row r="116" spans="1:10" ht="24" customHeight="1">
      <c r="A116" s="415" t="s">
        <v>290</v>
      </c>
      <c r="B116" s="406">
        <v>45778</v>
      </c>
      <c r="C116" s="406">
        <v>46142</v>
      </c>
      <c r="D116" s="407" t="s">
        <v>289</v>
      </c>
      <c r="E116" s="407" t="s">
        <v>10</v>
      </c>
      <c r="F116" s="407" t="s">
        <v>278</v>
      </c>
      <c r="G116" s="86">
        <v>103.8</v>
      </c>
      <c r="H116" s="87">
        <v>1380</v>
      </c>
      <c r="I116" s="408" t="str">
        <f>IF($A116="","",IF(OR($B116="",$C116="",$D116="",$E116="",$F116=""),"Stammdaten fehlen",IF(AND($G116="",$H116=""),"Werte fehlen",IF($G116="","Monatsstunden fehlen",IF($H116="","Monatslohn fehlt","OK")))))</f>
        <v>OK</v>
      </c>
      <c r="J116" s="422" t="str">
        <f>IF($G116="","",IF(COUNTIFS($A:$A,$A116,$D:$D,$D116,$G:$G,$G116)&gt;1,"Doppelte Monatsstunden",""))</f>
        <v/>
      </c>
    </row>
    <row r="117" spans="1:10" ht="24" customHeight="1">
      <c r="A117" s="415" t="s">
        <v>290</v>
      </c>
      <c r="B117" s="406">
        <v>45778</v>
      </c>
      <c r="C117" s="406">
        <v>46142</v>
      </c>
      <c r="D117" s="407" t="s">
        <v>289</v>
      </c>
      <c r="E117" s="407" t="s">
        <v>10</v>
      </c>
      <c r="F117" s="407" t="s">
        <v>278</v>
      </c>
      <c r="G117" s="86">
        <v>86.5</v>
      </c>
      <c r="H117" s="87">
        <v>1150</v>
      </c>
      <c r="I117" s="408" t="str">
        <f>IF($A117="","",IF(OR($B117="",$C117="",$D117="",$E117="",$F117=""),"Stammdaten fehlen",IF(AND($G117="",$H117=""),"Werte fehlen",IF($G117="","Monatsstunden fehlen",IF($H117="","Monatslohn fehlt","OK")))))</f>
        <v>OK</v>
      </c>
      <c r="J117" s="422" t="str">
        <f>IF($G117="","",IF(COUNTIFS($A:$A,$A117,$D:$D,$D117,$G:$G,$G117)&gt;1,"Doppelte Monatsstunden",""))</f>
        <v/>
      </c>
    </row>
    <row r="118" spans="1:10" ht="24" customHeight="1">
      <c r="A118" s="415" t="s">
        <v>290</v>
      </c>
      <c r="B118" s="406">
        <v>45778</v>
      </c>
      <c r="C118" s="406">
        <v>46142</v>
      </c>
      <c r="D118" s="407" t="s">
        <v>289</v>
      </c>
      <c r="E118" s="407" t="s">
        <v>10</v>
      </c>
      <c r="F118" s="407" t="s">
        <v>278</v>
      </c>
      <c r="G118" s="86">
        <v>69.2</v>
      </c>
      <c r="H118" s="87">
        <v>920</v>
      </c>
      <c r="I118" s="408" t="str">
        <f>IF($A118="","",IF(OR($B118="",$C118="",$D118="",$E118="",$F118=""),"Stammdaten fehlen",IF(AND($G118="",$H118=""),"Werte fehlen",IF($G118="","Monatsstunden fehlen",IF($H118="","Monatslohn fehlt","OK")))))</f>
        <v>OK</v>
      </c>
      <c r="J118" s="422" t="str">
        <f>IF($G118="","",IF(COUNTIFS($A:$A,$A118,$D:$D,$D118,$G:$G,$G118)&gt;1,"Doppelte Monatsstunden",""))</f>
        <v/>
      </c>
    </row>
    <row r="119" spans="1:10" ht="24" customHeight="1">
      <c r="A119" s="415" t="s">
        <v>290</v>
      </c>
      <c r="B119" s="406">
        <v>45778</v>
      </c>
      <c r="C119" s="406">
        <v>46142</v>
      </c>
      <c r="D119" s="407" t="s">
        <v>289</v>
      </c>
      <c r="E119" s="407" t="s">
        <v>10</v>
      </c>
      <c r="F119" s="407" t="s">
        <v>278</v>
      </c>
      <c r="G119" s="86">
        <v>51.9</v>
      </c>
      <c r="H119" s="87">
        <v>690</v>
      </c>
      <c r="I119" s="408" t="str">
        <f>IF($A119="","",IF(OR($B119="",$C119="",$D119="",$E119="",$F119=""),"Stammdaten fehlen",IF(AND($G119="",$H119=""),"Werte fehlen",IF($G119="","Monatsstunden fehlen",IF($H119="","Monatslohn fehlt","OK")))))</f>
        <v>OK</v>
      </c>
      <c r="J119" s="422" t="str">
        <f>IF($G119="","",IF(COUNTIFS($A:$A,$A119,$D:$D,$D119,$G:$G,$G119)&gt;1,"Doppelte Monatsstunden",""))</f>
        <v/>
      </c>
    </row>
    <row r="120" spans="1:10" ht="24" customHeight="1">
      <c r="A120" s="415" t="s">
        <v>290</v>
      </c>
      <c r="B120" s="406">
        <v>45778</v>
      </c>
      <c r="C120" s="406">
        <v>46142</v>
      </c>
      <c r="D120" s="407" t="s">
        <v>289</v>
      </c>
      <c r="E120" s="407" t="s">
        <v>10</v>
      </c>
      <c r="F120" s="407" t="s">
        <v>278</v>
      </c>
      <c r="G120" s="86">
        <v>47.58</v>
      </c>
      <c r="H120" s="87">
        <v>632.5</v>
      </c>
      <c r="I120" s="408" t="str">
        <f>IF($A120="","",IF(OR($B120="",$C120="",$D120="",$E120="",$F120=""),"Stammdaten fehlen",IF(AND($G120="",$H120=""),"Werte fehlen",IF($G120="","Monatsstunden fehlen",IF($H120="","Monatslohn fehlt","OK")))))</f>
        <v>OK</v>
      </c>
      <c r="J120" s="422" t="str">
        <f>IF($G120="","",IF(COUNTIFS($A:$A,$A120,$D:$D,$D120,$G:$G,$G120)&gt;1,"Doppelte Monatsstunden",""))</f>
        <v/>
      </c>
    </row>
    <row r="121" spans="1:10" ht="24" customHeight="1">
      <c r="A121" s="415" t="s">
        <v>290</v>
      </c>
      <c r="B121" s="406">
        <v>45778</v>
      </c>
      <c r="C121" s="406">
        <v>46142</v>
      </c>
      <c r="D121" s="407" t="s">
        <v>289</v>
      </c>
      <c r="E121" s="407" t="s">
        <v>10</v>
      </c>
      <c r="F121" s="407" t="s">
        <v>278</v>
      </c>
      <c r="G121" s="86">
        <v>43.25</v>
      </c>
      <c r="H121" s="87">
        <v>575</v>
      </c>
      <c r="I121" s="408" t="str">
        <f>IF($A121="","",IF(OR($B121="",$C121="",$D121="",$E121="",$F121=""),"Stammdaten fehlen",IF(AND($G121="",$H121=""),"Werte fehlen",IF($G121="","Monatsstunden fehlen",IF($H121="","Monatslohn fehlt","OK")))))</f>
        <v>OK</v>
      </c>
      <c r="J121" s="422" t="str">
        <f>IF($G121="","",IF(COUNTIFS($A:$A,$A121,$D:$D,$D121,$G:$G,$G121)&gt;1,"Doppelte Monatsstunden",""))</f>
        <v/>
      </c>
    </row>
    <row r="122" spans="1:10" ht="24" customHeight="1">
      <c r="A122" s="415" t="s">
        <v>290</v>
      </c>
      <c r="B122" s="406">
        <v>45778</v>
      </c>
      <c r="C122" s="406">
        <v>46142</v>
      </c>
      <c r="D122" s="407" t="s">
        <v>289</v>
      </c>
      <c r="E122" s="407" t="s">
        <v>10</v>
      </c>
      <c r="F122" s="407" t="s">
        <v>278</v>
      </c>
      <c r="G122" s="86">
        <v>34.6</v>
      </c>
      <c r="H122" s="87">
        <v>460</v>
      </c>
      <c r="I122" s="408" t="str">
        <f>IF($A122="","",IF(OR($B122="",$C122="",$D122="",$E122="",$F122=""),"Stammdaten fehlen",IF(AND($G122="",$H122=""),"Werte fehlen",IF($G122="","Monatsstunden fehlen",IF($H122="","Monatslohn fehlt","OK")))))</f>
        <v>OK</v>
      </c>
      <c r="J122" s="422" t="str">
        <f>IF($G122="","",IF(COUNTIFS($A:$A,$A122,$D:$D,$D122,$G:$G,$G122)&gt;1,"Doppelte Monatsstunden",""))</f>
        <v/>
      </c>
    </row>
    <row r="123" spans="1:10" ht="24" customHeight="1" thickBot="1">
      <c r="A123" s="415" t="s">
        <v>290</v>
      </c>
      <c r="B123" s="406">
        <v>45778</v>
      </c>
      <c r="C123" s="406">
        <v>46142</v>
      </c>
      <c r="D123" s="407" t="s">
        <v>289</v>
      </c>
      <c r="E123" s="407" t="s">
        <v>10</v>
      </c>
      <c r="F123" s="407" t="s">
        <v>278</v>
      </c>
      <c r="G123" s="86">
        <v>32.01</v>
      </c>
      <c r="H123" s="87">
        <v>425.5</v>
      </c>
      <c r="I123" s="408" t="str">
        <f>IF($A123="","",IF(OR($B123="",$C123="",$D123="",$E123="",$F123=""),"Stammdaten fehlen",IF(AND($G123="",$H123=""),"Werte fehlen",IF($G123="","Monatsstunden fehlen",IF($H123="","Monatslohn fehlt","OK")))))</f>
        <v>OK</v>
      </c>
      <c r="J123" s="422" t="str">
        <f>IF($G123="","",IF(COUNTIFS($A:$A,$A123,$D:$D,$D123,$G:$G,$G123)&gt;1,"Doppelte Monatsstunden",""))</f>
        <v/>
      </c>
    </row>
    <row r="124" spans="1:10" ht="24" customHeight="1">
      <c r="A124" s="414" t="s">
        <v>290</v>
      </c>
      <c r="B124" s="403">
        <v>45778</v>
      </c>
      <c r="C124" s="403">
        <v>46142</v>
      </c>
      <c r="D124" s="404" t="s">
        <v>11</v>
      </c>
      <c r="E124" s="404" t="s">
        <v>10</v>
      </c>
      <c r="F124" s="404" t="s">
        <v>279</v>
      </c>
      <c r="G124" s="84">
        <v>173</v>
      </c>
      <c r="H124" s="85">
        <v>2300</v>
      </c>
      <c r="I124" s="405" t="str">
        <f>IF($A124="","",IF(OR($B124="",$C124="",$D124="",$E124="",$F124=""),"Stammdaten fehlen",IF(AND($G124="",$H124=""),"Werte fehlen",IF($G124="","Monatsstunden fehlen",IF($H124="","Monatslohn fehlt","OK")))))</f>
        <v>OK</v>
      </c>
      <c r="J124" s="421" t="str">
        <f>IF($G124="","",IF(COUNTIFS($A:$A,$A124,$D:$D,$D124,$G:$G,$G124)&gt;1,"Doppelte Monatsstunden",""))</f>
        <v/>
      </c>
    </row>
    <row r="125" spans="1:10" ht="24" customHeight="1">
      <c r="A125" s="415" t="s">
        <v>290</v>
      </c>
      <c r="B125" s="406">
        <v>45778</v>
      </c>
      <c r="C125" s="406">
        <v>46142</v>
      </c>
      <c r="D125" s="407" t="s">
        <v>11</v>
      </c>
      <c r="E125" s="407" t="s">
        <v>10</v>
      </c>
      <c r="F125" s="407" t="s">
        <v>279</v>
      </c>
      <c r="G125" s="86">
        <v>151.38</v>
      </c>
      <c r="H125" s="87">
        <v>2012.5</v>
      </c>
      <c r="I125" s="408" t="str">
        <f>IF($A125="","",IF(OR($B125="",$C125="",$D125="",$E125="",$F125=""),"Stammdaten fehlen",IF(AND($G125="",$H125=""),"Werte fehlen",IF($G125="","Monatsstunden fehlen",IF($H125="","Monatslohn fehlt","OK")))))</f>
        <v>OK</v>
      </c>
      <c r="J125" s="422" t="str">
        <f>IF($G125="","",IF(COUNTIFS($A:$A,$A125,$D:$D,$D125,$G:$G,$G125)&gt;1,"Doppelte Monatsstunden",""))</f>
        <v/>
      </c>
    </row>
    <row r="126" spans="1:10" ht="24" customHeight="1">
      <c r="A126" s="415" t="s">
        <v>290</v>
      </c>
      <c r="B126" s="406">
        <v>45778</v>
      </c>
      <c r="C126" s="406">
        <v>46142</v>
      </c>
      <c r="D126" s="407" t="s">
        <v>11</v>
      </c>
      <c r="E126" s="407" t="s">
        <v>10</v>
      </c>
      <c r="F126" s="407" t="s">
        <v>279</v>
      </c>
      <c r="G126" s="86">
        <v>138.4</v>
      </c>
      <c r="H126" s="87">
        <v>1840</v>
      </c>
      <c r="I126" s="408" t="str">
        <f>IF($A126="","",IF(OR($B126="",$C126="",$D126="",$E126="",$F126=""),"Stammdaten fehlen",IF(AND($G126="",$H126=""),"Werte fehlen",IF($G126="","Monatsstunden fehlen",IF($H126="","Monatslohn fehlt","OK")))))</f>
        <v>OK</v>
      </c>
      <c r="J126" s="422" t="str">
        <f>IF($G126="","",IF(COUNTIFS($A:$A,$A126,$D:$D,$D126,$G:$G,$G126)&gt;1,"Doppelte Monatsstunden",""))</f>
        <v/>
      </c>
    </row>
    <row r="127" spans="1:10" ht="24" customHeight="1">
      <c r="A127" s="415" t="s">
        <v>290</v>
      </c>
      <c r="B127" s="406">
        <v>45778</v>
      </c>
      <c r="C127" s="406">
        <v>46142</v>
      </c>
      <c r="D127" s="407" t="s">
        <v>11</v>
      </c>
      <c r="E127" s="407" t="s">
        <v>10</v>
      </c>
      <c r="F127" s="407" t="s">
        <v>279</v>
      </c>
      <c r="G127" s="86">
        <v>129.75</v>
      </c>
      <c r="H127" s="87">
        <v>1725</v>
      </c>
      <c r="I127" s="408" t="str">
        <f>IF($A127="","",IF(OR($B127="",$C127="",$D127="",$E127="",$F127=""),"Stammdaten fehlen",IF(AND($G127="",$H127=""),"Werte fehlen",IF($G127="","Monatsstunden fehlen",IF($H127="","Monatslohn fehlt","OK")))))</f>
        <v>OK</v>
      </c>
      <c r="J127" s="422" t="str">
        <f>IF($G127="","",IF(COUNTIFS($A:$A,$A127,$D:$D,$D127,$G:$G,$G127)&gt;1,"Doppelte Monatsstunden",""))</f>
        <v/>
      </c>
    </row>
    <row r="128" spans="1:10" ht="24" customHeight="1">
      <c r="A128" s="415" t="s">
        <v>290</v>
      </c>
      <c r="B128" s="406">
        <v>45778</v>
      </c>
      <c r="C128" s="406">
        <v>46142</v>
      </c>
      <c r="D128" s="407" t="s">
        <v>11</v>
      </c>
      <c r="E128" s="407" t="s">
        <v>10</v>
      </c>
      <c r="F128" s="407" t="s">
        <v>279</v>
      </c>
      <c r="G128" s="86">
        <v>108.13</v>
      </c>
      <c r="H128" s="87">
        <v>1437.5</v>
      </c>
      <c r="I128" s="408" t="str">
        <f>IF($A128="","",IF(OR($B128="",$C128="",$D128="",$E128="",$F128=""),"Stammdaten fehlen",IF(AND($G128="",$H128=""),"Werte fehlen",IF($G128="","Monatsstunden fehlen",IF($H128="","Monatslohn fehlt","OK")))))</f>
        <v>OK</v>
      </c>
      <c r="J128" s="422" t="str">
        <f>IF($G128="","",IF(COUNTIFS($A:$A,$A128,$D:$D,$D128,$G:$G,$G128)&gt;1,"Doppelte Monatsstunden",""))</f>
        <v/>
      </c>
    </row>
    <row r="129" spans="1:10" ht="24" customHeight="1">
      <c r="A129" s="415" t="s">
        <v>290</v>
      </c>
      <c r="B129" s="406">
        <v>45778</v>
      </c>
      <c r="C129" s="406">
        <v>46142</v>
      </c>
      <c r="D129" s="407" t="s">
        <v>11</v>
      </c>
      <c r="E129" s="407" t="s">
        <v>10</v>
      </c>
      <c r="F129" s="407" t="s">
        <v>279</v>
      </c>
      <c r="G129" s="86">
        <v>103.8</v>
      </c>
      <c r="H129" s="87">
        <v>1380</v>
      </c>
      <c r="I129" s="408" t="str">
        <f>IF($A129="","",IF(OR($B129="",$C129="",$D129="",$E129="",$F129=""),"Stammdaten fehlen",IF(AND($G129="",$H129=""),"Werte fehlen",IF($G129="","Monatsstunden fehlen",IF($H129="","Monatslohn fehlt","OK")))))</f>
        <v>OK</v>
      </c>
      <c r="J129" s="422" t="str">
        <f>IF($G129="","",IF(COUNTIFS($A:$A,$A129,$D:$D,$D129,$G:$G,$G129)&gt;1,"Doppelte Monatsstunden",""))</f>
        <v/>
      </c>
    </row>
    <row r="130" spans="1:10" ht="24" customHeight="1">
      <c r="A130" s="415" t="s">
        <v>290</v>
      </c>
      <c r="B130" s="406">
        <v>45778</v>
      </c>
      <c r="C130" s="406">
        <v>46142</v>
      </c>
      <c r="D130" s="407" t="s">
        <v>11</v>
      </c>
      <c r="E130" s="407" t="s">
        <v>10</v>
      </c>
      <c r="F130" s="407" t="s">
        <v>279</v>
      </c>
      <c r="G130" s="86">
        <v>86.5</v>
      </c>
      <c r="H130" s="87">
        <v>1150</v>
      </c>
      <c r="I130" s="408" t="str">
        <f>IF($A130="","",IF(OR($B130="",$C130="",$D130="",$E130="",$F130=""),"Stammdaten fehlen",IF(AND($G130="",$H130=""),"Werte fehlen",IF($G130="","Monatsstunden fehlen",IF($H130="","Monatslohn fehlt","OK")))))</f>
        <v>OK</v>
      </c>
      <c r="J130" s="422" t="str">
        <f>IF($G130="","",IF(COUNTIFS($A:$A,$A130,$D:$D,$D130,$G:$G,$G130)&gt;1,"Doppelte Monatsstunden",""))</f>
        <v/>
      </c>
    </row>
    <row r="131" spans="1:10" ht="24" customHeight="1">
      <c r="A131" s="415" t="s">
        <v>290</v>
      </c>
      <c r="B131" s="406">
        <v>45778</v>
      </c>
      <c r="C131" s="406">
        <v>46142</v>
      </c>
      <c r="D131" s="407" t="s">
        <v>11</v>
      </c>
      <c r="E131" s="407" t="s">
        <v>10</v>
      </c>
      <c r="F131" s="407" t="s">
        <v>279</v>
      </c>
      <c r="G131" s="86">
        <v>69.2</v>
      </c>
      <c r="H131" s="87">
        <v>920</v>
      </c>
      <c r="I131" s="408" t="str">
        <f>IF($A131="","",IF(OR($B131="",$C131="",$D131="",$E131="",$F131=""),"Stammdaten fehlen",IF(AND($G131="",$H131=""),"Werte fehlen",IF($G131="","Monatsstunden fehlen",IF($H131="","Monatslohn fehlt","OK")))))</f>
        <v>OK</v>
      </c>
      <c r="J131" s="422" t="str">
        <f>IF($G131="","",IF(COUNTIFS($A:$A,$A131,$D:$D,$D131,$G:$G,$G131)&gt;1,"Doppelte Monatsstunden",""))</f>
        <v/>
      </c>
    </row>
    <row r="132" spans="1:10" ht="24" customHeight="1">
      <c r="A132" s="415" t="s">
        <v>290</v>
      </c>
      <c r="B132" s="406">
        <v>45778</v>
      </c>
      <c r="C132" s="406">
        <v>46142</v>
      </c>
      <c r="D132" s="407" t="s">
        <v>11</v>
      </c>
      <c r="E132" s="407" t="s">
        <v>10</v>
      </c>
      <c r="F132" s="407" t="s">
        <v>279</v>
      </c>
      <c r="G132" s="86">
        <v>51.9</v>
      </c>
      <c r="H132" s="87">
        <v>690</v>
      </c>
      <c r="I132" s="408" t="str">
        <f>IF($A132="","",IF(OR($B132="",$C132="",$D132="",$E132="",$F132=""),"Stammdaten fehlen",IF(AND($G132="",$H132=""),"Werte fehlen",IF($G132="","Monatsstunden fehlen",IF($H132="","Monatslohn fehlt","OK")))))</f>
        <v>OK</v>
      </c>
      <c r="J132" s="422" t="str">
        <f>IF($G132="","",IF(COUNTIFS($A:$A,$A132,$D:$D,$D132,$G:$G,$G132)&gt;1,"Doppelte Monatsstunden",""))</f>
        <v/>
      </c>
    </row>
    <row r="133" spans="1:10" ht="24" customHeight="1">
      <c r="A133" s="415" t="s">
        <v>290</v>
      </c>
      <c r="B133" s="406">
        <v>45778</v>
      </c>
      <c r="C133" s="406">
        <v>46142</v>
      </c>
      <c r="D133" s="407" t="s">
        <v>11</v>
      </c>
      <c r="E133" s="407" t="s">
        <v>10</v>
      </c>
      <c r="F133" s="407" t="s">
        <v>279</v>
      </c>
      <c r="G133" s="86">
        <v>47.58</v>
      </c>
      <c r="H133" s="87">
        <v>632.5</v>
      </c>
      <c r="I133" s="408" t="str">
        <f>IF($A133="","",IF(OR($B133="",$C133="",$D133="",$E133="",$F133=""),"Stammdaten fehlen",IF(AND($G133="",$H133=""),"Werte fehlen",IF($G133="","Monatsstunden fehlen",IF($H133="","Monatslohn fehlt","OK")))))</f>
        <v>OK</v>
      </c>
      <c r="J133" s="422" t="str">
        <f>IF($G133="","",IF(COUNTIFS($A:$A,$A133,$D:$D,$D133,$G:$G,$G133)&gt;1,"Doppelte Monatsstunden",""))</f>
        <v/>
      </c>
    </row>
    <row r="134" spans="1:10" ht="24" customHeight="1">
      <c r="A134" s="415" t="s">
        <v>290</v>
      </c>
      <c r="B134" s="406">
        <v>45778</v>
      </c>
      <c r="C134" s="406">
        <v>46142</v>
      </c>
      <c r="D134" s="407" t="s">
        <v>11</v>
      </c>
      <c r="E134" s="407" t="s">
        <v>10</v>
      </c>
      <c r="F134" s="407" t="s">
        <v>279</v>
      </c>
      <c r="G134" s="86">
        <v>43.25</v>
      </c>
      <c r="H134" s="87">
        <v>575</v>
      </c>
      <c r="I134" s="408" t="str">
        <f>IF($A134="","",IF(OR($B134="",$C134="",$D134="",$E134="",$F134=""),"Stammdaten fehlen",IF(AND($G134="",$H134=""),"Werte fehlen",IF($G134="","Monatsstunden fehlen",IF($H134="","Monatslohn fehlt","OK")))))</f>
        <v>OK</v>
      </c>
      <c r="J134" s="422" t="str">
        <f>IF($G134="","",IF(COUNTIFS($A:$A,$A134,$D:$D,$D134,$G:$G,$G134)&gt;1,"Doppelte Monatsstunden",""))</f>
        <v/>
      </c>
    </row>
    <row r="135" spans="1:10" ht="24" customHeight="1">
      <c r="A135" s="415" t="s">
        <v>290</v>
      </c>
      <c r="B135" s="406">
        <v>45778</v>
      </c>
      <c r="C135" s="406">
        <v>46142</v>
      </c>
      <c r="D135" s="407" t="s">
        <v>11</v>
      </c>
      <c r="E135" s="407" t="s">
        <v>10</v>
      </c>
      <c r="F135" s="407" t="s">
        <v>279</v>
      </c>
      <c r="G135" s="86">
        <v>34.6</v>
      </c>
      <c r="H135" s="87">
        <v>460</v>
      </c>
      <c r="I135" s="408" t="str">
        <f>IF($A135="","",IF(OR($B135="",$C135="",$D135="",$E135="",$F135=""),"Stammdaten fehlen",IF(AND($G135="",$H135=""),"Werte fehlen",IF($G135="","Monatsstunden fehlen",IF($H135="","Monatslohn fehlt","OK")))))</f>
        <v>OK</v>
      </c>
      <c r="J135" s="422" t="str">
        <f>IF($G135="","",IF(COUNTIFS($A:$A,$A135,$D:$D,$D135,$G:$G,$G135)&gt;1,"Doppelte Monatsstunden",""))</f>
        <v/>
      </c>
    </row>
    <row r="136" spans="1:10" ht="24" customHeight="1" thickBot="1">
      <c r="A136" s="415" t="s">
        <v>290</v>
      </c>
      <c r="B136" s="406">
        <v>45778</v>
      </c>
      <c r="C136" s="406">
        <v>46142</v>
      </c>
      <c r="D136" s="407" t="s">
        <v>11</v>
      </c>
      <c r="E136" s="407" t="s">
        <v>10</v>
      </c>
      <c r="F136" s="407" t="s">
        <v>279</v>
      </c>
      <c r="G136" s="86">
        <v>32.01</v>
      </c>
      <c r="H136" s="87">
        <v>425.5</v>
      </c>
      <c r="I136" s="408" t="str">
        <f>IF($A136="","",IF(OR($B136="",$C136="",$D136="",$E136="",$F136=""),"Stammdaten fehlen",IF(AND($G136="",$H136=""),"Werte fehlen",IF($G136="","Monatsstunden fehlen",IF($H136="","Monatslohn fehlt","OK")))))</f>
        <v>OK</v>
      </c>
      <c r="J136" s="422" t="str">
        <f>IF($G136="","",IF(COUNTIFS($A:$A,$A136,$D:$D,$D136,$G:$G,$G136)&gt;1,"Doppelte Monatsstunden",""))</f>
        <v/>
      </c>
    </row>
    <row r="137" spans="1:10" ht="24" customHeight="1">
      <c r="A137" s="414" t="s">
        <v>290</v>
      </c>
      <c r="B137" s="403">
        <v>45778</v>
      </c>
      <c r="C137" s="403">
        <v>46142</v>
      </c>
      <c r="D137" s="404" t="s">
        <v>12</v>
      </c>
      <c r="E137" s="404" t="s">
        <v>10</v>
      </c>
      <c r="F137" s="404" t="s">
        <v>280</v>
      </c>
      <c r="G137" s="84">
        <v>173</v>
      </c>
      <c r="H137" s="85">
        <v>2300</v>
      </c>
      <c r="I137" s="405" t="str">
        <f>IF($A137="","",IF(OR($B137="",$C137="",$D137="",$E137="",$F137=""),"Stammdaten fehlen",IF(AND($G137="",$H137=""),"Werte fehlen",IF($G137="","Monatsstunden fehlen",IF($H137="","Monatslohn fehlt","OK")))))</f>
        <v>OK</v>
      </c>
      <c r="J137" s="421" t="str">
        <f>IF($G137="","",IF(COUNTIFS($A:$A,$A137,$D:$D,$D137,$G:$G,$G137)&gt;1,"Doppelte Monatsstunden",""))</f>
        <v/>
      </c>
    </row>
    <row r="138" spans="1:10" ht="24" customHeight="1">
      <c r="A138" s="415" t="s">
        <v>290</v>
      </c>
      <c r="B138" s="406">
        <v>45778</v>
      </c>
      <c r="C138" s="406">
        <v>46142</v>
      </c>
      <c r="D138" s="407" t="s">
        <v>12</v>
      </c>
      <c r="E138" s="407" t="s">
        <v>10</v>
      </c>
      <c r="F138" s="407" t="s">
        <v>280</v>
      </c>
      <c r="G138" s="86">
        <v>151.38</v>
      </c>
      <c r="H138" s="87">
        <v>2012.5</v>
      </c>
      <c r="I138" s="408" t="str">
        <f>IF($A138="","",IF(OR($B138="",$C138="",$D138="",$E138="",$F138=""),"Stammdaten fehlen",IF(AND($G138="",$H138=""),"Werte fehlen",IF($G138="","Monatsstunden fehlen",IF($H138="","Monatslohn fehlt","OK")))))</f>
        <v>OK</v>
      </c>
      <c r="J138" s="422" t="str">
        <f>IF($G138="","",IF(COUNTIFS($A:$A,$A138,$D:$D,$D138,$G:$G,$G138)&gt;1,"Doppelte Monatsstunden",""))</f>
        <v/>
      </c>
    </row>
    <row r="139" spans="1:10" ht="24" customHeight="1">
      <c r="A139" s="415" t="s">
        <v>290</v>
      </c>
      <c r="B139" s="406">
        <v>45778</v>
      </c>
      <c r="C139" s="406">
        <v>46142</v>
      </c>
      <c r="D139" s="407" t="s">
        <v>12</v>
      </c>
      <c r="E139" s="407" t="s">
        <v>10</v>
      </c>
      <c r="F139" s="407" t="s">
        <v>280</v>
      </c>
      <c r="G139" s="86">
        <v>138.4</v>
      </c>
      <c r="H139" s="87">
        <v>1840</v>
      </c>
      <c r="I139" s="408" t="str">
        <f>IF($A139="","",IF(OR($B139="",$C139="",$D139="",$E139="",$F139=""),"Stammdaten fehlen",IF(AND($G139="",$H139=""),"Werte fehlen",IF($G139="","Monatsstunden fehlen",IF($H139="","Monatslohn fehlt","OK")))))</f>
        <v>OK</v>
      </c>
      <c r="J139" s="422" t="str">
        <f>IF($G139="","",IF(COUNTIFS($A:$A,$A139,$D:$D,$D139,$G:$G,$G139)&gt;1,"Doppelte Monatsstunden",""))</f>
        <v/>
      </c>
    </row>
    <row r="140" spans="1:10" ht="24" customHeight="1">
      <c r="A140" s="415" t="s">
        <v>290</v>
      </c>
      <c r="B140" s="406">
        <v>45778</v>
      </c>
      <c r="C140" s="406">
        <v>46142</v>
      </c>
      <c r="D140" s="407" t="s">
        <v>12</v>
      </c>
      <c r="E140" s="407" t="s">
        <v>10</v>
      </c>
      <c r="F140" s="407" t="s">
        <v>280</v>
      </c>
      <c r="G140" s="86">
        <v>129.75</v>
      </c>
      <c r="H140" s="87">
        <v>1725</v>
      </c>
      <c r="I140" s="408" t="str">
        <f>IF($A140="","",IF(OR($B140="",$C140="",$D140="",$E140="",$F140=""),"Stammdaten fehlen",IF(AND($G140="",$H140=""),"Werte fehlen",IF($G140="","Monatsstunden fehlen",IF($H140="","Monatslohn fehlt","OK")))))</f>
        <v>OK</v>
      </c>
      <c r="J140" s="422" t="str">
        <f>IF($G140="","",IF(COUNTIFS($A:$A,$A140,$D:$D,$D140,$G:$G,$G140)&gt;1,"Doppelte Monatsstunden",""))</f>
        <v/>
      </c>
    </row>
    <row r="141" spans="1:10" ht="24" customHeight="1">
      <c r="A141" s="415" t="s">
        <v>290</v>
      </c>
      <c r="B141" s="406">
        <v>45778</v>
      </c>
      <c r="C141" s="406">
        <v>46142</v>
      </c>
      <c r="D141" s="407" t="s">
        <v>12</v>
      </c>
      <c r="E141" s="407" t="s">
        <v>10</v>
      </c>
      <c r="F141" s="407" t="s">
        <v>280</v>
      </c>
      <c r="G141" s="86">
        <v>108.13</v>
      </c>
      <c r="H141" s="87">
        <v>1437.5</v>
      </c>
      <c r="I141" s="408" t="str">
        <f>IF($A141="","",IF(OR($B141="",$C141="",$D141="",$E141="",$F141=""),"Stammdaten fehlen",IF(AND($G141="",$H141=""),"Werte fehlen",IF($G141="","Monatsstunden fehlen",IF($H141="","Monatslohn fehlt","OK")))))</f>
        <v>OK</v>
      </c>
      <c r="J141" s="422" t="str">
        <f>IF($G141="","",IF(COUNTIFS($A:$A,$A141,$D:$D,$D141,$G:$G,$G141)&gt;1,"Doppelte Monatsstunden",""))</f>
        <v/>
      </c>
    </row>
    <row r="142" spans="1:10" ht="24" customHeight="1">
      <c r="A142" s="415" t="s">
        <v>290</v>
      </c>
      <c r="B142" s="406">
        <v>45778</v>
      </c>
      <c r="C142" s="406">
        <v>46142</v>
      </c>
      <c r="D142" s="407" t="s">
        <v>12</v>
      </c>
      <c r="E142" s="407" t="s">
        <v>10</v>
      </c>
      <c r="F142" s="407" t="s">
        <v>280</v>
      </c>
      <c r="G142" s="86">
        <v>103.8</v>
      </c>
      <c r="H142" s="87">
        <v>1380</v>
      </c>
      <c r="I142" s="408" t="str">
        <f>IF($A142="","",IF(OR($B142="",$C142="",$D142="",$E142="",$F142=""),"Stammdaten fehlen",IF(AND($G142="",$H142=""),"Werte fehlen",IF($G142="","Monatsstunden fehlen",IF($H142="","Monatslohn fehlt","OK")))))</f>
        <v>OK</v>
      </c>
      <c r="J142" s="422" t="str">
        <f>IF($G142="","",IF(COUNTIFS($A:$A,$A142,$D:$D,$D142,$G:$G,$G142)&gt;1,"Doppelte Monatsstunden",""))</f>
        <v/>
      </c>
    </row>
    <row r="143" spans="1:10" ht="24" customHeight="1">
      <c r="A143" s="415" t="s">
        <v>290</v>
      </c>
      <c r="B143" s="406">
        <v>45778</v>
      </c>
      <c r="C143" s="406">
        <v>46142</v>
      </c>
      <c r="D143" s="407" t="s">
        <v>12</v>
      </c>
      <c r="E143" s="407" t="s">
        <v>10</v>
      </c>
      <c r="F143" s="407" t="s">
        <v>280</v>
      </c>
      <c r="G143" s="86">
        <v>86.5</v>
      </c>
      <c r="H143" s="87">
        <v>1150</v>
      </c>
      <c r="I143" s="408" t="str">
        <f>IF($A143="","",IF(OR($B143="",$C143="",$D143="",$E143="",$F143=""),"Stammdaten fehlen",IF(AND($G143="",$H143=""),"Werte fehlen",IF($G143="","Monatsstunden fehlen",IF($H143="","Monatslohn fehlt","OK")))))</f>
        <v>OK</v>
      </c>
      <c r="J143" s="422" t="str">
        <f>IF($G143="","",IF(COUNTIFS($A:$A,$A143,$D:$D,$D143,$G:$G,$G143)&gt;1,"Doppelte Monatsstunden",""))</f>
        <v/>
      </c>
    </row>
    <row r="144" spans="1:10" ht="24" customHeight="1">
      <c r="A144" s="415" t="s">
        <v>290</v>
      </c>
      <c r="B144" s="406">
        <v>45778</v>
      </c>
      <c r="C144" s="406">
        <v>46142</v>
      </c>
      <c r="D144" s="407" t="s">
        <v>12</v>
      </c>
      <c r="E144" s="407" t="s">
        <v>10</v>
      </c>
      <c r="F144" s="407" t="s">
        <v>280</v>
      </c>
      <c r="G144" s="86">
        <v>69.2</v>
      </c>
      <c r="H144" s="87">
        <v>920</v>
      </c>
      <c r="I144" s="408" t="str">
        <f>IF($A144="","",IF(OR($B144="",$C144="",$D144="",$E144="",$F144=""),"Stammdaten fehlen",IF(AND($G144="",$H144=""),"Werte fehlen",IF($G144="","Monatsstunden fehlen",IF($H144="","Monatslohn fehlt","OK")))))</f>
        <v>OK</v>
      </c>
      <c r="J144" s="422" t="str">
        <f>IF($G144="","",IF(COUNTIFS($A:$A,$A144,$D:$D,$D144,$G:$G,$G144)&gt;1,"Doppelte Monatsstunden",""))</f>
        <v/>
      </c>
    </row>
    <row r="145" spans="1:10" ht="24" customHeight="1">
      <c r="A145" s="415" t="s">
        <v>290</v>
      </c>
      <c r="B145" s="406">
        <v>45778</v>
      </c>
      <c r="C145" s="406">
        <v>46142</v>
      </c>
      <c r="D145" s="407" t="s">
        <v>12</v>
      </c>
      <c r="E145" s="407" t="s">
        <v>10</v>
      </c>
      <c r="F145" s="407" t="s">
        <v>280</v>
      </c>
      <c r="G145" s="86">
        <v>51.9</v>
      </c>
      <c r="H145" s="87">
        <v>690</v>
      </c>
      <c r="I145" s="408" t="str">
        <f>IF($A145="","",IF(OR($B145="",$C145="",$D145="",$E145="",$F145=""),"Stammdaten fehlen",IF(AND($G145="",$H145=""),"Werte fehlen",IF($G145="","Monatsstunden fehlen",IF($H145="","Monatslohn fehlt","OK")))))</f>
        <v>OK</v>
      </c>
      <c r="J145" s="422" t="str">
        <f>IF($G145="","",IF(COUNTIFS($A:$A,$A145,$D:$D,$D145,$G:$G,$G145)&gt;1,"Doppelte Monatsstunden",""))</f>
        <v/>
      </c>
    </row>
    <row r="146" spans="1:10" ht="24" customHeight="1">
      <c r="A146" s="415" t="s">
        <v>290</v>
      </c>
      <c r="B146" s="406">
        <v>45778</v>
      </c>
      <c r="C146" s="406">
        <v>46142</v>
      </c>
      <c r="D146" s="407" t="s">
        <v>12</v>
      </c>
      <c r="E146" s="407" t="s">
        <v>10</v>
      </c>
      <c r="F146" s="407" t="s">
        <v>280</v>
      </c>
      <c r="G146" s="86">
        <v>47.58</v>
      </c>
      <c r="H146" s="87">
        <v>632.5</v>
      </c>
      <c r="I146" s="408" t="str">
        <f>IF($A146="","",IF(OR($B146="",$C146="",$D146="",$E146="",$F146=""),"Stammdaten fehlen",IF(AND($G146="",$H146=""),"Werte fehlen",IF($G146="","Monatsstunden fehlen",IF($H146="","Monatslohn fehlt","OK")))))</f>
        <v>OK</v>
      </c>
      <c r="J146" s="422" t="str">
        <f>IF($G146="","",IF(COUNTIFS($A:$A,$A146,$D:$D,$D146,$G:$G,$G146)&gt;1,"Doppelte Monatsstunden",""))</f>
        <v/>
      </c>
    </row>
    <row r="147" spans="1:10" ht="24" customHeight="1">
      <c r="A147" s="415" t="s">
        <v>290</v>
      </c>
      <c r="B147" s="406">
        <v>45778</v>
      </c>
      <c r="C147" s="406">
        <v>46142</v>
      </c>
      <c r="D147" s="407" t="s">
        <v>12</v>
      </c>
      <c r="E147" s="407" t="s">
        <v>10</v>
      </c>
      <c r="F147" s="407" t="s">
        <v>280</v>
      </c>
      <c r="G147" s="86">
        <v>43.25</v>
      </c>
      <c r="H147" s="87">
        <v>575</v>
      </c>
      <c r="I147" s="408" t="str">
        <f>IF($A147="","",IF(OR($B147="",$C147="",$D147="",$E147="",$F147=""),"Stammdaten fehlen",IF(AND($G147="",$H147=""),"Werte fehlen",IF($G147="","Monatsstunden fehlen",IF($H147="","Monatslohn fehlt","OK")))))</f>
        <v>OK</v>
      </c>
      <c r="J147" s="422" t="str">
        <f>IF($G147="","",IF(COUNTIFS($A:$A,$A147,$D:$D,$D147,$G:$G,$G147)&gt;1,"Doppelte Monatsstunden",""))</f>
        <v/>
      </c>
    </row>
    <row r="148" spans="1:10" ht="24" customHeight="1">
      <c r="A148" s="415" t="s">
        <v>290</v>
      </c>
      <c r="B148" s="406">
        <v>45778</v>
      </c>
      <c r="C148" s="406">
        <v>46142</v>
      </c>
      <c r="D148" s="407" t="s">
        <v>12</v>
      </c>
      <c r="E148" s="407" t="s">
        <v>10</v>
      </c>
      <c r="F148" s="407" t="s">
        <v>280</v>
      </c>
      <c r="G148" s="86">
        <v>34.6</v>
      </c>
      <c r="H148" s="87">
        <v>460</v>
      </c>
      <c r="I148" s="408" t="str">
        <f>IF($A148="","",IF(OR($B148="",$C148="",$D148="",$E148="",$F148=""),"Stammdaten fehlen",IF(AND($G148="",$H148=""),"Werte fehlen",IF($G148="","Monatsstunden fehlen",IF($H148="","Monatslohn fehlt","OK")))))</f>
        <v>OK</v>
      </c>
      <c r="J148" s="422" t="str">
        <f>IF($G148="","",IF(COUNTIFS($A:$A,$A148,$D:$D,$D148,$G:$G,$G148)&gt;1,"Doppelte Monatsstunden",""))</f>
        <v/>
      </c>
    </row>
    <row r="149" spans="1:10" ht="24" customHeight="1" thickBot="1">
      <c r="A149" s="415" t="s">
        <v>290</v>
      </c>
      <c r="B149" s="406">
        <v>45778</v>
      </c>
      <c r="C149" s="406">
        <v>46142</v>
      </c>
      <c r="D149" s="407" t="s">
        <v>12</v>
      </c>
      <c r="E149" s="407" t="s">
        <v>10</v>
      </c>
      <c r="F149" s="407" t="s">
        <v>280</v>
      </c>
      <c r="G149" s="86">
        <v>32.01</v>
      </c>
      <c r="H149" s="87">
        <v>425.5</v>
      </c>
      <c r="I149" s="408" t="str">
        <f>IF($A149="","",IF(OR($B149="",$C149="",$D149="",$E149="",$F149=""),"Stammdaten fehlen",IF(AND($G149="",$H149=""),"Werte fehlen",IF($G149="","Monatsstunden fehlen",IF($H149="","Monatslohn fehlt","OK")))))</f>
        <v>OK</v>
      </c>
      <c r="J149" s="422" t="str">
        <f>IF($G149="","",IF(COUNTIFS($A:$A,$A149,$D:$D,$D149,$G:$G,$G149)&gt;1,"Doppelte Monatsstunden",""))</f>
        <v/>
      </c>
    </row>
    <row r="150" spans="1:10" ht="24" customHeight="1">
      <c r="A150" s="414" t="s">
        <v>290</v>
      </c>
      <c r="B150" s="403">
        <v>45778</v>
      </c>
      <c r="C150" s="403">
        <v>46142</v>
      </c>
      <c r="D150" s="404" t="s">
        <v>13</v>
      </c>
      <c r="E150" s="404" t="s">
        <v>10</v>
      </c>
      <c r="F150" s="404" t="s">
        <v>281</v>
      </c>
      <c r="G150" s="84">
        <v>173</v>
      </c>
      <c r="H150" s="85">
        <v>2328</v>
      </c>
      <c r="I150" s="405" t="str">
        <f>IF($A150="","",IF(OR($B150="",$C150="",$D150="",$E150="",$F150=""),"Stammdaten fehlen",IF(AND($G150="",$H150=""),"Werte fehlen",IF($G150="","Monatsstunden fehlen",IF($H150="","Monatslohn fehlt","OK")))))</f>
        <v>OK</v>
      </c>
      <c r="J150" s="421" t="str">
        <f>IF($G150="","",IF(COUNTIFS($A:$A,$A150,$D:$D,$D150,$G:$G,$G150)&gt;1,"Doppelte Monatsstunden",""))</f>
        <v/>
      </c>
    </row>
    <row r="151" spans="1:10" ht="24" customHeight="1">
      <c r="A151" s="415" t="s">
        <v>290</v>
      </c>
      <c r="B151" s="406">
        <v>45778</v>
      </c>
      <c r="C151" s="406">
        <v>46142</v>
      </c>
      <c r="D151" s="407" t="s">
        <v>13</v>
      </c>
      <c r="E151" s="407" t="s">
        <v>10</v>
      </c>
      <c r="F151" s="407" t="s">
        <v>281</v>
      </c>
      <c r="G151" s="86">
        <v>151.38</v>
      </c>
      <c r="H151" s="87">
        <v>2037</v>
      </c>
      <c r="I151" s="408" t="str">
        <f>IF($A151="","",IF(OR($B151="",$C151="",$D151="",$E151="",$F151=""),"Stammdaten fehlen",IF(AND($G151="",$H151=""),"Werte fehlen",IF($G151="","Monatsstunden fehlen",IF($H151="","Monatslohn fehlt","OK")))))</f>
        <v>OK</v>
      </c>
      <c r="J151" s="422" t="str">
        <f>IF($G151="","",IF(COUNTIFS($A:$A,$A151,$D:$D,$D151,$G:$G,$G151)&gt;1,"Doppelte Monatsstunden",""))</f>
        <v/>
      </c>
    </row>
    <row r="152" spans="1:10" ht="24" customHeight="1">
      <c r="A152" s="415" t="s">
        <v>290</v>
      </c>
      <c r="B152" s="406">
        <v>45778</v>
      </c>
      <c r="C152" s="406">
        <v>46142</v>
      </c>
      <c r="D152" s="407" t="s">
        <v>13</v>
      </c>
      <c r="E152" s="407" t="s">
        <v>10</v>
      </c>
      <c r="F152" s="407" t="s">
        <v>281</v>
      </c>
      <c r="G152" s="86">
        <v>138.4</v>
      </c>
      <c r="H152" s="87">
        <v>1862.4</v>
      </c>
      <c r="I152" s="408" t="str">
        <f>IF($A152="","",IF(OR($B152="",$C152="",$D152="",$E152="",$F152=""),"Stammdaten fehlen",IF(AND($G152="",$H152=""),"Werte fehlen",IF($G152="","Monatsstunden fehlen",IF($H152="","Monatslohn fehlt","OK")))))</f>
        <v>OK</v>
      </c>
      <c r="J152" s="422" t="str">
        <f>IF($G152="","",IF(COUNTIFS($A:$A,$A152,$D:$D,$D152,$G:$G,$G152)&gt;1,"Doppelte Monatsstunden",""))</f>
        <v/>
      </c>
    </row>
    <row r="153" spans="1:10" ht="24" customHeight="1">
      <c r="A153" s="415" t="s">
        <v>290</v>
      </c>
      <c r="B153" s="406">
        <v>45778</v>
      </c>
      <c r="C153" s="406">
        <v>46142</v>
      </c>
      <c r="D153" s="407" t="s">
        <v>13</v>
      </c>
      <c r="E153" s="407" t="s">
        <v>10</v>
      </c>
      <c r="F153" s="407" t="s">
        <v>281</v>
      </c>
      <c r="G153" s="86">
        <v>129.75</v>
      </c>
      <c r="H153" s="87">
        <v>1476</v>
      </c>
      <c r="I153" s="408" t="str">
        <f>IF($A153="","",IF(OR($B153="",$C153="",$D153="",$E153="",$F153=""),"Stammdaten fehlen",IF(AND($G153="",$H153=""),"Werte fehlen",IF($G153="","Monatsstunden fehlen",IF($H153="","Monatslohn fehlt","OK")))))</f>
        <v>OK</v>
      </c>
      <c r="J153" s="422" t="str">
        <f>IF($G153="","",IF(COUNTIFS($A:$A,$A153,$D:$D,$D153,$G:$G,$G153)&gt;1,"Doppelte Monatsstunden",""))</f>
        <v/>
      </c>
    </row>
    <row r="154" spans="1:10" ht="24" customHeight="1">
      <c r="A154" s="415" t="s">
        <v>290</v>
      </c>
      <c r="B154" s="406">
        <v>45778</v>
      </c>
      <c r="C154" s="406">
        <v>46142</v>
      </c>
      <c r="D154" s="407" t="s">
        <v>13</v>
      </c>
      <c r="E154" s="407" t="s">
        <v>10</v>
      </c>
      <c r="F154" s="407" t="s">
        <v>281</v>
      </c>
      <c r="G154" s="86">
        <v>108.13</v>
      </c>
      <c r="H154" s="87">
        <v>1455</v>
      </c>
      <c r="I154" s="408" t="str">
        <f>IF($A154="","",IF(OR($B154="",$C154="",$D154="",$E154="",$F154=""),"Stammdaten fehlen",IF(AND($G154="",$H154=""),"Werte fehlen",IF($G154="","Monatsstunden fehlen",IF($H154="","Monatslohn fehlt","OK")))))</f>
        <v>OK</v>
      </c>
      <c r="J154" s="422" t="str">
        <f>IF($G154="","",IF(COUNTIFS($A:$A,$A154,$D:$D,$D154,$G:$G,$G154)&gt;1,"Doppelte Monatsstunden",""))</f>
        <v/>
      </c>
    </row>
    <row r="155" spans="1:10" ht="24" customHeight="1">
      <c r="A155" s="415" t="s">
        <v>290</v>
      </c>
      <c r="B155" s="406">
        <v>45778</v>
      </c>
      <c r="C155" s="406">
        <v>46142</v>
      </c>
      <c r="D155" s="407" t="s">
        <v>13</v>
      </c>
      <c r="E155" s="407" t="s">
        <v>10</v>
      </c>
      <c r="F155" s="407" t="s">
        <v>281</v>
      </c>
      <c r="G155" s="86">
        <v>103.8</v>
      </c>
      <c r="H155" s="87">
        <v>1396.8</v>
      </c>
      <c r="I155" s="408" t="str">
        <f>IF($A155="","",IF(OR($B155="",$C155="",$D155="",$E155="",$F155=""),"Stammdaten fehlen",IF(AND($G155="",$H155=""),"Werte fehlen",IF($G155="","Monatsstunden fehlen",IF($H155="","Monatslohn fehlt","OK")))))</f>
        <v>OK</v>
      </c>
      <c r="J155" s="422" t="str">
        <f>IF($G155="","",IF(COUNTIFS($A:$A,$A155,$D:$D,$D155,$G:$G,$G155)&gt;1,"Doppelte Monatsstunden",""))</f>
        <v/>
      </c>
    </row>
    <row r="156" spans="1:10" ht="24" customHeight="1">
      <c r="A156" s="415" t="s">
        <v>290</v>
      </c>
      <c r="B156" s="406">
        <v>45778</v>
      </c>
      <c r="C156" s="406">
        <v>46142</v>
      </c>
      <c r="D156" s="407" t="s">
        <v>13</v>
      </c>
      <c r="E156" s="407" t="s">
        <v>10</v>
      </c>
      <c r="F156" s="407" t="s">
        <v>281</v>
      </c>
      <c r="G156" s="86">
        <v>86.5</v>
      </c>
      <c r="H156" s="87">
        <v>1164</v>
      </c>
      <c r="I156" s="408" t="str">
        <f>IF($A156="","",IF(OR($B156="",$C156="",$D156="",$E156="",$F156=""),"Stammdaten fehlen",IF(AND($G156="",$H156=""),"Werte fehlen",IF($G156="","Monatsstunden fehlen",IF($H156="","Monatslohn fehlt","OK")))))</f>
        <v>OK</v>
      </c>
      <c r="J156" s="422" t="str">
        <f>IF($G156="","",IF(COUNTIFS($A:$A,$A156,$D:$D,$D156,$G:$G,$G156)&gt;1,"Doppelte Monatsstunden",""))</f>
        <v/>
      </c>
    </row>
    <row r="157" spans="1:10" ht="24" customHeight="1">
      <c r="A157" s="415" t="s">
        <v>290</v>
      </c>
      <c r="B157" s="406">
        <v>45778</v>
      </c>
      <c r="C157" s="406">
        <v>46142</v>
      </c>
      <c r="D157" s="407" t="s">
        <v>13</v>
      </c>
      <c r="E157" s="407" t="s">
        <v>10</v>
      </c>
      <c r="F157" s="407" t="s">
        <v>281</v>
      </c>
      <c r="G157" s="86">
        <v>69.2</v>
      </c>
      <c r="H157" s="87">
        <v>931.2</v>
      </c>
      <c r="I157" s="408" t="str">
        <f>IF($A157="","",IF(OR($B157="",$C157="",$D157="",$E157="",$F157=""),"Stammdaten fehlen",IF(AND($G157="",$H157=""),"Werte fehlen",IF($G157="","Monatsstunden fehlen",IF($H157="","Monatslohn fehlt","OK")))))</f>
        <v>OK</v>
      </c>
      <c r="J157" s="422" t="str">
        <f>IF($G157="","",IF(COUNTIFS($A:$A,$A157,$D:$D,$D157,$G:$G,$G157)&gt;1,"Doppelte Monatsstunden",""))</f>
        <v/>
      </c>
    </row>
    <row r="158" spans="1:10" ht="24" customHeight="1">
      <c r="A158" s="415" t="s">
        <v>290</v>
      </c>
      <c r="B158" s="406">
        <v>45778</v>
      </c>
      <c r="C158" s="406">
        <v>46142</v>
      </c>
      <c r="D158" s="407" t="s">
        <v>13</v>
      </c>
      <c r="E158" s="407" t="s">
        <v>10</v>
      </c>
      <c r="F158" s="407" t="s">
        <v>281</v>
      </c>
      <c r="G158" s="86">
        <v>51.9</v>
      </c>
      <c r="H158" s="87">
        <v>698.4</v>
      </c>
      <c r="I158" s="408" t="str">
        <f>IF($A158="","",IF(OR($B158="",$C158="",$D158="",$E158="",$F158=""),"Stammdaten fehlen",IF(AND($G158="",$H158=""),"Werte fehlen",IF($G158="","Monatsstunden fehlen",IF($H158="","Monatslohn fehlt","OK")))))</f>
        <v>OK</v>
      </c>
      <c r="J158" s="422" t="str">
        <f>IF($G158="","",IF(COUNTIFS($A:$A,$A158,$D:$D,$D158,$G:$G,$G158)&gt;1,"Doppelte Monatsstunden",""))</f>
        <v/>
      </c>
    </row>
    <row r="159" spans="1:10" ht="24" customHeight="1">
      <c r="A159" s="415" t="s">
        <v>290</v>
      </c>
      <c r="B159" s="406">
        <v>45778</v>
      </c>
      <c r="C159" s="406">
        <v>46142</v>
      </c>
      <c r="D159" s="407" t="s">
        <v>13</v>
      </c>
      <c r="E159" s="407" t="s">
        <v>10</v>
      </c>
      <c r="F159" s="407" t="s">
        <v>281</v>
      </c>
      <c r="G159" s="86">
        <v>47.58</v>
      </c>
      <c r="H159" s="87">
        <v>640</v>
      </c>
      <c r="I159" s="408" t="str">
        <f>IF($A159="","",IF(OR($B159="",$C159="",$D159="",$E159="",$F159=""),"Stammdaten fehlen",IF(AND($G159="",$H159=""),"Werte fehlen",IF($G159="","Monatsstunden fehlen",IF($H159="","Monatslohn fehlt","OK")))))</f>
        <v>OK</v>
      </c>
      <c r="J159" s="422" t="str">
        <f>IF($G159="","",IF(COUNTIFS($A:$A,$A159,$D:$D,$D159,$G:$G,$G159)&gt;1,"Doppelte Monatsstunden",""))</f>
        <v/>
      </c>
    </row>
    <row r="160" spans="1:10" ht="24" customHeight="1">
      <c r="A160" s="415" t="s">
        <v>290</v>
      </c>
      <c r="B160" s="406">
        <v>45778</v>
      </c>
      <c r="C160" s="406">
        <v>46142</v>
      </c>
      <c r="D160" s="407" t="s">
        <v>13</v>
      </c>
      <c r="E160" s="407" t="s">
        <v>10</v>
      </c>
      <c r="F160" s="407" t="s">
        <v>281</v>
      </c>
      <c r="G160" s="86">
        <v>43.25</v>
      </c>
      <c r="H160" s="87">
        <v>582</v>
      </c>
      <c r="I160" s="408" t="str">
        <f>IF($A160="","",IF(OR($B160="",$C160="",$D160="",$E160="",$F160=""),"Stammdaten fehlen",IF(AND($G160="",$H160=""),"Werte fehlen",IF($G160="","Monatsstunden fehlen",IF($H160="","Monatslohn fehlt","OK")))))</f>
        <v>OK</v>
      </c>
      <c r="J160" s="422" t="str">
        <f>IF($G160="","",IF(COUNTIFS($A:$A,$A160,$D:$D,$D160,$G:$G,$G160)&gt;1,"Doppelte Monatsstunden",""))</f>
        <v/>
      </c>
    </row>
    <row r="161" spans="1:10" ht="24" customHeight="1">
      <c r="A161" s="415" t="s">
        <v>290</v>
      </c>
      <c r="B161" s="406">
        <v>45778</v>
      </c>
      <c r="C161" s="406">
        <v>46142</v>
      </c>
      <c r="D161" s="407" t="s">
        <v>13</v>
      </c>
      <c r="E161" s="407" t="s">
        <v>10</v>
      </c>
      <c r="F161" s="407" t="s">
        <v>281</v>
      </c>
      <c r="G161" s="86">
        <v>34.6</v>
      </c>
      <c r="H161" s="87">
        <v>465.6</v>
      </c>
      <c r="I161" s="408" t="str">
        <f>IF($A161="","",IF(OR($B161="",$C161="",$D161="",$E161="",$F161=""),"Stammdaten fehlen",IF(AND($G161="",$H161=""),"Werte fehlen",IF($G161="","Monatsstunden fehlen",IF($H161="","Monatslohn fehlt","OK")))))</f>
        <v>OK</v>
      </c>
      <c r="J161" s="422" t="str">
        <f>IF($G161="","",IF(COUNTIFS($A:$A,$A161,$D:$D,$D161,$G:$G,$G161)&gt;1,"Doppelte Monatsstunden",""))</f>
        <v/>
      </c>
    </row>
    <row r="162" spans="1:10" ht="24" customHeight="1" thickBot="1">
      <c r="A162" s="423" t="s">
        <v>290</v>
      </c>
      <c r="B162" s="424">
        <v>45778</v>
      </c>
      <c r="C162" s="424">
        <v>46142</v>
      </c>
      <c r="D162" s="425" t="s">
        <v>13</v>
      </c>
      <c r="E162" s="425" t="s">
        <v>10</v>
      </c>
      <c r="F162" s="425" t="s">
        <v>281</v>
      </c>
      <c r="G162" s="88">
        <v>32.01</v>
      </c>
      <c r="H162" s="89">
        <v>430.68</v>
      </c>
      <c r="I162" s="426" t="str">
        <f>IF($A162="","",IF(OR($B162="",$C162="",$D162="",$E162="",$F162=""),"Stammdaten fehlen",IF(AND($G162="",$H162=""),"Werte fehlen",IF($G162="","Monatsstunden fehlen",IF($H162="","Monatslohn fehlt","OK")))))</f>
        <v>OK</v>
      </c>
      <c r="J162" s="427" t="str">
        <f>IF($G162="","",IF(COUNTIFS($A:$A,$A162,$D:$D,$D162,$G:$G,$G162)&gt;1,"Doppelte Monatsstunden",""))</f>
        <v/>
      </c>
    </row>
  </sheetData>
  <sheetProtection algorithmName="SHA-512" hashValue="Ohe5Rwpbw4R5uPHuaGGIZpEMM4ggwnl4Z/md3hCuADSiHzxptBSUJhilcsCiYOefUaoe1xVdA38pIZrJixHXzg==" saltValue="672LqOueEzQ+LfZ9dwM9kw==" spinCount="100000" sheet="1" objects="1" scenarios="1" sort="0" autoFilter="0"/>
  <mergeCells count="3">
    <mergeCell ref="A1:J1"/>
    <mergeCell ref="L2:N2"/>
    <mergeCell ref="A4:J4"/>
  </mergeCells>
  <phoneticPr fontId="9" type="noConversion"/>
  <pageMargins left="0.7" right="0.7" top="0.78740157499999996" bottom="0.78740157499999996" header="0.3" footer="0.3"/>
  <pageSetup paperSize="9" orientation="portrait" horizontalDpi="0" verticalDpi="0"/>
  <headerFooter>
    <oddFooter>&amp;R&amp;"Calibri"&amp;7© Adam Nagy ¬∑ McOpCo ¬∑ Personalsheet 2026</oddFooter>
  </headerFooter>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5498EB-A7B0-4D9D-AADA-748E52BFD0D1}">
  <sheetPr codeName="Tabelle1"/>
  <dimension ref="B1:Z100"/>
  <sheetViews>
    <sheetView showGridLines="0" zoomScaleNormal="100" workbookViewId="0">
      <selection activeCell="N25" sqref="N25"/>
    </sheetView>
  </sheetViews>
  <sheetFormatPr baseColWidth="10" defaultColWidth="11.453125" defaultRowHeight="14.5"/>
  <cols>
    <col min="1" max="1" width="4" customWidth="1"/>
    <col min="2" max="2" width="18" customWidth="1"/>
    <col min="3" max="3" width="14.6328125" customWidth="1"/>
    <col min="4" max="5" width="17.6328125" customWidth="1"/>
    <col min="6" max="6" width="17" customWidth="1"/>
    <col min="7" max="7" width="3.453125" customWidth="1"/>
    <col min="9" max="9" width="10.6328125" customWidth="1"/>
    <col min="10" max="10" width="3.81640625" customWidth="1"/>
    <col min="13" max="13" width="3.453125" customWidth="1"/>
  </cols>
  <sheetData>
    <row r="1" spans="2:21" ht="28" customHeight="1">
      <c r="B1" s="137" t="s">
        <v>346</v>
      </c>
      <c r="C1" s="137"/>
      <c r="D1" s="137"/>
      <c r="E1" s="137"/>
      <c r="F1" s="137"/>
      <c r="G1" s="137"/>
      <c r="H1" s="137"/>
      <c r="I1" s="137"/>
      <c r="J1" s="137"/>
      <c r="K1" s="137"/>
      <c r="L1" s="137"/>
      <c r="M1" s="137"/>
      <c r="N1" s="137"/>
      <c r="O1" s="137"/>
      <c r="P1" s="137"/>
      <c r="Q1" s="137"/>
      <c r="R1" s="137"/>
      <c r="S1" s="137"/>
      <c r="T1" s="137"/>
      <c r="U1" s="137"/>
    </row>
    <row r="2" spans="2:21" ht="17.25" customHeight="1">
      <c r="B2" s="97"/>
      <c r="C2" s="97"/>
      <c r="D2" s="97"/>
      <c r="E2" s="97"/>
      <c r="F2" s="97"/>
      <c r="G2" s="97"/>
      <c r="H2" s="97"/>
      <c r="I2" s="97"/>
      <c r="J2" s="97"/>
      <c r="K2" s="97"/>
      <c r="L2" s="97"/>
      <c r="M2" s="97"/>
      <c r="N2" s="97"/>
      <c r="O2" s="97"/>
      <c r="P2" s="98"/>
      <c r="Q2" s="98"/>
      <c r="R2" s="98"/>
      <c r="S2" s="166" t="s">
        <v>378</v>
      </c>
      <c r="T2" s="166"/>
      <c r="U2" s="166"/>
    </row>
    <row r="3" spans="2:21" ht="20" customHeight="1">
      <c r="B3" s="167" t="s">
        <v>93</v>
      </c>
      <c r="C3" s="168"/>
      <c r="D3" s="168"/>
      <c r="E3" s="168"/>
      <c r="F3" s="169"/>
      <c r="G3" s="98"/>
      <c r="H3" s="162" t="s">
        <v>14</v>
      </c>
      <c r="I3" s="162"/>
      <c r="J3" s="98"/>
      <c r="K3" s="162" t="s">
        <v>15</v>
      </c>
      <c r="L3" s="162"/>
      <c r="M3" s="98"/>
      <c r="N3" s="162" t="s">
        <v>16</v>
      </c>
      <c r="O3" s="162"/>
      <c r="P3" s="98"/>
      <c r="Q3" s="98"/>
      <c r="R3" s="98"/>
      <c r="S3" s="98"/>
      <c r="T3" s="98"/>
      <c r="U3" s="98"/>
    </row>
    <row r="4" spans="2:21" ht="20" customHeight="1" thickBot="1">
      <c r="B4" s="170"/>
      <c r="C4" s="137"/>
      <c r="D4" s="137"/>
      <c r="E4" s="137"/>
      <c r="F4" s="171"/>
      <c r="G4" s="98"/>
      <c r="H4" s="163"/>
      <c r="I4" s="163"/>
      <c r="J4" s="98"/>
      <c r="K4" s="163"/>
      <c r="L4" s="163"/>
      <c r="M4" s="98"/>
      <c r="N4" s="163"/>
      <c r="O4" s="163"/>
      <c r="P4" s="98"/>
      <c r="Q4" s="98"/>
      <c r="R4" s="98"/>
      <c r="S4" s="98"/>
      <c r="T4" s="98"/>
      <c r="U4" s="98"/>
    </row>
    <row r="5" spans="2:21" ht="18" customHeight="1">
      <c r="B5" s="99"/>
      <c r="C5" s="100" t="s">
        <v>17</v>
      </c>
      <c r="D5" s="101" t="s">
        <v>18</v>
      </c>
      <c r="E5" s="101" t="s">
        <v>19</v>
      </c>
      <c r="F5" s="102" t="s">
        <v>20</v>
      </c>
      <c r="G5" s="98"/>
      <c r="H5" s="164" t="s">
        <v>21</v>
      </c>
      <c r="I5" s="165"/>
      <c r="J5" s="98"/>
      <c r="K5" s="164" t="s">
        <v>21</v>
      </c>
      <c r="L5" s="165"/>
      <c r="M5" s="98"/>
      <c r="N5" s="164" t="s">
        <v>22</v>
      </c>
      <c r="O5" s="165"/>
      <c r="P5" s="98"/>
      <c r="Q5" s="98"/>
      <c r="R5" s="98"/>
      <c r="S5" s="98"/>
      <c r="T5" s="98"/>
      <c r="U5" s="98"/>
    </row>
    <row r="6" spans="2:21" ht="22" customHeight="1">
      <c r="B6" s="117" t="s">
        <v>23</v>
      </c>
      <c r="C6" s="12">
        <v>450000</v>
      </c>
      <c r="D6" s="13">
        <v>100000</v>
      </c>
      <c r="E6" s="103">
        <f>Januar!$Q$37</f>
        <v>0.22222222222222221</v>
      </c>
      <c r="F6" s="14">
        <v>30000</v>
      </c>
      <c r="G6" s="98"/>
      <c r="H6" s="118" t="s">
        <v>23</v>
      </c>
      <c r="I6" s="15">
        <v>600</v>
      </c>
      <c r="J6" s="98"/>
      <c r="K6" s="118" t="s">
        <v>23</v>
      </c>
      <c r="L6" s="15">
        <v>9300</v>
      </c>
      <c r="M6" s="98"/>
      <c r="N6" s="118" t="s">
        <v>23</v>
      </c>
      <c r="O6" s="15">
        <v>1250</v>
      </c>
      <c r="P6" s="98"/>
      <c r="Q6" s="98"/>
      <c r="R6" s="98"/>
      <c r="S6" s="98"/>
      <c r="T6" s="98"/>
      <c r="U6" s="98"/>
    </row>
    <row r="7" spans="2:21" ht="22" customHeight="1">
      <c r="B7" s="117" t="s">
        <v>24</v>
      </c>
      <c r="C7" s="12">
        <v>400000</v>
      </c>
      <c r="D7" s="13">
        <v>100000</v>
      </c>
      <c r="E7" s="103">
        <f>Februar!$Q$37</f>
        <v>0.25</v>
      </c>
      <c r="F7" s="14">
        <v>30000</v>
      </c>
      <c r="G7" s="98"/>
      <c r="H7" s="118" t="s">
        <v>25</v>
      </c>
      <c r="I7" s="15">
        <v>600</v>
      </c>
      <c r="J7" s="98"/>
      <c r="K7" s="118" t="s">
        <v>25</v>
      </c>
      <c r="L7" s="15">
        <v>9300</v>
      </c>
      <c r="M7" s="98"/>
      <c r="N7" s="118" t="s">
        <v>25</v>
      </c>
      <c r="O7" s="15">
        <v>1250</v>
      </c>
      <c r="P7" s="98"/>
      <c r="Q7" s="98"/>
      <c r="R7" s="98"/>
      <c r="S7" s="98"/>
      <c r="T7" s="98"/>
      <c r="U7" s="98"/>
    </row>
    <row r="8" spans="2:21" ht="22" customHeight="1">
      <c r="B8" s="117" t="s">
        <v>26</v>
      </c>
      <c r="C8" s="12">
        <v>400000</v>
      </c>
      <c r="D8" s="13">
        <v>100000</v>
      </c>
      <c r="E8" s="103">
        <f>Marz!$Q$37</f>
        <v>0.25</v>
      </c>
      <c r="F8" s="14">
        <v>30000</v>
      </c>
      <c r="G8" s="98"/>
      <c r="H8" s="118" t="s">
        <v>26</v>
      </c>
      <c r="I8" s="15">
        <v>600</v>
      </c>
      <c r="J8" s="98"/>
      <c r="K8" s="118" t="s">
        <v>26</v>
      </c>
      <c r="L8" s="15">
        <v>9300</v>
      </c>
      <c r="M8" s="98"/>
      <c r="N8" s="118" t="s">
        <v>26</v>
      </c>
      <c r="O8" s="15">
        <v>1250</v>
      </c>
      <c r="P8" s="98"/>
      <c r="Q8" s="98"/>
      <c r="R8" s="98"/>
      <c r="S8" s="98"/>
      <c r="T8" s="98"/>
      <c r="U8" s="98"/>
    </row>
    <row r="9" spans="2:21" ht="22" customHeight="1">
      <c r="B9" s="117" t="s">
        <v>27</v>
      </c>
      <c r="C9" s="12">
        <v>400000</v>
      </c>
      <c r="D9" s="13">
        <v>100000</v>
      </c>
      <c r="E9" s="103">
        <f>April!$Q$37</f>
        <v>0.25</v>
      </c>
      <c r="F9" s="14">
        <v>30000</v>
      </c>
      <c r="G9" s="98"/>
      <c r="H9" s="118" t="s">
        <v>27</v>
      </c>
      <c r="I9" s="15">
        <v>600</v>
      </c>
      <c r="J9" s="98"/>
      <c r="K9" s="118" t="s">
        <v>27</v>
      </c>
      <c r="L9" s="15">
        <v>1500</v>
      </c>
      <c r="M9" s="98"/>
      <c r="N9" s="118" t="s">
        <v>27</v>
      </c>
      <c r="O9" s="15">
        <v>1250</v>
      </c>
      <c r="P9" s="98"/>
      <c r="Q9" s="98"/>
      <c r="R9" s="98"/>
      <c r="S9" s="98"/>
      <c r="T9" s="98"/>
      <c r="U9" s="98"/>
    </row>
    <row r="10" spans="2:21" ht="22" customHeight="1">
      <c r="B10" s="117" t="s">
        <v>28</v>
      </c>
      <c r="C10" s="12">
        <v>400000</v>
      </c>
      <c r="D10" s="13">
        <v>100000</v>
      </c>
      <c r="E10" s="103">
        <f>Mai!$Q$37</f>
        <v>0.25</v>
      </c>
      <c r="F10" s="14">
        <v>30000</v>
      </c>
      <c r="G10" s="98"/>
      <c r="H10" s="118" t="s">
        <v>28</v>
      </c>
      <c r="I10" s="15">
        <v>600</v>
      </c>
      <c r="J10" s="98"/>
      <c r="K10" s="118" t="s">
        <v>28</v>
      </c>
      <c r="L10" s="15">
        <v>9300</v>
      </c>
      <c r="M10" s="98"/>
      <c r="N10" s="118" t="s">
        <v>28</v>
      </c>
      <c r="O10" s="15">
        <v>1250</v>
      </c>
      <c r="P10" s="98"/>
      <c r="Q10" s="98"/>
      <c r="R10" s="98"/>
      <c r="S10" s="98"/>
      <c r="T10" s="98"/>
      <c r="U10" s="98"/>
    </row>
    <row r="11" spans="2:21" ht="22" customHeight="1">
      <c r="B11" s="117" t="s">
        <v>29</v>
      </c>
      <c r="C11" s="12">
        <v>400000</v>
      </c>
      <c r="D11" s="13">
        <v>100000</v>
      </c>
      <c r="E11" s="103">
        <f>Juni!$Q$37</f>
        <v>0.25</v>
      </c>
      <c r="F11" s="14">
        <v>30000</v>
      </c>
      <c r="G11" s="98"/>
      <c r="H11" s="118" t="s">
        <v>29</v>
      </c>
      <c r="I11" s="15">
        <v>600</v>
      </c>
      <c r="J11" s="98"/>
      <c r="K11" s="118" t="s">
        <v>29</v>
      </c>
      <c r="L11" s="15">
        <v>9300</v>
      </c>
      <c r="M11" s="98"/>
      <c r="N11" s="118" t="s">
        <v>29</v>
      </c>
      <c r="O11" s="15">
        <v>1250</v>
      </c>
      <c r="P11" s="98"/>
      <c r="Q11" s="98"/>
      <c r="R11" s="98"/>
      <c r="S11" s="98"/>
      <c r="T11" s="98"/>
      <c r="U11" s="98"/>
    </row>
    <row r="12" spans="2:21" ht="22" customHeight="1">
      <c r="B12" s="117" t="s">
        <v>30</v>
      </c>
      <c r="C12" s="12">
        <v>400000</v>
      </c>
      <c r="D12" s="13">
        <v>100000</v>
      </c>
      <c r="E12" s="103">
        <f>Juli!$Q$37</f>
        <v>0.25</v>
      </c>
      <c r="F12" s="14">
        <v>30000</v>
      </c>
      <c r="G12" s="98"/>
      <c r="H12" s="118" t="s">
        <v>30</v>
      </c>
      <c r="I12" s="15">
        <v>600</v>
      </c>
      <c r="J12" s="98"/>
      <c r="K12" s="118" t="s">
        <v>30</v>
      </c>
      <c r="L12" s="15">
        <v>9300</v>
      </c>
      <c r="M12" s="98"/>
      <c r="N12" s="118" t="s">
        <v>30</v>
      </c>
      <c r="O12" s="15">
        <v>1250</v>
      </c>
      <c r="P12" s="98"/>
      <c r="Q12" s="98"/>
      <c r="R12" s="98"/>
      <c r="S12" s="98"/>
      <c r="T12" s="98"/>
      <c r="U12" s="98"/>
    </row>
    <row r="13" spans="2:21" ht="22" customHeight="1">
      <c r="B13" s="117" t="s">
        <v>31</v>
      </c>
      <c r="C13" s="12">
        <v>400000</v>
      </c>
      <c r="D13" s="13">
        <v>100000</v>
      </c>
      <c r="E13" s="103">
        <f>August!$Q$37</f>
        <v>0.25</v>
      </c>
      <c r="F13" s="14">
        <v>30000</v>
      </c>
      <c r="G13" s="98"/>
      <c r="H13" s="118" t="s">
        <v>31</v>
      </c>
      <c r="I13" s="15">
        <v>620</v>
      </c>
      <c r="J13" s="98"/>
      <c r="K13" s="118" t="s">
        <v>31</v>
      </c>
      <c r="L13" s="15">
        <v>9300</v>
      </c>
      <c r="M13" s="98"/>
      <c r="N13" s="118" t="s">
        <v>31</v>
      </c>
      <c r="O13" s="15">
        <v>1250</v>
      </c>
      <c r="P13" s="98"/>
      <c r="Q13" s="98"/>
      <c r="R13" s="98"/>
      <c r="S13" s="98"/>
      <c r="T13" s="98"/>
      <c r="U13" s="98"/>
    </row>
    <row r="14" spans="2:21" ht="22" customHeight="1">
      <c r="B14" s="117" t="s">
        <v>32</v>
      </c>
      <c r="C14" s="12">
        <v>400000</v>
      </c>
      <c r="D14" s="13">
        <v>100000</v>
      </c>
      <c r="E14" s="103">
        <f>September!$Q$37</f>
        <v>0.25</v>
      </c>
      <c r="F14" s="14">
        <v>30000</v>
      </c>
      <c r="G14" s="98"/>
      <c r="H14" s="118" t="s">
        <v>32</v>
      </c>
      <c r="I14" s="15">
        <v>600</v>
      </c>
      <c r="J14" s="98"/>
      <c r="K14" s="118" t="s">
        <v>32</v>
      </c>
      <c r="L14" s="15">
        <v>9300</v>
      </c>
      <c r="M14" s="98"/>
      <c r="N14" s="118" t="s">
        <v>32</v>
      </c>
      <c r="O14" s="15">
        <v>1250</v>
      </c>
      <c r="P14" s="98"/>
      <c r="Q14" s="98"/>
      <c r="R14" s="98"/>
      <c r="S14" s="98"/>
      <c r="T14" s="98"/>
      <c r="U14" s="98"/>
    </row>
    <row r="15" spans="2:21" ht="22" customHeight="1">
      <c r="B15" s="117" t="s">
        <v>33</v>
      </c>
      <c r="C15" s="12">
        <v>400000</v>
      </c>
      <c r="D15" s="13">
        <v>100000</v>
      </c>
      <c r="E15" s="103">
        <f>Oktober!$Q$37</f>
        <v>0.25</v>
      </c>
      <c r="F15" s="14">
        <v>30000</v>
      </c>
      <c r="G15" s="98"/>
      <c r="H15" s="118" t="s">
        <v>33</v>
      </c>
      <c r="I15" s="15">
        <v>600</v>
      </c>
      <c r="J15" s="98"/>
      <c r="K15" s="118" t="s">
        <v>33</v>
      </c>
      <c r="L15" s="15">
        <v>9300</v>
      </c>
      <c r="M15" s="98"/>
      <c r="N15" s="118" t="s">
        <v>33</v>
      </c>
      <c r="O15" s="15">
        <v>1250</v>
      </c>
      <c r="P15" s="98"/>
      <c r="Q15" s="98"/>
      <c r="R15" s="98"/>
      <c r="S15" s="98"/>
      <c r="T15" s="98"/>
      <c r="U15" s="98"/>
    </row>
    <row r="16" spans="2:21" ht="22" customHeight="1">
      <c r="B16" s="117" t="s">
        <v>34</v>
      </c>
      <c r="C16" s="12">
        <v>400000</v>
      </c>
      <c r="D16" s="13">
        <v>100000</v>
      </c>
      <c r="E16" s="103">
        <f>November!$Q$37</f>
        <v>0.25</v>
      </c>
      <c r="F16" s="14">
        <v>30000</v>
      </c>
      <c r="G16" s="98"/>
      <c r="H16" s="118" t="s">
        <v>34</v>
      </c>
      <c r="I16" s="15">
        <v>600</v>
      </c>
      <c r="J16" s="98"/>
      <c r="K16" s="118" t="s">
        <v>34</v>
      </c>
      <c r="L16" s="15">
        <v>9300</v>
      </c>
      <c r="M16" s="98"/>
      <c r="N16" s="118" t="s">
        <v>34</v>
      </c>
      <c r="O16" s="15">
        <v>1250</v>
      </c>
      <c r="P16" s="98"/>
      <c r="Q16" s="98"/>
      <c r="R16" s="98"/>
      <c r="S16" s="98"/>
      <c r="T16" s="98"/>
      <c r="U16" s="98"/>
    </row>
    <row r="17" spans="2:21" ht="22" customHeight="1" thickBot="1">
      <c r="B17" s="117" t="s">
        <v>35</v>
      </c>
      <c r="C17" s="17">
        <v>400000</v>
      </c>
      <c r="D17" s="18">
        <v>100000</v>
      </c>
      <c r="E17" s="104">
        <f>Dezember!$Q$37</f>
        <v>0.25</v>
      </c>
      <c r="F17" s="19">
        <v>30000</v>
      </c>
      <c r="G17" s="98"/>
      <c r="H17" s="119" t="s">
        <v>35</v>
      </c>
      <c r="I17" s="20">
        <v>600</v>
      </c>
      <c r="J17" s="98"/>
      <c r="K17" s="119" t="s">
        <v>35</v>
      </c>
      <c r="L17" s="20">
        <v>9300</v>
      </c>
      <c r="M17" s="98"/>
      <c r="N17" s="119" t="s">
        <v>35</v>
      </c>
      <c r="O17" s="20">
        <v>1250</v>
      </c>
      <c r="P17" s="98"/>
      <c r="Q17" s="98"/>
      <c r="R17" s="98"/>
      <c r="S17" s="98"/>
      <c r="T17" s="98"/>
      <c r="U17" s="98"/>
    </row>
    <row r="18" spans="2:21">
      <c r="B18" s="98"/>
      <c r="C18" s="98"/>
      <c r="D18" s="98"/>
      <c r="E18" s="98"/>
      <c r="F18" s="98"/>
      <c r="G18" s="98"/>
      <c r="H18" s="98"/>
      <c r="I18" s="98"/>
      <c r="J18" s="98"/>
      <c r="K18" s="98"/>
      <c r="L18" s="98"/>
      <c r="M18" s="98"/>
      <c r="N18" s="98"/>
      <c r="O18" s="98"/>
      <c r="P18" s="98"/>
      <c r="Q18" s="98"/>
      <c r="R18" s="98"/>
      <c r="S18" s="98"/>
      <c r="T18" s="98"/>
      <c r="U18" s="98"/>
    </row>
    <row r="19" spans="2:21" ht="20" customHeight="1">
      <c r="B19" s="162" t="s">
        <v>36</v>
      </c>
      <c r="C19" s="162"/>
      <c r="D19" s="162"/>
      <c r="E19" s="162"/>
      <c r="F19" s="162"/>
      <c r="G19" s="98"/>
      <c r="H19" s="162" t="s">
        <v>37</v>
      </c>
      <c r="I19" s="162"/>
      <c r="J19" s="98"/>
      <c r="K19" s="162" t="s">
        <v>38</v>
      </c>
      <c r="L19" s="162"/>
      <c r="M19" s="98"/>
      <c r="N19" s="105"/>
      <c r="O19" s="105"/>
      <c r="P19" s="105"/>
      <c r="Q19" s="105"/>
      <c r="R19" s="105"/>
      <c r="S19" s="105"/>
      <c r="T19" s="105"/>
      <c r="U19" s="105"/>
    </row>
    <row r="20" spans="2:21" ht="20" customHeight="1" thickBot="1">
      <c r="B20" s="162"/>
      <c r="C20" s="163"/>
      <c r="D20" s="163"/>
      <c r="E20" s="163"/>
      <c r="F20" s="163"/>
      <c r="G20" s="98"/>
      <c r="H20" s="163"/>
      <c r="I20" s="163"/>
      <c r="J20" s="98"/>
      <c r="K20" s="163"/>
      <c r="L20" s="163"/>
      <c r="M20" s="98"/>
      <c r="N20" s="105"/>
      <c r="O20" s="105"/>
      <c r="P20" s="105"/>
      <c r="Q20" s="105"/>
      <c r="R20" s="105"/>
      <c r="S20" s="105"/>
      <c r="T20" s="105"/>
      <c r="U20" s="105"/>
    </row>
    <row r="21" spans="2:21" ht="18" customHeight="1">
      <c r="B21" s="99"/>
      <c r="C21" s="100" t="s">
        <v>17</v>
      </c>
      <c r="D21" s="101" t="s">
        <v>18</v>
      </c>
      <c r="E21" s="101" t="s">
        <v>19</v>
      </c>
      <c r="F21" s="102" t="s">
        <v>20</v>
      </c>
      <c r="G21" s="98"/>
      <c r="H21" s="164" t="s">
        <v>21</v>
      </c>
      <c r="I21" s="165"/>
      <c r="J21" s="98"/>
      <c r="K21" s="164" t="s">
        <v>21</v>
      </c>
      <c r="L21" s="165"/>
      <c r="M21" s="98"/>
      <c r="N21" s="105"/>
      <c r="O21" s="105"/>
      <c r="P21" s="105"/>
      <c r="Q21" s="105"/>
      <c r="R21" s="105"/>
      <c r="S21" s="105"/>
      <c r="T21" s="105"/>
      <c r="U21" s="105"/>
    </row>
    <row r="22" spans="2:21" ht="22" customHeight="1">
      <c r="B22" s="117" t="s">
        <v>23</v>
      </c>
      <c r="C22" s="12">
        <v>450000</v>
      </c>
      <c r="D22" s="106">
        <f>UBERSICHT!G7</f>
        <v>95068.188500000004</v>
      </c>
      <c r="E22" s="103">
        <v>0.21126264111111112</v>
      </c>
      <c r="F22" s="14">
        <v>29000</v>
      </c>
      <c r="G22" s="98"/>
      <c r="H22" s="118" t="s">
        <v>23</v>
      </c>
      <c r="I22" s="15">
        <v>150</v>
      </c>
      <c r="J22" s="98"/>
      <c r="K22" s="118" t="s">
        <v>23</v>
      </c>
      <c r="L22" s="15">
        <v>1</v>
      </c>
      <c r="M22" s="98"/>
      <c r="N22" s="105"/>
      <c r="O22" s="105"/>
      <c r="P22" s="105"/>
      <c r="Q22" s="105"/>
      <c r="R22" s="105"/>
      <c r="S22" s="105"/>
      <c r="T22" s="105"/>
      <c r="U22" s="105"/>
    </row>
    <row r="23" spans="2:21" ht="22" customHeight="1">
      <c r="B23" s="117" t="s">
        <v>24</v>
      </c>
      <c r="C23" s="12">
        <v>425000</v>
      </c>
      <c r="D23" s="106">
        <f>UBERSICHT!G8</f>
        <v>112083.4129</v>
      </c>
      <c r="E23" s="103">
        <v>0.26372567741176467</v>
      </c>
      <c r="F23" s="14">
        <v>29000</v>
      </c>
      <c r="G23" s="98"/>
      <c r="H23" s="118" t="s">
        <v>25</v>
      </c>
      <c r="I23" s="15">
        <v>0</v>
      </c>
      <c r="J23" s="98"/>
      <c r="K23" s="118" t="s">
        <v>25</v>
      </c>
      <c r="L23" s="15">
        <v>2</v>
      </c>
      <c r="M23" s="98"/>
      <c r="N23" s="105"/>
      <c r="O23" s="105"/>
      <c r="P23" s="105"/>
      <c r="Q23" s="105"/>
      <c r="R23" s="105"/>
      <c r="S23" s="105"/>
      <c r="T23" s="105"/>
      <c r="U23" s="105"/>
    </row>
    <row r="24" spans="2:21" ht="22" customHeight="1">
      <c r="B24" s="117" t="s">
        <v>26</v>
      </c>
      <c r="C24" s="12">
        <v>430000</v>
      </c>
      <c r="D24" s="106">
        <f>UBERSICHT!G9</f>
        <v>114630.03419999999</v>
      </c>
      <c r="E24" s="103">
        <v>0.26658147488372091</v>
      </c>
      <c r="F24" s="14">
        <v>29000</v>
      </c>
      <c r="G24" s="98"/>
      <c r="H24" s="118" t="s">
        <v>26</v>
      </c>
      <c r="I24" s="15">
        <v>0</v>
      </c>
      <c r="J24" s="98"/>
      <c r="K24" s="118" t="s">
        <v>26</v>
      </c>
      <c r="L24" s="15">
        <v>3</v>
      </c>
      <c r="M24" s="98"/>
      <c r="N24" s="105"/>
      <c r="O24" s="105"/>
      <c r="P24" s="105"/>
      <c r="Q24" s="105"/>
      <c r="R24" s="105"/>
      <c r="S24" s="105"/>
      <c r="T24" s="105"/>
      <c r="U24" s="105"/>
    </row>
    <row r="25" spans="2:21" ht="22" customHeight="1">
      <c r="B25" s="117" t="s">
        <v>27</v>
      </c>
      <c r="C25" s="12">
        <v>300000</v>
      </c>
      <c r="D25" s="106">
        <f>UBERSICHT!G11</f>
        <v>112179.0267</v>
      </c>
      <c r="E25" s="103">
        <v>0.37393008900000002</v>
      </c>
      <c r="F25" s="14">
        <v>25000</v>
      </c>
      <c r="G25" s="98"/>
      <c r="H25" s="118" t="s">
        <v>27</v>
      </c>
      <c r="I25" s="15">
        <v>150</v>
      </c>
      <c r="J25" s="98"/>
      <c r="K25" s="118" t="s">
        <v>27</v>
      </c>
      <c r="L25" s="15">
        <v>4</v>
      </c>
      <c r="M25" s="98"/>
      <c r="N25" s="105"/>
      <c r="O25" s="105"/>
      <c r="P25" s="105"/>
      <c r="Q25" s="105"/>
      <c r="R25" s="105"/>
      <c r="S25" s="105"/>
      <c r="T25" s="105"/>
      <c r="U25" s="105"/>
    </row>
    <row r="26" spans="2:21" ht="22" customHeight="1">
      <c r="B26" s="117" t="s">
        <v>28</v>
      </c>
      <c r="C26" s="12">
        <v>420000</v>
      </c>
      <c r="D26" s="106">
        <f>UBERSICHT!G12</f>
        <v>107421.8723</v>
      </c>
      <c r="E26" s="103">
        <v>0.25576636261904762</v>
      </c>
      <c r="F26" s="14">
        <v>31000</v>
      </c>
      <c r="G26" s="98"/>
      <c r="H26" s="118" t="s">
        <v>28</v>
      </c>
      <c r="I26" s="15">
        <v>450</v>
      </c>
      <c r="J26" s="98"/>
      <c r="K26" s="118" t="s">
        <v>28</v>
      </c>
      <c r="L26" s="15">
        <v>5</v>
      </c>
      <c r="M26" s="107"/>
      <c r="N26" s="105"/>
      <c r="O26" s="105"/>
      <c r="P26" s="105"/>
      <c r="Q26" s="105"/>
      <c r="R26" s="105"/>
      <c r="S26" s="105"/>
      <c r="T26" s="105"/>
      <c r="U26" s="105"/>
    </row>
    <row r="27" spans="2:21" ht="22" customHeight="1">
      <c r="B27" s="117" t="s">
        <v>29</v>
      </c>
      <c r="C27" s="12">
        <v>435000</v>
      </c>
      <c r="D27" s="106">
        <f>UBERSICHT!G13</f>
        <v>106383.5067</v>
      </c>
      <c r="E27" s="103">
        <v>0.24455978551724136</v>
      </c>
      <c r="F27" s="14">
        <v>31000</v>
      </c>
      <c r="G27" s="98"/>
      <c r="H27" s="118" t="s">
        <v>29</v>
      </c>
      <c r="I27" s="15">
        <v>150</v>
      </c>
      <c r="J27" s="98"/>
      <c r="K27" s="118" t="s">
        <v>29</v>
      </c>
      <c r="L27" s="15">
        <v>6</v>
      </c>
      <c r="M27" s="107"/>
      <c r="N27" s="105"/>
      <c r="O27" s="105"/>
      <c r="P27" s="105"/>
      <c r="Q27" s="105"/>
      <c r="R27" s="105"/>
      <c r="S27" s="105"/>
      <c r="T27" s="105"/>
      <c r="U27" s="105"/>
    </row>
    <row r="28" spans="2:21" ht="22" customHeight="1">
      <c r="B28" s="117" t="s">
        <v>30</v>
      </c>
      <c r="C28" s="12">
        <v>435000</v>
      </c>
      <c r="D28" s="106">
        <f>UBERSICHT!G15</f>
        <v>103704.89</v>
      </c>
      <c r="E28" s="103">
        <v>0.23840204597701151</v>
      </c>
      <c r="F28" s="14">
        <v>31000</v>
      </c>
      <c r="G28" s="98"/>
      <c r="H28" s="118" t="s">
        <v>30</v>
      </c>
      <c r="I28" s="15">
        <v>0</v>
      </c>
      <c r="J28" s="98"/>
      <c r="K28" s="118" t="s">
        <v>30</v>
      </c>
      <c r="L28" s="15">
        <v>7</v>
      </c>
      <c r="M28" s="107"/>
      <c r="N28" s="105"/>
      <c r="O28" s="105"/>
      <c r="P28" s="105"/>
      <c r="Q28" s="105"/>
      <c r="R28" s="105"/>
      <c r="S28" s="105"/>
      <c r="T28" s="105"/>
      <c r="U28" s="105"/>
    </row>
    <row r="29" spans="2:21" ht="22" customHeight="1">
      <c r="B29" s="117" t="s">
        <v>31</v>
      </c>
      <c r="C29" s="12">
        <v>435000</v>
      </c>
      <c r="D29" s="106">
        <f>UBERSICHT!G16</f>
        <v>103603.84</v>
      </c>
      <c r="E29" s="103">
        <v>0.23816974712643676</v>
      </c>
      <c r="F29" s="14">
        <v>31000</v>
      </c>
      <c r="G29" s="98"/>
      <c r="H29" s="118" t="s">
        <v>31</v>
      </c>
      <c r="I29" s="15">
        <v>150</v>
      </c>
      <c r="J29" s="98"/>
      <c r="K29" s="118" t="s">
        <v>31</v>
      </c>
      <c r="L29" s="15">
        <v>8</v>
      </c>
      <c r="M29" s="107"/>
      <c r="N29" s="105"/>
      <c r="O29" s="105"/>
      <c r="P29" s="105"/>
      <c r="Q29" s="105"/>
      <c r="R29" s="105"/>
      <c r="S29" s="105"/>
      <c r="T29" s="105"/>
      <c r="U29" s="105"/>
    </row>
    <row r="30" spans="2:21" ht="22" customHeight="1">
      <c r="B30" s="117" t="s">
        <v>32</v>
      </c>
      <c r="C30" s="12">
        <v>450000</v>
      </c>
      <c r="D30" s="106">
        <f>UBERSICHT!G17</f>
        <v>102020.7233</v>
      </c>
      <c r="E30" s="103">
        <v>0.22671271844444443</v>
      </c>
      <c r="F30" s="14">
        <v>31000</v>
      </c>
      <c r="G30" s="98"/>
      <c r="H30" s="118" t="s">
        <v>32</v>
      </c>
      <c r="I30" s="15">
        <v>0</v>
      </c>
      <c r="J30" s="98"/>
      <c r="K30" s="118" t="s">
        <v>32</v>
      </c>
      <c r="L30" s="15">
        <v>9</v>
      </c>
      <c r="M30" s="98"/>
      <c r="N30" s="105"/>
      <c r="O30" s="105"/>
      <c r="P30" s="105"/>
      <c r="Q30" s="105"/>
      <c r="R30" s="105"/>
      <c r="S30" s="105"/>
      <c r="T30" s="105"/>
      <c r="U30" s="105"/>
    </row>
    <row r="31" spans="2:21" ht="22" customHeight="1">
      <c r="B31" s="117" t="s">
        <v>33</v>
      </c>
      <c r="C31" s="12">
        <v>401000</v>
      </c>
      <c r="D31" s="106">
        <f>UBERSICHT!G19</f>
        <v>100239.2755</v>
      </c>
      <c r="E31" s="103">
        <v>0.24997325561097258</v>
      </c>
      <c r="F31" s="14">
        <v>31000</v>
      </c>
      <c r="G31" s="98"/>
      <c r="H31" s="118" t="s">
        <v>33</v>
      </c>
      <c r="I31" s="15">
        <v>0</v>
      </c>
      <c r="J31" s="98"/>
      <c r="K31" s="118" t="s">
        <v>33</v>
      </c>
      <c r="L31" s="15">
        <v>10</v>
      </c>
      <c r="M31" s="98"/>
      <c r="N31" s="105"/>
      <c r="O31" s="105"/>
      <c r="P31" s="105"/>
      <c r="Q31" s="105"/>
      <c r="R31" s="105"/>
      <c r="S31" s="105"/>
      <c r="T31" s="105"/>
      <c r="U31" s="105"/>
    </row>
    <row r="32" spans="2:21" ht="22" customHeight="1">
      <c r="B32" s="117" t="s">
        <v>34</v>
      </c>
      <c r="C32" s="12">
        <v>398000</v>
      </c>
      <c r="D32" s="106">
        <f>UBERSICHT!G20</f>
        <v>97061.09</v>
      </c>
      <c r="E32" s="103">
        <v>0.24387208542713568</v>
      </c>
      <c r="F32" s="14">
        <v>31000</v>
      </c>
      <c r="G32" s="98"/>
      <c r="H32" s="118" t="s">
        <v>34</v>
      </c>
      <c r="I32" s="15">
        <v>150</v>
      </c>
      <c r="J32" s="98"/>
      <c r="K32" s="118" t="s">
        <v>34</v>
      </c>
      <c r="L32" s="15">
        <v>11</v>
      </c>
      <c r="M32" s="98"/>
      <c r="N32" s="105"/>
      <c r="O32" s="105"/>
      <c r="P32" s="105"/>
      <c r="Q32" s="105"/>
      <c r="R32" s="105"/>
      <c r="S32" s="105"/>
      <c r="T32" s="105"/>
      <c r="U32" s="105"/>
    </row>
    <row r="33" spans="2:21" ht="22" customHeight="1" thickBot="1">
      <c r="B33" s="117" t="s">
        <v>35</v>
      </c>
      <c r="C33" s="17">
        <v>390000</v>
      </c>
      <c r="D33" s="108">
        <f>UBERSICHT!G21</f>
        <v>97061.09</v>
      </c>
      <c r="E33" s="104">
        <v>0.24887458974358972</v>
      </c>
      <c r="F33" s="19">
        <v>31000</v>
      </c>
      <c r="G33" s="98"/>
      <c r="H33" s="119" t="s">
        <v>35</v>
      </c>
      <c r="I33" s="20">
        <v>400</v>
      </c>
      <c r="J33" s="98"/>
      <c r="K33" s="119" t="s">
        <v>35</v>
      </c>
      <c r="L33" s="20">
        <v>12</v>
      </c>
      <c r="M33" s="98"/>
      <c r="N33" s="105"/>
      <c r="O33" s="105"/>
      <c r="P33" s="105"/>
      <c r="Q33" s="105"/>
      <c r="R33" s="105"/>
      <c r="S33" s="105"/>
      <c r="T33" s="105"/>
      <c r="U33" s="105"/>
    </row>
    <row r="34" spans="2:21" ht="15" thickBot="1">
      <c r="B34" s="98"/>
      <c r="C34" s="98"/>
      <c r="D34" s="98"/>
      <c r="E34" s="98"/>
      <c r="F34" s="98"/>
      <c r="G34" s="98"/>
      <c r="H34" s="98"/>
      <c r="I34" s="98"/>
      <c r="J34" s="98"/>
      <c r="K34" s="98"/>
      <c r="L34" s="98"/>
      <c r="M34" s="98"/>
      <c r="N34" s="105"/>
      <c r="O34" s="105"/>
      <c r="P34" s="105"/>
      <c r="Q34" s="105"/>
      <c r="R34" s="105"/>
      <c r="S34" s="105"/>
      <c r="T34" s="105"/>
      <c r="U34" s="105"/>
    </row>
    <row r="35" spans="2:21" ht="24" customHeight="1" thickBot="1">
      <c r="B35" s="120" t="s">
        <v>311</v>
      </c>
      <c r="C35" s="16">
        <v>2026</v>
      </c>
      <c r="D35" s="109"/>
      <c r="E35" s="109"/>
      <c r="F35" s="98"/>
      <c r="G35" s="98"/>
      <c r="H35" s="98"/>
      <c r="I35" s="98"/>
      <c r="J35" s="98"/>
      <c r="K35" s="98"/>
      <c r="L35" s="98"/>
      <c r="M35" s="98"/>
      <c r="N35" s="105"/>
      <c r="O35" s="105"/>
      <c r="P35" s="105"/>
      <c r="Q35" s="105"/>
      <c r="R35" s="105"/>
      <c r="S35" s="105"/>
      <c r="T35" s="105"/>
      <c r="U35" s="105"/>
    </row>
    <row r="36" spans="2:21">
      <c r="B36" s="109"/>
      <c r="C36" s="109"/>
      <c r="D36" s="109"/>
      <c r="E36" s="98"/>
      <c r="F36" s="98"/>
      <c r="G36" s="98"/>
      <c r="H36" s="98"/>
      <c r="I36" s="98"/>
      <c r="J36" s="98"/>
      <c r="K36" s="98"/>
      <c r="L36" s="98"/>
      <c r="M36" s="98"/>
      <c r="N36" s="105"/>
      <c r="O36" s="105"/>
      <c r="P36" s="105"/>
      <c r="Q36" s="105"/>
      <c r="R36" s="105"/>
      <c r="S36" s="105"/>
      <c r="T36" s="105"/>
      <c r="U36" s="105"/>
    </row>
    <row r="37" spans="2:21" ht="18" hidden="1" customHeight="1">
      <c r="B37" s="110" t="s">
        <v>183</v>
      </c>
      <c r="C37" s="111" t="s">
        <v>187</v>
      </c>
      <c r="D37" s="98"/>
      <c r="E37" s="98"/>
      <c r="F37" s="98"/>
      <c r="G37" s="98"/>
      <c r="H37" s="98"/>
      <c r="I37" s="98"/>
      <c r="J37" s="98"/>
      <c r="K37" s="98"/>
      <c r="L37" s="98"/>
      <c r="M37" s="98"/>
      <c r="N37" s="105"/>
      <c r="O37" s="105"/>
      <c r="P37" s="105"/>
      <c r="Q37" s="105"/>
      <c r="R37" s="105"/>
      <c r="S37" s="105"/>
      <c r="T37" s="105"/>
      <c r="U37" s="105"/>
    </row>
    <row r="38" spans="2:21" ht="22" hidden="1" customHeight="1">
      <c r="B38" s="112" t="s">
        <v>188</v>
      </c>
      <c r="C38" s="113">
        <v>0</v>
      </c>
      <c r="D38" s="98"/>
      <c r="E38" s="98"/>
      <c r="F38" s="98"/>
      <c r="G38" s="98"/>
      <c r="H38" s="98"/>
      <c r="I38" s="98"/>
      <c r="J38" s="98"/>
      <c r="K38" s="98"/>
      <c r="L38" s="98"/>
      <c r="M38" s="98"/>
      <c r="N38" s="105"/>
      <c r="O38" s="105"/>
      <c r="P38" s="105"/>
      <c r="Q38" s="105"/>
      <c r="R38" s="105"/>
      <c r="S38" s="105"/>
      <c r="T38" s="105"/>
      <c r="U38" s="105"/>
    </row>
    <row r="39" spans="2:21" ht="22" hidden="1" customHeight="1">
      <c r="B39" s="112" t="s">
        <v>189</v>
      </c>
      <c r="C39" s="113">
        <v>0</v>
      </c>
      <c r="D39" s="98"/>
      <c r="E39" s="98"/>
      <c r="F39" s="98"/>
      <c r="G39" s="98"/>
      <c r="H39" s="98"/>
      <c r="I39" s="98"/>
      <c r="J39" s="98"/>
      <c r="K39" s="98"/>
      <c r="L39" s="98"/>
      <c r="M39" s="98"/>
      <c r="N39" s="105"/>
      <c r="O39" s="105"/>
      <c r="P39" s="105"/>
      <c r="Q39" s="105"/>
      <c r="R39" s="105"/>
      <c r="S39" s="105"/>
      <c r="T39" s="105"/>
      <c r="U39" s="105"/>
    </row>
    <row r="40" spans="2:21" ht="22" hidden="1" customHeight="1">
      <c r="B40" s="112" t="s">
        <v>185</v>
      </c>
      <c r="C40" s="113">
        <v>0</v>
      </c>
      <c r="D40" s="98"/>
      <c r="E40" s="98"/>
      <c r="F40" s="98"/>
      <c r="G40" s="98"/>
      <c r="H40" s="98"/>
      <c r="I40" s="98"/>
      <c r="J40" s="98"/>
      <c r="K40" s="98"/>
      <c r="L40" s="98"/>
      <c r="M40" s="98"/>
      <c r="N40" s="105"/>
      <c r="O40" s="105"/>
      <c r="P40" s="105"/>
      <c r="Q40" s="105"/>
      <c r="R40" s="105"/>
      <c r="S40" s="105"/>
      <c r="T40" s="105"/>
      <c r="U40" s="105"/>
    </row>
    <row r="41" spans="2:21" ht="22" hidden="1" customHeight="1">
      <c r="B41" s="112" t="s">
        <v>190</v>
      </c>
      <c r="C41" s="113">
        <v>0</v>
      </c>
      <c r="D41" s="98"/>
      <c r="E41" s="98"/>
      <c r="F41" s="98"/>
      <c r="G41" s="98"/>
      <c r="H41" s="98"/>
      <c r="I41" s="98"/>
      <c r="J41" s="98"/>
      <c r="K41" s="98"/>
      <c r="L41" s="98"/>
      <c r="M41" s="98"/>
      <c r="N41" s="105"/>
      <c r="O41" s="105"/>
      <c r="P41" s="105"/>
      <c r="Q41" s="105"/>
      <c r="R41" s="105"/>
      <c r="S41" s="105"/>
      <c r="T41" s="105"/>
      <c r="U41" s="105"/>
    </row>
    <row r="42" spans="2:21" ht="22" hidden="1" customHeight="1">
      <c r="B42" s="112" t="s">
        <v>191</v>
      </c>
      <c r="C42" s="113">
        <v>0.35</v>
      </c>
      <c r="D42" s="98"/>
      <c r="E42" s="98"/>
      <c r="F42" s="98"/>
      <c r="G42" s="98"/>
      <c r="H42" s="98"/>
      <c r="I42" s="98"/>
      <c r="J42" s="98"/>
      <c r="K42" s="98"/>
      <c r="L42" s="98"/>
      <c r="M42" s="98"/>
      <c r="N42" s="105"/>
      <c r="O42" s="105"/>
      <c r="P42" s="105"/>
      <c r="Q42" s="105"/>
      <c r="R42" s="105"/>
      <c r="S42" s="105"/>
      <c r="T42" s="105"/>
      <c r="U42" s="105"/>
    </row>
    <row r="43" spans="2:21" ht="22" hidden="1" customHeight="1">
      <c r="B43" s="112" t="s">
        <v>192</v>
      </c>
      <c r="C43" s="113">
        <v>0.35</v>
      </c>
      <c r="D43" s="98"/>
      <c r="E43" s="98"/>
      <c r="F43" s="98"/>
      <c r="G43" s="98"/>
      <c r="H43" s="98"/>
      <c r="I43" s="98"/>
      <c r="J43" s="98"/>
      <c r="K43" s="98"/>
      <c r="L43" s="98"/>
      <c r="M43" s="98"/>
      <c r="N43" s="98"/>
      <c r="O43" s="98"/>
      <c r="P43" s="98"/>
      <c r="Q43" s="98"/>
      <c r="R43" s="98"/>
      <c r="S43" s="98"/>
      <c r="T43" s="98"/>
      <c r="U43" s="98"/>
    </row>
    <row r="44" spans="2:21" ht="22" hidden="1" customHeight="1">
      <c r="B44" s="112" t="s">
        <v>186</v>
      </c>
      <c r="C44" s="113">
        <v>0.5</v>
      </c>
      <c r="D44" s="98"/>
      <c r="E44" s="98"/>
      <c r="F44" s="98"/>
      <c r="G44" s="98"/>
      <c r="H44" s="98"/>
      <c r="I44" s="98"/>
      <c r="J44" s="98"/>
      <c r="K44" s="98"/>
      <c r="L44" s="98"/>
      <c r="M44" s="98"/>
      <c r="N44" s="98"/>
      <c r="O44" s="98"/>
      <c r="P44" s="98"/>
      <c r="Q44" s="98"/>
      <c r="R44" s="98"/>
      <c r="S44" s="98"/>
      <c r="T44" s="98"/>
      <c r="U44" s="98"/>
    </row>
    <row r="45" spans="2:21" ht="22" hidden="1" customHeight="1">
      <c r="B45" s="112" t="s">
        <v>193</v>
      </c>
      <c r="C45" s="113">
        <v>0.6</v>
      </c>
      <c r="D45" s="98"/>
      <c r="E45" s="98"/>
      <c r="F45" s="98"/>
      <c r="G45" s="98"/>
      <c r="H45" s="98"/>
      <c r="I45" s="98"/>
      <c r="J45" s="98"/>
      <c r="K45" s="98"/>
      <c r="L45" s="98"/>
      <c r="M45" s="98"/>
      <c r="N45" s="98"/>
      <c r="O45" s="98"/>
      <c r="P45" s="98"/>
      <c r="Q45" s="98"/>
      <c r="R45" s="98"/>
      <c r="S45" s="98"/>
      <c r="T45" s="98"/>
      <c r="U45" s="98"/>
    </row>
    <row r="46" spans="2:21" ht="22" hidden="1" customHeight="1">
      <c r="B46" s="112" t="s">
        <v>184</v>
      </c>
      <c r="C46" s="113">
        <v>0.75</v>
      </c>
      <c r="D46" s="98"/>
      <c r="E46" s="98"/>
      <c r="F46" s="98"/>
      <c r="G46" s="98"/>
      <c r="H46" s="98"/>
      <c r="I46" s="98"/>
      <c r="J46" s="98"/>
      <c r="K46" s="98"/>
      <c r="L46" s="98"/>
      <c r="M46" s="98"/>
      <c r="N46" s="98"/>
      <c r="O46" s="98"/>
      <c r="P46" s="98"/>
      <c r="Q46" s="98"/>
      <c r="R46" s="98"/>
      <c r="S46" s="98"/>
      <c r="T46" s="98"/>
      <c r="U46" s="98"/>
    </row>
    <row r="47" spans="2:21" ht="22" hidden="1" customHeight="1">
      <c r="B47" s="112" t="s">
        <v>194</v>
      </c>
      <c r="C47" s="113">
        <v>1</v>
      </c>
      <c r="D47" s="98"/>
      <c r="E47" s="98"/>
      <c r="F47" s="98"/>
      <c r="G47" s="98"/>
      <c r="H47" s="98"/>
      <c r="I47" s="98"/>
      <c r="J47" s="98"/>
      <c r="K47" s="98"/>
      <c r="L47" s="98"/>
      <c r="M47" s="98"/>
      <c r="N47" s="98"/>
      <c r="O47" s="98"/>
      <c r="P47" s="98"/>
      <c r="Q47" s="98"/>
      <c r="R47" s="98"/>
      <c r="S47" s="98"/>
      <c r="T47" s="98"/>
      <c r="U47" s="98"/>
    </row>
    <row r="48" spans="2:21" ht="22" hidden="1" customHeight="1">
      <c r="B48" s="112" t="s">
        <v>195</v>
      </c>
      <c r="C48" s="113">
        <v>1.1000000000000001</v>
      </c>
      <c r="D48" s="98"/>
      <c r="E48" s="98"/>
      <c r="F48" s="98"/>
      <c r="G48" s="98"/>
      <c r="H48" s="98"/>
      <c r="I48" s="98"/>
      <c r="J48" s="98"/>
      <c r="K48" s="98"/>
      <c r="L48" s="98"/>
      <c r="M48" s="98"/>
      <c r="N48" s="98"/>
      <c r="O48" s="98"/>
      <c r="P48" s="98"/>
      <c r="Q48" s="98"/>
      <c r="R48" s="98"/>
      <c r="S48" s="98"/>
      <c r="T48" s="98"/>
      <c r="U48" s="98"/>
    </row>
    <row r="49" spans="2:21" ht="22" hidden="1" customHeight="1" thickBot="1">
      <c r="B49" s="114" t="s">
        <v>196</v>
      </c>
      <c r="C49" s="115">
        <v>0.7</v>
      </c>
      <c r="D49" s="98"/>
      <c r="E49" s="98"/>
      <c r="F49" s="98"/>
      <c r="G49" s="98"/>
      <c r="H49" s="98"/>
      <c r="I49" s="98"/>
      <c r="J49" s="98"/>
      <c r="K49" s="98"/>
      <c r="L49" s="98"/>
      <c r="M49" s="98"/>
      <c r="N49" s="98"/>
      <c r="O49" s="98"/>
      <c r="P49" s="98"/>
      <c r="Q49" s="98"/>
      <c r="R49" s="98"/>
      <c r="S49" s="98"/>
      <c r="T49" s="98"/>
      <c r="U49" s="98"/>
    </row>
    <row r="50" spans="2:21" ht="15.5" hidden="1">
      <c r="B50" s="116"/>
      <c r="C50" s="116"/>
      <c r="D50" s="98"/>
      <c r="E50" s="98"/>
      <c r="F50" s="98"/>
      <c r="G50" s="98"/>
      <c r="H50" s="98"/>
      <c r="I50" s="98"/>
      <c r="J50" s="98"/>
      <c r="K50" s="98"/>
      <c r="L50" s="98"/>
      <c r="M50" s="98"/>
      <c r="N50" s="98"/>
      <c r="O50" s="98"/>
      <c r="P50" s="98"/>
      <c r="Q50" s="98"/>
      <c r="R50" s="98"/>
      <c r="S50" s="98"/>
      <c r="T50" s="98"/>
      <c r="U50" s="98"/>
    </row>
    <row r="51" spans="2:21" ht="15.5" hidden="1">
      <c r="B51" s="116"/>
      <c r="C51" s="116"/>
      <c r="D51" s="98"/>
      <c r="E51" s="98"/>
      <c r="F51" s="98"/>
      <c r="G51" s="98"/>
      <c r="H51" s="98"/>
      <c r="I51" s="98"/>
      <c r="J51" s="98"/>
      <c r="K51" s="98"/>
      <c r="L51" s="98"/>
      <c r="M51" s="98"/>
      <c r="N51" s="98"/>
      <c r="O51" s="98"/>
      <c r="P51" s="98"/>
      <c r="Q51" s="98"/>
      <c r="R51" s="98"/>
      <c r="S51" s="98"/>
      <c r="T51" s="98"/>
      <c r="U51" s="98"/>
    </row>
    <row r="52" spans="2:21" ht="18" hidden="1" customHeight="1">
      <c r="B52" s="110" t="s">
        <v>197</v>
      </c>
      <c r="C52" s="111" t="s">
        <v>198</v>
      </c>
      <c r="D52" s="98"/>
      <c r="E52" s="98"/>
      <c r="F52" s="98"/>
      <c r="G52" s="98"/>
      <c r="H52" s="98"/>
      <c r="I52" s="98"/>
      <c r="J52" s="98"/>
      <c r="K52" s="98"/>
      <c r="L52" s="98"/>
      <c r="M52" s="98"/>
      <c r="N52" s="98"/>
      <c r="O52" s="98"/>
      <c r="P52" s="98"/>
      <c r="Q52" s="98"/>
      <c r="R52" s="98"/>
      <c r="S52" s="98"/>
      <c r="T52" s="98"/>
      <c r="U52" s="98"/>
    </row>
    <row r="53" spans="2:21" ht="22" hidden="1" customHeight="1">
      <c r="B53" s="112" t="s">
        <v>199</v>
      </c>
      <c r="C53" s="113">
        <v>0.3</v>
      </c>
      <c r="D53" s="98"/>
      <c r="E53" s="98"/>
      <c r="F53" s="98"/>
      <c r="G53" s="98"/>
      <c r="H53" s="98"/>
      <c r="I53" s="98"/>
      <c r="J53" s="98"/>
      <c r="K53" s="98"/>
      <c r="L53" s="98"/>
      <c r="M53" s="98"/>
      <c r="N53" s="98"/>
      <c r="O53" s="98"/>
      <c r="P53" s="98"/>
      <c r="Q53" s="98"/>
      <c r="R53" s="98"/>
      <c r="S53" s="98"/>
      <c r="T53" s="98"/>
      <c r="U53" s="98"/>
    </row>
    <row r="54" spans="2:21" ht="22" hidden="1" customHeight="1">
      <c r="B54" s="112" t="s">
        <v>200</v>
      </c>
      <c r="C54" s="113">
        <v>0.5</v>
      </c>
      <c r="D54" s="98"/>
      <c r="E54" s="98"/>
      <c r="F54" s="98"/>
      <c r="G54" s="98"/>
      <c r="H54" s="98"/>
      <c r="I54" s="98"/>
      <c r="J54" s="98"/>
      <c r="K54" s="98"/>
      <c r="L54" s="98"/>
      <c r="M54" s="98"/>
      <c r="N54" s="98"/>
      <c r="O54" s="98"/>
      <c r="P54" s="98"/>
      <c r="Q54" s="98"/>
      <c r="R54" s="98"/>
      <c r="S54" s="98"/>
      <c r="T54" s="98"/>
      <c r="U54" s="98"/>
    </row>
    <row r="55" spans="2:21" ht="22" hidden="1" customHeight="1">
      <c r="B55" s="112" t="s">
        <v>201</v>
      </c>
      <c r="C55" s="113">
        <v>0.75</v>
      </c>
      <c r="D55" s="98"/>
      <c r="E55" s="98"/>
      <c r="F55" s="98"/>
      <c r="G55" s="98"/>
      <c r="H55" s="98"/>
      <c r="I55" s="98"/>
      <c r="J55" s="98"/>
      <c r="K55" s="98"/>
      <c r="L55" s="98"/>
      <c r="M55" s="98"/>
      <c r="N55" s="98"/>
      <c r="O55" s="98"/>
      <c r="P55" s="98"/>
      <c r="Q55" s="98"/>
      <c r="R55" s="98"/>
      <c r="S55" s="98"/>
      <c r="T55" s="98"/>
      <c r="U55" s="98"/>
    </row>
    <row r="56" spans="2:21" ht="22" hidden="1" customHeight="1">
      <c r="B56" s="112" t="s">
        <v>202</v>
      </c>
      <c r="C56" s="113">
        <v>1</v>
      </c>
      <c r="D56" s="98"/>
      <c r="E56" s="98"/>
      <c r="F56" s="98"/>
      <c r="G56" s="98"/>
      <c r="H56" s="98"/>
      <c r="I56" s="98"/>
      <c r="J56" s="98"/>
      <c r="K56" s="98"/>
      <c r="L56" s="98"/>
      <c r="M56" s="98"/>
      <c r="N56" s="98"/>
      <c r="O56" s="98"/>
      <c r="P56" s="98"/>
      <c r="Q56" s="98"/>
      <c r="R56" s="98"/>
      <c r="S56" s="98"/>
      <c r="T56" s="98"/>
      <c r="U56" s="98"/>
    </row>
    <row r="57" spans="2:21" ht="22" hidden="1" customHeight="1">
      <c r="B57" s="112" t="s">
        <v>203</v>
      </c>
      <c r="C57" s="113">
        <v>1.25</v>
      </c>
      <c r="D57" s="98"/>
      <c r="E57" s="98"/>
      <c r="F57" s="98"/>
      <c r="G57" s="98"/>
      <c r="H57" s="98"/>
      <c r="I57" s="98"/>
      <c r="J57" s="98"/>
      <c r="K57" s="98"/>
      <c r="L57" s="98"/>
      <c r="M57" s="98"/>
      <c r="N57" s="98"/>
      <c r="O57" s="98"/>
      <c r="P57" s="98"/>
      <c r="Q57" s="98"/>
      <c r="R57" s="98"/>
      <c r="S57" s="98"/>
      <c r="T57" s="98"/>
      <c r="U57" s="98"/>
    </row>
    <row r="58" spans="2:21" ht="22" hidden="1" customHeight="1">
      <c r="B58" s="112" t="s">
        <v>204</v>
      </c>
      <c r="C58" s="113">
        <v>1.5</v>
      </c>
      <c r="D58" s="98"/>
      <c r="E58" s="98"/>
      <c r="F58" s="98"/>
      <c r="G58" s="98"/>
      <c r="H58" s="98"/>
      <c r="I58" s="98"/>
      <c r="J58" s="98"/>
      <c r="K58" s="98"/>
      <c r="L58" s="98"/>
      <c r="M58" s="98"/>
      <c r="N58" s="98"/>
      <c r="O58" s="98"/>
      <c r="P58" s="98"/>
      <c r="Q58" s="98"/>
      <c r="R58" s="98"/>
      <c r="S58" s="98"/>
      <c r="T58" s="98"/>
      <c r="U58" s="98"/>
    </row>
    <row r="59" spans="2:21" ht="22" hidden="1" customHeight="1" thickBot="1">
      <c r="B59" s="114" t="s">
        <v>205</v>
      </c>
      <c r="C59" s="115">
        <v>2</v>
      </c>
      <c r="D59" s="98"/>
      <c r="E59" s="98"/>
      <c r="F59" s="98"/>
      <c r="G59" s="98"/>
      <c r="H59" s="98"/>
      <c r="I59" s="98"/>
      <c r="J59" s="98"/>
      <c r="K59" s="98"/>
      <c r="L59" s="98"/>
      <c r="M59" s="98"/>
      <c r="N59" s="98"/>
      <c r="O59" s="98"/>
      <c r="P59" s="98"/>
      <c r="Q59" s="98"/>
      <c r="R59" s="98"/>
      <c r="S59" s="98"/>
      <c r="T59" s="98"/>
      <c r="U59" s="98"/>
    </row>
    <row r="100" spans="26:26">
      <c r="Z100" s="96"/>
    </row>
  </sheetData>
  <sheetProtection algorithmName="SHA-512" hashValue="KRTFQyQA62Om6wF7mudCIigx6mm3Pj36kzoj7moHb9AK7NgdQHiPmhtGGCMTgNOVozUzW8mzKuXPEZQjWLYrGA==" saltValue="qJw0zGJEcQa1LvElXLp8FA==" spinCount="100000" sheet="1" objects="1" scenarios="1" sort="0" autoFilter="0"/>
  <mergeCells count="14">
    <mergeCell ref="B1:U1"/>
    <mergeCell ref="B19:F20"/>
    <mergeCell ref="H19:I20"/>
    <mergeCell ref="H21:I21"/>
    <mergeCell ref="K3:L4"/>
    <mergeCell ref="K5:L5"/>
    <mergeCell ref="K19:L20"/>
    <mergeCell ref="K21:L21"/>
    <mergeCell ref="N3:O4"/>
    <mergeCell ref="N5:O5"/>
    <mergeCell ref="H3:I4"/>
    <mergeCell ref="H5:I5"/>
    <mergeCell ref="S2:U2"/>
    <mergeCell ref="B3:F4"/>
  </mergeCells>
  <pageMargins left="0.7" right="0.7" top="0.78740157499999996" bottom="0.78740157499999996" header="0.3" footer="0.3"/>
  <pageSetup paperSize="9" orientation="portrait" verticalDpi="597" r:id="rId1"/>
  <headerFooter>
    <oddFooter>&amp;R&amp;"Calibri"&amp;7© Adam Nagy ¬∑ McOpCo ¬∑ Personalsheet 2026</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2A7708-1352-4EA7-A823-D3D63D9A24C6}">
  <sheetPr codeName="Tabelle3"/>
  <dimension ref="A1:AC123"/>
  <sheetViews>
    <sheetView showGridLines="0" showRowColHeaders="0" zoomScaleNormal="100" workbookViewId="0">
      <pane ySplit="2" topLeftCell="A3" activePane="bottomLeft" state="frozen"/>
      <selection activeCell="T24" sqref="T24"/>
      <selection pane="bottomLeft" activeCell="J35" sqref="J35"/>
    </sheetView>
  </sheetViews>
  <sheetFormatPr baseColWidth="10" defaultColWidth="9.1796875" defaultRowHeight="16" customHeight="1"/>
  <cols>
    <col min="1" max="1" width="4.453125" style="347" customWidth="1"/>
    <col min="2" max="2" width="9.1796875" style="347" customWidth="1"/>
    <col min="3" max="3" width="35.6328125" style="179" customWidth="1"/>
    <col min="4" max="4" width="13.6328125" style="179" customWidth="1"/>
    <col min="5" max="5" width="9.6328125" style="179" customWidth="1"/>
    <col min="6" max="6" width="10.6328125" style="179" customWidth="1"/>
    <col min="7" max="7" width="13.6328125" style="179" customWidth="1"/>
    <col min="8" max="8" width="11.6328125" style="179" customWidth="1"/>
    <col min="9" max="10" width="13.6328125" style="179" customWidth="1"/>
    <col min="11" max="11" width="14.6328125" style="179" customWidth="1"/>
    <col min="12" max="12" width="14.6328125" style="306" customWidth="1"/>
    <col min="13" max="13" width="17.81640625" style="179" customWidth="1"/>
    <col min="14" max="14" width="34.6328125" style="179" customWidth="1"/>
    <col min="15" max="15" width="12.6328125" style="179" customWidth="1"/>
    <col min="16" max="16" width="16.6328125" style="179" customWidth="1"/>
    <col min="17" max="17" width="14.6328125" style="179" customWidth="1"/>
    <col min="18" max="18" width="13.6328125" style="179" customWidth="1"/>
    <col min="19" max="19" width="9.6328125" style="179" customWidth="1"/>
    <col min="20" max="20" width="10.6328125" style="179" customWidth="1"/>
    <col min="21" max="21" width="7.6328125" style="179" customWidth="1"/>
    <col min="22" max="27" width="9.1796875" style="179"/>
    <col min="28" max="28" width="10.1796875" style="179" bestFit="1" customWidth="1"/>
    <col min="29" max="16384" width="9.1796875" style="179"/>
  </cols>
  <sheetData>
    <row r="1" spans="1:28" ht="18" customHeight="1">
      <c r="A1" s="261">
        <v>1</v>
      </c>
      <c r="B1" s="262" t="s">
        <v>180</v>
      </c>
      <c r="C1" s="263" t="s">
        <v>39</v>
      </c>
      <c r="D1" s="263" t="s">
        <v>181</v>
      </c>
      <c r="E1" s="263" t="s">
        <v>0</v>
      </c>
      <c r="F1" s="263" t="s">
        <v>40</v>
      </c>
      <c r="G1" s="263" t="s">
        <v>41</v>
      </c>
      <c r="H1" s="263" t="s">
        <v>42</v>
      </c>
      <c r="I1" s="263" t="s">
        <v>182</v>
      </c>
      <c r="J1" s="263" t="s">
        <v>43</v>
      </c>
      <c r="K1" s="263" t="s">
        <v>44</v>
      </c>
      <c r="L1" s="263" t="s">
        <v>45</v>
      </c>
      <c r="M1" s="263" t="s">
        <v>46</v>
      </c>
      <c r="N1" s="264" t="s">
        <v>183</v>
      </c>
      <c r="AB1" s="265">
        <f>DATE(EINSTELLUNG!$C$35,$A$1,1)</f>
        <v>46023</v>
      </c>
    </row>
    <row r="2" spans="1:28" ht="18" customHeight="1" thickBot="1">
      <c r="A2" s="266"/>
      <c r="B2" s="267"/>
      <c r="C2" s="268"/>
      <c r="D2" s="268"/>
      <c r="E2" s="268"/>
      <c r="F2" s="268"/>
      <c r="G2" s="268"/>
      <c r="H2" s="268"/>
      <c r="I2" s="268"/>
      <c r="J2" s="268"/>
      <c r="K2" s="268"/>
      <c r="L2" s="268"/>
      <c r="M2" s="268"/>
      <c r="N2" s="269"/>
      <c r="O2" s="270"/>
      <c r="P2" s="270"/>
      <c r="Q2" s="270"/>
      <c r="S2" s="271" t="s">
        <v>378</v>
      </c>
      <c r="T2" s="271"/>
      <c r="U2" s="271"/>
      <c r="V2" s="271"/>
      <c r="AB2" s="265">
        <f>EOMONTH(DATE(EINSTELLUNG!$C$35,$A$1,1),0)</f>
        <v>46053</v>
      </c>
    </row>
    <row r="3" spans="1:28" ht="18" customHeight="1">
      <c r="A3" s="272" t="s">
        <v>383</v>
      </c>
      <c r="B3" s="90">
        <v>400002</v>
      </c>
      <c r="C3" s="32" t="s">
        <v>380</v>
      </c>
      <c r="D3" s="33">
        <v>33359</v>
      </c>
      <c r="E3" s="34" t="s">
        <v>2</v>
      </c>
      <c r="F3" s="35">
        <v>171</v>
      </c>
      <c r="G3" s="273">
        <f>IF(OR(E3="",F3=""),"",PID_KVLohnLookup($A$1,E3,F3,LOHNTABELLE!$H$4))</f>
        <v>2500</v>
      </c>
      <c r="H3" s="274">
        <f>IF(AND(ISNUMBER(D3),ISNUMBER(F3)),ROUNDDOWN(MIN(IF(OR(ISBLANK(I3),I3=""),EOMONTH(DATE(EINSTELLUNG!$C$35,$A$1,1),0),I3)-MAX(D3,DATE(EINSTELLUNG!$C$35,$A$1,1))+1)/DAY(EOMONTH(DATE(EINSTELLUNG!$C$35,$A$1,1),0))*F3,2),"")</f>
        <v>82.74</v>
      </c>
      <c r="I3" s="36">
        <v>46037</v>
      </c>
      <c r="J3" s="37">
        <v>2</v>
      </c>
      <c r="K3" s="273">
        <f t="shared" ref="K3:K34" si="0">IF(OR(B3="",C3=""),"",IFERROR(IF(OR(MONTH(D3)=1,MONTH(D3)=3,MONTH(D3)=5,MONTH(D3)=7,MONTH(D3)=8,MONTH(D3)=10,MONTH(D3)=12),(G3/31)*J3,IF(OR(MONTH(D3)=4,MONTH(D3)=6,MONTH(D3)=9,MONTH(D3)=11),(G3/30)*J3,(G3/DAY(EOMONTH(D3,0)))*J3)),0))</f>
        <v>161.29032258064515</v>
      </c>
      <c r="L3" s="275">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1370.9677419354837</v>
      </c>
      <c r="M3" s="38"/>
      <c r="N3" s="64" t="s">
        <v>194</v>
      </c>
      <c r="O3" s="276" t="s">
        <v>47</v>
      </c>
      <c r="P3" s="276" t="s">
        <v>48</v>
      </c>
      <c r="Q3" s="276" t="s">
        <v>49</v>
      </c>
      <c r="R3" s="277" t="s">
        <v>50</v>
      </c>
      <c r="S3" s="278"/>
      <c r="T3" s="278"/>
      <c r="U3" s="278"/>
      <c r="V3" s="278"/>
      <c r="AB3" s="279"/>
    </row>
    <row r="4" spans="1:28" ht="22" customHeight="1">
      <c r="A4" s="280" t="s">
        <v>51</v>
      </c>
      <c r="B4" s="91">
        <v>401010</v>
      </c>
      <c r="C4" s="39" t="s">
        <v>223</v>
      </c>
      <c r="D4" s="40">
        <v>39388</v>
      </c>
      <c r="E4" s="41" t="s">
        <v>2</v>
      </c>
      <c r="F4" s="42">
        <v>173</v>
      </c>
      <c r="G4" s="281">
        <f>IF(OR(E4="",F4=""),"",PID_KVLohnLookup($A$1,E4,F4,LOHNTABELLE!$H$4))</f>
        <v>2021</v>
      </c>
      <c r="H4" s="282">
        <f>IF(AND(ISNUMBER(D4),ISNUMBER(F4)),ROUNDDOWN(MIN(IF(OR(ISBLANK(I4),I4=""),EOMONTH(DATE(EINSTELLUNG!$C$35,$A$1,1),0),I4)-MAX(D4,DATE(EINSTELLUNG!$C$35,$A$1,1))+1)/DAY(EOMONTH(DATE(EINSTELLUNG!$C$35,$A$1,1),0))*F4,2),"")</f>
        <v>173</v>
      </c>
      <c r="I4" s="43"/>
      <c r="J4" s="44"/>
      <c r="K4" s="281">
        <f t="shared" si="0"/>
        <v>0</v>
      </c>
      <c r="L4" s="283">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2021</v>
      </c>
      <c r="M4" s="45"/>
      <c r="N4" s="65"/>
      <c r="O4" s="284"/>
      <c r="P4" s="284"/>
      <c r="Q4" s="284"/>
      <c r="R4" s="285"/>
      <c r="S4" s="278"/>
      <c r="T4" s="278"/>
      <c r="U4" s="278"/>
      <c r="V4" s="278"/>
    </row>
    <row r="5" spans="1:28" ht="22" customHeight="1">
      <c r="A5" s="280" t="s">
        <v>52</v>
      </c>
      <c r="B5" s="92">
        <v>401049</v>
      </c>
      <c r="C5" s="46" t="s">
        <v>224</v>
      </c>
      <c r="D5" s="47">
        <v>41130</v>
      </c>
      <c r="E5" s="48" t="s">
        <v>4</v>
      </c>
      <c r="F5" s="49">
        <v>173</v>
      </c>
      <c r="G5" s="281">
        <f>IF(OR(E5="",F5=""),"",PID_KVLohnLookup($A$1,E5,F5,LOHNTABELLE!$H$4))</f>
        <v>2123</v>
      </c>
      <c r="H5" s="282">
        <f>IF(AND(ISNUMBER(D5),ISNUMBER(F5)),ROUNDDOWN(MIN(IF(OR(ISBLANK(I5),I5=""),EOMONTH(DATE(EINSTELLUNG!$C$35,$A$1,1),0),I5)-MAX(D5,DATE(EINSTELLUNG!$C$35,$A$1,1))+1)/DAY(EOMONTH(DATE(EINSTELLUNG!$C$35,$A$1,1),0))*F5,2),"")</f>
        <v>173</v>
      </c>
      <c r="I5" s="50"/>
      <c r="J5" s="51"/>
      <c r="K5" s="281">
        <f t="shared" si="0"/>
        <v>0</v>
      </c>
      <c r="L5" s="283">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52"/>
      <c r="N5" s="66"/>
      <c r="O5" s="286" cm="1">
        <f t="array" ref="O5">SUMPRODUCT((F3:F82/4.310808)/5*2.08)</f>
        <v>728.74943166107107</v>
      </c>
      <c r="P5" s="287">
        <f>EINSTELLUNG!I6</f>
        <v>600</v>
      </c>
      <c r="Q5" s="287">
        <f>P5-O5</f>
        <v>-128.74943166107107</v>
      </c>
      <c r="R5" s="288">
        <f>IFERROR(Q5*Q42, 0)</f>
        <v>-1525.5954176468263</v>
      </c>
      <c r="S5" s="278"/>
      <c r="T5" s="278"/>
      <c r="U5" s="278"/>
      <c r="V5" s="278"/>
    </row>
    <row r="6" spans="1:28" ht="22" customHeight="1">
      <c r="A6" s="280" t="s">
        <v>53</v>
      </c>
      <c r="B6" s="91">
        <v>401047</v>
      </c>
      <c r="C6" s="39" t="s">
        <v>225</v>
      </c>
      <c r="D6" s="40">
        <v>41154</v>
      </c>
      <c r="E6" s="41" t="s">
        <v>4</v>
      </c>
      <c r="F6" s="42">
        <v>173</v>
      </c>
      <c r="G6" s="281">
        <f>IF(OR(E6="",F6=""),"",PID_KVLohnLookup($A$1,E6,F6,LOHNTABELLE!$H$4))</f>
        <v>2123</v>
      </c>
      <c r="H6" s="282">
        <f>IF(AND(ISNUMBER(D6),ISNUMBER(F6)),ROUNDDOWN(MIN(IF(OR(ISBLANK(I6),I6=""),EOMONTH(DATE(EINSTELLUNG!$C$35,$A$1,1),0),I6)-MAX(D6,DATE(EINSTELLUNG!$C$35,$A$1,1))+1)/DAY(EOMONTH(DATE(EINSTELLUNG!$C$35,$A$1,1),0))*F6,2),"")</f>
        <v>173</v>
      </c>
      <c r="I6" s="43"/>
      <c r="J6" s="44"/>
      <c r="K6" s="281">
        <f t="shared" si="0"/>
        <v>0</v>
      </c>
      <c r="L6" s="283">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2123</v>
      </c>
      <c r="M6" s="45"/>
      <c r="N6" s="65"/>
      <c r="O6" s="289" t="str">
        <f>IF(Q5&lt;0, "Schlecht! Zu wenig Urlaub abgebaut.", IF(Q5&gt;0, "Gut! Mehr Urlaub abgebaut als aufgebaut.", ""))</f>
        <v>Schlecht! Zu wenig Urlaub abgebaut.</v>
      </c>
      <c r="P6" s="290"/>
      <c r="Q6" s="290"/>
      <c r="R6" s="291"/>
      <c r="S6" s="278"/>
      <c r="T6" s="278"/>
      <c r="U6" s="278"/>
      <c r="V6" s="278"/>
    </row>
    <row r="7" spans="1:28" ht="22" customHeight="1" thickBot="1">
      <c r="A7" s="280" t="s">
        <v>54</v>
      </c>
      <c r="B7" s="92">
        <v>401051</v>
      </c>
      <c r="C7" s="46" t="s">
        <v>226</v>
      </c>
      <c r="D7" s="47">
        <v>41176</v>
      </c>
      <c r="E7" s="48" t="s">
        <v>2</v>
      </c>
      <c r="F7" s="49">
        <v>173</v>
      </c>
      <c r="G7" s="281">
        <f>IF(OR(E7="",F7=""),"",PID_KVLohnLookup($A$1,E7,F7,LOHNTABELLE!$H$4))</f>
        <v>2021</v>
      </c>
      <c r="H7" s="282">
        <f>IF(AND(ISNUMBER(D7),ISNUMBER(F7)),ROUNDDOWN(MIN(IF(OR(ISBLANK(I7),I7=""),EOMONTH(DATE(EINSTELLUNG!$C$35,$A$1,1),0),I7)-MAX(D7,DATE(EINSTELLUNG!$C$35,$A$1,1))+1)/DAY(EOMONTH(DATE(EINSTELLUNG!$C$35,$A$1,1),0))*F7,2),"")</f>
        <v>173</v>
      </c>
      <c r="I7" s="50"/>
      <c r="J7" s="51"/>
      <c r="K7" s="281">
        <f t="shared" si="0"/>
        <v>0</v>
      </c>
      <c r="L7" s="283">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2021</v>
      </c>
      <c r="M7" s="52"/>
      <c r="N7" s="66"/>
      <c r="O7" s="278"/>
      <c r="P7" s="278"/>
      <c r="Q7" s="278"/>
      <c r="R7" s="278"/>
      <c r="S7" s="278"/>
      <c r="T7" s="278"/>
      <c r="U7" s="278"/>
      <c r="V7" s="278"/>
    </row>
    <row r="8" spans="1:28" ht="22" customHeight="1">
      <c r="A8" s="280" t="s">
        <v>55</v>
      </c>
      <c r="B8" s="91">
        <v>401138</v>
      </c>
      <c r="C8" s="39" t="s">
        <v>227</v>
      </c>
      <c r="D8" s="40">
        <v>42006</v>
      </c>
      <c r="E8" s="41" t="s">
        <v>4</v>
      </c>
      <c r="F8" s="42">
        <v>173</v>
      </c>
      <c r="G8" s="281">
        <f>IF(OR(E8="",F8=""),"",PID_KVLohnLookup($A$1,E8,F8,LOHNTABELLE!$H$4))</f>
        <v>2123</v>
      </c>
      <c r="H8" s="282">
        <f>IF(AND(ISNUMBER(D8),ISNUMBER(F8)),ROUNDDOWN(MIN(IF(OR(ISBLANK(I8),I8=""),EOMONTH(DATE(EINSTELLUNG!$C$35,$A$1,1),0),I8)-MAX(D8,DATE(EINSTELLUNG!$C$35,$A$1,1))+1)/DAY(EOMONTH(DATE(EINSTELLUNG!$C$35,$A$1,1),0))*F8,2),"")</f>
        <v>173</v>
      </c>
      <c r="I8" s="43"/>
      <c r="J8" s="44"/>
      <c r="K8" s="281">
        <f t="shared" si="0"/>
        <v>0</v>
      </c>
      <c r="L8" s="283">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2123</v>
      </c>
      <c r="M8" s="45"/>
      <c r="N8" s="67"/>
      <c r="O8" s="292" t="s">
        <v>56</v>
      </c>
      <c r="P8" s="293"/>
      <c r="Q8" s="294">
        <f>SUM(H3:H82)</f>
        <v>7342.03</v>
      </c>
      <c r="R8" s="295"/>
      <c r="S8" s="278"/>
      <c r="T8" s="278"/>
      <c r="U8" s="278"/>
      <c r="V8" s="278"/>
    </row>
    <row r="9" spans="1:28" ht="22" customHeight="1">
      <c r="A9" s="280" t="s">
        <v>57</v>
      </c>
      <c r="B9" s="92">
        <v>401197</v>
      </c>
      <c r="C9" s="46" t="s">
        <v>228</v>
      </c>
      <c r="D9" s="47">
        <v>42644</v>
      </c>
      <c r="E9" s="48" t="s">
        <v>3</v>
      </c>
      <c r="F9" s="49">
        <v>173</v>
      </c>
      <c r="G9" s="281">
        <f>IF(OR(E9="",F9=""),"",PID_KVLohnLookup($A$1,E9,F9,LOHNTABELLE!$H$4))</f>
        <v>2082</v>
      </c>
      <c r="H9" s="282">
        <f>IF(AND(ISNUMBER(D9),ISNUMBER(F9)),ROUNDDOWN(MIN(IF(OR(ISBLANK(I9),I9=""),EOMONTH(DATE(EINSTELLUNG!$C$35,$A$1,1),0),I9)-MAX(D9,DATE(EINSTELLUNG!$C$35,$A$1,1))+1)/DAY(EOMONTH(DATE(EINSTELLUNG!$C$35,$A$1,1),0))*F9,2),"")</f>
        <v>173</v>
      </c>
      <c r="I9" s="50"/>
      <c r="J9" s="51"/>
      <c r="K9" s="281">
        <f t="shared" si="0"/>
        <v>0</v>
      </c>
      <c r="L9" s="283">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52"/>
      <c r="N9" s="68"/>
      <c r="O9" s="296" t="s">
        <v>58</v>
      </c>
      <c r="P9" s="297"/>
      <c r="Q9" s="298">
        <f>EINSTELLUNG!L22</f>
        <v>1</v>
      </c>
      <c r="R9" s="299"/>
      <c r="S9" s="300">
        <f>IFERROR(Q9/Q8, 0)</f>
        <v>1.3620211303958169E-4</v>
      </c>
      <c r="T9" s="278"/>
      <c r="U9" s="278"/>
      <c r="V9" s="278"/>
    </row>
    <row r="10" spans="1:28" ht="22" customHeight="1">
      <c r="A10" s="280" t="s">
        <v>59</v>
      </c>
      <c r="B10" s="91">
        <v>401276</v>
      </c>
      <c r="C10" s="39" t="s">
        <v>386</v>
      </c>
      <c r="D10" s="40">
        <v>38899</v>
      </c>
      <c r="E10" s="41" t="s">
        <v>2</v>
      </c>
      <c r="F10" s="42">
        <v>55</v>
      </c>
      <c r="G10" s="281" t="str">
        <f>IF(OR(E10="",F10=""),"",PID_KVLohnLookup($A$1,E10,F10,LOHNTABELLE!$H$4))</f>
        <v>Nicht gefunden</v>
      </c>
      <c r="H10" s="282">
        <f>IF(AND(ISNUMBER(D10),ISNUMBER(F10)),ROUNDDOWN(MIN(IF(OR(ISBLANK(I10),I10=""),EOMONTH(DATE(EINSTELLUNG!$C$35,$A$1,1),0),I10)-MAX(D10,DATE(EINSTELLUNG!$C$35,$A$1,1))+1)/DAY(EOMONTH(DATE(EINSTELLUNG!$C$35,$A$1,1),0))*F10,2),"")</f>
        <v>55</v>
      </c>
      <c r="I10" s="43"/>
      <c r="J10" s="44"/>
      <c r="K10" s="281">
        <f t="shared" si="0"/>
        <v>0</v>
      </c>
      <c r="L10" s="283" t="str">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
      </c>
      <c r="M10" s="45"/>
      <c r="N10" s="67"/>
      <c r="O10" s="296" t="s">
        <v>60</v>
      </c>
      <c r="P10" s="297"/>
      <c r="Q10" s="298">
        <f>EINSTELLUNG!I22</f>
        <v>150</v>
      </c>
      <c r="R10" s="299"/>
      <c r="S10" s="278"/>
      <c r="T10" s="278"/>
      <c r="U10" s="278"/>
      <c r="V10" s="278"/>
    </row>
    <row r="11" spans="1:28" ht="22" customHeight="1">
      <c r="A11" s="280" t="s">
        <v>61</v>
      </c>
      <c r="B11" s="92">
        <v>401307</v>
      </c>
      <c r="C11" s="46" t="s">
        <v>230</v>
      </c>
      <c r="D11" s="47">
        <v>43571</v>
      </c>
      <c r="E11" s="48" t="s">
        <v>2</v>
      </c>
      <c r="F11" s="49">
        <v>55</v>
      </c>
      <c r="G11" s="281" t="str">
        <f>IF(OR(E11="",F11=""),"",PID_KVLohnLookup($A$1,E11,F11,LOHNTABELLE!$H$4))</f>
        <v>Nicht gefunden</v>
      </c>
      <c r="H11" s="282">
        <f>IF(AND(ISNUMBER(D11),ISNUMBER(F11)),ROUNDDOWN(MIN(IF(OR(ISBLANK(I11),I11=""),EOMONTH(DATE(EINSTELLUNG!$C$35,$A$1,1),0),I11)-MAX(D11,DATE(EINSTELLUNG!$C$35,$A$1,1))+1)/DAY(EOMONTH(DATE(EINSTELLUNG!$C$35,$A$1,1),0))*F11,2),"")</f>
        <v>55</v>
      </c>
      <c r="I11" s="50"/>
      <c r="J11" s="51"/>
      <c r="K11" s="281">
        <f t="shared" si="0"/>
        <v>0</v>
      </c>
      <c r="L11" s="283" t="str">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
      </c>
      <c r="M11" s="52"/>
      <c r="N11" s="68"/>
      <c r="O11" s="296" t="s">
        <v>62</v>
      </c>
      <c r="P11" s="297"/>
      <c r="Q11" s="298">
        <f>P5</f>
        <v>600</v>
      </c>
      <c r="R11" s="299"/>
      <c r="S11" s="278"/>
      <c r="T11" s="278"/>
      <c r="U11" s="278"/>
      <c r="V11" s="278"/>
    </row>
    <row r="12" spans="1:28" ht="22" customHeight="1">
      <c r="A12" s="280" t="s">
        <v>63</v>
      </c>
      <c r="B12" s="91">
        <v>401308</v>
      </c>
      <c r="C12" s="39" t="s">
        <v>231</v>
      </c>
      <c r="D12" s="40">
        <v>43579</v>
      </c>
      <c r="E12" s="41" t="s">
        <v>3</v>
      </c>
      <c r="F12" s="42">
        <v>173</v>
      </c>
      <c r="G12" s="281">
        <f>IF(OR(E12="",F12=""),"",PID_KVLohnLookup($A$1,E12,F12,LOHNTABELLE!$H$4))</f>
        <v>2082</v>
      </c>
      <c r="H12" s="282">
        <f>IF(AND(ISNUMBER(D12),ISNUMBER(F12)),ROUNDDOWN(MIN(IF(OR(ISBLANK(I12),I12=""),EOMONTH(DATE(EINSTELLUNG!$C$35,$A$1,1),0),I12)-MAX(D12,DATE(EINSTELLUNG!$C$35,$A$1,1))+1)/DAY(EOMONTH(DATE(EINSTELLUNG!$C$35,$A$1,1),0))*F12,2),"")</f>
        <v>173</v>
      </c>
      <c r="I12" s="43"/>
      <c r="J12" s="44"/>
      <c r="K12" s="281">
        <f t="shared" si="0"/>
        <v>0</v>
      </c>
      <c r="L12" s="283">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2082</v>
      </c>
      <c r="M12" s="45"/>
      <c r="N12" s="67"/>
      <c r="O12" s="296" t="s">
        <v>64</v>
      </c>
      <c r="P12" s="297"/>
      <c r="Q12" s="172">
        <v>300</v>
      </c>
      <c r="R12" s="173"/>
      <c r="S12" s="278"/>
      <c r="T12" s="278"/>
      <c r="U12" s="278"/>
      <c r="V12" s="278"/>
    </row>
    <row r="13" spans="1:28" ht="22" customHeight="1">
      <c r="A13" s="280" t="s">
        <v>65</v>
      </c>
      <c r="B13" s="92">
        <v>401394</v>
      </c>
      <c r="C13" s="46" t="s">
        <v>232</v>
      </c>
      <c r="D13" s="47">
        <v>44379</v>
      </c>
      <c r="E13" s="48" t="s">
        <v>2</v>
      </c>
      <c r="F13" s="49">
        <v>173</v>
      </c>
      <c r="G13" s="281">
        <f>IF(OR(E13="",F13=""),"",PID_KVLohnLookup($A$1,E13,F13,LOHNTABELLE!$H$4))</f>
        <v>2021</v>
      </c>
      <c r="H13" s="282">
        <f>IF(AND(ISNUMBER(D13),ISNUMBER(F13)),ROUNDDOWN(MIN(IF(OR(ISBLANK(I13),I13=""),EOMONTH(DATE(EINSTELLUNG!$C$35,$A$1,1),0),I13)-MAX(D13,DATE(EINSTELLUNG!$C$35,$A$1,1))+1)/DAY(EOMONTH(DATE(EINSTELLUNG!$C$35,$A$1,1),0))*F13,2),"")</f>
        <v>173</v>
      </c>
      <c r="I13" s="50"/>
      <c r="J13" s="51"/>
      <c r="K13" s="281">
        <f t="shared" si="0"/>
        <v>0</v>
      </c>
      <c r="L13" s="283">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2021</v>
      </c>
      <c r="M13" s="52"/>
      <c r="N13" s="68"/>
      <c r="O13" s="296" t="s">
        <v>66</v>
      </c>
      <c r="P13" s="297"/>
      <c r="Q13" s="298">
        <f>Q8-Q9-Q10-Q11-Q12</f>
        <v>6291.03</v>
      </c>
      <c r="R13" s="299"/>
      <c r="S13" s="278"/>
      <c r="T13" s="278"/>
      <c r="U13" s="278"/>
      <c r="V13" s="278"/>
    </row>
    <row r="14" spans="1:28" ht="22" customHeight="1">
      <c r="A14" s="280" t="s">
        <v>67</v>
      </c>
      <c r="B14" s="91">
        <v>401389</v>
      </c>
      <c r="C14" s="39" t="s">
        <v>233</v>
      </c>
      <c r="D14" s="40">
        <v>44384</v>
      </c>
      <c r="E14" s="41" t="s">
        <v>4</v>
      </c>
      <c r="F14" s="42">
        <v>151.38</v>
      </c>
      <c r="G14" s="281">
        <f>IF(OR(E14="",F14=""),"",PID_KVLohnLookup($A$1,E14,F14,LOHNTABELLE!$H$4))</f>
        <v>1857.63</v>
      </c>
      <c r="H14" s="282">
        <f>IF(AND(ISNUMBER(D14),ISNUMBER(F14)),ROUNDDOWN(MIN(IF(OR(ISBLANK(I14),I14=""),EOMONTH(DATE(EINSTELLUNG!$C$35,$A$1,1),0),I14)-MAX(D14,DATE(EINSTELLUNG!$C$35,$A$1,1))+1)/DAY(EOMONTH(DATE(EINSTELLUNG!$C$35,$A$1,1),0))*F14,2),"")</f>
        <v>151.38</v>
      </c>
      <c r="I14" s="43"/>
      <c r="J14" s="44"/>
      <c r="K14" s="281">
        <f t="shared" si="0"/>
        <v>0</v>
      </c>
      <c r="L14" s="283">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1857.63</v>
      </c>
      <c r="M14" s="45"/>
      <c r="N14" s="67"/>
      <c r="O14" s="296" t="s">
        <v>68</v>
      </c>
      <c r="P14" s="297"/>
      <c r="Q14" s="298">
        <f>EINSTELLUNG!L6</f>
        <v>9300</v>
      </c>
      <c r="R14" s="299"/>
      <c r="S14" s="278"/>
      <c r="T14" s="278"/>
      <c r="U14" s="278"/>
      <c r="V14" s="278"/>
    </row>
    <row r="15" spans="1:28" ht="22" customHeight="1">
      <c r="A15" s="280" t="s">
        <v>69</v>
      </c>
      <c r="B15" s="92">
        <v>401432</v>
      </c>
      <c r="C15" s="46" t="s">
        <v>234</v>
      </c>
      <c r="D15" s="47">
        <v>44441</v>
      </c>
      <c r="E15" s="48" t="s">
        <v>2</v>
      </c>
      <c r="F15" s="49">
        <v>173</v>
      </c>
      <c r="G15" s="281">
        <f>IF(OR(E15="",F15=""),"",PID_KVLohnLookup($A$1,E15,F15,LOHNTABELLE!$H$4))</f>
        <v>2021</v>
      </c>
      <c r="H15" s="282">
        <f>IF(AND(ISNUMBER(D15),ISNUMBER(F15)),ROUNDDOWN(MIN(IF(OR(ISBLANK(I15),I15=""),EOMONTH(DATE(EINSTELLUNG!$C$35,$A$1,1),0),I15)-MAX(D15,DATE(EINSTELLUNG!$C$35,$A$1,1))+1)/DAY(EOMONTH(DATE(EINSTELLUNG!$C$35,$A$1,1),0))*F15,2),"")</f>
        <v>173</v>
      </c>
      <c r="I15" s="50"/>
      <c r="J15" s="51"/>
      <c r="K15" s="281">
        <f t="shared" si="0"/>
        <v>0</v>
      </c>
      <c r="L15" s="283">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2021</v>
      </c>
      <c r="M15" s="52"/>
      <c r="N15" s="68"/>
      <c r="O15" s="296" t="s">
        <v>70</v>
      </c>
      <c r="P15" s="297"/>
      <c r="Q15" s="298">
        <f>Q13-Q14</f>
        <v>-3008.9700000000003</v>
      </c>
      <c r="R15" s="299"/>
      <c r="S15" s="301"/>
      <c r="T15" s="301"/>
      <c r="U15" s="301"/>
      <c r="V15" s="278"/>
    </row>
    <row r="16" spans="1:28" ht="22" customHeight="1" thickBot="1">
      <c r="A16" s="280" t="s">
        <v>71</v>
      </c>
      <c r="B16" s="91">
        <v>401558</v>
      </c>
      <c r="C16" s="39" t="s">
        <v>235</v>
      </c>
      <c r="D16" s="40">
        <v>44460</v>
      </c>
      <c r="E16" s="41" t="s">
        <v>2</v>
      </c>
      <c r="F16" s="42">
        <v>173</v>
      </c>
      <c r="G16" s="281">
        <f>IF(OR(E16="",F16=""),"",PID_KVLohnLookup($A$1,E16,F16,LOHNTABELLE!$H$4))</f>
        <v>2021</v>
      </c>
      <c r="H16" s="282">
        <f>IF(AND(ISNUMBER(D16),ISNUMBER(F16)),ROUNDDOWN(MIN(IF(OR(ISBLANK(I16),I16=""),EOMONTH(DATE(EINSTELLUNG!$C$35,$A$1,1),0),I16)-MAX(D16,DATE(EINSTELLUNG!$C$35,$A$1,1))+1)/DAY(EOMONTH(DATE(EINSTELLUNG!$C$35,$A$1,1),0))*F16,2),"")</f>
        <v>173</v>
      </c>
      <c r="I16" s="43"/>
      <c r="J16" s="44"/>
      <c r="K16" s="281">
        <f t="shared" si="0"/>
        <v>0</v>
      </c>
      <c r="L16" s="283">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2021</v>
      </c>
      <c r="M16" s="45"/>
      <c r="N16" s="67"/>
      <c r="O16" s="302" t="str">
        <f>IF(Q15&lt;0, "Schlecht! Zu wenig Stunden für Dienstplan.", IF(Q15&gt;0, "Du hast mehr als genug Stunden für Dienstplan.", ""))</f>
        <v>Schlecht! Zu wenig Stunden für Dienstplan.</v>
      </c>
      <c r="P16" s="303"/>
      <c r="Q16" s="303"/>
      <c r="R16" s="304"/>
      <c r="S16" s="305"/>
      <c r="T16" s="305"/>
      <c r="U16" s="305"/>
      <c r="V16" s="305"/>
      <c r="W16" s="306"/>
    </row>
    <row r="17" spans="1:29" ht="22" customHeight="1">
      <c r="A17" s="280" t="s">
        <v>72</v>
      </c>
      <c r="B17" s="92">
        <v>401476</v>
      </c>
      <c r="C17" s="46" t="s">
        <v>236</v>
      </c>
      <c r="D17" s="47">
        <v>44504</v>
      </c>
      <c r="E17" s="48" t="s">
        <v>2</v>
      </c>
      <c r="F17" s="49">
        <v>173</v>
      </c>
      <c r="G17" s="281">
        <f>IF(OR(E17="",F17=""),"",PID_KVLohnLookup($A$1,E17,F17,LOHNTABELLE!$H$4))</f>
        <v>2021</v>
      </c>
      <c r="H17" s="282">
        <f>IF(AND(ISNUMBER(D17),ISNUMBER(F17)),ROUNDDOWN(MIN(IF(OR(ISBLANK(I17),I17=""),EOMONTH(DATE(EINSTELLUNG!$C$35,$A$1,1),0),I17)-MAX(D17,DATE(EINSTELLUNG!$C$35,$A$1,1))+1)/DAY(EOMONTH(DATE(EINSTELLUNG!$C$35,$A$1,1),0))*F17,2),"")</f>
        <v>173</v>
      </c>
      <c r="I17" s="50"/>
      <c r="J17" s="51"/>
      <c r="K17" s="281">
        <f t="shared" si="0"/>
        <v>0</v>
      </c>
      <c r="L17" s="283">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2021</v>
      </c>
      <c r="M17" s="52"/>
      <c r="N17" s="68"/>
      <c r="O17" s="292" t="s">
        <v>73</v>
      </c>
      <c r="P17" s="293"/>
      <c r="Q17" s="307">
        <f>SUM(L3:L82)</f>
        <v>86998.188494623653</v>
      </c>
      <c r="R17" s="308"/>
      <c r="S17" s="278"/>
      <c r="T17" s="278"/>
      <c r="U17" s="278"/>
      <c r="V17" s="278"/>
      <c r="W17" s="306"/>
    </row>
    <row r="18" spans="1:29" ht="22" customHeight="1">
      <c r="A18" s="280" t="s">
        <v>74</v>
      </c>
      <c r="B18" s="91">
        <v>401479</v>
      </c>
      <c r="C18" s="39" t="s">
        <v>237</v>
      </c>
      <c r="D18" s="40">
        <v>44511</v>
      </c>
      <c r="E18" s="41" t="s">
        <v>6</v>
      </c>
      <c r="F18" s="42">
        <v>173</v>
      </c>
      <c r="G18" s="281">
        <f>IF(OR(E18="",F18=""),"",PID_KVLohnLookup($A$1,E18,F18,LOHNTABELLE!$H$4))</f>
        <v>2160</v>
      </c>
      <c r="H18" s="282">
        <f>IF(AND(ISNUMBER(D18),ISNUMBER(F18)),ROUNDDOWN(MIN(IF(OR(ISBLANK(I18),I18=""),EOMONTH(DATE(EINSTELLUNG!$C$35,$A$1,1),0),I18)-MAX(D18,DATE(EINSTELLUNG!$C$35,$A$1,1))+1)/DAY(EOMONTH(DATE(EINSTELLUNG!$C$35,$A$1,1),0))*F18,2),"")</f>
        <v>173</v>
      </c>
      <c r="I18" s="43"/>
      <c r="J18" s="44"/>
      <c r="K18" s="281">
        <f t="shared" si="0"/>
        <v>0</v>
      </c>
      <c r="L18" s="283">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2160</v>
      </c>
      <c r="M18" s="45"/>
      <c r="N18" s="67"/>
      <c r="O18" s="309" t="s">
        <v>371</v>
      </c>
      <c r="P18" s="310"/>
      <c r="Q18" s="311">
        <v>20</v>
      </c>
      <c r="R18" s="312"/>
      <c r="S18" s="278"/>
      <c r="T18" s="278"/>
      <c r="U18" s="278"/>
      <c r="V18" s="278"/>
    </row>
    <row r="19" spans="1:29" ht="22" customHeight="1">
      <c r="A19" s="280" t="s">
        <v>75</v>
      </c>
      <c r="B19" s="92">
        <v>401481</v>
      </c>
      <c r="C19" s="46" t="s">
        <v>238</v>
      </c>
      <c r="D19" s="47">
        <v>44531</v>
      </c>
      <c r="E19" s="48" t="s">
        <v>3</v>
      </c>
      <c r="F19" s="49">
        <v>173</v>
      </c>
      <c r="G19" s="281">
        <f>IF(OR(E19="",F19=""),"",PID_KVLohnLookup($A$1,E19,F19,LOHNTABELLE!$H$4))</f>
        <v>2082</v>
      </c>
      <c r="H19" s="282">
        <f>IF(AND(ISNUMBER(D19),ISNUMBER(F19)),ROUNDDOWN(MIN(IF(OR(ISBLANK(I19),I19=""),EOMONTH(DATE(EINSTELLUNG!$C$35,$A$1,1),0),I19)-MAX(D19,DATE(EINSTELLUNG!$C$35,$A$1,1))+1)/DAY(EOMONTH(DATE(EINSTELLUNG!$C$35,$A$1,1),0))*F19,2),"")</f>
        <v>173</v>
      </c>
      <c r="I19" s="50"/>
      <c r="J19" s="51"/>
      <c r="K19" s="281">
        <f t="shared" si="0"/>
        <v>0</v>
      </c>
      <c r="L19" s="283">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2082</v>
      </c>
      <c r="M19" s="52"/>
      <c r="N19" s="68"/>
      <c r="O19" s="309" t="s">
        <v>293</v>
      </c>
      <c r="P19" s="310"/>
      <c r="Q19" s="311">
        <v>333</v>
      </c>
      <c r="R19" s="312"/>
      <c r="S19" s="278"/>
      <c r="T19" s="278"/>
      <c r="U19" s="278"/>
      <c r="V19" s="278"/>
    </row>
    <row r="20" spans="1:29" ht="22" customHeight="1">
      <c r="A20" s="280" t="s">
        <v>76</v>
      </c>
      <c r="B20" s="91">
        <v>401564</v>
      </c>
      <c r="C20" s="39" t="s">
        <v>239</v>
      </c>
      <c r="D20" s="40">
        <v>44824</v>
      </c>
      <c r="E20" s="41" t="s">
        <v>2</v>
      </c>
      <c r="F20" s="42">
        <v>151.38</v>
      </c>
      <c r="G20" s="281">
        <f>IF(OR(E20="",F20=""),"",PID_KVLohnLookup($A$1,E20,F20,LOHNTABELLE!$H$4))</f>
        <v>1768.38</v>
      </c>
      <c r="H20" s="282">
        <f>IF(AND(ISNUMBER(D20),ISNUMBER(F20)),ROUNDDOWN(MIN(IF(OR(ISBLANK(I20),I20=""),EOMONTH(DATE(EINSTELLUNG!$C$35,$A$1,1),0),I20)-MAX(D20,DATE(EINSTELLUNG!$C$35,$A$1,1))+1)/DAY(EOMONTH(DATE(EINSTELLUNG!$C$35,$A$1,1),0))*F20,2),"")</f>
        <v>151.38</v>
      </c>
      <c r="I20" s="43"/>
      <c r="J20" s="44"/>
      <c r="K20" s="281">
        <f t="shared" si="0"/>
        <v>0</v>
      </c>
      <c r="L20" s="283">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1768.38</v>
      </c>
      <c r="M20" s="45"/>
      <c r="N20" s="67"/>
      <c r="O20" s="309" t="s">
        <v>293</v>
      </c>
      <c r="P20" s="310"/>
      <c r="Q20" s="311">
        <v>35</v>
      </c>
      <c r="R20" s="312"/>
      <c r="S20" s="278"/>
      <c r="T20" s="278"/>
      <c r="U20" s="278"/>
      <c r="V20" s="278"/>
    </row>
    <row r="21" spans="1:29" ht="22" customHeight="1">
      <c r="A21" s="280" t="s">
        <v>77</v>
      </c>
      <c r="B21" s="92">
        <v>401089</v>
      </c>
      <c r="C21" s="46" t="s">
        <v>240</v>
      </c>
      <c r="D21" s="47">
        <v>44868</v>
      </c>
      <c r="E21" s="48" t="s">
        <v>3</v>
      </c>
      <c r="F21" s="49">
        <v>173</v>
      </c>
      <c r="G21" s="281">
        <f>IF(OR(E21="",F21=""),"",PID_KVLohnLookup($A$1,E21,F21,LOHNTABELLE!$H$4))</f>
        <v>2082</v>
      </c>
      <c r="H21" s="282">
        <f>IF(AND(ISNUMBER(D21),ISNUMBER(F21)),ROUNDDOWN(MIN(IF(OR(ISBLANK(I21),I21=""),EOMONTH(DATE(EINSTELLUNG!$C$35,$A$1,1),0),I21)-MAX(D21,DATE(EINSTELLUNG!$C$35,$A$1,1))+1)/DAY(EOMONTH(DATE(EINSTELLUNG!$C$35,$A$1,1),0))*F21,2),"")</f>
        <v>173</v>
      </c>
      <c r="I21" s="50"/>
      <c r="J21" s="51"/>
      <c r="K21" s="281">
        <f t="shared" si="0"/>
        <v>0</v>
      </c>
      <c r="L21" s="283">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2082</v>
      </c>
      <c r="M21" s="52"/>
      <c r="N21" s="68"/>
      <c r="O21" s="309" t="s">
        <v>293</v>
      </c>
      <c r="P21" s="310"/>
      <c r="Q21" s="311">
        <v>100</v>
      </c>
      <c r="R21" s="312"/>
      <c r="S21" s="278"/>
      <c r="T21" s="278"/>
      <c r="U21" s="278"/>
      <c r="V21" s="278"/>
    </row>
    <row r="22" spans="1:29" ht="22" customHeight="1">
      <c r="A22" s="280" t="s">
        <v>78</v>
      </c>
      <c r="B22" s="91">
        <v>401583</v>
      </c>
      <c r="C22" s="39" t="s">
        <v>241</v>
      </c>
      <c r="D22" s="40">
        <v>44900</v>
      </c>
      <c r="E22" s="41" t="s">
        <v>13</v>
      </c>
      <c r="F22" s="42">
        <v>173</v>
      </c>
      <c r="G22" s="281">
        <f>IF(OR(E22="",F22=""),"",PID_KVLohnLookup($A$1,E22,F22,LOHNTABELLE!$H$4))</f>
        <v>2328</v>
      </c>
      <c r="H22" s="282">
        <f>IF(AND(ISNUMBER(D22),ISNUMBER(F22)),ROUNDDOWN(MIN(IF(OR(ISBLANK(I22),I22=""),EOMONTH(DATE(EINSTELLUNG!$C$35,$A$1,1),0),I22)-MAX(D22,DATE(EINSTELLUNG!$C$35,$A$1,1))+1)/DAY(EOMONTH(DATE(EINSTELLUNG!$C$35,$A$1,1),0))*F22,2),"")</f>
        <v>173</v>
      </c>
      <c r="I22" s="43"/>
      <c r="J22" s="44"/>
      <c r="K22" s="281">
        <f t="shared" si="0"/>
        <v>0</v>
      </c>
      <c r="L22" s="283">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2328</v>
      </c>
      <c r="M22" s="45"/>
      <c r="N22" s="67"/>
      <c r="O22" s="309" t="s">
        <v>293</v>
      </c>
      <c r="P22" s="310"/>
      <c r="Q22" s="311"/>
      <c r="R22" s="312"/>
      <c r="S22" s="278"/>
      <c r="T22" s="278"/>
      <c r="U22" s="278"/>
      <c r="V22" s="278"/>
    </row>
    <row r="23" spans="1:29" ht="22" customHeight="1">
      <c r="A23" s="280" t="s">
        <v>79</v>
      </c>
      <c r="B23" s="92">
        <v>401589</v>
      </c>
      <c r="C23" s="46" t="s">
        <v>242</v>
      </c>
      <c r="D23" s="47">
        <v>44926</v>
      </c>
      <c r="E23" s="48" t="s">
        <v>10</v>
      </c>
      <c r="F23" s="49">
        <v>173</v>
      </c>
      <c r="G23" s="281">
        <f>IF(OR(E23="",F23=""),"",PID_KVLohnLookup($A$1,E23,F23,LOHNTABELLE!$H$4))</f>
        <v>2300</v>
      </c>
      <c r="H23" s="282">
        <f>IF(AND(ISNUMBER(D23),ISNUMBER(F23)),ROUNDDOWN(MIN(IF(OR(ISBLANK(I23),I23=""),EOMONTH(DATE(EINSTELLUNG!$C$35,$A$1,1),0),I23)-MAX(D23,DATE(EINSTELLUNG!$C$35,$A$1,1))+1)/DAY(EOMONTH(DATE(EINSTELLUNG!$C$35,$A$1,1),0))*F23,2),"")</f>
        <v>173</v>
      </c>
      <c r="I23" s="50"/>
      <c r="J23" s="51"/>
      <c r="K23" s="281">
        <f t="shared" si="0"/>
        <v>0</v>
      </c>
      <c r="L23" s="283">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2300</v>
      </c>
      <c r="M23" s="52"/>
      <c r="N23" s="68"/>
      <c r="O23" s="309" t="s">
        <v>293</v>
      </c>
      <c r="P23" s="310"/>
      <c r="Q23" s="311">
        <v>5000</v>
      </c>
      <c r="R23" s="312"/>
      <c r="S23" s="278"/>
      <c r="T23" s="278"/>
      <c r="U23" s="278"/>
      <c r="V23" s="278"/>
      <c r="W23" s="306"/>
    </row>
    <row r="24" spans="1:29" ht="22" customHeight="1">
      <c r="A24" s="280" t="s">
        <v>80</v>
      </c>
      <c r="B24" s="91">
        <v>401602</v>
      </c>
      <c r="C24" s="39" t="s">
        <v>243</v>
      </c>
      <c r="D24" s="40">
        <v>45975</v>
      </c>
      <c r="E24" s="41" t="s">
        <v>2</v>
      </c>
      <c r="F24" s="42">
        <v>169</v>
      </c>
      <c r="G24" s="281">
        <f>IF(OR(E24="",F24=""),"",PID_KVLohnLookup($A$1,E24,F24,LOHNTABELLE!$H$4))</f>
        <v>2000</v>
      </c>
      <c r="H24" s="282">
        <f>IF(AND(ISNUMBER(D24),ISNUMBER(F24)),ROUNDDOWN(MIN(IF(OR(ISBLANK(I24),I24=""),EOMONTH(DATE(EINSTELLUNG!$C$35,$A$1,1),0),I24)-MAX(D24,DATE(EINSTELLUNG!$C$35,$A$1,1))+1)/DAY(EOMONTH(DATE(EINSTELLUNG!$C$35,$A$1,1),0))*F24,2),"")</f>
        <v>169</v>
      </c>
      <c r="I24" s="43"/>
      <c r="J24" s="44"/>
      <c r="K24" s="281">
        <f t="shared" si="0"/>
        <v>0</v>
      </c>
      <c r="L24" s="283">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2000</v>
      </c>
      <c r="M24" s="45"/>
      <c r="N24" s="67"/>
      <c r="O24" s="309"/>
      <c r="P24" s="310"/>
      <c r="Q24" s="311"/>
      <c r="R24" s="312"/>
      <c r="S24" s="278"/>
      <c r="T24" s="278"/>
      <c r="U24" s="278"/>
      <c r="V24" s="278"/>
      <c r="W24" s="306"/>
    </row>
    <row r="25" spans="1:29" ht="22" customHeight="1">
      <c r="A25" s="280" t="s">
        <v>81</v>
      </c>
      <c r="B25" s="92">
        <v>401406</v>
      </c>
      <c r="C25" s="46" t="s">
        <v>387</v>
      </c>
      <c r="D25" s="47">
        <v>36850</v>
      </c>
      <c r="E25" s="48" t="s">
        <v>10</v>
      </c>
      <c r="F25" s="49">
        <v>151.38</v>
      </c>
      <c r="G25" s="281">
        <f>IF(OR(E25="",F25=""),"",PID_KVLohnLookup($A$1,E25,F25,LOHNTABELLE!$H$4))</f>
        <v>2012.5</v>
      </c>
      <c r="H25" s="282">
        <f>IF(AND(ISNUMBER(D25),ISNUMBER(F25)),ROUNDDOWN(MIN(IF(OR(ISBLANK(I25),I25=""),EOMONTH(DATE(EINSTELLUNG!$C$35,$A$1,1),0),I25)-MAX(D25,DATE(EINSTELLUNG!$C$35,$A$1,1))+1)/DAY(EOMONTH(DATE(EINSTELLUNG!$C$35,$A$1,1),0))*F25,2),"")</f>
        <v>151.38</v>
      </c>
      <c r="I25" s="50"/>
      <c r="J25" s="51"/>
      <c r="K25" s="281">
        <f t="shared" si="0"/>
        <v>0</v>
      </c>
      <c r="L25" s="283">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2012.5</v>
      </c>
      <c r="M25" s="52"/>
      <c r="N25" s="68"/>
      <c r="O25" s="309"/>
      <c r="P25" s="310"/>
      <c r="Q25" s="311"/>
      <c r="R25" s="312"/>
      <c r="S25" s="278"/>
      <c r="T25" s="278"/>
      <c r="U25" s="278"/>
      <c r="V25" s="278"/>
    </row>
    <row r="26" spans="1:29" ht="22" customHeight="1">
      <c r="A26" s="280" t="s">
        <v>82</v>
      </c>
      <c r="B26" s="91">
        <v>401626</v>
      </c>
      <c r="C26" s="39" t="s">
        <v>245</v>
      </c>
      <c r="D26" s="40">
        <v>45063</v>
      </c>
      <c r="E26" s="41" t="s">
        <v>2</v>
      </c>
      <c r="F26" s="42">
        <v>173</v>
      </c>
      <c r="G26" s="281">
        <f>IF(OR(E26="",F26=""),"",PID_KVLohnLookup($A$1,E26,F26,LOHNTABELLE!$H$4))</f>
        <v>2021</v>
      </c>
      <c r="H26" s="282">
        <f>IF(AND(ISNUMBER(D26),ISNUMBER(F26)),ROUNDDOWN(MIN(IF(OR(ISBLANK(I26),I26=""),EOMONTH(DATE(EINSTELLUNG!$C$35,$A$1,1),0),I26)-MAX(D26,DATE(EINSTELLUNG!$C$35,$A$1,1))+1)/DAY(EOMONTH(DATE(EINSTELLUNG!$C$35,$A$1,1),0))*F26,2),"")</f>
        <v>173</v>
      </c>
      <c r="I26" s="43"/>
      <c r="J26" s="44"/>
      <c r="K26" s="281">
        <f t="shared" si="0"/>
        <v>0</v>
      </c>
      <c r="L26" s="283">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2021</v>
      </c>
      <c r="M26" s="45"/>
      <c r="N26" s="67"/>
      <c r="O26" s="309"/>
      <c r="P26" s="310"/>
      <c r="Q26" s="311"/>
      <c r="R26" s="312"/>
      <c r="S26" s="278"/>
      <c r="T26" s="278"/>
      <c r="U26" s="278"/>
      <c r="V26" s="278"/>
    </row>
    <row r="27" spans="1:29" ht="22" customHeight="1">
      <c r="A27" s="280" t="s">
        <v>83</v>
      </c>
      <c r="B27" s="92">
        <v>401633</v>
      </c>
      <c r="C27" s="46" t="s">
        <v>246</v>
      </c>
      <c r="D27" s="47">
        <v>45089</v>
      </c>
      <c r="E27" s="48" t="s">
        <v>10</v>
      </c>
      <c r="F27" s="49">
        <v>173</v>
      </c>
      <c r="G27" s="281">
        <f>IF(OR(E27="",F27=""),"",PID_KVLohnLookup($A$1,E27,F27,LOHNTABELLE!$H$4))</f>
        <v>2300</v>
      </c>
      <c r="H27" s="282">
        <f>IF(AND(ISNUMBER(D27),ISNUMBER(F27)),ROUNDDOWN(MIN(IF(OR(ISBLANK(I27),I27=""),EOMONTH(DATE(EINSTELLUNG!$C$35,$A$1,1),0),I27)-MAX(D27,DATE(EINSTELLUNG!$C$35,$A$1,1))+1)/DAY(EOMONTH(DATE(EINSTELLUNG!$C$35,$A$1,1),0))*F27,2),"")</f>
        <v>173</v>
      </c>
      <c r="I27" s="50"/>
      <c r="J27" s="51"/>
      <c r="K27" s="281">
        <f t="shared" si="0"/>
        <v>0</v>
      </c>
      <c r="L27" s="283">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2300</v>
      </c>
      <c r="M27" s="52"/>
      <c r="N27" s="68"/>
      <c r="O27" s="309"/>
      <c r="P27" s="310"/>
      <c r="Q27" s="311"/>
      <c r="R27" s="312"/>
      <c r="S27" s="313" t="s">
        <v>84</v>
      </c>
      <c r="T27" s="313"/>
      <c r="U27" s="313"/>
      <c r="V27" s="313"/>
    </row>
    <row r="28" spans="1:29" ht="22" customHeight="1">
      <c r="A28" s="280" t="s">
        <v>85</v>
      </c>
      <c r="B28" s="91">
        <v>401647</v>
      </c>
      <c r="C28" s="39" t="s">
        <v>247</v>
      </c>
      <c r="D28" s="40">
        <v>45182</v>
      </c>
      <c r="E28" s="41" t="s">
        <v>2</v>
      </c>
      <c r="F28" s="42">
        <v>173</v>
      </c>
      <c r="G28" s="281">
        <f>IF(OR(E28="",F28=""),"",PID_KVLohnLookup($A$1,E28,F28,LOHNTABELLE!$H$4))</f>
        <v>2021</v>
      </c>
      <c r="H28" s="282">
        <f>IF(AND(ISNUMBER(D28),ISNUMBER(F28)),ROUNDDOWN(MIN(IF(OR(ISBLANK(I28),I28=""),EOMONTH(DATE(EINSTELLUNG!$C$35,$A$1,1),0),I28)-MAX(D28,DATE(EINSTELLUNG!$C$35,$A$1,1))+1)/DAY(EOMONTH(DATE(EINSTELLUNG!$C$35,$A$1,1),0))*F28,2),"")</f>
        <v>173</v>
      </c>
      <c r="I28" s="43"/>
      <c r="J28" s="44"/>
      <c r="K28" s="281">
        <f t="shared" si="0"/>
        <v>0</v>
      </c>
      <c r="L28" s="283">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2021</v>
      </c>
      <c r="M28" s="45"/>
      <c r="N28" s="67"/>
      <c r="O28" s="309"/>
      <c r="P28" s="310"/>
      <c r="Q28" s="311"/>
      <c r="R28" s="312"/>
      <c r="S28" s="278"/>
      <c r="T28" s="278"/>
      <c r="U28" s="278"/>
      <c r="V28" s="278"/>
    </row>
    <row r="29" spans="1:29" ht="22" customHeight="1" thickBot="1">
      <c r="A29" s="280" t="s">
        <v>86</v>
      </c>
      <c r="B29" s="92">
        <v>401661</v>
      </c>
      <c r="C29" s="46" t="s">
        <v>248</v>
      </c>
      <c r="D29" s="47">
        <v>45261</v>
      </c>
      <c r="E29" s="48" t="s">
        <v>2</v>
      </c>
      <c r="F29" s="49">
        <v>173</v>
      </c>
      <c r="G29" s="281">
        <f>IF(OR(E29="",F29=""),"",PID_KVLohnLookup($A$1,E29,F29,LOHNTABELLE!$H$4))</f>
        <v>2021</v>
      </c>
      <c r="H29" s="282">
        <f>IF(AND(ISNUMBER(D29),ISNUMBER(F29)),ROUNDDOWN(MIN(IF(OR(ISBLANK(I29),I29=""),EOMONTH(DATE(EINSTELLUNG!$C$35,$A$1,1),0),I29)-MAX(D29,DATE(EINSTELLUNG!$C$35,$A$1,1))+1)/DAY(EOMONTH(DATE(EINSTELLUNG!$C$35,$A$1,1),0))*F29,2),"")</f>
        <v>173</v>
      </c>
      <c r="I29" s="50"/>
      <c r="J29" s="51"/>
      <c r="K29" s="281">
        <f t="shared" si="0"/>
        <v>0</v>
      </c>
      <c r="L29" s="283">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2021</v>
      </c>
      <c r="M29" s="52"/>
      <c r="N29" s="68"/>
      <c r="O29" s="314" t="s">
        <v>87</v>
      </c>
      <c r="P29" s="315"/>
      <c r="Q29" s="316">
        <f>EINSTELLUNG!O6</f>
        <v>1250</v>
      </c>
      <c r="R29" s="317"/>
      <c r="S29" s="278"/>
      <c r="T29" s="278"/>
      <c r="U29" s="278"/>
      <c r="V29" s="278"/>
    </row>
    <row r="30" spans="1:29" ht="22" customHeight="1" thickBot="1">
      <c r="A30" s="280" t="s">
        <v>88</v>
      </c>
      <c r="B30" s="91">
        <v>401670</v>
      </c>
      <c r="C30" s="39" t="s">
        <v>249</v>
      </c>
      <c r="D30" s="40">
        <v>45358</v>
      </c>
      <c r="E30" s="41" t="s">
        <v>2</v>
      </c>
      <c r="F30" s="42">
        <v>173</v>
      </c>
      <c r="G30" s="281">
        <f>IF(OR(E30="",F30=""),"",PID_KVLohnLookup($A$1,E30,F30,LOHNTABELLE!$H$4))</f>
        <v>2021</v>
      </c>
      <c r="H30" s="282">
        <f>IF(AND(ISNUMBER(D30),ISNUMBER(F30)),ROUNDDOWN(MIN(IF(OR(ISBLANK(I30),I30=""),EOMONTH(DATE(EINSTELLUNG!$C$35,$A$1,1),0),I30)-MAX(D30,DATE(EINSTELLUNG!$C$35,$A$1,1))+1)/DAY(EOMONTH(DATE(EINSTELLUNG!$C$35,$A$1,1),0))*F30,2),"")</f>
        <v>173</v>
      </c>
      <c r="I30" s="43"/>
      <c r="J30" s="44"/>
      <c r="K30" s="281">
        <f t="shared" si="0"/>
        <v>0</v>
      </c>
      <c r="L30" s="283">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2021</v>
      </c>
      <c r="M30" s="45"/>
      <c r="N30" s="65"/>
      <c r="O30" s="278"/>
      <c r="P30" s="278"/>
      <c r="Q30" s="278"/>
      <c r="R30" s="278"/>
      <c r="S30" s="278"/>
      <c r="T30" s="278"/>
      <c r="U30" s="278"/>
      <c r="V30" s="278"/>
      <c r="W30" s="318"/>
      <c r="X30" s="318"/>
      <c r="Y30" s="318"/>
      <c r="Z30" s="318"/>
      <c r="AA30" s="318"/>
      <c r="AB30" s="318"/>
      <c r="AC30" s="318"/>
    </row>
    <row r="31" spans="1:29" ht="22" customHeight="1" thickBot="1">
      <c r="A31" s="280" t="s">
        <v>89</v>
      </c>
      <c r="B31" s="92">
        <v>401678</v>
      </c>
      <c r="C31" s="46" t="s">
        <v>250</v>
      </c>
      <c r="D31" s="47">
        <v>45414</v>
      </c>
      <c r="E31" s="48" t="s">
        <v>2</v>
      </c>
      <c r="F31" s="49">
        <v>173</v>
      </c>
      <c r="G31" s="281">
        <f>IF(OR(E31="",F31=""),"",PID_KVLohnLookup($A$1,E31,F31,LOHNTABELLE!$H$4))</f>
        <v>2021</v>
      </c>
      <c r="H31" s="282">
        <f>IF(AND(ISNUMBER(D31),ISNUMBER(F31)),ROUNDDOWN(MIN(IF(OR(ISBLANK(I31),I31=""),EOMONTH(DATE(EINSTELLUNG!$C$35,$A$1,1),0),I31)-MAX(D31,DATE(EINSTELLUNG!$C$35,$A$1,1))+1)/DAY(EOMONTH(DATE(EINSTELLUNG!$C$35,$A$1,1),0))*F31,2),"")</f>
        <v>173</v>
      </c>
      <c r="I31" s="50"/>
      <c r="J31" s="51"/>
      <c r="K31" s="281">
        <f t="shared" si="0"/>
        <v>0</v>
      </c>
      <c r="L31" s="283">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2021</v>
      </c>
      <c r="M31" s="52"/>
      <c r="N31" s="68"/>
      <c r="O31" s="319" t="s">
        <v>415</v>
      </c>
      <c r="P31" s="320"/>
      <c r="Q31" s="321">
        <v>3.8834951456310676E-2</v>
      </c>
      <c r="R31" s="322"/>
      <c r="S31" s="278"/>
      <c r="T31" s="278"/>
      <c r="U31" s="278"/>
      <c r="V31" s="278"/>
    </row>
    <row r="32" spans="1:29" ht="18" customHeight="1" thickBot="1">
      <c r="A32" s="280" t="s">
        <v>91</v>
      </c>
      <c r="B32" s="91">
        <v>401691</v>
      </c>
      <c r="C32" s="39" t="s">
        <v>251</v>
      </c>
      <c r="D32" s="40">
        <v>45539</v>
      </c>
      <c r="E32" s="41" t="s">
        <v>2</v>
      </c>
      <c r="F32" s="42">
        <v>173</v>
      </c>
      <c r="G32" s="281">
        <f>IF(OR(E32="",F32=""),"",PID_KVLohnLookup($A$1,E32,F32,LOHNTABELLE!$H$4))</f>
        <v>2021</v>
      </c>
      <c r="H32" s="282">
        <f>IF(AND(ISNUMBER(D32),ISNUMBER(F32)),ROUNDDOWN(MIN(IF(OR(ISBLANK(I32),I32=""),EOMONTH(DATE(EINSTELLUNG!$C$35,$A$1,1),0),I32)-MAX(D32,DATE(EINSTELLUNG!$C$35,$A$1,1))+1)/DAY(EOMONTH(DATE(EINSTELLUNG!$C$35,$A$1,1),0))*F32,2),"")</f>
        <v>139.51</v>
      </c>
      <c r="I32" s="43">
        <v>46047</v>
      </c>
      <c r="J32" s="44">
        <v>2</v>
      </c>
      <c r="K32" s="281">
        <f t="shared" si="0"/>
        <v>134.73333333333332</v>
      </c>
      <c r="L32" s="283">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1764.5720430107526</v>
      </c>
      <c r="M32" s="45"/>
      <c r="N32" s="65" t="s">
        <v>184</v>
      </c>
      <c r="O32" s="278"/>
      <c r="P32" s="278"/>
      <c r="Q32" s="278"/>
      <c r="R32" s="278"/>
      <c r="S32" s="278"/>
      <c r="T32" s="278"/>
      <c r="U32" s="278"/>
      <c r="V32" s="278"/>
    </row>
    <row r="33" spans="1:22" ht="22" customHeight="1">
      <c r="A33" s="280" t="s">
        <v>92</v>
      </c>
      <c r="B33" s="92">
        <v>401690</v>
      </c>
      <c r="C33" s="46" t="s">
        <v>252</v>
      </c>
      <c r="D33" s="47">
        <v>45536</v>
      </c>
      <c r="E33" s="48" t="s">
        <v>2</v>
      </c>
      <c r="F33" s="49">
        <v>151.38</v>
      </c>
      <c r="G33" s="281">
        <f>IF(OR(E33="",F33=""),"",PID_KVLohnLookup($A$1,E33,F33,LOHNTABELLE!$H$4))</f>
        <v>1768.38</v>
      </c>
      <c r="H33" s="282">
        <f>IF(AND(ISNUMBER(D33),ISNUMBER(F33)),ROUNDDOWN(MIN(IF(OR(ISBLANK(I33),I33=""),EOMONTH(DATE(EINSTELLUNG!$C$35,$A$1,1),0),I33)-MAX(D33,DATE(EINSTELLUNG!$C$35,$A$1,1))+1)/DAY(EOMONTH(DATE(EINSTELLUNG!$C$35,$A$1,1),0))*F33,2),"")</f>
        <v>151.38</v>
      </c>
      <c r="I33" s="50"/>
      <c r="J33" s="51"/>
      <c r="K33" s="281">
        <f t="shared" si="0"/>
        <v>0</v>
      </c>
      <c r="L33" s="283">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1768.38</v>
      </c>
      <c r="M33" s="52"/>
      <c r="N33" s="68"/>
      <c r="O33" s="323"/>
      <c r="P33" s="324"/>
      <c r="Q33" s="263" t="s">
        <v>93</v>
      </c>
      <c r="R33" s="263"/>
      <c r="S33" s="263" t="s">
        <v>94</v>
      </c>
      <c r="T33" s="263"/>
      <c r="U33" s="263" t="s">
        <v>95</v>
      </c>
      <c r="V33" s="264"/>
    </row>
    <row r="34" spans="1:22" ht="22" customHeight="1">
      <c r="A34" s="280" t="s">
        <v>96</v>
      </c>
      <c r="B34" s="91">
        <v>401703</v>
      </c>
      <c r="C34" s="39" t="s">
        <v>253</v>
      </c>
      <c r="D34" s="40">
        <v>45616</v>
      </c>
      <c r="E34" s="41" t="s">
        <v>2</v>
      </c>
      <c r="F34" s="42">
        <v>173</v>
      </c>
      <c r="G34" s="281">
        <f>IF(OR(E34="",F34=""),"",PID_KVLohnLookup($A$1,E34,F34,LOHNTABELLE!$H$4))</f>
        <v>2021</v>
      </c>
      <c r="H34" s="282">
        <f>IF(AND(ISNUMBER(D34),ISNUMBER(F34)),ROUNDDOWN(MIN(IF(OR(ISBLANK(I34),I34=""),EOMONTH(DATE(EINSTELLUNG!$C$35,$A$1,1),0),I34)-MAX(D34,DATE(EINSTELLUNG!$C$35,$A$1,1))+1)/DAY(EOMONTH(DATE(EINSTELLUNG!$C$35,$A$1,1),0))*F34,2),"")</f>
        <v>173</v>
      </c>
      <c r="I34" s="43"/>
      <c r="J34" s="44"/>
      <c r="K34" s="281">
        <f t="shared" si="0"/>
        <v>0</v>
      </c>
      <c r="L34" s="283">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2021</v>
      </c>
      <c r="M34" s="45"/>
      <c r="N34" s="67"/>
      <c r="O34" s="325"/>
      <c r="P34" s="326"/>
      <c r="Q34" s="327"/>
      <c r="R34" s="327"/>
      <c r="S34" s="327"/>
      <c r="T34" s="327"/>
      <c r="U34" s="327"/>
      <c r="V34" s="328"/>
    </row>
    <row r="35" spans="1:22" ht="22" customHeight="1">
      <c r="A35" s="280" t="s">
        <v>97</v>
      </c>
      <c r="B35" s="92">
        <v>401214</v>
      </c>
      <c r="C35" s="46" t="s">
        <v>254</v>
      </c>
      <c r="D35" s="47">
        <v>45636</v>
      </c>
      <c r="E35" s="48" t="s">
        <v>3</v>
      </c>
      <c r="F35" s="49">
        <v>173</v>
      </c>
      <c r="G35" s="281">
        <f>IF(OR(E35="",F35=""),"",PID_KVLohnLookup($A$1,E35,F35,LOHNTABELLE!$H$4))</f>
        <v>2082</v>
      </c>
      <c r="H35" s="282">
        <f>IF(AND(ISNUMBER(D35),ISNUMBER(F35)),ROUNDDOWN(MIN(IF(OR(ISBLANK(I35),I35=""),EOMONTH(DATE(EINSTELLUNG!$C$35,$A$1,1),0),I35)-MAX(D35,DATE(EINSTELLUNG!$C$35,$A$1,1))+1)/DAY(EOMONTH(DATE(EINSTELLUNG!$C$35,$A$1,1),0))*F35,2),"")</f>
        <v>173</v>
      </c>
      <c r="I35" s="50"/>
      <c r="J35" s="51"/>
      <c r="K35" s="281">
        <f t="shared" ref="K35:K66" si="1">IF(OR(B35="",C35=""),"",IFERROR(IF(OR(MONTH(D35)=1,MONTH(D35)=3,MONTH(D35)=5,MONTH(D35)=7,MONTH(D35)=8,MONTH(D35)=10,MONTH(D35)=12),(G35/31)*J35,IF(OR(MONTH(D35)=4,MONTH(D35)=6,MONTH(D35)=9,MONTH(D35)=11),(G35/30)*J35,(G35/DAY(EOMONTH(D35,0)))*J35)),0))</f>
        <v>0</v>
      </c>
      <c r="L35" s="283">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2082</v>
      </c>
      <c r="M35" s="52"/>
      <c r="N35" s="68"/>
      <c r="O35" s="296" t="s">
        <v>98</v>
      </c>
      <c r="P35" s="297"/>
      <c r="Q35" s="329">
        <f>EINSTELLUNG!C6</f>
        <v>450000</v>
      </c>
      <c r="R35" s="329"/>
      <c r="S35" s="329">
        <f>EINSTELLUNG!C22</f>
        <v>450000</v>
      </c>
      <c r="T35" s="329"/>
      <c r="U35" s="329">
        <f>S35-Q35</f>
        <v>0</v>
      </c>
      <c r="V35" s="330"/>
    </row>
    <row r="36" spans="1:22" ht="22" customHeight="1">
      <c r="A36" s="280" t="s">
        <v>99</v>
      </c>
      <c r="B36" s="91">
        <v>401715</v>
      </c>
      <c r="C36" s="39" t="s">
        <v>255</v>
      </c>
      <c r="D36" s="40">
        <v>45755</v>
      </c>
      <c r="E36" s="41" t="s">
        <v>2</v>
      </c>
      <c r="F36" s="42">
        <v>173</v>
      </c>
      <c r="G36" s="281">
        <f>IF(OR(E36="",F36=""),"",PID_KVLohnLookup($A$1,E36,F36,LOHNTABELLE!$H$4))</f>
        <v>2021</v>
      </c>
      <c r="H36" s="282">
        <f>IF(AND(ISNUMBER(D36),ISNUMBER(F36)),ROUNDDOWN(MIN(IF(OR(ISBLANK(I36),I36=""),EOMONTH(DATE(EINSTELLUNG!$C$35,$A$1,1),0),I36)-MAX(D36,DATE(EINSTELLUNG!$C$35,$A$1,1))+1)/DAY(EOMONTH(DATE(EINSTELLUNG!$C$35,$A$1,1),0))*F36,2),"")</f>
        <v>173</v>
      </c>
      <c r="I36" s="43"/>
      <c r="J36" s="44"/>
      <c r="K36" s="281">
        <f t="shared" si="1"/>
        <v>0</v>
      </c>
      <c r="L36" s="283">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2021</v>
      </c>
      <c r="M36" s="45"/>
      <c r="N36" s="67"/>
      <c r="O36" s="296" t="s">
        <v>100</v>
      </c>
      <c r="P36" s="297"/>
      <c r="Q36" s="329">
        <f>EINSTELLUNG!D6</f>
        <v>100000</v>
      </c>
      <c r="R36" s="329"/>
      <c r="S36" s="329">
        <f ca="1">SumMergedCells(Q17:R29)</f>
        <v>93736.188500000004</v>
      </c>
      <c r="T36" s="329"/>
      <c r="U36" s="329">
        <f t="shared" ref="U36:U41" ca="1" si="2">S36-Q36</f>
        <v>-6263.8114999999962</v>
      </c>
      <c r="V36" s="330"/>
    </row>
    <row r="37" spans="1:22" ht="22" customHeight="1">
      <c r="A37" s="280" t="s">
        <v>101</v>
      </c>
      <c r="B37" s="92">
        <v>401716</v>
      </c>
      <c r="C37" s="46" t="s">
        <v>256</v>
      </c>
      <c r="D37" s="47">
        <v>45800</v>
      </c>
      <c r="E37" s="48" t="s">
        <v>2</v>
      </c>
      <c r="F37" s="49">
        <v>173</v>
      </c>
      <c r="G37" s="281">
        <f>IF(OR(E37="",F37=""),"",PID_KVLohnLookup($A$1,E37,F37,LOHNTABELLE!$H$4))</f>
        <v>2021</v>
      </c>
      <c r="H37" s="282">
        <f>IF(AND(ISNUMBER(D37),ISNUMBER(F37)),ROUNDDOWN(MIN(IF(OR(ISBLANK(I37),I37=""),EOMONTH(DATE(EINSTELLUNG!$C$35,$A$1,1),0),I37)-MAX(D37,DATE(EINSTELLUNG!$C$35,$A$1,1))+1)/DAY(EOMONTH(DATE(EINSTELLUNG!$C$35,$A$1,1),0))*F37,2),"")</f>
        <v>173</v>
      </c>
      <c r="I37" s="50"/>
      <c r="J37" s="51"/>
      <c r="K37" s="281">
        <f t="shared" si="1"/>
        <v>0</v>
      </c>
      <c r="L37" s="283">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2021</v>
      </c>
      <c r="M37" s="52"/>
      <c r="N37" s="68"/>
      <c r="O37" s="296" t="s">
        <v>102</v>
      </c>
      <c r="P37" s="297"/>
      <c r="Q37" s="331">
        <f>IF(ISERROR(Q36/Q35), 0, Q36/Q35)</f>
        <v>0.22222222222222221</v>
      </c>
      <c r="R37" s="331"/>
      <c r="S37" s="331">
        <f ca="1">IF(ISERROR(S36/S35), 0, S36/S35)</f>
        <v>0.20830264111111113</v>
      </c>
      <c r="T37" s="331"/>
      <c r="U37" s="331">
        <f t="shared" ca="1" si="2"/>
        <v>-1.3919581111111079E-2</v>
      </c>
      <c r="V37" s="332"/>
    </row>
    <row r="38" spans="1:22" ht="22" customHeight="1">
      <c r="A38" s="280" t="s">
        <v>103</v>
      </c>
      <c r="B38" s="91">
        <v>401717</v>
      </c>
      <c r="C38" s="39" t="s">
        <v>257</v>
      </c>
      <c r="D38" s="40">
        <v>45814</v>
      </c>
      <c r="E38" s="41" t="s">
        <v>2</v>
      </c>
      <c r="F38" s="42">
        <v>86.5</v>
      </c>
      <c r="G38" s="281">
        <f>IF(OR(E38="",F38=""),"",PID_KVLohnLookup($A$1,E38,F38,LOHNTABELLE!$H$4))</f>
        <v>1010.5</v>
      </c>
      <c r="H38" s="282">
        <f>IF(AND(ISNUMBER(D38),ISNUMBER(F38)),ROUNDDOWN(MIN(IF(OR(ISBLANK(I38),I38=""),EOMONTH(DATE(EINSTELLUNG!$C$35,$A$1,1),0),I38)-MAX(D38,DATE(EINSTELLUNG!$C$35,$A$1,1))+1)/DAY(EOMONTH(DATE(EINSTELLUNG!$C$35,$A$1,1),0))*F38,2),"")</f>
        <v>86.5</v>
      </c>
      <c r="I38" s="43"/>
      <c r="J38" s="44"/>
      <c r="K38" s="281">
        <f t="shared" si="1"/>
        <v>0</v>
      </c>
      <c r="L38" s="283">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1010.5</v>
      </c>
      <c r="M38" s="45"/>
      <c r="N38" s="67"/>
      <c r="O38" s="296" t="s">
        <v>104</v>
      </c>
      <c r="P38" s="297"/>
      <c r="Q38" s="298">
        <f>EINSTELLUNG!F6</f>
        <v>30000</v>
      </c>
      <c r="R38" s="298"/>
      <c r="S38" s="298">
        <f>EINSTELLUNG!F22</f>
        <v>29000</v>
      </c>
      <c r="T38" s="298"/>
      <c r="U38" s="298">
        <f t="shared" si="2"/>
        <v>-1000</v>
      </c>
      <c r="V38" s="299"/>
    </row>
    <row r="39" spans="1:22" ht="22" customHeight="1">
      <c r="A39" s="280" t="s">
        <v>105</v>
      </c>
      <c r="B39" s="92">
        <v>401722</v>
      </c>
      <c r="C39" s="46" t="s">
        <v>258</v>
      </c>
      <c r="D39" s="47">
        <v>45848</v>
      </c>
      <c r="E39" s="48" t="s">
        <v>2</v>
      </c>
      <c r="F39" s="49">
        <v>86.5</v>
      </c>
      <c r="G39" s="281">
        <f>IF(OR(E39="",F39=""),"",PID_KVLohnLookup($A$1,E39,F39,LOHNTABELLE!$H$4))</f>
        <v>1010.5</v>
      </c>
      <c r="H39" s="282">
        <f>IF(AND(ISNUMBER(D39),ISNUMBER(F39)),ROUNDDOWN(MIN(IF(OR(ISBLANK(I39),I39=""),EOMONTH(DATE(EINSTELLUNG!$C$35,$A$1,1),0),I39)-MAX(D39,DATE(EINSTELLUNG!$C$35,$A$1,1))+1)/DAY(EOMONTH(DATE(EINSTELLUNG!$C$35,$A$1,1),0))*F39,2),"")</f>
        <v>86.5</v>
      </c>
      <c r="I39" s="50"/>
      <c r="J39" s="51"/>
      <c r="K39" s="281">
        <f t="shared" si="1"/>
        <v>0</v>
      </c>
      <c r="L39" s="283">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52"/>
      <c r="N39" s="68"/>
      <c r="O39" s="296" t="s">
        <v>106</v>
      </c>
      <c r="P39" s="297"/>
      <c r="Q39" s="329">
        <f>IF(Q38=0, 0, Q35/Q38)</f>
        <v>15</v>
      </c>
      <c r="R39" s="329"/>
      <c r="S39" s="329">
        <f>IF(S38=0, 0, S35/S38)</f>
        <v>15.517241379310345</v>
      </c>
      <c r="T39" s="329"/>
      <c r="U39" s="329">
        <f t="shared" si="2"/>
        <v>0.5172413793103452</v>
      </c>
      <c r="V39" s="330"/>
    </row>
    <row r="40" spans="1:22" ht="22" customHeight="1">
      <c r="A40" s="280" t="s">
        <v>107</v>
      </c>
      <c r="B40" s="91">
        <v>401723</v>
      </c>
      <c r="C40" s="39" t="s">
        <v>259</v>
      </c>
      <c r="D40" s="40">
        <v>45852</v>
      </c>
      <c r="E40" s="41" t="s">
        <v>2</v>
      </c>
      <c r="F40" s="42">
        <v>86.5</v>
      </c>
      <c r="G40" s="281">
        <f>IF(OR(E40="",F40=""),"",PID_KVLohnLookup($A$1,E40,F40,LOHNTABELLE!$H$4))</f>
        <v>1010.5</v>
      </c>
      <c r="H40" s="282">
        <f>IF(AND(ISNUMBER(D40),ISNUMBER(F40)),ROUNDDOWN(MIN(IF(OR(ISBLANK(I40),I40=""),EOMONTH(DATE(EINSTELLUNG!$C$35,$A$1,1),0),I40)-MAX(D40,DATE(EINSTELLUNG!$C$35,$A$1,1))+1)/DAY(EOMONTH(DATE(EINSTELLUNG!$C$35,$A$1,1),0))*F40,2),"")</f>
        <v>86.5</v>
      </c>
      <c r="I40" s="43"/>
      <c r="J40" s="44"/>
      <c r="K40" s="281">
        <f t="shared" si="1"/>
        <v>0</v>
      </c>
      <c r="L40" s="283">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45"/>
      <c r="N40" s="67"/>
      <c r="O40" s="296" t="s">
        <v>108</v>
      </c>
      <c r="P40" s="297"/>
      <c r="Q40" s="329">
        <f>IF(Q13=0, 0, Q35/Q13)</f>
        <v>71.530417117705682</v>
      </c>
      <c r="R40" s="329"/>
      <c r="S40" s="329">
        <f>IF(Q13=0, 0, S35/Q13)</f>
        <v>71.530417117705682</v>
      </c>
      <c r="T40" s="329"/>
      <c r="U40" s="329">
        <f t="shared" si="2"/>
        <v>0</v>
      </c>
      <c r="V40" s="330"/>
    </row>
    <row r="41" spans="1:22" ht="22" customHeight="1">
      <c r="A41" s="280" t="s">
        <v>109</v>
      </c>
      <c r="B41" s="92">
        <v>401726</v>
      </c>
      <c r="C41" s="46" t="s">
        <v>260</v>
      </c>
      <c r="D41" s="47">
        <v>45870</v>
      </c>
      <c r="E41" s="48" t="s">
        <v>2</v>
      </c>
      <c r="F41" s="49">
        <v>86.5</v>
      </c>
      <c r="G41" s="281">
        <f>IF(OR(E41="",F41=""),"",PID_KVLohnLookup($A$1,E41,F41,LOHNTABELLE!$H$4))</f>
        <v>1010.5</v>
      </c>
      <c r="H41" s="282">
        <f>IF(AND(ISNUMBER(D41),ISNUMBER(F41)),ROUNDDOWN(MIN(IF(OR(ISBLANK(I41),I41=""),EOMONTH(DATE(EINSTELLUNG!$C$35,$A$1,1),0),I41)-MAX(D41,DATE(EINSTELLUNG!$C$35,$A$1,1))+1)/DAY(EOMONTH(DATE(EINSTELLUNG!$C$35,$A$1,1),0))*F41,2),"")</f>
        <v>86.5</v>
      </c>
      <c r="I41" s="50"/>
      <c r="J41" s="51"/>
      <c r="K41" s="281">
        <f t="shared" si="1"/>
        <v>0</v>
      </c>
      <c r="L41" s="283">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52"/>
      <c r="N41" s="68"/>
      <c r="O41" s="333" t="s">
        <v>110</v>
      </c>
      <c r="P41" s="334"/>
      <c r="Q41" s="335">
        <f>IF(Q13=0, 0, Q38/Q13)</f>
        <v>4.7686944745137128</v>
      </c>
      <c r="R41" s="335"/>
      <c r="S41" s="335">
        <f>IF(Q13=0, 0, S38/Q13)</f>
        <v>4.6097379920299222</v>
      </c>
      <c r="T41" s="335"/>
      <c r="U41" s="335">
        <f t="shared" si="2"/>
        <v>-0.15895648248379057</v>
      </c>
      <c r="V41" s="336"/>
    </row>
    <row r="42" spans="1:22" ht="22" customHeight="1" thickBot="1">
      <c r="A42" s="280" t="s">
        <v>111</v>
      </c>
      <c r="B42" s="91">
        <v>401731</v>
      </c>
      <c r="C42" s="39" t="s">
        <v>261</v>
      </c>
      <c r="D42" s="40">
        <v>45899</v>
      </c>
      <c r="E42" s="41" t="s">
        <v>2</v>
      </c>
      <c r="F42" s="42">
        <v>86.5</v>
      </c>
      <c r="G42" s="281">
        <f>IF(OR(E42="",F42=""),"",PID_KVLohnLookup($A$1,E42,F42,LOHNTABELLE!$H$4))</f>
        <v>1010.5</v>
      </c>
      <c r="H42" s="282">
        <f>IF(AND(ISNUMBER(D42),ISNUMBER(F42)),ROUNDDOWN(MIN(IF(OR(ISBLANK(I42),I42=""),EOMONTH(DATE(EINSTELLUNG!$C$35,$A$1,1),0),I42)-MAX(D42,DATE(EINSTELLUNG!$C$35,$A$1,1))+1)/DAY(EOMONTH(DATE(EINSTELLUNG!$C$35,$A$1,1),0))*F42,2),"")</f>
        <v>86.5</v>
      </c>
      <c r="I42" s="43"/>
      <c r="J42" s="44"/>
      <c r="K42" s="281">
        <f t="shared" si="1"/>
        <v>0</v>
      </c>
      <c r="L42" s="283">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45"/>
      <c r="N42" s="130"/>
      <c r="O42" s="314" t="s">
        <v>112</v>
      </c>
      <c r="P42" s="315"/>
      <c r="Q42" s="337">
        <f>IFERROR(Q17/Q8, 0)</f>
        <v>11.849337103583567</v>
      </c>
      <c r="R42" s="338"/>
      <c r="S42" s="337"/>
      <c r="T42" s="337"/>
      <c r="U42" s="337"/>
      <c r="V42" s="317"/>
    </row>
    <row r="43" spans="1:22" ht="22" customHeight="1">
      <c r="A43" s="280" t="s">
        <v>113</v>
      </c>
      <c r="B43" s="92">
        <v>401730</v>
      </c>
      <c r="C43" s="46" t="s">
        <v>262</v>
      </c>
      <c r="D43" s="47">
        <v>45895</v>
      </c>
      <c r="E43" s="48" t="s">
        <v>2</v>
      </c>
      <c r="F43" s="49">
        <v>86.5</v>
      </c>
      <c r="G43" s="281">
        <f>IF(OR(E43="",F43=""),"",PID_KVLohnLookup($A$1,E43,F43,LOHNTABELLE!$H$4))</f>
        <v>1010.5</v>
      </c>
      <c r="H43" s="282">
        <f>IF(AND(ISNUMBER(D43),ISNUMBER(F43)),ROUNDDOWN(MIN(IF(OR(ISBLANK(I43),I43=""),EOMONTH(DATE(EINSTELLUNG!$C$35,$A$1,1),0),I43)-MAX(D43,DATE(EINSTELLUNG!$C$35,$A$1,1))+1)/DAY(EOMONTH(DATE(EINSTELLUNG!$C$35,$A$1,1),0))*F43,2),"")</f>
        <v>86.5</v>
      </c>
      <c r="I43" s="50"/>
      <c r="J43" s="51"/>
      <c r="K43" s="281">
        <f t="shared" si="1"/>
        <v>0</v>
      </c>
      <c r="L43" s="283">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1010.5</v>
      </c>
      <c r="M43" s="128"/>
      <c r="N43" s="66"/>
      <c r="O43" s="339"/>
      <c r="P43" s="339"/>
      <c r="Q43" s="339"/>
      <c r="R43" s="278"/>
      <c r="S43" s="278"/>
      <c r="T43" s="278"/>
      <c r="U43" s="278"/>
      <c r="V43" s="278"/>
    </row>
    <row r="44" spans="1:22" ht="22" customHeight="1">
      <c r="A44" s="280" t="s">
        <v>114</v>
      </c>
      <c r="B44" s="91">
        <v>401734</v>
      </c>
      <c r="C44" s="39" t="s">
        <v>263</v>
      </c>
      <c r="D44" s="40">
        <v>45904</v>
      </c>
      <c r="E44" s="41" t="s">
        <v>2</v>
      </c>
      <c r="F44" s="42">
        <v>86.5</v>
      </c>
      <c r="G44" s="281">
        <f>IF(OR(E44="",F44=""),"",PID_KVLohnLookup($A$1,E44,F44,LOHNTABELLE!$H$4))</f>
        <v>1010.5</v>
      </c>
      <c r="H44" s="282">
        <f>IF(AND(ISNUMBER(D44),ISNUMBER(F44)),ROUNDDOWN(MIN(IF(OR(ISBLANK(I44),I44=""),EOMONTH(DATE(EINSTELLUNG!$C$35,$A$1,1),0),I44)-MAX(D44,DATE(EINSTELLUNG!$C$35,$A$1,1))+1)/DAY(EOMONTH(DATE(EINSTELLUNG!$C$35,$A$1,1),0))*F44,2),"")</f>
        <v>86.5</v>
      </c>
      <c r="I44" s="43"/>
      <c r="J44" s="44"/>
      <c r="K44" s="281">
        <f t="shared" si="1"/>
        <v>0</v>
      </c>
      <c r="L44" s="283">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1010.5</v>
      </c>
      <c r="M44" s="129"/>
      <c r="N44" s="65"/>
      <c r="O44" s="340" t="s">
        <v>115</v>
      </c>
      <c r="P44" s="340"/>
      <c r="Q44" s="340"/>
      <c r="R44" s="340"/>
      <c r="S44" s="340"/>
      <c r="T44" s="340"/>
      <c r="U44" s="340"/>
      <c r="V44" s="340"/>
    </row>
    <row r="45" spans="1:22" ht="22" customHeight="1">
      <c r="A45" s="280" t="s">
        <v>116</v>
      </c>
      <c r="B45" s="92">
        <v>401736</v>
      </c>
      <c r="C45" s="46" t="s">
        <v>264</v>
      </c>
      <c r="D45" s="47">
        <v>45906</v>
      </c>
      <c r="E45" s="48" t="s">
        <v>2</v>
      </c>
      <c r="F45" s="49">
        <v>86.5</v>
      </c>
      <c r="G45" s="281">
        <f>IF(OR(E45="",F45=""),"",PID_KVLohnLookup($A$1,E45,F45,LOHNTABELLE!$H$4))</f>
        <v>1010.5</v>
      </c>
      <c r="H45" s="282">
        <f>IF(AND(ISNUMBER(D45),ISNUMBER(F45)),ROUNDDOWN(MIN(IF(OR(ISBLANK(I45),I45=""),EOMONTH(DATE(EINSTELLUNG!$C$35,$A$1,1),0),I45)-MAX(D45,DATE(EINSTELLUNG!$C$35,$A$1,1))+1)/DAY(EOMONTH(DATE(EINSTELLUNG!$C$35,$A$1,1),0))*F45,2),"")</f>
        <v>86.5</v>
      </c>
      <c r="I45" s="50"/>
      <c r="J45" s="51"/>
      <c r="K45" s="281">
        <f t="shared" si="1"/>
        <v>0</v>
      </c>
      <c r="L45" s="283">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1010.5</v>
      </c>
      <c r="M45" s="128"/>
      <c r="N45" s="66"/>
      <c r="O45" s="341"/>
      <c r="P45" s="341"/>
      <c r="Q45" s="341"/>
      <c r="R45" s="342"/>
      <c r="S45" s="342"/>
      <c r="T45" s="342"/>
      <c r="U45" s="342"/>
      <c r="V45" s="278"/>
    </row>
    <row r="46" spans="1:22" ht="22" customHeight="1">
      <c r="A46" s="280" t="s">
        <v>117</v>
      </c>
      <c r="B46" s="91">
        <v>401737</v>
      </c>
      <c r="C46" s="39" t="s">
        <v>265</v>
      </c>
      <c r="D46" s="40">
        <v>45906</v>
      </c>
      <c r="E46" s="41" t="s">
        <v>2</v>
      </c>
      <c r="F46" s="42">
        <v>86.5</v>
      </c>
      <c r="G46" s="281">
        <f>IF(OR(E46="",F46=""),"",PID_KVLohnLookup($A$1,E46,F46,LOHNTABELLE!$H$4))</f>
        <v>1010.5</v>
      </c>
      <c r="H46" s="282">
        <f>IF(AND(ISNUMBER(D46),ISNUMBER(F46)),ROUNDDOWN(MIN(IF(OR(ISBLANK(I46),I46=""),EOMONTH(DATE(EINSTELLUNG!$C$35,$A$1,1),0),I46)-MAX(D46,DATE(EINSTELLUNG!$C$35,$A$1,1))+1)/DAY(EOMONTH(DATE(EINSTELLUNG!$C$35,$A$1,1),0))*F46,2),"")</f>
        <v>86.5</v>
      </c>
      <c r="I46" s="43"/>
      <c r="J46" s="44"/>
      <c r="K46" s="281">
        <f t="shared" si="1"/>
        <v>0</v>
      </c>
      <c r="L46" s="283">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1010.5</v>
      </c>
      <c r="M46" s="129"/>
      <c r="N46" s="65"/>
      <c r="O46" s="278"/>
      <c r="P46" s="278"/>
      <c r="Q46" s="278"/>
      <c r="R46" s="278"/>
      <c r="S46" s="278"/>
      <c r="T46" s="278"/>
      <c r="U46" s="278"/>
      <c r="V46" s="278"/>
    </row>
    <row r="47" spans="1:22" ht="22" customHeight="1">
      <c r="A47" s="280" t="s">
        <v>118</v>
      </c>
      <c r="B47" s="92">
        <v>401738</v>
      </c>
      <c r="C47" s="46" t="s">
        <v>266</v>
      </c>
      <c r="D47" s="47">
        <v>45909</v>
      </c>
      <c r="E47" s="48" t="s">
        <v>2</v>
      </c>
      <c r="F47" s="49">
        <v>86.5</v>
      </c>
      <c r="G47" s="281">
        <f>IF(OR(E47="",F47=""),"",PID_KVLohnLookup($A$1,E47,F47,LOHNTABELLE!$H$4))</f>
        <v>1010.5</v>
      </c>
      <c r="H47" s="282">
        <f>IF(AND(ISNUMBER(D47),ISNUMBER(F47)),ROUNDDOWN(MIN(IF(OR(ISBLANK(I47),I47=""),EOMONTH(DATE(EINSTELLUNG!$C$35,$A$1,1),0),I47)-MAX(D47,DATE(EINSTELLUNG!$C$35,$A$1,1))+1)/DAY(EOMONTH(DATE(EINSTELLUNG!$C$35,$A$1,1),0))*F47,2),"")</f>
        <v>86.5</v>
      </c>
      <c r="I47" s="50"/>
      <c r="J47" s="51"/>
      <c r="K47" s="281">
        <f t="shared" si="1"/>
        <v>0</v>
      </c>
      <c r="L47" s="283">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1010.5</v>
      </c>
      <c r="M47" s="128"/>
      <c r="N47" s="66"/>
      <c r="O47" s="278"/>
      <c r="P47" s="278"/>
      <c r="Q47" s="278"/>
      <c r="R47" s="278"/>
      <c r="S47" s="278"/>
      <c r="T47" s="278"/>
      <c r="U47" s="278"/>
      <c r="V47" s="278"/>
    </row>
    <row r="48" spans="1:22" ht="22" customHeight="1">
      <c r="A48" s="280" t="s">
        <v>119</v>
      </c>
      <c r="B48" s="91">
        <v>401747</v>
      </c>
      <c r="C48" s="39" t="s">
        <v>267</v>
      </c>
      <c r="D48" s="43">
        <v>45941</v>
      </c>
      <c r="E48" s="41" t="s">
        <v>2</v>
      </c>
      <c r="F48" s="42">
        <v>86.5</v>
      </c>
      <c r="G48" s="281">
        <f>IF(OR(E48="",F48=""),"",PID_KVLohnLookup($A$1,E48,F48,LOHNTABELLE!$H$4))</f>
        <v>1010.5</v>
      </c>
      <c r="H48" s="282">
        <f>IF(AND(ISNUMBER(D48),ISNUMBER(F48)),ROUNDDOWN(MIN(IF(OR(ISBLANK(I48),I48=""),EOMONTH(DATE(EINSTELLUNG!$C$35,$A$1,1),0),I48)-MAX(D48,DATE(EINSTELLUNG!$C$35,$A$1,1))+1)/DAY(EOMONTH(DATE(EINSTELLUNG!$C$35,$A$1,1),0))*F48,2),"")</f>
        <v>86.5</v>
      </c>
      <c r="I48" s="43"/>
      <c r="J48" s="44"/>
      <c r="K48" s="281">
        <f t="shared" si="1"/>
        <v>0</v>
      </c>
      <c r="L48" s="283">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1010.5</v>
      </c>
      <c r="M48" s="129"/>
      <c r="N48" s="65"/>
      <c r="O48" s="278"/>
      <c r="P48" s="278"/>
      <c r="Q48" s="278"/>
      <c r="R48" s="278"/>
      <c r="S48" s="278"/>
      <c r="T48" s="278"/>
      <c r="U48" s="278"/>
      <c r="V48" s="278"/>
    </row>
    <row r="49" spans="1:22" ht="22" customHeight="1">
      <c r="A49" s="280" t="s">
        <v>120</v>
      </c>
      <c r="B49" s="92">
        <v>401748</v>
      </c>
      <c r="C49" s="46" t="s">
        <v>268</v>
      </c>
      <c r="D49" s="50">
        <v>45941</v>
      </c>
      <c r="E49" s="48" t="s">
        <v>2</v>
      </c>
      <c r="F49" s="49">
        <v>138.4</v>
      </c>
      <c r="G49" s="281">
        <f>IF(OR(E49="",F49=""),"",PID_KVLohnLookup($A$1,E49,F49,LOHNTABELLE!$H$4))</f>
        <v>1616.8</v>
      </c>
      <c r="H49" s="282">
        <f>IF(AND(ISNUMBER(D49),ISNUMBER(F49)),ROUNDDOWN(MIN(IF(OR(ISBLANK(I49),I49=""),EOMONTH(DATE(EINSTELLUNG!$C$35,$A$1,1),0),I49)-MAX(D49,DATE(EINSTELLUNG!$C$35,$A$1,1))+1)/DAY(EOMONTH(DATE(EINSTELLUNG!$C$35,$A$1,1),0))*F49,2),"")</f>
        <v>138.4</v>
      </c>
      <c r="I49" s="50"/>
      <c r="J49" s="51"/>
      <c r="K49" s="281">
        <f t="shared" si="1"/>
        <v>0</v>
      </c>
      <c r="L49" s="283">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1616.8</v>
      </c>
      <c r="M49" s="128"/>
      <c r="N49" s="66"/>
      <c r="O49" s="278"/>
      <c r="P49" s="278"/>
      <c r="Q49" s="278"/>
      <c r="R49" s="278"/>
      <c r="S49" s="278"/>
      <c r="T49" s="278"/>
      <c r="U49" s="278"/>
      <c r="V49" s="278"/>
    </row>
    <row r="50" spans="1:22" ht="22" customHeight="1">
      <c r="A50" s="280" t="s">
        <v>121</v>
      </c>
      <c r="B50" s="91">
        <v>401746</v>
      </c>
      <c r="C50" s="53" t="s">
        <v>269</v>
      </c>
      <c r="D50" s="43">
        <v>45941</v>
      </c>
      <c r="E50" s="41" t="s">
        <v>2</v>
      </c>
      <c r="F50" s="42">
        <v>86.5</v>
      </c>
      <c r="G50" s="281">
        <f>IF(OR(E50="",F50=""),"",PID_KVLohnLookup($A$1,E50,F50,LOHNTABELLE!$H$4))</f>
        <v>1010.5</v>
      </c>
      <c r="H50" s="282">
        <f>IF(AND(ISNUMBER(D50),ISNUMBER(F50)),ROUNDDOWN(MIN(IF(OR(ISBLANK(I50),I50=""),EOMONTH(DATE(EINSTELLUNG!$C$35,$A$1,1),0),I50)-MAX(D50,DATE(EINSTELLUNG!$C$35,$A$1,1))+1)/DAY(EOMONTH(DATE(EINSTELLUNG!$C$35,$A$1,1),0))*F50,2),"")</f>
        <v>86.5</v>
      </c>
      <c r="I50" s="43"/>
      <c r="J50" s="44"/>
      <c r="K50" s="281">
        <f t="shared" si="1"/>
        <v>0</v>
      </c>
      <c r="L50" s="283">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1010.5</v>
      </c>
      <c r="M50" s="129"/>
      <c r="N50" s="65"/>
      <c r="O50" s="278"/>
      <c r="P50" s="278"/>
      <c r="Q50" s="278"/>
      <c r="R50" s="278"/>
      <c r="S50" s="278"/>
      <c r="T50" s="278"/>
      <c r="U50" s="278"/>
      <c r="V50" s="278"/>
    </row>
    <row r="51" spans="1:22" ht="22" customHeight="1">
      <c r="A51" s="280" t="s">
        <v>122</v>
      </c>
      <c r="B51" s="92">
        <v>401745</v>
      </c>
      <c r="C51" s="46" t="s">
        <v>270</v>
      </c>
      <c r="D51" s="50">
        <v>45934</v>
      </c>
      <c r="E51" s="48" t="s">
        <v>2</v>
      </c>
      <c r="F51" s="49">
        <v>86.5</v>
      </c>
      <c r="G51" s="281">
        <f>IF(OR(E51="",F51=""),"",PID_KVLohnLookup($A$1,E51,F51,LOHNTABELLE!$H$4))</f>
        <v>1010.5</v>
      </c>
      <c r="H51" s="282">
        <f>IF(AND(ISNUMBER(D51),ISNUMBER(F51)),ROUNDDOWN(MIN(IF(OR(ISBLANK(I51),I51=""),EOMONTH(DATE(EINSTELLUNG!$C$35,$A$1,1),0),I51)-MAX(D51,DATE(EINSTELLUNG!$C$35,$A$1,1))+1)/DAY(EOMONTH(DATE(EINSTELLUNG!$C$35,$A$1,1),0))*F51,2),"")</f>
        <v>86.5</v>
      </c>
      <c r="I51" s="50"/>
      <c r="J51" s="51"/>
      <c r="K51" s="281">
        <f t="shared" si="1"/>
        <v>0</v>
      </c>
      <c r="L51" s="283">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1010.5</v>
      </c>
      <c r="M51" s="52"/>
      <c r="N51" s="127"/>
    </row>
    <row r="52" spans="1:22" ht="22" customHeight="1">
      <c r="A52" s="280" t="s">
        <v>123</v>
      </c>
      <c r="B52" s="91">
        <v>401751</v>
      </c>
      <c r="C52" s="39" t="s">
        <v>271</v>
      </c>
      <c r="D52" s="43">
        <v>45961</v>
      </c>
      <c r="E52" s="41" t="s">
        <v>2</v>
      </c>
      <c r="F52" s="42">
        <v>86.5</v>
      </c>
      <c r="G52" s="281">
        <f>IF(OR(E52="",F52=""),"",PID_KVLohnLookup($A$1,E52,F52,LOHNTABELLE!$H$4))</f>
        <v>1010.5</v>
      </c>
      <c r="H52" s="282">
        <f>IF(AND(ISNUMBER(D52),ISNUMBER(F52)),ROUNDDOWN(MIN(IF(OR(ISBLANK(I52),I52=""),EOMONTH(DATE(EINSTELLUNG!$C$35,$A$1,1),0),I52)-MAX(D52,DATE(EINSTELLUNG!$C$35,$A$1,1))+1)/DAY(EOMONTH(DATE(EINSTELLUNG!$C$35,$A$1,1),0))*F52,2),"")</f>
        <v>86.5</v>
      </c>
      <c r="I52" s="43"/>
      <c r="J52" s="44"/>
      <c r="K52" s="281">
        <f t="shared" si="1"/>
        <v>0</v>
      </c>
      <c r="L52" s="283">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1010.5</v>
      </c>
      <c r="M52" s="45"/>
      <c r="N52" s="65"/>
    </row>
    <row r="53" spans="1:22" ht="22" customHeight="1">
      <c r="A53" s="280" t="s">
        <v>124</v>
      </c>
      <c r="B53" s="92">
        <v>401752</v>
      </c>
      <c r="C53" s="46" t="s">
        <v>272</v>
      </c>
      <c r="D53" s="50">
        <v>45986</v>
      </c>
      <c r="E53" s="48" t="s">
        <v>2</v>
      </c>
      <c r="F53" s="49">
        <v>173</v>
      </c>
      <c r="G53" s="281">
        <f>IF(OR(E53="",F53=""),"",PID_KVLohnLookup($A$1,E53,F53,LOHNTABELLE!$H$4))</f>
        <v>2021</v>
      </c>
      <c r="H53" s="282">
        <f>IF(AND(ISNUMBER(D53),ISNUMBER(F53)),ROUNDDOWN(MIN(IF(OR(ISBLANK(I53),I53=""),EOMONTH(DATE(EINSTELLUNG!$C$35,$A$1,1),0),I53)-MAX(D53,DATE(EINSTELLUNG!$C$35,$A$1,1))+1)/DAY(EOMONTH(DATE(EINSTELLUNG!$C$35,$A$1,1),0))*F53,2),"")</f>
        <v>173</v>
      </c>
      <c r="I53" s="50"/>
      <c r="J53" s="51"/>
      <c r="K53" s="281">
        <f t="shared" si="1"/>
        <v>0</v>
      </c>
      <c r="L53" s="283">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2021</v>
      </c>
      <c r="M53" s="52"/>
      <c r="N53" s="66"/>
    </row>
    <row r="54" spans="1:22" ht="22" customHeight="1">
      <c r="A54" s="280" t="s">
        <v>125</v>
      </c>
      <c r="B54" s="91">
        <v>401754</v>
      </c>
      <c r="C54" s="39" t="s">
        <v>273</v>
      </c>
      <c r="D54" s="43">
        <v>46014</v>
      </c>
      <c r="E54" s="41" t="s">
        <v>2</v>
      </c>
      <c r="F54" s="42">
        <v>151.38</v>
      </c>
      <c r="G54" s="281">
        <f>IF(OR(E54="",F54=""),"",PID_KVLohnLookup($A$1,E54,F54,LOHNTABELLE!$H$4))</f>
        <v>1768.38</v>
      </c>
      <c r="H54" s="282">
        <f>IF(AND(ISNUMBER(D54),ISNUMBER(F54)),ROUNDDOWN(MIN(IF(OR(ISBLANK(I54),I54=""),EOMONTH(DATE(EINSTELLUNG!$C$35,$A$1,1),0),I54)-MAX(D54,DATE(EINSTELLUNG!$C$35,$A$1,1))+1)/DAY(EOMONTH(DATE(EINSTELLUNG!$C$35,$A$1,1),0))*F54,2),"")</f>
        <v>151.38</v>
      </c>
      <c r="I54" s="43"/>
      <c r="J54" s="44"/>
      <c r="K54" s="281">
        <f t="shared" si="1"/>
        <v>0</v>
      </c>
      <c r="L54" s="283">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1768.38</v>
      </c>
      <c r="M54" s="45"/>
      <c r="N54" s="65"/>
    </row>
    <row r="55" spans="1:22" ht="22" customHeight="1">
      <c r="A55" s="280" t="s">
        <v>126</v>
      </c>
      <c r="B55" s="92">
        <v>401999</v>
      </c>
      <c r="C55" s="46" t="s">
        <v>354</v>
      </c>
      <c r="D55" s="50">
        <v>46041</v>
      </c>
      <c r="E55" s="48" t="s">
        <v>2</v>
      </c>
      <c r="F55" s="49">
        <v>151.38</v>
      </c>
      <c r="G55" s="281">
        <f>IF(OR(E55="",F55=""),"",PID_KVLohnLookup($A$1,E55,F55,LOHNTABELLE!$H$4))</f>
        <v>1768.38</v>
      </c>
      <c r="H55" s="282">
        <f>IF(AND(ISNUMBER(D55),ISNUMBER(F55)),ROUNDDOWN(MIN(IF(OR(ISBLANK(I55),I55=""),EOMONTH(DATE(EINSTELLUNG!$C$35,$A$1,1),0),I55)-MAX(D55,DATE(EINSTELLUNG!$C$35,$A$1,1))+1)/DAY(EOMONTH(DATE(EINSTELLUNG!$C$35,$A$1,1),0))*F55,2),"")</f>
        <v>63.48</v>
      </c>
      <c r="I55" s="50"/>
      <c r="J55" s="51"/>
      <c r="K55" s="281">
        <f t="shared" si="1"/>
        <v>0</v>
      </c>
      <c r="L55" s="283">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741.5787096774194</v>
      </c>
      <c r="M55" s="52"/>
      <c r="N55" s="66"/>
    </row>
    <row r="56" spans="1:22" ht="22" customHeight="1">
      <c r="A56" s="280" t="s">
        <v>127</v>
      </c>
      <c r="B56" s="91"/>
      <c r="C56" s="39"/>
      <c r="D56" s="43"/>
      <c r="E56" s="41"/>
      <c r="F56" s="42"/>
      <c r="G56" s="281" t="str">
        <f>IF(OR(E56="",F56=""),"",PID_KVLohnLookup($A$1,E56,F56,LOHNTABELLE!$H$4))</f>
        <v/>
      </c>
      <c r="H56" s="282" t="str">
        <f>IF(AND(ISNUMBER(D56),ISNUMBER(F56)),ROUNDDOWN(MIN(IF(OR(ISBLANK(I56),I56=""),EOMONTH(DATE(EINSTELLUNG!$C$35,$A$1,1),0),I56)-MAX(D56,DATE(EINSTELLUNG!$C$35,$A$1,1))+1)/DAY(EOMONTH(DATE(EINSTELLUNG!$C$35,$A$1,1),0))*F56,2),"")</f>
        <v/>
      </c>
      <c r="I56" s="43"/>
      <c r="J56" s="44"/>
      <c r="K56" s="281" t="str">
        <f t="shared" si="1"/>
        <v/>
      </c>
      <c r="L56" s="283" t="str">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
      </c>
      <c r="M56" s="45"/>
      <c r="N56" s="65"/>
    </row>
    <row r="57" spans="1:22" ht="22" customHeight="1">
      <c r="A57" s="280" t="s">
        <v>128</v>
      </c>
      <c r="B57" s="92"/>
      <c r="C57" s="46"/>
      <c r="D57" s="50"/>
      <c r="E57" s="48"/>
      <c r="F57" s="49"/>
      <c r="G57" s="281" t="str">
        <f>IF(OR(E57="",F57=""),"",PID_KVLohnLookup($A$1,E57,F57,LOHNTABELLE!$H$4))</f>
        <v/>
      </c>
      <c r="H57" s="282" t="str">
        <f>IF(AND(ISNUMBER(D57),ISNUMBER(F57)),ROUNDDOWN(MIN(IF(OR(ISBLANK(I57),I57=""),EOMONTH(DATE(EINSTELLUNG!$C$35,$A$1,1),0),I57)-MAX(D57,DATE(EINSTELLUNG!$C$35,$A$1,1))+1)/DAY(EOMONTH(DATE(EINSTELLUNG!$C$35,$A$1,1),0))*F57,2),"")</f>
        <v/>
      </c>
      <c r="I57" s="50"/>
      <c r="J57" s="51"/>
      <c r="K57" s="281" t="str">
        <f t="shared" si="1"/>
        <v/>
      </c>
      <c r="L57" s="283" t="str">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
      </c>
      <c r="M57" s="52"/>
      <c r="N57" s="66"/>
    </row>
    <row r="58" spans="1:22" ht="22" customHeight="1">
      <c r="A58" s="280" t="s">
        <v>129</v>
      </c>
      <c r="B58" s="91"/>
      <c r="C58" s="39"/>
      <c r="D58" s="43"/>
      <c r="E58" s="41"/>
      <c r="F58" s="42"/>
      <c r="G58" s="281" t="str">
        <f>IF(OR(E58="",F58=""),"",PID_KVLohnLookup($A$1,E58,F58,LOHNTABELLE!$H$4))</f>
        <v/>
      </c>
      <c r="H58" s="282" t="str">
        <f>IF(AND(ISNUMBER(D58),ISNUMBER(F58)),ROUNDDOWN(MIN(IF(OR(ISBLANK(I58),I58=""),EOMONTH(DATE(EINSTELLUNG!$C$35,$A$1,1),0),I58)-MAX(D58,DATE(EINSTELLUNG!$C$35,$A$1,1))+1)/DAY(EOMONTH(DATE(EINSTELLUNG!$C$35,$A$1,1),0))*F58,2),"")</f>
        <v/>
      </c>
      <c r="I58" s="43"/>
      <c r="J58" s="44"/>
      <c r="K58" s="281" t="str">
        <f t="shared" si="1"/>
        <v/>
      </c>
      <c r="L58" s="283" t="str">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
      </c>
      <c r="M58" s="45"/>
      <c r="N58" s="65"/>
    </row>
    <row r="59" spans="1:22" ht="22" customHeight="1">
      <c r="A59" s="280" t="s">
        <v>130</v>
      </c>
      <c r="B59" s="92"/>
      <c r="C59" s="46"/>
      <c r="D59" s="50"/>
      <c r="E59" s="48"/>
      <c r="F59" s="49"/>
      <c r="G59" s="281" t="str">
        <f>IF(OR(E59="",F59=""),"",PID_KVLohnLookup($A$1,E59,F59,LOHNTABELLE!$H$4))</f>
        <v/>
      </c>
      <c r="H59" s="282" t="str">
        <f>IF(AND(ISNUMBER(D59),ISNUMBER(F59)),ROUNDDOWN(MIN(IF(OR(ISBLANK(I59),I59=""),EOMONTH(DATE(EINSTELLUNG!$C$35,$A$1,1),0),I59)-MAX(D59,DATE(EINSTELLUNG!$C$35,$A$1,1))+1)/DAY(EOMONTH(DATE(EINSTELLUNG!$C$35,$A$1,1),0))*F59,2),"")</f>
        <v/>
      </c>
      <c r="I59" s="50"/>
      <c r="J59" s="51"/>
      <c r="K59" s="281" t="str">
        <f t="shared" si="1"/>
        <v/>
      </c>
      <c r="L59" s="283" t="str">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
      </c>
      <c r="M59" s="52"/>
      <c r="N59" s="66"/>
    </row>
    <row r="60" spans="1:22" ht="22" customHeight="1">
      <c r="A60" s="280" t="s">
        <v>131</v>
      </c>
      <c r="B60" s="91"/>
      <c r="C60" s="39"/>
      <c r="D60" s="43"/>
      <c r="E60" s="41"/>
      <c r="F60" s="42"/>
      <c r="G60" s="281" t="str">
        <f>IF(OR(E60="",F60=""),"",PID_KVLohnLookup($A$1,E60,F60,LOHNTABELLE!$H$4))</f>
        <v/>
      </c>
      <c r="H60" s="282" t="str">
        <f>IF(AND(ISNUMBER(D60),ISNUMBER(F60)),ROUNDDOWN(MIN(IF(OR(ISBLANK(I60),I60=""),EOMONTH(DATE(EINSTELLUNG!$C$35,$A$1,1),0),I60)-MAX(D60,DATE(EINSTELLUNG!$C$35,$A$1,1))+1)/DAY(EOMONTH(DATE(EINSTELLUNG!$C$35,$A$1,1),0))*F60,2),"")</f>
        <v/>
      </c>
      <c r="I60" s="43"/>
      <c r="J60" s="44"/>
      <c r="K60" s="281" t="str">
        <f t="shared" si="1"/>
        <v/>
      </c>
      <c r="L60" s="283" t="str">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
      </c>
      <c r="M60" s="45"/>
      <c r="N60" s="65"/>
    </row>
    <row r="61" spans="1:22" ht="22" customHeight="1">
      <c r="A61" s="280" t="s">
        <v>132</v>
      </c>
      <c r="B61" s="92"/>
      <c r="C61" s="46"/>
      <c r="D61" s="50"/>
      <c r="E61" s="48"/>
      <c r="F61" s="49"/>
      <c r="G61" s="281" t="str">
        <f>IF(OR(E61="",F61=""),"",PID_KVLohnLookup($A$1,E61,F61,LOHNTABELLE!$H$4))</f>
        <v/>
      </c>
      <c r="H61" s="282" t="str">
        <f>IF(AND(ISNUMBER(D61),ISNUMBER(F61)),ROUNDDOWN(MIN(IF(OR(ISBLANK(I61),I61=""),EOMONTH(DATE(EINSTELLUNG!$C$35,$A$1,1),0),I61)-MAX(D61,DATE(EINSTELLUNG!$C$35,$A$1,1))+1)/DAY(EOMONTH(DATE(EINSTELLUNG!$C$35,$A$1,1),0))*F61,2),"")</f>
        <v/>
      </c>
      <c r="I61" s="50"/>
      <c r="J61" s="51"/>
      <c r="K61" s="281" t="str">
        <f t="shared" si="1"/>
        <v/>
      </c>
      <c r="L61" s="283" t="str">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52"/>
      <c r="N61" s="66"/>
    </row>
    <row r="62" spans="1:22" ht="22" customHeight="1">
      <c r="A62" s="280" t="s">
        <v>133</v>
      </c>
      <c r="B62" s="91"/>
      <c r="C62" s="39"/>
      <c r="D62" s="43"/>
      <c r="E62" s="41"/>
      <c r="F62" s="42"/>
      <c r="G62" s="281" t="str">
        <f>IF(OR(E62="",F62=""),"",PID_KVLohnLookup($A$1,E62,F62,LOHNTABELLE!$H$4))</f>
        <v/>
      </c>
      <c r="H62" s="282" t="str">
        <f>IF(AND(ISNUMBER(D62),ISNUMBER(F62)),ROUNDDOWN(MIN(IF(OR(ISBLANK(I62),I62=""),EOMONTH(DATE(EINSTELLUNG!$C$35,$A$1,1),0),I62)-MAX(D62,DATE(EINSTELLUNG!$C$35,$A$1,1))+1)/DAY(EOMONTH(DATE(EINSTELLUNG!$C$35,$A$1,1),0))*F62,2),"")</f>
        <v/>
      </c>
      <c r="I62" s="43"/>
      <c r="J62" s="44"/>
      <c r="K62" s="281" t="str">
        <f t="shared" si="1"/>
        <v/>
      </c>
      <c r="L62" s="283"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45"/>
      <c r="N62" s="65"/>
    </row>
    <row r="63" spans="1:22" ht="22" customHeight="1">
      <c r="A63" s="280" t="s">
        <v>134</v>
      </c>
      <c r="B63" s="92"/>
      <c r="C63" s="46"/>
      <c r="D63" s="50"/>
      <c r="E63" s="48"/>
      <c r="F63" s="49"/>
      <c r="G63" s="281" t="str">
        <f>IF(OR(E63="",F63=""),"",PID_KVLohnLookup($A$1,E63,F63,LOHNTABELLE!$H$4))</f>
        <v/>
      </c>
      <c r="H63" s="282" t="str">
        <f>IF(AND(ISNUMBER(D63),ISNUMBER(F63)),ROUNDDOWN(MIN(IF(OR(ISBLANK(I63),I63=""),EOMONTH(DATE(EINSTELLUNG!$C$35,$A$1,1),0),I63)-MAX(D63,DATE(EINSTELLUNG!$C$35,$A$1,1))+1)/DAY(EOMONTH(DATE(EINSTELLUNG!$C$35,$A$1,1),0))*F63,2),"")</f>
        <v/>
      </c>
      <c r="I63" s="50"/>
      <c r="J63" s="51"/>
      <c r="K63" s="281" t="str">
        <f t="shared" si="1"/>
        <v/>
      </c>
      <c r="L63" s="283"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52"/>
      <c r="N63" s="66"/>
    </row>
    <row r="64" spans="1:22" ht="22" customHeight="1">
      <c r="A64" s="280" t="s">
        <v>135</v>
      </c>
      <c r="B64" s="91"/>
      <c r="C64" s="39"/>
      <c r="D64" s="43"/>
      <c r="E64" s="41"/>
      <c r="F64" s="42"/>
      <c r="G64" s="281" t="str">
        <f>IF(OR(E64="",F64=""),"",PID_KVLohnLookup($A$1,E64,F64,LOHNTABELLE!$H$4))</f>
        <v/>
      </c>
      <c r="H64" s="282" t="str">
        <f>IF(AND(ISNUMBER(D64),ISNUMBER(F64)),ROUNDDOWN(MIN(IF(OR(ISBLANK(I64),I64=""),EOMONTH(DATE(EINSTELLUNG!$C$35,$A$1,1),0),I64)-MAX(D64,DATE(EINSTELLUNG!$C$35,$A$1,1))+1)/DAY(EOMONTH(DATE(EINSTELLUNG!$C$35,$A$1,1),0))*F64,2),"")</f>
        <v/>
      </c>
      <c r="I64" s="43"/>
      <c r="J64" s="44"/>
      <c r="K64" s="281" t="str">
        <f t="shared" si="1"/>
        <v/>
      </c>
      <c r="L64" s="283"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45"/>
      <c r="N64" s="65"/>
    </row>
    <row r="65" spans="1:14" ht="22" customHeight="1">
      <c r="A65" s="280" t="s">
        <v>136</v>
      </c>
      <c r="B65" s="92"/>
      <c r="C65" s="46"/>
      <c r="D65" s="50"/>
      <c r="E65" s="48"/>
      <c r="F65" s="49"/>
      <c r="G65" s="281" t="str">
        <f>IF(OR(E65="",F65=""),"",PID_KVLohnLookup($A$1,E65,F65,LOHNTABELLE!$H$4))</f>
        <v/>
      </c>
      <c r="H65" s="282" t="str">
        <f>IF(AND(ISNUMBER(D65),ISNUMBER(F65)),ROUNDDOWN(MIN(IF(OR(ISBLANK(I65),I65=""),EOMONTH(DATE(EINSTELLUNG!$C$35,$A$1,1),0),I65)-MAX(D65,DATE(EINSTELLUNG!$C$35,$A$1,1))+1)/DAY(EOMONTH(DATE(EINSTELLUNG!$C$35,$A$1,1),0))*F65,2),"")</f>
        <v/>
      </c>
      <c r="I65" s="50"/>
      <c r="J65" s="51"/>
      <c r="K65" s="281" t="str">
        <f t="shared" si="1"/>
        <v/>
      </c>
      <c r="L65" s="283"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52"/>
      <c r="N65" s="66"/>
    </row>
    <row r="66" spans="1:14" ht="22" customHeight="1">
      <c r="A66" s="280" t="s">
        <v>137</v>
      </c>
      <c r="B66" s="91"/>
      <c r="C66" s="39"/>
      <c r="D66" s="43"/>
      <c r="E66" s="41"/>
      <c r="F66" s="42"/>
      <c r="G66" s="281" t="str">
        <f>IF(OR(E66="",F66=""),"",PID_KVLohnLookup($A$1,E66,F66,LOHNTABELLE!$H$4))</f>
        <v/>
      </c>
      <c r="H66" s="282" t="str">
        <f>IF(AND(ISNUMBER(D66),ISNUMBER(F66)),ROUNDDOWN(MIN(IF(OR(ISBLANK(I66),I66=""),EOMONTH(DATE(EINSTELLUNG!$C$35,$A$1,1),0),I66)-MAX(D66,DATE(EINSTELLUNG!$C$35,$A$1,1))+1)/DAY(EOMONTH(DATE(EINSTELLUNG!$C$35,$A$1,1),0))*F66,2),"")</f>
        <v/>
      </c>
      <c r="I66" s="43"/>
      <c r="J66" s="44"/>
      <c r="K66" s="281" t="str">
        <f t="shared" si="1"/>
        <v/>
      </c>
      <c r="L66" s="283"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45"/>
      <c r="N66" s="65"/>
    </row>
    <row r="67" spans="1:14" ht="22" customHeight="1">
      <c r="A67" s="280" t="s">
        <v>138</v>
      </c>
      <c r="B67" s="92"/>
      <c r="C67" s="46"/>
      <c r="D67" s="50"/>
      <c r="E67" s="48"/>
      <c r="F67" s="49"/>
      <c r="G67" s="281" t="str">
        <f>IF(OR(E67="",F67=""),"",PID_KVLohnLookup($A$1,E67,F67,LOHNTABELLE!$H$4))</f>
        <v/>
      </c>
      <c r="H67" s="282" t="str">
        <f>IF(AND(ISNUMBER(D67),ISNUMBER(F67)),ROUNDDOWN(MIN(IF(OR(ISBLANK(I67),I67=""),EOMONTH(DATE(EINSTELLUNG!$C$35,$A$1,1),0),I67)-MAX(D67,DATE(EINSTELLUNG!$C$35,$A$1,1))+1)/DAY(EOMONTH(DATE(EINSTELLUNG!$C$35,$A$1,1),0))*F67,2),"")</f>
        <v/>
      </c>
      <c r="I67" s="50"/>
      <c r="J67" s="51"/>
      <c r="K67" s="281" t="str">
        <f t="shared" ref="K67:K82" si="3">IF(OR(B67="",C67=""),"",IFERROR(IF(OR(MONTH(D67)=1,MONTH(D67)=3,MONTH(D67)=5,MONTH(D67)=7,MONTH(D67)=8,MONTH(D67)=10,MONTH(D67)=12),(G67/31)*J67,IF(OR(MONTH(D67)=4,MONTH(D67)=6,MONTH(D67)=9,MONTH(D67)=11),(G67/30)*J67,(G67/DAY(EOMONTH(D67,0)))*J67)),0))</f>
        <v/>
      </c>
      <c r="L67" s="283"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52"/>
      <c r="N67" s="66"/>
    </row>
    <row r="68" spans="1:14" ht="22" customHeight="1">
      <c r="A68" s="280" t="s">
        <v>139</v>
      </c>
      <c r="B68" s="91"/>
      <c r="C68" s="39"/>
      <c r="D68" s="43"/>
      <c r="E68" s="41"/>
      <c r="F68" s="42"/>
      <c r="G68" s="281" t="str">
        <f>IF(OR(E68="",F68=""),"",PID_KVLohnLookup($A$1,E68,F68,LOHNTABELLE!$H$4))</f>
        <v/>
      </c>
      <c r="H68" s="282" t="str">
        <f>IF(AND(ISNUMBER(D68),ISNUMBER(F68)),ROUNDDOWN(MIN(IF(OR(ISBLANK(I68),I68=""),EOMONTH(DATE(EINSTELLUNG!$C$35,$A$1,1),0),I68)-MAX(D68,DATE(EINSTELLUNG!$C$35,$A$1,1))+1)/DAY(EOMONTH(DATE(EINSTELLUNG!$C$35,$A$1,1),0))*F68,2),"")</f>
        <v/>
      </c>
      <c r="I68" s="43"/>
      <c r="J68" s="44"/>
      <c r="K68" s="281" t="str">
        <f t="shared" si="3"/>
        <v/>
      </c>
      <c r="L68" s="283"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45"/>
      <c r="N68" s="65"/>
    </row>
    <row r="69" spans="1:14" ht="22" customHeight="1">
      <c r="A69" s="280" t="s">
        <v>140</v>
      </c>
      <c r="B69" s="92"/>
      <c r="C69" s="46"/>
      <c r="D69" s="50"/>
      <c r="E69" s="48"/>
      <c r="F69" s="49"/>
      <c r="G69" s="281" t="str">
        <f>IF(OR(E69="",F69=""),"",PID_KVLohnLookup($A$1,E69,F69,LOHNTABELLE!$H$4))</f>
        <v/>
      </c>
      <c r="H69" s="282" t="str">
        <f>IF(AND(ISNUMBER(D69),ISNUMBER(F69)),ROUNDDOWN(MIN(IF(OR(ISBLANK(I69),I69=""),EOMONTH(DATE(EINSTELLUNG!$C$35,$A$1,1),0),I69)-MAX(D69,DATE(EINSTELLUNG!$C$35,$A$1,1))+1)/DAY(EOMONTH(DATE(EINSTELLUNG!$C$35,$A$1,1),0))*F69,2),"")</f>
        <v/>
      </c>
      <c r="I69" s="50"/>
      <c r="J69" s="51"/>
      <c r="K69" s="281" t="str">
        <f t="shared" si="3"/>
        <v/>
      </c>
      <c r="L69" s="283"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52"/>
      <c r="N69" s="66"/>
    </row>
    <row r="70" spans="1:14" ht="22" customHeight="1">
      <c r="A70" s="280" t="s">
        <v>141</v>
      </c>
      <c r="B70" s="91"/>
      <c r="C70" s="39"/>
      <c r="D70" s="43"/>
      <c r="E70" s="41"/>
      <c r="F70" s="42"/>
      <c r="G70" s="281" t="str">
        <f>IF(OR(E70="",F70=""),"",PID_KVLohnLookup($A$1,E70,F70,LOHNTABELLE!$H$4))</f>
        <v/>
      </c>
      <c r="H70" s="282" t="str">
        <f>IF(AND(ISNUMBER(D70),ISNUMBER(F70)),ROUNDDOWN(MIN(IF(OR(ISBLANK(I70),I70=""),EOMONTH(DATE(EINSTELLUNG!$C$35,$A$1,1),0),I70)-MAX(D70,DATE(EINSTELLUNG!$C$35,$A$1,1))+1)/DAY(EOMONTH(DATE(EINSTELLUNG!$C$35,$A$1,1),0))*F70,2),"")</f>
        <v/>
      </c>
      <c r="I70" s="43"/>
      <c r="J70" s="44"/>
      <c r="K70" s="281" t="str">
        <f t="shared" si="3"/>
        <v/>
      </c>
      <c r="L70" s="283"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45"/>
      <c r="N70" s="65"/>
    </row>
    <row r="71" spans="1:14" ht="22" customHeight="1">
      <c r="A71" s="280" t="s">
        <v>142</v>
      </c>
      <c r="B71" s="92"/>
      <c r="C71" s="46"/>
      <c r="D71" s="50"/>
      <c r="E71" s="48"/>
      <c r="F71" s="49"/>
      <c r="G71" s="281" t="str">
        <f>IF(OR(E71="",F71=""),"",PID_KVLohnLookup($A$1,E71,F71,LOHNTABELLE!$H$4))</f>
        <v/>
      </c>
      <c r="H71" s="282" t="str">
        <f>IF(AND(ISNUMBER(D71),ISNUMBER(F71)),ROUNDDOWN(MIN(IF(OR(ISBLANK(I71),I71=""),EOMONTH(DATE(EINSTELLUNG!$C$35,$A$1,1),0),I71)-MAX(D71,DATE(EINSTELLUNG!$C$35,$A$1,1))+1)/DAY(EOMONTH(DATE(EINSTELLUNG!$C$35,$A$1,1),0))*F71,2),"")</f>
        <v/>
      </c>
      <c r="I71" s="50"/>
      <c r="J71" s="51"/>
      <c r="K71" s="281" t="str">
        <f t="shared" si="3"/>
        <v/>
      </c>
      <c r="L71" s="283"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52"/>
      <c r="N71" s="66"/>
    </row>
    <row r="72" spans="1:14" ht="22" customHeight="1">
      <c r="A72" s="280" t="s">
        <v>143</v>
      </c>
      <c r="B72" s="91"/>
      <c r="C72" s="39"/>
      <c r="D72" s="43"/>
      <c r="E72" s="41"/>
      <c r="F72" s="42"/>
      <c r="G72" s="281" t="str">
        <f>IF(OR(E72="",F72=""),"",PID_KVLohnLookup($A$1,E72,F72,LOHNTABELLE!$H$4))</f>
        <v/>
      </c>
      <c r="H72" s="282" t="str">
        <f>IF(AND(ISNUMBER(D72),ISNUMBER(F72)),ROUNDDOWN(MIN(IF(OR(ISBLANK(I72),I72=""),EOMONTH(DATE(EINSTELLUNG!$C$35,$A$1,1),0),I72)-MAX(D72,DATE(EINSTELLUNG!$C$35,$A$1,1))+1)/DAY(EOMONTH(DATE(EINSTELLUNG!$C$35,$A$1,1),0))*F72,2),"")</f>
        <v/>
      </c>
      <c r="I72" s="43"/>
      <c r="J72" s="44"/>
      <c r="K72" s="281" t="str">
        <f t="shared" si="3"/>
        <v/>
      </c>
      <c r="L72" s="283"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45"/>
      <c r="N72" s="65"/>
    </row>
    <row r="73" spans="1:14" ht="22" customHeight="1">
      <c r="A73" s="280" t="s">
        <v>144</v>
      </c>
      <c r="B73" s="92"/>
      <c r="C73" s="46"/>
      <c r="D73" s="50"/>
      <c r="E73" s="48"/>
      <c r="F73" s="49"/>
      <c r="G73" s="281" t="str">
        <f>IF(OR(E73="",F73=""),"",PID_KVLohnLookup($A$1,E73,F73,LOHNTABELLE!$H$4))</f>
        <v/>
      </c>
      <c r="H73" s="282" t="str">
        <f>IF(AND(ISNUMBER(D73),ISNUMBER(F73)),ROUNDDOWN(MIN(IF(OR(ISBLANK(I73),I73=""),EOMONTH(DATE(EINSTELLUNG!$C$35,$A$1,1),0),I73)-MAX(D73,DATE(EINSTELLUNG!$C$35,$A$1,1))+1)/DAY(EOMONTH(DATE(EINSTELLUNG!$C$35,$A$1,1),0))*F73,2),"")</f>
        <v/>
      </c>
      <c r="I73" s="50"/>
      <c r="J73" s="51"/>
      <c r="K73" s="281" t="str">
        <f t="shared" si="3"/>
        <v/>
      </c>
      <c r="L73" s="283"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52"/>
      <c r="N73" s="66"/>
    </row>
    <row r="74" spans="1:14" ht="22" customHeight="1">
      <c r="A74" s="280" t="s">
        <v>145</v>
      </c>
      <c r="B74" s="91"/>
      <c r="C74" s="39"/>
      <c r="D74" s="43"/>
      <c r="E74" s="41"/>
      <c r="F74" s="42"/>
      <c r="G74" s="281" t="str">
        <f>IF(OR(E74="",F74=""),"",PID_KVLohnLookup($A$1,E74,F74,LOHNTABELLE!$H$4))</f>
        <v/>
      </c>
      <c r="H74" s="282" t="str">
        <f>IF(AND(ISNUMBER(D74),ISNUMBER(F74)),ROUNDDOWN(MIN(IF(OR(ISBLANK(I74),I74=""),EOMONTH(DATE(EINSTELLUNG!$C$35,$A$1,1),0),I74)-MAX(D74,DATE(EINSTELLUNG!$C$35,$A$1,1))+1)/DAY(EOMONTH(DATE(EINSTELLUNG!$C$35,$A$1,1),0))*F74,2),"")</f>
        <v/>
      </c>
      <c r="I74" s="43"/>
      <c r="J74" s="44"/>
      <c r="K74" s="281" t="str">
        <f t="shared" si="3"/>
        <v/>
      </c>
      <c r="L74" s="283"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45"/>
      <c r="N74" s="65"/>
    </row>
    <row r="75" spans="1:14" ht="22" customHeight="1">
      <c r="A75" s="280" t="s">
        <v>146</v>
      </c>
      <c r="B75" s="92"/>
      <c r="C75" s="46"/>
      <c r="D75" s="50"/>
      <c r="E75" s="48"/>
      <c r="F75" s="49"/>
      <c r="G75" s="281" t="str">
        <f>IF(OR(E75="",F75=""),"",PID_KVLohnLookup($A$1,E75,F75,LOHNTABELLE!$H$4))</f>
        <v/>
      </c>
      <c r="H75" s="282" t="str">
        <f>IF(AND(ISNUMBER(D75),ISNUMBER(F75)),ROUNDDOWN(MIN(IF(OR(ISBLANK(I75),I75=""),EOMONTH(DATE(EINSTELLUNG!$C$35,$A$1,1),0),I75)-MAX(D75,DATE(EINSTELLUNG!$C$35,$A$1,1))+1)/DAY(EOMONTH(DATE(EINSTELLUNG!$C$35,$A$1,1),0))*F75,2),"")</f>
        <v/>
      </c>
      <c r="I75" s="50"/>
      <c r="J75" s="51"/>
      <c r="K75" s="281" t="str">
        <f t="shared" si="3"/>
        <v/>
      </c>
      <c r="L75" s="283"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52"/>
      <c r="N75" s="66"/>
    </row>
    <row r="76" spans="1:14" ht="22" customHeight="1">
      <c r="A76" s="280" t="s">
        <v>147</v>
      </c>
      <c r="B76" s="91"/>
      <c r="C76" s="39"/>
      <c r="D76" s="43"/>
      <c r="E76" s="41"/>
      <c r="F76" s="42"/>
      <c r="G76" s="281" t="str">
        <f>IF(OR(E76="",F76=""),"",PID_KVLohnLookup($A$1,E76,F76,LOHNTABELLE!$H$4))</f>
        <v/>
      </c>
      <c r="H76" s="282" t="str">
        <f>IF(AND(ISNUMBER(D76),ISNUMBER(F76)),ROUNDDOWN(MIN(IF(OR(ISBLANK(I76),I76=""),EOMONTH(DATE(EINSTELLUNG!$C$35,$A$1,1),0),I76)-MAX(D76,DATE(EINSTELLUNG!$C$35,$A$1,1))+1)/DAY(EOMONTH(DATE(EINSTELLUNG!$C$35,$A$1,1),0))*F76,2),"")</f>
        <v/>
      </c>
      <c r="I76" s="43"/>
      <c r="J76" s="44"/>
      <c r="K76" s="281" t="str">
        <f t="shared" si="3"/>
        <v/>
      </c>
      <c r="L76" s="283"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45"/>
      <c r="N76" s="65"/>
    </row>
    <row r="77" spans="1:14" ht="22" customHeight="1">
      <c r="A77" s="280" t="s">
        <v>148</v>
      </c>
      <c r="B77" s="92"/>
      <c r="C77" s="46"/>
      <c r="D77" s="50"/>
      <c r="E77" s="48"/>
      <c r="F77" s="49"/>
      <c r="G77" s="281" t="str">
        <f>IF(OR(E77="",F77=""),"",PID_KVLohnLookup($A$1,E77,F77,LOHNTABELLE!$H$4))</f>
        <v/>
      </c>
      <c r="H77" s="282" t="str">
        <f>IF(AND(ISNUMBER(D77),ISNUMBER(F77)),ROUNDDOWN(MIN(IF(OR(ISBLANK(I77),I77=""),EOMONTH(DATE(EINSTELLUNG!$C$35,$A$1,1),0),I77)-MAX(D77,DATE(EINSTELLUNG!$C$35,$A$1,1))+1)/DAY(EOMONTH(DATE(EINSTELLUNG!$C$35,$A$1,1),0))*F77,2),"")</f>
        <v/>
      </c>
      <c r="I77" s="50"/>
      <c r="J77" s="51"/>
      <c r="K77" s="281" t="str">
        <f t="shared" si="3"/>
        <v/>
      </c>
      <c r="L77" s="283"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52"/>
      <c r="N77" s="66"/>
    </row>
    <row r="78" spans="1:14" ht="22" customHeight="1">
      <c r="A78" s="280" t="s">
        <v>149</v>
      </c>
      <c r="B78" s="91"/>
      <c r="C78" s="39"/>
      <c r="D78" s="43"/>
      <c r="E78" s="41"/>
      <c r="F78" s="42"/>
      <c r="G78" s="281" t="str">
        <f>IF(OR(E78="",F78=""),"",PID_KVLohnLookup($A$1,E78,F78,LOHNTABELLE!$H$4))</f>
        <v/>
      </c>
      <c r="H78" s="282" t="str">
        <f>IF(AND(ISNUMBER(D78),ISNUMBER(F78)),ROUNDDOWN(MIN(IF(OR(ISBLANK(I78),I78=""),EOMONTH(DATE(EINSTELLUNG!$C$35,$A$1,1),0),I78)-MAX(D78,DATE(EINSTELLUNG!$C$35,$A$1,1))+1)/DAY(EOMONTH(DATE(EINSTELLUNG!$C$35,$A$1,1),0))*F78,2),"")</f>
        <v/>
      </c>
      <c r="I78" s="43"/>
      <c r="J78" s="44"/>
      <c r="K78" s="281" t="str">
        <f t="shared" si="3"/>
        <v/>
      </c>
      <c r="L78" s="283"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45"/>
      <c r="N78" s="65"/>
    </row>
    <row r="79" spans="1:14" ht="22" customHeight="1">
      <c r="A79" s="280" t="s">
        <v>150</v>
      </c>
      <c r="B79" s="92"/>
      <c r="C79" s="46"/>
      <c r="D79" s="50"/>
      <c r="E79" s="48"/>
      <c r="F79" s="49"/>
      <c r="G79" s="281" t="str">
        <f>IF(OR(E79="",F79=""),"",PID_KVLohnLookup($A$1,E79,F79,LOHNTABELLE!$H$4))</f>
        <v/>
      </c>
      <c r="H79" s="282" t="str">
        <f>IF(AND(ISNUMBER(D79),ISNUMBER(F79)),ROUNDDOWN(MIN(IF(OR(ISBLANK(I79),I79=""),EOMONTH(DATE(EINSTELLUNG!$C$35,$A$1,1),0),I79)-MAX(D79,DATE(EINSTELLUNG!$C$35,$A$1,1))+1)/DAY(EOMONTH(DATE(EINSTELLUNG!$C$35,$A$1,1),0))*F79,2),"")</f>
        <v/>
      </c>
      <c r="I79" s="50"/>
      <c r="J79" s="51"/>
      <c r="K79" s="281" t="str">
        <f t="shared" si="3"/>
        <v/>
      </c>
      <c r="L79" s="283"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52"/>
      <c r="N79" s="66"/>
    </row>
    <row r="80" spans="1:14" ht="22" customHeight="1">
      <c r="A80" s="280" t="s">
        <v>151</v>
      </c>
      <c r="B80" s="91"/>
      <c r="C80" s="39"/>
      <c r="D80" s="43"/>
      <c r="E80" s="41"/>
      <c r="F80" s="42"/>
      <c r="G80" s="281" t="str">
        <f>IF(OR(E80="",F80=""),"",PID_KVLohnLookup($A$1,E80,F80,LOHNTABELLE!$H$4))</f>
        <v/>
      </c>
      <c r="H80" s="282" t="str">
        <f>IF(AND(ISNUMBER(D80),ISNUMBER(F80)),ROUNDDOWN(MIN(IF(OR(ISBLANK(I80),I80=""),EOMONTH(DATE(EINSTELLUNG!$C$35,$A$1,1),0),I80)-MAX(D80,DATE(EINSTELLUNG!$C$35,$A$1,1))+1)/DAY(EOMONTH(DATE(EINSTELLUNG!$C$35,$A$1,1),0))*F80,2),"")</f>
        <v/>
      </c>
      <c r="I80" s="43"/>
      <c r="J80" s="44"/>
      <c r="K80" s="281" t="str">
        <f t="shared" si="3"/>
        <v/>
      </c>
      <c r="L80" s="283"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45"/>
      <c r="N80" s="65"/>
    </row>
    <row r="81" spans="1:14" ht="22" customHeight="1">
      <c r="A81" s="280" t="s">
        <v>152</v>
      </c>
      <c r="B81" s="92"/>
      <c r="C81" s="46"/>
      <c r="D81" s="50"/>
      <c r="E81" s="48"/>
      <c r="F81" s="49"/>
      <c r="G81" s="281" t="str">
        <f>IF(OR(E81="",F81=""),"",PID_KVLohnLookup($A$1,E81,F81,LOHNTABELLE!$H$4))</f>
        <v/>
      </c>
      <c r="H81" s="282" t="str">
        <f>IF(AND(ISNUMBER(D81),ISNUMBER(F81)),ROUNDDOWN(MIN(IF(OR(ISBLANK(I81),I81=""),EOMONTH(DATE(EINSTELLUNG!$C$35,$A$1,1),0),I81)-MAX(D81,DATE(EINSTELLUNG!$C$35,$A$1,1))+1)/DAY(EOMONTH(DATE(EINSTELLUNG!$C$35,$A$1,1),0))*F81,2),"")</f>
        <v/>
      </c>
      <c r="I81" s="50"/>
      <c r="J81" s="51"/>
      <c r="K81" s="281" t="str">
        <f t="shared" si="3"/>
        <v/>
      </c>
      <c r="L81" s="283"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52"/>
      <c r="N81" s="66"/>
    </row>
    <row r="82" spans="1:14" ht="22" customHeight="1" thickBot="1">
      <c r="A82" s="343" t="s">
        <v>153</v>
      </c>
      <c r="B82" s="93"/>
      <c r="C82" s="54"/>
      <c r="D82" s="55"/>
      <c r="E82" s="56"/>
      <c r="F82" s="57"/>
      <c r="G82" s="344" t="str">
        <f>IF(OR(E82="",F82=""),"",PID_KVLohnLookup($A$1,E82,F82,LOHNTABELLE!$H$4))</f>
        <v/>
      </c>
      <c r="H82" s="345" t="str">
        <f>IF(AND(ISNUMBER(D82),ISNUMBER(F82)),ROUNDDOWN(MIN(IF(OR(ISBLANK(I82),I82=""),EOMONTH(DATE(EINSTELLUNG!$C$35,$A$1,1),0),I82)-MAX(D82,DATE(EINSTELLUNG!$C$35,$A$1,1))+1)/DAY(EOMONTH(DATE(EINSTELLUNG!$C$35,$A$1,1),0))*F82,2),"")</f>
        <v/>
      </c>
      <c r="I82" s="55"/>
      <c r="J82" s="58"/>
      <c r="K82" s="344" t="str">
        <f t="shared" si="3"/>
        <v/>
      </c>
      <c r="L82" s="346"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59"/>
      <c r="N82" s="69"/>
    </row>
    <row r="100" spans="26:26" ht="16" customHeight="1">
      <c r="Z100" s="259"/>
    </row>
    <row r="114" spans="11:14" ht="16" customHeight="1">
      <c r="K114" s="348"/>
      <c r="L114" s="348"/>
      <c r="M114" s="348"/>
      <c r="N114" s="349"/>
    </row>
    <row r="115" spans="11:14" ht="16" customHeight="1">
      <c r="K115" s="348"/>
      <c r="L115" s="348"/>
      <c r="M115" s="348"/>
      <c r="N115" s="349"/>
    </row>
    <row r="116" spans="11:14" ht="16" customHeight="1">
      <c r="K116" s="350"/>
      <c r="L116" s="350"/>
      <c r="M116" s="351"/>
      <c r="N116" s="351"/>
    </row>
    <row r="117" spans="11:14" ht="16" customHeight="1">
      <c r="K117" s="350"/>
      <c r="L117" s="350"/>
      <c r="M117" s="351"/>
      <c r="N117" s="351"/>
    </row>
    <row r="118" spans="11:14" ht="16" customHeight="1">
      <c r="K118" s="352"/>
      <c r="L118" s="352"/>
      <c r="M118" s="353"/>
      <c r="N118" s="353"/>
    </row>
    <row r="119" spans="11:14" ht="16" customHeight="1">
      <c r="K119" s="354"/>
      <c r="L119" s="354"/>
      <c r="M119" s="355"/>
      <c r="N119" s="355"/>
    </row>
    <row r="120" spans="11:14" ht="16" customHeight="1">
      <c r="K120" s="350"/>
      <c r="L120" s="350"/>
      <c r="M120" s="351"/>
      <c r="N120" s="351"/>
    </row>
    <row r="121" spans="11:14" ht="16" customHeight="1">
      <c r="K121" s="350"/>
      <c r="L121" s="350"/>
      <c r="M121" s="351"/>
      <c r="N121" s="351"/>
    </row>
    <row r="122" spans="11:14" ht="16" customHeight="1">
      <c r="K122" s="354"/>
      <c r="L122" s="354"/>
      <c r="M122" s="355"/>
      <c r="N122" s="355"/>
    </row>
    <row r="123" spans="11:14" ht="16" customHeight="1">
      <c r="K123" s="356"/>
      <c r="L123" s="356"/>
      <c r="M123" s="356"/>
      <c r="N123" s="356"/>
    </row>
  </sheetData>
  <sheetProtection algorithmName="SHA-512" hashValue="3DI0sruamhy1bV6REe6J3ZdOTibKibo7rJ/oc1g+WfMRIEvDKqiqo6aTJuaaIEvrwwwzP58FFMN3FAuCsBCCMA==" saltValue="kiCp7gZB8EmN8qmM+j9rcQ==" spinCount="100000" sheet="1" objects="1" scenarios="1" autoFilter="0"/>
  <mergeCells count="111">
    <mergeCell ref="S2:V2"/>
    <mergeCell ref="Q3:Q4"/>
    <mergeCell ref="P3:P4"/>
    <mergeCell ref="O3:O4"/>
    <mergeCell ref="Q20:R20"/>
    <mergeCell ref="O15:P15"/>
    <mergeCell ref="Q15:R15"/>
    <mergeCell ref="O16:R16"/>
    <mergeCell ref="S27:V27"/>
    <mergeCell ref="Q21:R21"/>
    <mergeCell ref="O22:P22"/>
    <mergeCell ref="O23:P23"/>
    <mergeCell ref="O17:P17"/>
    <mergeCell ref="O24:P24"/>
    <mergeCell ref="O20:P20"/>
    <mergeCell ref="O18:P18"/>
    <mergeCell ref="O19:P19"/>
    <mergeCell ref="O8:P8"/>
    <mergeCell ref="Q8:R8"/>
    <mergeCell ref="O11:P11"/>
    <mergeCell ref="Q24:R24"/>
    <mergeCell ref="Q26:R26"/>
    <mergeCell ref="O27:P27"/>
    <mergeCell ref="Q27:R27"/>
    <mergeCell ref="S40:T40"/>
    <mergeCell ref="U40:V40"/>
    <mergeCell ref="Q12:R12"/>
    <mergeCell ref="Q17:R17"/>
    <mergeCell ref="O42:P42"/>
    <mergeCell ref="Q42:V42"/>
    <mergeCell ref="O6:R6"/>
    <mergeCell ref="Q18:R18"/>
    <mergeCell ref="Q19:R19"/>
    <mergeCell ref="O39:P39"/>
    <mergeCell ref="Q39:R39"/>
    <mergeCell ref="Q11:R11"/>
    <mergeCell ref="O12:P12"/>
    <mergeCell ref="S38:T38"/>
    <mergeCell ref="U38:V38"/>
    <mergeCell ref="O37:P37"/>
    <mergeCell ref="S35:T35"/>
    <mergeCell ref="U35:V35"/>
    <mergeCell ref="O13:P13"/>
    <mergeCell ref="Q13:R13"/>
    <mergeCell ref="O14:P14"/>
    <mergeCell ref="Q14:R14"/>
    <mergeCell ref="O29:P29"/>
    <mergeCell ref="Q25:R25"/>
    <mergeCell ref="K122:L122"/>
    <mergeCell ref="R3:R4"/>
    <mergeCell ref="O35:P35"/>
    <mergeCell ref="Q35:R35"/>
    <mergeCell ref="K119:L119"/>
    <mergeCell ref="K120:L120"/>
    <mergeCell ref="O44:V44"/>
    <mergeCell ref="O45:U45"/>
    <mergeCell ref="S36:T36"/>
    <mergeCell ref="U36:V36"/>
    <mergeCell ref="S39:T39"/>
    <mergeCell ref="U39:V39"/>
    <mergeCell ref="Q37:R37"/>
    <mergeCell ref="S37:T37"/>
    <mergeCell ref="U37:V37"/>
    <mergeCell ref="O38:P38"/>
    <mergeCell ref="Q38:R38"/>
    <mergeCell ref="O41:P41"/>
    <mergeCell ref="Q41:R41"/>
    <mergeCell ref="S41:T41"/>
    <mergeCell ref="U41:V41"/>
    <mergeCell ref="S33:T34"/>
    <mergeCell ref="U33:V34"/>
    <mergeCell ref="Q40:R40"/>
    <mergeCell ref="K121:L121"/>
    <mergeCell ref="Q31:R31"/>
    <mergeCell ref="B1:B2"/>
    <mergeCell ref="K114:L115"/>
    <mergeCell ref="M114:M115"/>
    <mergeCell ref="K116:L116"/>
    <mergeCell ref="K117:L117"/>
    <mergeCell ref="K118:L118"/>
    <mergeCell ref="O36:P36"/>
    <mergeCell ref="Q36:R36"/>
    <mergeCell ref="O33:P34"/>
    <mergeCell ref="Q33:R34"/>
    <mergeCell ref="O9:P9"/>
    <mergeCell ref="Q9:R9"/>
    <mergeCell ref="Q23:R23"/>
    <mergeCell ref="Q22:R22"/>
    <mergeCell ref="O21:P21"/>
    <mergeCell ref="O10:P10"/>
    <mergeCell ref="Q10:R10"/>
    <mergeCell ref="D1:D2"/>
    <mergeCell ref="C1:C2"/>
    <mergeCell ref="I1:I2"/>
    <mergeCell ref="J1:J2"/>
    <mergeCell ref="K1:K2"/>
    <mergeCell ref="Q29:R29"/>
    <mergeCell ref="L1:L2"/>
    <mergeCell ref="O40:P40"/>
    <mergeCell ref="A1:A2"/>
    <mergeCell ref="E1:E2"/>
    <mergeCell ref="F1:F2"/>
    <mergeCell ref="G1:G2"/>
    <mergeCell ref="H1:H2"/>
    <mergeCell ref="M1:M2"/>
    <mergeCell ref="N1:N2"/>
    <mergeCell ref="O31:P31"/>
    <mergeCell ref="O28:P28"/>
    <mergeCell ref="Q28:R28"/>
    <mergeCell ref="O25:P25"/>
    <mergeCell ref="O26:P26"/>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D4A596C1-1E4E-4F45-93A3-34EED55BA633}">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E3478813-0F58-F145-B25C-A4533A425D58}">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8">
        <x14:dataValidation type="list" allowBlank="1" showInputMessage="1" showErrorMessage="1" xr:uid="{75CEEE5B-71EB-9D45-9AA0-7B223E338153}">
          <x14:formula1>
            <xm:f>KV_DROPDOWN_HELPER!$AJY$1:$AJY$12</xm:f>
          </x14:formula1>
          <xm:sqref>E3:E82</xm:sqref>
        </x14:dataValidation>
        <x14:dataValidation type="list" allowBlank="1" showInputMessage="1" showErrorMessage="1" xr:uid="{45152D90-2379-F94C-9BBE-D3D18883E79B}">
          <x14:formula1>
            <xm:f>KV_DROPDOWN_HELPER!$B$1:$B$13</xm:f>
          </x14:formula1>
          <xm:sqref>F5 F6 F8 F14</xm:sqref>
        </x14:dataValidation>
        <x14:dataValidation type="list" allowBlank="1" showInputMessage="1" showErrorMessage="1" xr:uid="{D8E30A28-84A8-064C-9799-635F2A72C293}">
          <x14:formula1>
            <xm:f>KV_DROPDOWN_HELPER!$C$1:$C$13</xm:f>
          </x14:formula1>
          <xm:sqref>F9 F12 F19 F21 F35</xm:sqref>
        </x14:dataValidation>
        <x14:dataValidation type="list" allowBlank="1" showInputMessage="1" showErrorMessage="1" xr:uid="{B893BC00-B1C4-1345-A373-612314452C4E}">
          <x14:formula1>
            <xm:f>KV_DROPDOWN_HELPER!$D$1:$D$13</xm:f>
          </x14:formula1>
          <xm:sqref>F18</xm:sqref>
        </x14:dataValidation>
        <x14:dataValidation type="list" allowBlank="1" showInputMessage="1" showErrorMessage="1" xr:uid="{975B7956-F8AB-6045-A1D6-60FF1730B613}">
          <x14:formula1>
            <xm:f>KV_DROPDOWN_HELPER!$F$1:$F$13</xm:f>
          </x14:formula1>
          <xm:sqref>F23 F25 F27</xm:sqref>
        </x14:dataValidation>
        <x14:dataValidation type="list" allowBlank="1" showInputMessage="1" showErrorMessage="1" xr:uid="{A31B9FAD-A4F9-224F-8CD3-9E921365C47A}">
          <x14:formula1>
            <xm:f>KV_DROPDOWN_HELPER!$G$1:$G$13</xm:f>
          </x14:formula1>
          <xm:sqref>F56 F57 F58 F59 F60 F61 F62 F63 F64 F65 F66 F67 F68 F69 F70 F71 F72 F73 F74 F75 F76 F77 F78 F79 F80 F81 F82</xm:sqref>
        </x14:dataValidation>
        <x14:dataValidation type="list" allowBlank="1" showInputMessage="1" showErrorMessage="1" xr:uid="{55566FC7-33D2-AB4A-86DD-65C530C3F55B}">
          <x14:formula1>
            <xm:f>KV_DROPDOWN_HELPER!$E$1:$E$13</xm:f>
          </x14:formula1>
          <xm:sqref>F22</xm:sqref>
        </x14:dataValidation>
        <x14:dataValidation type="list" allowBlank="1" showInputMessage="1" showErrorMessage="1" xr:uid="{40E4E506-3B2D-4330-A891-1FA222483455}">
          <x14:formula1>
            <xm:f>KV_DROPDOWN_HELPER!$A$1:$A$16</xm:f>
          </x14:formula1>
          <xm:sqref>F3 F4 F7 F10 F11 F13 F15 F16 F17 F20 F24 F26 F28 F29 F30 F31 F32 F33 F34 F36 F37 F38 F39 F40 F41 F42 F43 F44 F45 F46 F47 F48 F49 F50 F51 F52 F53 F54 F55</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F9A160-70C4-4D47-B6DF-F8EEA29113B1}">
  <sheetPr codeName="Tabelle4"/>
  <dimension ref="A1:AC100"/>
  <sheetViews>
    <sheetView showGridLines="0" showRowColHeaders="0" zoomScaleNormal="100" workbookViewId="0">
      <pane ySplit="2" topLeftCell="A24" activePane="bottomLeft" state="frozen"/>
      <selection activeCell="T24" sqref="T24"/>
      <selection pane="bottomLeft" activeCell="I30" sqref="I30"/>
    </sheetView>
  </sheetViews>
  <sheetFormatPr baseColWidth="10" defaultColWidth="9.1796875" defaultRowHeight="16" customHeight="1"/>
  <cols>
    <col min="1" max="1" width="4.453125" style="347" customWidth="1"/>
    <col min="2" max="2" width="9.1796875" style="347" customWidth="1"/>
    <col min="3" max="3" width="35.6328125" style="179" customWidth="1"/>
    <col min="4" max="4" width="13.6328125" style="179" customWidth="1"/>
    <col min="5" max="5" width="9.6328125" style="179" customWidth="1"/>
    <col min="6" max="6" width="10.6328125" style="179" customWidth="1"/>
    <col min="7" max="7" width="13.6328125" style="179" customWidth="1"/>
    <col min="8" max="8" width="11.6328125" style="179" customWidth="1"/>
    <col min="9" max="10" width="13.6328125" style="179" customWidth="1"/>
    <col min="11" max="11" width="14.6328125" style="179" customWidth="1"/>
    <col min="12" max="12" width="14.6328125" style="306" customWidth="1"/>
    <col min="13" max="13" width="17.81640625" style="179" customWidth="1"/>
    <col min="14" max="14" width="34.6328125" style="179" customWidth="1"/>
    <col min="15" max="15" width="12.6328125" style="179" customWidth="1"/>
    <col min="16" max="16" width="16.6328125" style="179" customWidth="1"/>
    <col min="17" max="17" width="14.6328125" style="179" customWidth="1"/>
    <col min="18" max="18" width="13.6328125" style="179" customWidth="1"/>
    <col min="19" max="19" width="9.6328125" style="179" customWidth="1"/>
    <col min="20" max="20" width="10.6328125" style="179" customWidth="1"/>
    <col min="21" max="21" width="7.6328125" style="179" customWidth="1"/>
    <col min="22" max="27" width="9.1796875" style="179"/>
    <col min="28" max="28" width="10.1796875" style="179" bestFit="1" customWidth="1"/>
    <col min="29" max="16384" width="9.1796875" style="179"/>
  </cols>
  <sheetData>
    <row r="1" spans="1:28" ht="18" customHeight="1">
      <c r="A1" s="261">
        <v>2</v>
      </c>
      <c r="B1" s="262" t="s">
        <v>180</v>
      </c>
      <c r="C1" s="263" t="s">
        <v>39</v>
      </c>
      <c r="D1" s="263" t="s">
        <v>181</v>
      </c>
      <c r="E1" s="263" t="s">
        <v>0</v>
      </c>
      <c r="F1" s="263" t="s">
        <v>40</v>
      </c>
      <c r="G1" s="263" t="s">
        <v>41</v>
      </c>
      <c r="H1" s="263" t="s">
        <v>42</v>
      </c>
      <c r="I1" s="263" t="s">
        <v>182</v>
      </c>
      <c r="J1" s="263" t="s">
        <v>43</v>
      </c>
      <c r="K1" s="263" t="s">
        <v>44</v>
      </c>
      <c r="L1" s="263" t="s">
        <v>45</v>
      </c>
      <c r="M1" s="263" t="s">
        <v>46</v>
      </c>
      <c r="N1" s="264" t="s">
        <v>183</v>
      </c>
      <c r="AB1" s="265">
        <f>DATE(EINSTELLUNG!$C$35,$A$1,1)</f>
        <v>46054</v>
      </c>
    </row>
    <row r="2" spans="1:28" ht="18" customHeight="1" thickBot="1">
      <c r="A2" s="266"/>
      <c r="B2" s="267"/>
      <c r="C2" s="268"/>
      <c r="D2" s="268"/>
      <c r="E2" s="268"/>
      <c r="F2" s="268"/>
      <c r="G2" s="268"/>
      <c r="H2" s="268"/>
      <c r="I2" s="268"/>
      <c r="J2" s="268"/>
      <c r="K2" s="268"/>
      <c r="L2" s="268"/>
      <c r="M2" s="268"/>
      <c r="N2" s="269"/>
      <c r="O2" s="270"/>
      <c r="P2" s="270"/>
      <c r="Q2" s="270"/>
      <c r="S2" s="271" t="s">
        <v>378</v>
      </c>
      <c r="T2" s="271"/>
      <c r="U2" s="271"/>
      <c r="V2" s="271"/>
      <c r="AB2" s="265">
        <f>EOMONTH(DATE(EINSTELLUNG!$C$35,$A$1,1),0)</f>
        <v>46081</v>
      </c>
    </row>
    <row r="3" spans="1:28" ht="22" customHeight="1">
      <c r="A3" s="272" t="s">
        <v>383</v>
      </c>
      <c r="B3" s="90">
        <v>401010</v>
      </c>
      <c r="C3" s="32" t="s">
        <v>223</v>
      </c>
      <c r="D3" s="33">
        <v>39388</v>
      </c>
      <c r="E3" s="34" t="s">
        <v>2</v>
      </c>
      <c r="F3" s="60">
        <v>173</v>
      </c>
      <c r="G3" s="273">
        <f>IF(OR(E3="",F3=""),"",PID_KVLohnLookup($A$1,E3,F3,LOHNTABELLE!$H$4))</f>
        <v>2021</v>
      </c>
      <c r="H3" s="274">
        <f>IF(AND(ISNUMBER(D3),ISNUMBER(F3)),ROUNDDOWN(MIN(IF(OR(ISBLANK(I3),I3=""),EOMONTH(DATE(EINSTELLUNG!$C$35,$A$1,1),0),I3)-MAX(D3,DATE(EINSTELLUNG!$C$35,$A$1,1))+1)/DAY(EOMONTH(DATE(EINSTELLUNG!$C$35,$A$1,1),0))*F3,2),"")</f>
        <v>173</v>
      </c>
      <c r="I3" s="36"/>
      <c r="J3" s="37"/>
      <c r="K3" s="273">
        <f t="shared" ref="K3:K34" si="0">IF(OR(B3="",C3=""),"",IFERROR(IF(OR(MONTH(D3)=1,MONTH(D3)=3,MONTH(D3)=5,MONTH(D3)=7,MONTH(D3)=8,MONTH(D3)=10,MONTH(D3)=12),(G3/31)*J3,IF(OR(MONTH(D3)=4,MONTH(D3)=6,MONTH(D3)=9,MONTH(D3)=11),(G3/30)*J3,(G3/DAY(EOMONTH(D3,0)))*J3)),0))</f>
        <v>0</v>
      </c>
      <c r="L3" s="275">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2021</v>
      </c>
      <c r="M3" s="38"/>
      <c r="N3" s="64"/>
      <c r="O3" s="276" t="s">
        <v>47</v>
      </c>
      <c r="P3" s="276" t="s">
        <v>48</v>
      </c>
      <c r="Q3" s="276" t="s">
        <v>49</v>
      </c>
      <c r="R3" s="277" t="s">
        <v>50</v>
      </c>
      <c r="S3" s="278"/>
      <c r="T3" s="278"/>
      <c r="U3" s="278"/>
      <c r="V3" s="278"/>
      <c r="AB3" s="279"/>
    </row>
    <row r="4" spans="1:28" ht="22" customHeight="1">
      <c r="A4" s="280" t="s">
        <v>51</v>
      </c>
      <c r="B4" s="91">
        <v>401047</v>
      </c>
      <c r="C4" s="39" t="s">
        <v>225</v>
      </c>
      <c r="D4" s="40">
        <v>41154</v>
      </c>
      <c r="E4" s="41" t="s">
        <v>4</v>
      </c>
      <c r="F4" s="42">
        <v>173</v>
      </c>
      <c r="G4" s="281">
        <f>IF(OR(E4="",F4=""),"",PID_KVLohnLookup($A$1,E4,F4,LOHNTABELLE!$H$4))</f>
        <v>2123</v>
      </c>
      <c r="H4" s="282">
        <f>IF(AND(ISNUMBER(D4),ISNUMBER(F4)),ROUNDDOWN(MIN(IF(OR(ISBLANK(I4),I4=""),EOMONTH(DATE(EINSTELLUNG!$C$35,$A$1,1),0),I4)-MAX(D4,DATE(EINSTELLUNG!$C$35,$A$1,1))+1)/DAY(EOMONTH(DATE(EINSTELLUNG!$C$35,$A$1,1),0))*F4,2),"")</f>
        <v>173</v>
      </c>
      <c r="I4" s="43"/>
      <c r="J4" s="44"/>
      <c r="K4" s="281">
        <f t="shared" si="0"/>
        <v>0</v>
      </c>
      <c r="L4" s="283">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45"/>
      <c r="N4" s="65"/>
      <c r="O4" s="284"/>
      <c r="P4" s="284"/>
      <c r="Q4" s="284"/>
      <c r="R4" s="285"/>
      <c r="S4" s="278"/>
      <c r="T4" s="278"/>
      <c r="U4" s="278"/>
      <c r="V4" s="278"/>
    </row>
    <row r="5" spans="1:28" ht="22" customHeight="1">
      <c r="A5" s="280" t="s">
        <v>52</v>
      </c>
      <c r="B5" s="92">
        <v>401049</v>
      </c>
      <c r="C5" s="46" t="s">
        <v>224</v>
      </c>
      <c r="D5" s="47">
        <v>41130</v>
      </c>
      <c r="E5" s="48" t="s">
        <v>4</v>
      </c>
      <c r="F5" s="95">
        <v>173</v>
      </c>
      <c r="G5" s="281">
        <f>IF(OR(E5="",F5=""),"",PID_KVLohnLookup($A$1,E5,F5,LOHNTABELLE!$H$4))</f>
        <v>2123</v>
      </c>
      <c r="H5" s="282">
        <f>IF(AND(ISNUMBER(D5),ISNUMBER(F5)),ROUNDDOWN(MIN(IF(OR(ISBLANK(I5),I5=""),EOMONTH(DATE(EINSTELLUNG!$C$35,$A$1,1),0),I5)-MAX(D5,DATE(EINSTELLUNG!$C$35,$A$1,1))+1)/DAY(EOMONTH(DATE(EINSTELLUNG!$C$35,$A$1,1),0))*F5,2),"")</f>
        <v>173</v>
      </c>
      <c r="I5" s="50"/>
      <c r="J5" s="51"/>
      <c r="K5" s="281">
        <f t="shared" si="0"/>
        <v>0</v>
      </c>
      <c r="L5" s="283">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52"/>
      <c r="N5" s="66"/>
      <c r="O5" s="286" cm="1">
        <f t="array" ref="O5">SUMPRODUCT((F3:F82/4.310808)/5*2.08)</f>
        <v>864.1711345065703</v>
      </c>
      <c r="P5" s="287">
        <f>EINSTELLUNG!I7</f>
        <v>600</v>
      </c>
      <c r="Q5" s="287">
        <f>P5-O5</f>
        <v>-264.1711345065703</v>
      </c>
      <c r="R5" s="288">
        <f>IFERROR(Q5*Q42, 0)</f>
        <v>-3117.3169962824236</v>
      </c>
      <c r="S5" s="278"/>
      <c r="T5" s="278"/>
      <c r="U5" s="278"/>
      <c r="V5" s="278"/>
    </row>
    <row r="6" spans="1:28" ht="22" customHeight="1">
      <c r="A6" s="280" t="s">
        <v>53</v>
      </c>
      <c r="B6" s="91">
        <v>401051</v>
      </c>
      <c r="C6" s="39" t="s">
        <v>226</v>
      </c>
      <c r="D6" s="40">
        <v>41176</v>
      </c>
      <c r="E6" s="41" t="s">
        <v>2</v>
      </c>
      <c r="F6" s="42">
        <v>173</v>
      </c>
      <c r="G6" s="281">
        <f>IF(OR(E6="",F6=""),"",PID_KVLohnLookup($A$1,E6,F6,LOHNTABELLE!$H$4))</f>
        <v>2021</v>
      </c>
      <c r="H6" s="282">
        <f>IF(AND(ISNUMBER(D6),ISNUMBER(F6)),ROUNDDOWN(MIN(IF(OR(ISBLANK(I6),I6=""),EOMONTH(DATE(EINSTELLUNG!$C$35,$A$1,1),0),I6)-MAX(D6,DATE(EINSTELLUNG!$C$35,$A$1,1))+1)/DAY(EOMONTH(DATE(EINSTELLUNG!$C$35,$A$1,1),0))*F6,2),"")</f>
        <v>173</v>
      </c>
      <c r="I6" s="43"/>
      <c r="J6" s="44"/>
      <c r="K6" s="281">
        <f t="shared" si="0"/>
        <v>0</v>
      </c>
      <c r="L6" s="283">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2021</v>
      </c>
      <c r="M6" s="45"/>
      <c r="N6" s="65"/>
      <c r="O6" s="289" t="str">
        <f>IF(Q5&lt;0, "Schlecht! Zu wenig Urlaub abgebaut.", IF(Q5&gt;0, "Gut! Mehr Urlaub abgebaut als aufgebaut.", ""))</f>
        <v>Schlecht! Zu wenig Urlaub abgebaut.</v>
      </c>
      <c r="P6" s="290"/>
      <c r="Q6" s="290"/>
      <c r="R6" s="291"/>
      <c r="S6" s="278"/>
      <c r="T6" s="278"/>
      <c r="U6" s="278"/>
      <c r="V6" s="278"/>
    </row>
    <row r="7" spans="1:28" ht="22" customHeight="1" thickBot="1">
      <c r="A7" s="280" t="s">
        <v>54</v>
      </c>
      <c r="B7" s="92">
        <v>401089</v>
      </c>
      <c r="C7" s="46" t="s">
        <v>240</v>
      </c>
      <c r="D7" s="47">
        <v>44868</v>
      </c>
      <c r="E7" s="48" t="s">
        <v>3</v>
      </c>
      <c r="F7" s="49">
        <v>173</v>
      </c>
      <c r="G7" s="281">
        <f>IF(OR(E7="",F7=""),"",PID_KVLohnLookup($A$1,E7,F7,LOHNTABELLE!$H$4))</f>
        <v>2082</v>
      </c>
      <c r="H7" s="282">
        <f>IF(AND(ISNUMBER(D7),ISNUMBER(F7)),ROUNDDOWN(MIN(IF(OR(ISBLANK(I7),I7=""),EOMONTH(DATE(EINSTELLUNG!$C$35,$A$1,1),0),I7)-MAX(D7,DATE(EINSTELLUNG!$C$35,$A$1,1))+1)/DAY(EOMONTH(DATE(EINSTELLUNG!$C$35,$A$1,1),0))*F7,2),"")</f>
        <v>173</v>
      </c>
      <c r="I7" s="50"/>
      <c r="J7" s="51"/>
      <c r="K7" s="281">
        <f t="shared" si="0"/>
        <v>0</v>
      </c>
      <c r="L7" s="283">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2082</v>
      </c>
      <c r="M7" s="52"/>
      <c r="N7" s="66"/>
      <c r="O7" s="278"/>
      <c r="P7" s="278"/>
      <c r="Q7" s="278"/>
      <c r="R7" s="278"/>
      <c r="S7" s="278"/>
      <c r="T7" s="278"/>
      <c r="U7" s="278"/>
      <c r="V7" s="278"/>
    </row>
    <row r="8" spans="1:28" ht="22" customHeight="1">
      <c r="A8" s="280" t="s">
        <v>55</v>
      </c>
      <c r="B8" s="91">
        <v>401138</v>
      </c>
      <c r="C8" s="39" t="s">
        <v>227</v>
      </c>
      <c r="D8" s="40">
        <v>42006</v>
      </c>
      <c r="E8" s="41" t="s">
        <v>4</v>
      </c>
      <c r="F8" s="42">
        <v>173</v>
      </c>
      <c r="G8" s="281">
        <f>IF(OR(E8="",F8=""),"",PID_KVLohnLookup($A$1,E8,F8,LOHNTABELLE!$H$4))</f>
        <v>2123</v>
      </c>
      <c r="H8" s="282">
        <f>IF(AND(ISNUMBER(D8),ISNUMBER(F8)),ROUNDDOWN(MIN(IF(OR(ISBLANK(I8),I8=""),EOMONTH(DATE(EINSTELLUNG!$C$35,$A$1,1),0),I8)-MAX(D8,DATE(EINSTELLUNG!$C$35,$A$1,1))+1)/DAY(EOMONTH(DATE(EINSTELLUNG!$C$35,$A$1,1),0))*F8,2),"")</f>
        <v>173</v>
      </c>
      <c r="I8" s="43"/>
      <c r="J8" s="44"/>
      <c r="K8" s="281">
        <f t="shared" si="0"/>
        <v>0</v>
      </c>
      <c r="L8" s="283">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2123</v>
      </c>
      <c r="M8" s="45"/>
      <c r="N8" s="65"/>
      <c r="O8" s="357" t="s">
        <v>56</v>
      </c>
      <c r="P8" s="293"/>
      <c r="Q8" s="294">
        <f>SUM(H3:H82)</f>
        <v>8814.42</v>
      </c>
      <c r="R8" s="295"/>
      <c r="S8" s="278"/>
      <c r="T8" s="278"/>
      <c r="U8" s="278"/>
      <c r="V8" s="278"/>
    </row>
    <row r="9" spans="1:28" ht="22" customHeight="1">
      <c r="A9" s="280" t="s">
        <v>57</v>
      </c>
      <c r="B9" s="92">
        <v>401197</v>
      </c>
      <c r="C9" s="46" t="s">
        <v>228</v>
      </c>
      <c r="D9" s="47">
        <v>42644</v>
      </c>
      <c r="E9" s="48" t="s">
        <v>3</v>
      </c>
      <c r="F9" s="49">
        <v>173</v>
      </c>
      <c r="G9" s="281">
        <f>IF(OR(E9="",F9=""),"",PID_KVLohnLookup($A$1,E9,F9,LOHNTABELLE!$H$4))</f>
        <v>2082</v>
      </c>
      <c r="H9" s="282">
        <f>IF(AND(ISNUMBER(D9),ISNUMBER(F9)),ROUNDDOWN(MIN(IF(OR(ISBLANK(I9),I9=""),EOMONTH(DATE(EINSTELLUNG!$C$35,$A$1,1),0),I9)-MAX(D9,DATE(EINSTELLUNG!$C$35,$A$1,1))+1)/DAY(EOMONTH(DATE(EINSTELLUNG!$C$35,$A$1,1),0))*F9,2),"")</f>
        <v>173</v>
      </c>
      <c r="I9" s="50"/>
      <c r="J9" s="51"/>
      <c r="K9" s="281">
        <f t="shared" si="0"/>
        <v>0</v>
      </c>
      <c r="L9" s="283">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52"/>
      <c r="N9" s="66"/>
      <c r="O9" s="358" t="s">
        <v>58</v>
      </c>
      <c r="P9" s="297"/>
      <c r="Q9" s="298">
        <f>EINSTELLUNG!L23</f>
        <v>2</v>
      </c>
      <c r="R9" s="299"/>
      <c r="S9" s="359">
        <f>IFERROR(Q9/Q8, 0)</f>
        <v>2.2690091917562357E-4</v>
      </c>
      <c r="T9" s="278"/>
      <c r="U9" s="278"/>
      <c r="V9" s="278"/>
    </row>
    <row r="10" spans="1:28" ht="22" customHeight="1">
      <c r="A10" s="280" t="s">
        <v>59</v>
      </c>
      <c r="B10" s="91">
        <v>401214</v>
      </c>
      <c r="C10" s="39" t="s">
        <v>254</v>
      </c>
      <c r="D10" s="40">
        <v>45636</v>
      </c>
      <c r="E10" s="41" t="s">
        <v>3</v>
      </c>
      <c r="F10" s="42">
        <v>173</v>
      </c>
      <c r="G10" s="281">
        <f>IF(OR(E10="",F10=""),"",PID_KVLohnLookup($A$1,E10,F10,LOHNTABELLE!$H$4))</f>
        <v>2082</v>
      </c>
      <c r="H10" s="282">
        <f>IF(AND(ISNUMBER(D10),ISNUMBER(F10)),ROUNDDOWN(MIN(IF(OR(ISBLANK(I10),I10=""),EOMONTH(DATE(EINSTELLUNG!$C$35,$A$1,1),0),I10)-MAX(D10,DATE(EINSTELLUNG!$C$35,$A$1,1))+1)/DAY(EOMONTH(DATE(EINSTELLUNG!$C$35,$A$1,1),0))*F10,2),"")</f>
        <v>173</v>
      </c>
      <c r="I10" s="43"/>
      <c r="J10" s="44"/>
      <c r="K10" s="281">
        <f t="shared" si="0"/>
        <v>0</v>
      </c>
      <c r="L10" s="283">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45"/>
      <c r="N10" s="65"/>
      <c r="O10" s="358" t="s">
        <v>60</v>
      </c>
      <c r="P10" s="297"/>
      <c r="Q10" s="298">
        <f>EINSTELLUNG!I23</f>
        <v>0</v>
      </c>
      <c r="R10" s="299"/>
      <c r="S10" s="278"/>
      <c r="T10" s="278"/>
      <c r="U10" s="278"/>
      <c r="V10" s="278"/>
    </row>
    <row r="11" spans="1:28" ht="22" customHeight="1">
      <c r="A11" s="280" t="s">
        <v>61</v>
      </c>
      <c r="B11" s="92">
        <v>401276</v>
      </c>
      <c r="C11" s="46" t="s">
        <v>229</v>
      </c>
      <c r="D11" s="47">
        <v>43252</v>
      </c>
      <c r="E11" s="48" t="s">
        <v>3</v>
      </c>
      <c r="F11" s="49">
        <v>173</v>
      </c>
      <c r="G11" s="281">
        <f>IF(OR(E11="",F11=""),"",PID_KVLohnLookup($A$1,E11,F11,LOHNTABELLE!$H$4))</f>
        <v>2082</v>
      </c>
      <c r="H11" s="282">
        <f>IF(AND(ISNUMBER(D11),ISNUMBER(F11)),ROUNDDOWN(MIN(IF(OR(ISBLANK(I11),I11=""),EOMONTH(DATE(EINSTELLUNG!$C$35,$A$1,1),0),I11)-MAX(D11,DATE(EINSTELLUNG!$C$35,$A$1,1))+1)/DAY(EOMONTH(DATE(EINSTELLUNG!$C$35,$A$1,1),0))*F11,2),"")</f>
        <v>173</v>
      </c>
      <c r="I11" s="50"/>
      <c r="J11" s="51"/>
      <c r="K11" s="281">
        <f t="shared" si="0"/>
        <v>0</v>
      </c>
      <c r="L11" s="283">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2082</v>
      </c>
      <c r="M11" s="52"/>
      <c r="N11" s="66"/>
      <c r="O11" s="358" t="s">
        <v>62</v>
      </c>
      <c r="P11" s="297"/>
      <c r="Q11" s="298">
        <f>P5</f>
        <v>600</v>
      </c>
      <c r="R11" s="299"/>
      <c r="S11" s="278"/>
      <c r="T11" s="278"/>
      <c r="U11" s="278"/>
      <c r="V11" s="278"/>
    </row>
    <row r="12" spans="1:28" ht="22" customHeight="1">
      <c r="A12" s="280" t="s">
        <v>63</v>
      </c>
      <c r="B12" s="91">
        <v>401276</v>
      </c>
      <c r="C12" s="39" t="s">
        <v>386</v>
      </c>
      <c r="D12" s="40">
        <v>38899</v>
      </c>
      <c r="E12" s="41" t="s">
        <v>2</v>
      </c>
      <c r="F12" s="42">
        <v>55</v>
      </c>
      <c r="G12" s="281" t="str">
        <f>IF(OR(E12="",F12=""),"",PID_KVLohnLookup($A$1,E12,F12,LOHNTABELLE!$H$4))</f>
        <v>Nicht gefunden</v>
      </c>
      <c r="H12" s="282">
        <f>IF(AND(ISNUMBER(D12),ISNUMBER(F12)),ROUNDDOWN(MIN(IF(OR(ISBLANK(I12),I12=""),EOMONTH(DATE(EINSTELLUNG!$C$35,$A$1,1),0),I12)-MAX(D12,DATE(EINSTELLUNG!$C$35,$A$1,1))+1)/DAY(EOMONTH(DATE(EINSTELLUNG!$C$35,$A$1,1),0))*F12,2),"")</f>
        <v>55</v>
      </c>
      <c r="I12" s="43"/>
      <c r="J12" s="44"/>
      <c r="K12" s="281">
        <f t="shared" si="0"/>
        <v>0</v>
      </c>
      <c r="L12" s="283" t="str">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
      </c>
      <c r="M12" s="45"/>
      <c r="N12" s="65"/>
      <c r="O12" s="358" t="s">
        <v>66</v>
      </c>
      <c r="P12" s="297"/>
      <c r="Q12" s="298">
        <v>7976.6399999999994</v>
      </c>
      <c r="R12" s="299"/>
      <c r="S12" s="278"/>
      <c r="T12" s="278"/>
      <c r="U12" s="278"/>
      <c r="V12" s="278"/>
    </row>
    <row r="13" spans="1:28" ht="22" customHeight="1">
      <c r="A13" s="280" t="s">
        <v>65</v>
      </c>
      <c r="B13" s="92">
        <v>401307</v>
      </c>
      <c r="C13" s="46" t="s">
        <v>230</v>
      </c>
      <c r="D13" s="47">
        <v>43571</v>
      </c>
      <c r="E13" s="48" t="s">
        <v>2</v>
      </c>
      <c r="F13" s="49">
        <v>55</v>
      </c>
      <c r="G13" s="281" t="str">
        <f>IF(OR(E13="",F13=""),"",PID_KVLohnLookup($A$1,E13,F13,LOHNTABELLE!$H$4))</f>
        <v>Nicht gefunden</v>
      </c>
      <c r="H13" s="282">
        <f>IF(AND(ISNUMBER(D13),ISNUMBER(F13)),ROUNDDOWN(MIN(IF(OR(ISBLANK(I13),I13=""),EOMONTH(DATE(EINSTELLUNG!$C$35,$A$1,1),0),I13)-MAX(D13,DATE(EINSTELLUNG!$C$35,$A$1,1))+1)/DAY(EOMONTH(DATE(EINSTELLUNG!$C$35,$A$1,1),0))*F13,2),"")</f>
        <v>55</v>
      </c>
      <c r="I13" s="50"/>
      <c r="J13" s="51"/>
      <c r="K13" s="281">
        <f t="shared" si="0"/>
        <v>0</v>
      </c>
      <c r="L13" s="283" t="str">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
      </c>
      <c r="M13" s="52"/>
      <c r="N13" s="66"/>
      <c r="O13" s="358" t="s">
        <v>68</v>
      </c>
      <c r="P13" s="297"/>
      <c r="Q13" s="298">
        <f>EINSTELLUNG!L7</f>
        <v>9300</v>
      </c>
      <c r="R13" s="299"/>
      <c r="S13" s="278"/>
      <c r="T13" s="278"/>
      <c r="U13" s="278"/>
      <c r="V13" s="278"/>
    </row>
    <row r="14" spans="1:28" ht="22" customHeight="1">
      <c r="A14" s="280" t="s">
        <v>67</v>
      </c>
      <c r="B14" s="91">
        <v>401308</v>
      </c>
      <c r="C14" s="39" t="s">
        <v>231</v>
      </c>
      <c r="D14" s="40">
        <v>43579</v>
      </c>
      <c r="E14" s="41" t="s">
        <v>3</v>
      </c>
      <c r="F14" s="42">
        <v>173</v>
      </c>
      <c r="G14" s="281">
        <f>IF(OR(E14="",F14=""),"",PID_KVLohnLookup($A$1,E14,F14,LOHNTABELLE!$H$4))</f>
        <v>2082</v>
      </c>
      <c r="H14" s="282">
        <f>IF(AND(ISNUMBER(D14),ISNUMBER(F14)),ROUNDDOWN(MIN(IF(OR(ISBLANK(I14),I14=""),EOMONTH(DATE(EINSTELLUNG!$C$35,$A$1,1),0),I14)-MAX(D14,DATE(EINSTELLUNG!$C$35,$A$1,1))+1)/DAY(EOMONTH(DATE(EINSTELLUNG!$C$35,$A$1,1),0))*F14,2),"")</f>
        <v>173</v>
      </c>
      <c r="I14" s="43"/>
      <c r="J14" s="44"/>
      <c r="K14" s="281">
        <f t="shared" si="0"/>
        <v>0</v>
      </c>
      <c r="L14" s="283">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2082</v>
      </c>
      <c r="M14" s="45"/>
      <c r="N14" s="65"/>
      <c r="O14" s="358" t="s">
        <v>70</v>
      </c>
      <c r="P14" s="297"/>
      <c r="Q14" s="298">
        <f>Q12-Q13</f>
        <v>-1323.3600000000006</v>
      </c>
      <c r="R14" s="299"/>
      <c r="S14" s="278"/>
      <c r="T14" s="278"/>
      <c r="U14" s="278"/>
      <c r="V14" s="278"/>
    </row>
    <row r="15" spans="1:28" ht="22" customHeight="1">
      <c r="A15" s="280" t="s">
        <v>69</v>
      </c>
      <c r="B15" s="92">
        <v>401389</v>
      </c>
      <c r="C15" s="46" t="s">
        <v>233</v>
      </c>
      <c r="D15" s="47">
        <v>44384</v>
      </c>
      <c r="E15" s="48" t="s">
        <v>4</v>
      </c>
      <c r="F15" s="49">
        <v>151.38</v>
      </c>
      <c r="G15" s="281">
        <f>IF(OR(E15="",F15=""),"",PID_KVLohnLookup($A$1,E15,F15,LOHNTABELLE!$H$4))</f>
        <v>1857.63</v>
      </c>
      <c r="H15" s="282">
        <f>IF(AND(ISNUMBER(D15),ISNUMBER(F15)),ROUNDDOWN(MIN(IF(OR(ISBLANK(I15),I15=""),EOMONTH(DATE(EINSTELLUNG!$C$35,$A$1,1),0),I15)-MAX(D15,DATE(EINSTELLUNG!$C$35,$A$1,1))+1)/DAY(EOMONTH(DATE(EINSTELLUNG!$C$35,$A$1,1),0))*F15,2),"")</f>
        <v>151.38</v>
      </c>
      <c r="I15" s="50"/>
      <c r="J15" s="51"/>
      <c r="K15" s="281">
        <f t="shared" si="0"/>
        <v>0</v>
      </c>
      <c r="L15" s="283">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1857.63</v>
      </c>
      <c r="M15" s="52"/>
      <c r="N15" s="66"/>
      <c r="O15" s="360" t="str">
        <f>IF(Q14&lt;0, "Schlecht! Zu wenig Stunden für Dienstplan.", IF(Q14&gt;0, "Du hast mehr als genug Stunden für Dienstplan.", ""))</f>
        <v>Schlecht! Zu wenig Stunden für Dienstplan.</v>
      </c>
      <c r="P15" s="361"/>
      <c r="Q15" s="361"/>
      <c r="R15" s="362"/>
      <c r="S15" s="301"/>
      <c r="T15" s="301"/>
      <c r="U15" s="301"/>
      <c r="V15" s="278"/>
    </row>
    <row r="16" spans="1:28" ht="22" customHeight="1" thickBot="1">
      <c r="A16" s="280" t="s">
        <v>71</v>
      </c>
      <c r="B16" s="91">
        <v>401394</v>
      </c>
      <c r="C16" s="39" t="s">
        <v>232</v>
      </c>
      <c r="D16" s="40">
        <v>44379</v>
      </c>
      <c r="E16" s="41" t="s">
        <v>2</v>
      </c>
      <c r="F16" s="42">
        <v>173</v>
      </c>
      <c r="G16" s="281">
        <f>IF(OR(E16="",F16=""),"",PID_KVLohnLookup($A$1,E16,F16,LOHNTABELLE!$H$4))</f>
        <v>2021</v>
      </c>
      <c r="H16" s="282">
        <f>IF(AND(ISNUMBER(D16),ISNUMBER(F16)),ROUNDDOWN(MIN(IF(OR(ISBLANK(I16),I16=""),EOMONTH(DATE(EINSTELLUNG!$C$35,$A$1,1),0),I16)-MAX(D16,DATE(EINSTELLUNG!$C$35,$A$1,1))+1)/DAY(EOMONTH(DATE(EINSTELLUNG!$C$35,$A$1,1),0))*F16,2),"")</f>
        <v>173</v>
      </c>
      <c r="I16" s="43"/>
      <c r="J16" s="44"/>
      <c r="K16" s="281">
        <f t="shared" si="0"/>
        <v>0</v>
      </c>
      <c r="L16" s="283">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2021</v>
      </c>
      <c r="M16" s="45"/>
      <c r="N16" s="65"/>
      <c r="O16" s="363"/>
      <c r="P16" s="364"/>
      <c r="Q16" s="364"/>
      <c r="R16" s="365"/>
      <c r="S16" s="305"/>
      <c r="T16" s="305"/>
      <c r="U16" s="305"/>
      <c r="V16" s="305"/>
      <c r="W16" s="306"/>
    </row>
    <row r="17" spans="1:29" ht="22" customHeight="1">
      <c r="A17" s="280" t="s">
        <v>72</v>
      </c>
      <c r="B17" s="92">
        <v>401406</v>
      </c>
      <c r="C17" s="46" t="s">
        <v>387</v>
      </c>
      <c r="D17" s="47">
        <v>36850</v>
      </c>
      <c r="E17" s="48" t="s">
        <v>10</v>
      </c>
      <c r="F17" s="49">
        <v>151.38</v>
      </c>
      <c r="G17" s="281">
        <f>IF(OR(E17="",F17=""),"",PID_KVLohnLookup($A$1,E17,F17,LOHNTABELLE!$H$4))</f>
        <v>2012.5</v>
      </c>
      <c r="H17" s="282">
        <f>IF(AND(ISNUMBER(D17),ISNUMBER(F17)),ROUNDDOWN(MIN(IF(OR(ISBLANK(I17),I17=""),EOMONTH(DATE(EINSTELLUNG!$C$35,$A$1,1),0),I17)-MAX(D17,DATE(EINSTELLUNG!$C$35,$A$1,1))+1)/DAY(EOMONTH(DATE(EINSTELLUNG!$C$35,$A$1,1),0))*F17,2),"")</f>
        <v>151.38</v>
      </c>
      <c r="I17" s="50"/>
      <c r="J17" s="51"/>
      <c r="K17" s="281">
        <f t="shared" si="0"/>
        <v>0</v>
      </c>
      <c r="L17" s="283">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2012.5</v>
      </c>
      <c r="M17" s="52"/>
      <c r="N17" s="66"/>
      <c r="O17" s="357" t="s">
        <v>73</v>
      </c>
      <c r="P17" s="293"/>
      <c r="Q17" s="307">
        <f>SUM(L3:L82)</f>
        <v>104013.41285714287</v>
      </c>
      <c r="R17" s="308"/>
      <c r="S17" s="278"/>
      <c r="T17" s="278"/>
      <c r="U17" s="278"/>
      <c r="V17" s="278"/>
      <c r="W17" s="306"/>
    </row>
    <row r="18" spans="1:29" ht="22" customHeight="1">
      <c r="A18" s="280" t="s">
        <v>74</v>
      </c>
      <c r="B18" s="91">
        <v>401432</v>
      </c>
      <c r="C18" s="39" t="s">
        <v>234</v>
      </c>
      <c r="D18" s="40">
        <v>44441</v>
      </c>
      <c r="E18" s="41" t="s">
        <v>2</v>
      </c>
      <c r="F18" s="42">
        <v>173</v>
      </c>
      <c r="G18" s="281">
        <f>IF(OR(E18="",F18=""),"",PID_KVLohnLookup($A$1,E18,F18,LOHNTABELLE!$H$4))</f>
        <v>2021</v>
      </c>
      <c r="H18" s="282">
        <f>IF(AND(ISNUMBER(D18),ISNUMBER(F18)),ROUNDDOWN(MIN(IF(OR(ISBLANK(I18),I18=""),EOMONTH(DATE(EINSTELLUNG!$C$35,$A$1,1),0),I18)-MAX(D18,DATE(EINSTELLUNG!$C$35,$A$1,1))+1)/DAY(EOMONTH(DATE(EINSTELLUNG!$C$35,$A$1,1),0))*F18,2),"")</f>
        <v>173</v>
      </c>
      <c r="I18" s="43"/>
      <c r="J18" s="44"/>
      <c r="K18" s="281">
        <f t="shared" si="0"/>
        <v>0</v>
      </c>
      <c r="L18" s="283">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2021</v>
      </c>
      <c r="M18" s="45"/>
      <c r="N18" s="65"/>
      <c r="O18" s="366" t="s">
        <v>371</v>
      </c>
      <c r="P18" s="310"/>
      <c r="Q18" s="311">
        <v>20</v>
      </c>
      <c r="R18" s="312"/>
      <c r="S18" s="278"/>
      <c r="T18" s="278"/>
      <c r="U18" s="278"/>
      <c r="V18" s="278"/>
    </row>
    <row r="19" spans="1:29" ht="22" customHeight="1">
      <c r="A19" s="280" t="s">
        <v>75</v>
      </c>
      <c r="B19" s="92">
        <v>401476</v>
      </c>
      <c r="C19" s="46" t="s">
        <v>236</v>
      </c>
      <c r="D19" s="47">
        <v>44504</v>
      </c>
      <c r="E19" s="48" t="s">
        <v>2</v>
      </c>
      <c r="F19" s="49">
        <v>173</v>
      </c>
      <c r="G19" s="281">
        <f>IF(OR(E19="",F19=""),"",PID_KVLohnLookup($A$1,E19,F19,LOHNTABELLE!$H$4))</f>
        <v>2021</v>
      </c>
      <c r="H19" s="282">
        <f>IF(AND(ISNUMBER(D19),ISNUMBER(F19)),ROUNDDOWN(MIN(IF(OR(ISBLANK(I19),I19=""),EOMONTH(DATE(EINSTELLUNG!$C$35,$A$1,1),0),I19)-MAX(D19,DATE(EINSTELLUNG!$C$35,$A$1,1))+1)/DAY(EOMONTH(DATE(EINSTELLUNG!$C$35,$A$1,1),0))*F19,2),"")</f>
        <v>173</v>
      </c>
      <c r="I19" s="50"/>
      <c r="J19" s="51"/>
      <c r="K19" s="281">
        <f t="shared" si="0"/>
        <v>0</v>
      </c>
      <c r="L19" s="283">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2021</v>
      </c>
      <c r="M19" s="52"/>
      <c r="N19" s="66"/>
      <c r="O19" s="366" t="s">
        <v>293</v>
      </c>
      <c r="P19" s="310"/>
      <c r="Q19" s="311">
        <v>333</v>
      </c>
      <c r="R19" s="312"/>
      <c r="S19" s="278"/>
      <c r="T19" s="278"/>
      <c r="U19" s="278"/>
      <c r="V19" s="278"/>
    </row>
    <row r="20" spans="1:29" ht="22" customHeight="1">
      <c r="A20" s="280" t="s">
        <v>76</v>
      </c>
      <c r="B20" s="91">
        <v>401479</v>
      </c>
      <c r="C20" s="39" t="s">
        <v>237</v>
      </c>
      <c r="D20" s="40">
        <v>44511</v>
      </c>
      <c r="E20" s="41" t="s">
        <v>6</v>
      </c>
      <c r="F20" s="42">
        <v>173</v>
      </c>
      <c r="G20" s="281">
        <f>IF(OR(E20="",F20=""),"",PID_KVLohnLookup($A$1,E20,F20,LOHNTABELLE!$H$4))</f>
        <v>2160</v>
      </c>
      <c r="H20" s="282">
        <f>IF(AND(ISNUMBER(D20),ISNUMBER(F20)),ROUNDDOWN(MIN(IF(OR(ISBLANK(I20),I20=""),EOMONTH(DATE(EINSTELLUNG!$C$35,$A$1,1),0),I20)-MAX(D20,DATE(EINSTELLUNG!$C$35,$A$1,1))+1)/DAY(EOMONTH(DATE(EINSTELLUNG!$C$35,$A$1,1),0))*F20,2),"")</f>
        <v>173</v>
      </c>
      <c r="I20" s="43"/>
      <c r="J20" s="44"/>
      <c r="K20" s="281">
        <f t="shared" si="0"/>
        <v>0</v>
      </c>
      <c r="L20" s="283">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2160</v>
      </c>
      <c r="M20" s="45"/>
      <c r="N20" s="65"/>
      <c r="O20" s="366" t="s">
        <v>293</v>
      </c>
      <c r="P20" s="310"/>
      <c r="Q20" s="311">
        <v>35</v>
      </c>
      <c r="R20" s="312"/>
      <c r="S20" s="278"/>
      <c r="T20" s="278"/>
      <c r="U20" s="278"/>
      <c r="V20" s="278"/>
    </row>
    <row r="21" spans="1:29" ht="22" customHeight="1">
      <c r="A21" s="280" t="s">
        <v>77</v>
      </c>
      <c r="B21" s="92">
        <v>401481</v>
      </c>
      <c r="C21" s="46" t="s">
        <v>238</v>
      </c>
      <c r="D21" s="47">
        <v>44531</v>
      </c>
      <c r="E21" s="48" t="s">
        <v>3</v>
      </c>
      <c r="F21" s="49">
        <v>173</v>
      </c>
      <c r="G21" s="281">
        <f>IF(OR(E21="",F21=""),"",PID_KVLohnLookup($A$1,E21,F21,LOHNTABELLE!$H$4))</f>
        <v>2082</v>
      </c>
      <c r="H21" s="282">
        <f>IF(AND(ISNUMBER(D21),ISNUMBER(F21)),ROUNDDOWN(MIN(IF(OR(ISBLANK(I21),I21=""),EOMONTH(DATE(EINSTELLUNG!$C$35,$A$1,1),0),I21)-MAX(D21,DATE(EINSTELLUNG!$C$35,$A$1,1))+1)/DAY(EOMONTH(DATE(EINSTELLUNG!$C$35,$A$1,1),0))*F21,2),"")</f>
        <v>173</v>
      </c>
      <c r="I21" s="50"/>
      <c r="J21" s="51"/>
      <c r="K21" s="281">
        <f t="shared" si="0"/>
        <v>0</v>
      </c>
      <c r="L21" s="283">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2082</v>
      </c>
      <c r="M21" s="52"/>
      <c r="N21" s="66"/>
      <c r="O21" s="366" t="s">
        <v>293</v>
      </c>
      <c r="P21" s="310"/>
      <c r="Q21" s="311">
        <v>100</v>
      </c>
      <c r="R21" s="312"/>
      <c r="S21" s="278"/>
      <c r="T21" s="278"/>
      <c r="U21" s="278"/>
      <c r="V21" s="278"/>
    </row>
    <row r="22" spans="1:29" ht="22" customHeight="1">
      <c r="A22" s="280" t="s">
        <v>78</v>
      </c>
      <c r="B22" s="91">
        <v>401558</v>
      </c>
      <c r="C22" s="39" t="s">
        <v>235</v>
      </c>
      <c r="D22" s="40">
        <v>44460</v>
      </c>
      <c r="E22" s="41" t="s">
        <v>2</v>
      </c>
      <c r="F22" s="42">
        <v>173</v>
      </c>
      <c r="G22" s="281">
        <f>IF(OR(E22="",F22=""),"",PID_KVLohnLookup($A$1,E22,F22,LOHNTABELLE!$H$4))</f>
        <v>2021</v>
      </c>
      <c r="H22" s="282">
        <f>IF(AND(ISNUMBER(D22),ISNUMBER(F22)),ROUNDDOWN(MIN(IF(OR(ISBLANK(I22),I22=""),EOMONTH(DATE(EINSTELLUNG!$C$35,$A$1,1),0),I22)-MAX(D22,DATE(EINSTELLUNG!$C$35,$A$1,1))+1)/DAY(EOMONTH(DATE(EINSTELLUNG!$C$35,$A$1,1),0))*F22,2),"")</f>
        <v>173</v>
      </c>
      <c r="I22" s="43"/>
      <c r="J22" s="44"/>
      <c r="K22" s="281">
        <f t="shared" si="0"/>
        <v>0</v>
      </c>
      <c r="L22" s="283">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2021</v>
      </c>
      <c r="M22" s="45"/>
      <c r="N22" s="65"/>
      <c r="O22" s="366" t="s">
        <v>293</v>
      </c>
      <c r="P22" s="310"/>
      <c r="Q22" s="311"/>
      <c r="R22" s="312"/>
      <c r="S22" s="278"/>
      <c r="T22" s="278"/>
      <c r="U22" s="278"/>
      <c r="V22" s="278"/>
    </row>
    <row r="23" spans="1:29" ht="22" customHeight="1">
      <c r="A23" s="280" t="s">
        <v>79</v>
      </c>
      <c r="B23" s="92">
        <v>401564</v>
      </c>
      <c r="C23" s="46" t="s">
        <v>239</v>
      </c>
      <c r="D23" s="47">
        <v>44824</v>
      </c>
      <c r="E23" s="48" t="s">
        <v>2</v>
      </c>
      <c r="F23" s="49">
        <v>151.38</v>
      </c>
      <c r="G23" s="281">
        <f>IF(OR(E23="",F23=""),"",PID_KVLohnLookup($A$1,E23,F23,LOHNTABELLE!$H$4))</f>
        <v>1768.38</v>
      </c>
      <c r="H23" s="282">
        <f>IF(AND(ISNUMBER(D23),ISNUMBER(F23)),ROUNDDOWN(MIN(IF(OR(ISBLANK(I23),I23=""),EOMONTH(DATE(EINSTELLUNG!$C$35,$A$1,1),0),I23)-MAX(D23,DATE(EINSTELLUNG!$C$35,$A$1,1))+1)/DAY(EOMONTH(DATE(EINSTELLUNG!$C$35,$A$1,1),0))*F23,2),"")</f>
        <v>151.38</v>
      </c>
      <c r="I23" s="50"/>
      <c r="J23" s="51"/>
      <c r="K23" s="281">
        <f t="shared" si="0"/>
        <v>0</v>
      </c>
      <c r="L23" s="283">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1768.38</v>
      </c>
      <c r="M23" s="52"/>
      <c r="N23" s="66"/>
      <c r="O23" s="366" t="s">
        <v>293</v>
      </c>
      <c r="P23" s="310"/>
      <c r="Q23" s="311">
        <v>5000</v>
      </c>
      <c r="R23" s="312"/>
      <c r="S23" s="278"/>
      <c r="T23" s="278"/>
      <c r="U23" s="278"/>
      <c r="V23" s="278"/>
      <c r="W23" s="306"/>
    </row>
    <row r="24" spans="1:29" ht="22" customHeight="1">
      <c r="A24" s="280" t="s">
        <v>80</v>
      </c>
      <c r="B24" s="91">
        <v>401583</v>
      </c>
      <c r="C24" s="39" t="s">
        <v>241</v>
      </c>
      <c r="D24" s="40">
        <v>44900</v>
      </c>
      <c r="E24" s="41" t="s">
        <v>13</v>
      </c>
      <c r="F24" s="42">
        <v>173</v>
      </c>
      <c r="G24" s="281">
        <f>IF(OR(E24="",F24=""),"",PID_KVLohnLookup($A$1,E24,F24,LOHNTABELLE!$H$4))</f>
        <v>2328</v>
      </c>
      <c r="H24" s="282">
        <f>IF(AND(ISNUMBER(D24),ISNUMBER(F24)),ROUNDDOWN(MIN(IF(OR(ISBLANK(I24),I24=""),EOMONTH(DATE(EINSTELLUNG!$C$35,$A$1,1),0),I24)-MAX(D24,DATE(EINSTELLUNG!$C$35,$A$1,1))+1)/DAY(EOMONTH(DATE(EINSTELLUNG!$C$35,$A$1,1),0))*F24,2),"")</f>
        <v>173</v>
      </c>
      <c r="I24" s="43"/>
      <c r="J24" s="44"/>
      <c r="K24" s="281">
        <f t="shared" si="0"/>
        <v>0</v>
      </c>
      <c r="L24" s="283">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2328</v>
      </c>
      <c r="M24" s="45"/>
      <c r="N24" s="65"/>
      <c r="O24" s="366"/>
      <c r="P24" s="310"/>
      <c r="Q24" s="311"/>
      <c r="R24" s="312"/>
      <c r="S24" s="278"/>
      <c r="T24" s="278"/>
      <c r="U24" s="278"/>
      <c r="V24" s="278"/>
      <c r="W24" s="306"/>
    </row>
    <row r="25" spans="1:29" ht="22" customHeight="1">
      <c r="A25" s="280" t="s">
        <v>81</v>
      </c>
      <c r="B25" s="92">
        <v>401589</v>
      </c>
      <c r="C25" s="46" t="s">
        <v>242</v>
      </c>
      <c r="D25" s="47">
        <v>44926</v>
      </c>
      <c r="E25" s="48" t="s">
        <v>10</v>
      </c>
      <c r="F25" s="49">
        <v>173</v>
      </c>
      <c r="G25" s="281">
        <f>IF(OR(E25="",F25=""),"",PID_KVLohnLookup($A$1,E25,F25,LOHNTABELLE!$H$4))</f>
        <v>2300</v>
      </c>
      <c r="H25" s="282">
        <f>IF(AND(ISNUMBER(D25),ISNUMBER(F25)),ROUNDDOWN(MIN(IF(OR(ISBLANK(I25),I25=""),EOMONTH(DATE(EINSTELLUNG!$C$35,$A$1,1),0),I25)-MAX(D25,DATE(EINSTELLUNG!$C$35,$A$1,1))+1)/DAY(EOMONTH(DATE(EINSTELLUNG!$C$35,$A$1,1),0))*F25,2),"")</f>
        <v>173</v>
      </c>
      <c r="I25" s="50"/>
      <c r="J25" s="51"/>
      <c r="K25" s="281">
        <f t="shared" si="0"/>
        <v>0</v>
      </c>
      <c r="L25" s="283">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2300</v>
      </c>
      <c r="M25" s="52"/>
      <c r="N25" s="66"/>
      <c r="O25" s="366"/>
      <c r="P25" s="310"/>
      <c r="Q25" s="311"/>
      <c r="R25" s="312"/>
      <c r="S25" s="278"/>
      <c r="T25" s="278"/>
      <c r="U25" s="278"/>
      <c r="V25" s="278"/>
    </row>
    <row r="26" spans="1:29" ht="22" customHeight="1">
      <c r="A26" s="280" t="s">
        <v>82</v>
      </c>
      <c r="B26" s="91">
        <v>401602</v>
      </c>
      <c r="C26" s="39" t="s">
        <v>243</v>
      </c>
      <c r="D26" s="40">
        <v>45975</v>
      </c>
      <c r="E26" s="41" t="s">
        <v>2</v>
      </c>
      <c r="F26" s="42">
        <v>169</v>
      </c>
      <c r="G26" s="281">
        <f>IF(OR(E26="",F26=""),"",PID_KVLohnLookup($A$1,E26,F26,LOHNTABELLE!$H$4))</f>
        <v>2000</v>
      </c>
      <c r="H26" s="282">
        <f>IF(AND(ISNUMBER(D26),ISNUMBER(F26)),ROUNDDOWN(MIN(IF(OR(ISBLANK(I26),I26=""),EOMONTH(DATE(EINSTELLUNG!$C$35,$A$1,1),0),I26)-MAX(D26,DATE(EINSTELLUNG!$C$35,$A$1,1))+1)/DAY(EOMONTH(DATE(EINSTELLUNG!$C$35,$A$1,1),0))*F26,2),"")</f>
        <v>169</v>
      </c>
      <c r="I26" s="43"/>
      <c r="J26" s="44"/>
      <c r="K26" s="281">
        <f t="shared" si="0"/>
        <v>0</v>
      </c>
      <c r="L26" s="283">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2000</v>
      </c>
      <c r="M26" s="45"/>
      <c r="N26" s="65"/>
      <c r="O26" s="366"/>
      <c r="P26" s="310"/>
      <c r="Q26" s="311"/>
      <c r="R26" s="312"/>
      <c r="S26" s="278"/>
      <c r="T26" s="278"/>
      <c r="U26" s="278"/>
      <c r="V26" s="278"/>
    </row>
    <row r="27" spans="1:29" ht="22" customHeight="1">
      <c r="A27" s="280" t="s">
        <v>83</v>
      </c>
      <c r="B27" s="92">
        <v>401605</v>
      </c>
      <c r="C27" s="46" t="s">
        <v>244</v>
      </c>
      <c r="D27" s="47">
        <v>44986</v>
      </c>
      <c r="E27" s="48" t="s">
        <v>2</v>
      </c>
      <c r="F27" s="49">
        <v>173</v>
      </c>
      <c r="G27" s="281">
        <f>IF(OR(E27="",F27=""),"",PID_KVLohnLookup($A$1,E27,F27,LOHNTABELLE!$H$4))</f>
        <v>2021</v>
      </c>
      <c r="H27" s="282">
        <f>IF(AND(ISNUMBER(D27),ISNUMBER(F27)),ROUNDDOWN(MIN(IF(OR(ISBLANK(I27),I27=""),EOMONTH(DATE(EINSTELLUNG!$C$35,$A$1,1),0),I27)-MAX(D27,DATE(EINSTELLUNG!$C$35,$A$1,1))+1)/DAY(EOMONTH(DATE(EINSTELLUNG!$C$35,$A$1,1),0))*F27,2),"")</f>
        <v>173</v>
      </c>
      <c r="I27" s="50"/>
      <c r="J27" s="51"/>
      <c r="K27" s="281">
        <f t="shared" si="0"/>
        <v>0</v>
      </c>
      <c r="L27" s="283">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2021</v>
      </c>
      <c r="M27" s="52"/>
      <c r="N27" s="66"/>
      <c r="O27" s="366"/>
      <c r="P27" s="310"/>
      <c r="Q27" s="311"/>
      <c r="R27" s="312"/>
      <c r="S27" s="313" t="s">
        <v>84</v>
      </c>
      <c r="T27" s="313"/>
      <c r="U27" s="313"/>
      <c r="V27" s="313"/>
    </row>
    <row r="28" spans="1:29" ht="22" customHeight="1">
      <c r="A28" s="280" t="s">
        <v>85</v>
      </c>
      <c r="B28" s="91">
        <v>401605</v>
      </c>
      <c r="C28" s="39" t="s">
        <v>387</v>
      </c>
      <c r="D28" s="40">
        <v>36850</v>
      </c>
      <c r="E28" s="41" t="s">
        <v>10</v>
      </c>
      <c r="F28" s="42">
        <v>151.38</v>
      </c>
      <c r="G28" s="281">
        <f>IF(OR(E28="",F28=""),"",PID_KVLohnLookup($A$1,E28,F28,LOHNTABELLE!$H$4))</f>
        <v>2012.5</v>
      </c>
      <c r="H28" s="282">
        <f>IF(AND(ISNUMBER(D28),ISNUMBER(F28)),ROUNDDOWN(MIN(IF(OR(ISBLANK(I28),I28=""),EOMONTH(DATE(EINSTELLUNG!$C$35,$A$1,1),0),I28)-MAX(D28,DATE(EINSTELLUNG!$C$35,$A$1,1))+1)/DAY(EOMONTH(DATE(EINSTELLUNG!$C$35,$A$1,1),0))*F28,2),"")</f>
        <v>151.38</v>
      </c>
      <c r="I28" s="43"/>
      <c r="J28" s="44"/>
      <c r="K28" s="281">
        <f t="shared" si="0"/>
        <v>0</v>
      </c>
      <c r="L28" s="283">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2012.5</v>
      </c>
      <c r="M28" s="45"/>
      <c r="N28" s="65"/>
      <c r="O28" s="366"/>
      <c r="P28" s="310"/>
      <c r="Q28" s="311"/>
      <c r="R28" s="312"/>
      <c r="S28" s="278"/>
      <c r="T28" s="278"/>
      <c r="U28" s="278"/>
      <c r="V28" s="278"/>
    </row>
    <row r="29" spans="1:29" ht="22" customHeight="1" thickBot="1">
      <c r="A29" s="280" t="s">
        <v>86</v>
      </c>
      <c r="B29" s="92">
        <v>401626</v>
      </c>
      <c r="C29" s="46" t="s">
        <v>245</v>
      </c>
      <c r="D29" s="47">
        <v>45063</v>
      </c>
      <c r="E29" s="48" t="s">
        <v>2</v>
      </c>
      <c r="F29" s="49">
        <v>173</v>
      </c>
      <c r="G29" s="281">
        <f>IF(OR(E29="",F29=""),"",PID_KVLohnLookup($A$1,E29,F29,LOHNTABELLE!$H$4))</f>
        <v>2021</v>
      </c>
      <c r="H29" s="282">
        <f>IF(AND(ISNUMBER(D29),ISNUMBER(F29)),ROUNDDOWN(MIN(IF(OR(ISBLANK(I29),I29=""),EOMONTH(DATE(EINSTELLUNG!$C$35,$A$1,1),0),I29)-MAX(D29,DATE(EINSTELLUNG!$C$35,$A$1,1))+1)/DAY(EOMONTH(DATE(EINSTELLUNG!$C$35,$A$1,1),0))*F29,2),"")</f>
        <v>173</v>
      </c>
      <c r="I29" s="50"/>
      <c r="J29" s="51"/>
      <c r="K29" s="281">
        <f t="shared" si="0"/>
        <v>0</v>
      </c>
      <c r="L29" s="283">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2021</v>
      </c>
      <c r="M29" s="52"/>
      <c r="N29" s="66"/>
      <c r="O29" s="367" t="s">
        <v>87</v>
      </c>
      <c r="P29" s="315"/>
      <c r="Q29" s="316">
        <f>EINSTELLUNG!O7</f>
        <v>1250</v>
      </c>
      <c r="R29" s="317"/>
      <c r="S29" s="278"/>
      <c r="T29" s="278"/>
      <c r="U29" s="278"/>
      <c r="V29" s="278"/>
    </row>
    <row r="30" spans="1:29" ht="22" customHeight="1" thickBot="1">
      <c r="A30" s="280" t="s">
        <v>88</v>
      </c>
      <c r="B30" s="91">
        <v>401633</v>
      </c>
      <c r="C30" s="39" t="s">
        <v>246</v>
      </c>
      <c r="D30" s="40">
        <v>45089</v>
      </c>
      <c r="E30" s="41" t="s">
        <v>10</v>
      </c>
      <c r="F30" s="42">
        <v>173</v>
      </c>
      <c r="G30" s="281">
        <f>IF(OR(E30="",F30=""),"",PID_KVLohnLookup($A$1,E30,F30,LOHNTABELLE!$H$4))</f>
        <v>2300</v>
      </c>
      <c r="H30" s="282">
        <f>IF(AND(ISNUMBER(D30),ISNUMBER(F30)),ROUNDDOWN(MIN(IF(OR(ISBLANK(I30),I30=""),EOMONTH(DATE(EINSTELLUNG!$C$35,$A$1,1),0),I30)-MAX(D30,DATE(EINSTELLUNG!$C$35,$A$1,1))+1)/DAY(EOMONTH(DATE(EINSTELLUNG!$C$35,$A$1,1),0))*F30,2),"")</f>
        <v>173</v>
      </c>
      <c r="I30" s="43"/>
      <c r="J30" s="44"/>
      <c r="K30" s="281">
        <f t="shared" si="0"/>
        <v>0</v>
      </c>
      <c r="L30" s="283">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2300</v>
      </c>
      <c r="M30" s="45"/>
      <c r="N30" s="65"/>
      <c r="O30" s="278"/>
      <c r="P30" s="278"/>
      <c r="Q30" s="278"/>
      <c r="R30" s="278"/>
      <c r="S30" s="278"/>
      <c r="T30" s="278"/>
      <c r="U30" s="278"/>
      <c r="V30" s="278"/>
      <c r="W30" s="318"/>
      <c r="X30" s="318"/>
      <c r="Y30" s="318"/>
      <c r="Z30" s="318"/>
      <c r="AA30" s="318"/>
      <c r="AB30" s="318"/>
      <c r="AC30" s="318"/>
    </row>
    <row r="31" spans="1:29" ht="22" customHeight="1" thickBot="1">
      <c r="A31" s="280" t="s">
        <v>89</v>
      </c>
      <c r="B31" s="92">
        <v>401647</v>
      </c>
      <c r="C31" s="46" t="s">
        <v>247</v>
      </c>
      <c r="D31" s="47">
        <v>45182</v>
      </c>
      <c r="E31" s="48" t="s">
        <v>2</v>
      </c>
      <c r="F31" s="49">
        <v>173</v>
      </c>
      <c r="G31" s="281">
        <f>IF(OR(E31="",F31=""),"",PID_KVLohnLookup($A$1,E31,F31,LOHNTABELLE!$H$4))</f>
        <v>2021</v>
      </c>
      <c r="H31" s="282">
        <f>IF(AND(ISNUMBER(D31),ISNUMBER(F31)),ROUNDDOWN(MIN(IF(OR(ISBLANK(I31),I31=""),EOMONTH(DATE(EINSTELLUNG!$C$35,$A$1,1),0),I31)-MAX(D31,DATE(EINSTELLUNG!$C$35,$A$1,1))+1)/DAY(EOMONTH(DATE(EINSTELLUNG!$C$35,$A$1,1),0))*F31,2),"")</f>
        <v>173</v>
      </c>
      <c r="I31" s="50"/>
      <c r="J31" s="51"/>
      <c r="K31" s="281">
        <f t="shared" si="0"/>
        <v>0</v>
      </c>
      <c r="L31" s="283">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2021</v>
      </c>
      <c r="M31" s="52"/>
      <c r="N31" s="66"/>
      <c r="O31" s="368" t="s">
        <v>415</v>
      </c>
      <c r="P31" s="320"/>
      <c r="Q31" s="321">
        <v>0</v>
      </c>
      <c r="R31" s="322"/>
      <c r="S31" s="278"/>
      <c r="T31" s="278"/>
      <c r="U31" s="278"/>
      <c r="V31" s="278"/>
    </row>
    <row r="32" spans="1:29" ht="22" customHeight="1" thickBot="1">
      <c r="A32" s="280" t="s">
        <v>91</v>
      </c>
      <c r="B32" s="91">
        <v>401661</v>
      </c>
      <c r="C32" s="39" t="s">
        <v>248</v>
      </c>
      <c r="D32" s="40">
        <v>45261</v>
      </c>
      <c r="E32" s="41" t="s">
        <v>2</v>
      </c>
      <c r="F32" s="42">
        <v>173</v>
      </c>
      <c r="G32" s="281">
        <f>IF(OR(E32="",F32=""),"",PID_KVLohnLookup($A$1,E32,F32,LOHNTABELLE!$H$4))</f>
        <v>2021</v>
      </c>
      <c r="H32" s="282">
        <f>IF(AND(ISNUMBER(D32),ISNUMBER(F32)),ROUNDDOWN(MIN(IF(OR(ISBLANK(I32),I32=""),EOMONTH(DATE(EINSTELLUNG!$C$35,$A$1,1),0),I32)-MAX(D32,DATE(EINSTELLUNG!$C$35,$A$1,1))+1)/DAY(EOMONTH(DATE(EINSTELLUNG!$C$35,$A$1,1),0))*F32,2),"")</f>
        <v>173</v>
      </c>
      <c r="I32" s="43"/>
      <c r="J32" s="44"/>
      <c r="K32" s="281">
        <f t="shared" si="0"/>
        <v>0</v>
      </c>
      <c r="L32" s="283">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2021</v>
      </c>
      <c r="M32" s="45"/>
      <c r="N32" s="65"/>
      <c r="O32" s="278"/>
      <c r="P32" s="278"/>
      <c r="Q32" s="278"/>
      <c r="R32" s="278"/>
      <c r="S32" s="278"/>
      <c r="T32" s="278"/>
      <c r="U32" s="278"/>
      <c r="V32" s="278"/>
    </row>
    <row r="33" spans="1:22" ht="22" customHeight="1">
      <c r="A33" s="280" t="s">
        <v>92</v>
      </c>
      <c r="B33" s="92">
        <v>401670</v>
      </c>
      <c r="C33" s="46" t="s">
        <v>249</v>
      </c>
      <c r="D33" s="47">
        <v>45358</v>
      </c>
      <c r="E33" s="48" t="s">
        <v>2</v>
      </c>
      <c r="F33" s="49">
        <v>173</v>
      </c>
      <c r="G33" s="281">
        <f>IF(OR(E33="",F33=""),"",PID_KVLohnLookup($A$1,E33,F33,LOHNTABELLE!$H$4))</f>
        <v>2021</v>
      </c>
      <c r="H33" s="282">
        <f>IF(AND(ISNUMBER(D33),ISNUMBER(F33)),ROUNDDOWN(MIN(IF(OR(ISBLANK(I33),I33=""),EOMONTH(DATE(EINSTELLUNG!$C$35,$A$1,1),0),I33)-MAX(D33,DATE(EINSTELLUNG!$C$35,$A$1,1))+1)/DAY(EOMONTH(DATE(EINSTELLUNG!$C$35,$A$1,1),0))*F33,2),"")</f>
        <v>173</v>
      </c>
      <c r="I33" s="50"/>
      <c r="J33" s="51"/>
      <c r="K33" s="281">
        <f t="shared" si="0"/>
        <v>0</v>
      </c>
      <c r="L33" s="283">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2021</v>
      </c>
      <c r="M33" s="52"/>
      <c r="N33" s="66"/>
      <c r="O33" s="369"/>
      <c r="P33" s="324"/>
      <c r="Q33" s="263" t="s">
        <v>93</v>
      </c>
      <c r="R33" s="263"/>
      <c r="S33" s="263" t="s">
        <v>94</v>
      </c>
      <c r="T33" s="263"/>
      <c r="U33" s="263" t="s">
        <v>95</v>
      </c>
      <c r="V33" s="264"/>
    </row>
    <row r="34" spans="1:22" ht="22" customHeight="1">
      <c r="A34" s="280" t="s">
        <v>96</v>
      </c>
      <c r="B34" s="91">
        <v>401678</v>
      </c>
      <c r="C34" s="39" t="s">
        <v>250</v>
      </c>
      <c r="D34" s="40">
        <v>45414</v>
      </c>
      <c r="E34" s="41" t="s">
        <v>2</v>
      </c>
      <c r="F34" s="42">
        <v>173</v>
      </c>
      <c r="G34" s="281">
        <f>IF(OR(E34="",F34=""),"",PID_KVLohnLookup($A$1,E34,F34,LOHNTABELLE!$H$4))</f>
        <v>2021</v>
      </c>
      <c r="H34" s="282">
        <f>IF(AND(ISNUMBER(D34),ISNUMBER(F34)),ROUNDDOWN(MIN(IF(OR(ISBLANK(I34),I34=""),EOMONTH(DATE(EINSTELLUNG!$C$35,$A$1,1),0),I34)-MAX(D34,DATE(EINSTELLUNG!$C$35,$A$1,1))+1)/DAY(EOMONTH(DATE(EINSTELLUNG!$C$35,$A$1,1),0))*F34,2),"")</f>
        <v>173</v>
      </c>
      <c r="I34" s="43"/>
      <c r="J34" s="44"/>
      <c r="K34" s="281">
        <f t="shared" si="0"/>
        <v>0</v>
      </c>
      <c r="L34" s="283">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2021</v>
      </c>
      <c r="M34" s="45"/>
      <c r="N34" s="65"/>
      <c r="O34" s="370"/>
      <c r="P34" s="326"/>
      <c r="Q34" s="327"/>
      <c r="R34" s="327"/>
      <c r="S34" s="327"/>
      <c r="T34" s="327"/>
      <c r="U34" s="327"/>
      <c r="V34" s="328"/>
    </row>
    <row r="35" spans="1:22" ht="22" customHeight="1">
      <c r="A35" s="280" t="s">
        <v>97</v>
      </c>
      <c r="B35" s="92">
        <v>401690</v>
      </c>
      <c r="C35" s="46" t="s">
        <v>252</v>
      </c>
      <c r="D35" s="47">
        <v>45536</v>
      </c>
      <c r="E35" s="48" t="s">
        <v>2</v>
      </c>
      <c r="F35" s="49">
        <v>151.38</v>
      </c>
      <c r="G35" s="281">
        <f>IF(OR(E35="",F35=""),"",PID_KVLohnLookup($A$1,E35,F35,LOHNTABELLE!$H$4))</f>
        <v>1768.38</v>
      </c>
      <c r="H35" s="282">
        <f>IF(AND(ISNUMBER(D35),ISNUMBER(F35)),ROUNDDOWN(MIN(IF(OR(ISBLANK(I35),I35=""),EOMONTH(DATE(EINSTELLUNG!$C$35,$A$1,1),0),I35)-MAX(D35,DATE(EINSTELLUNG!$C$35,$A$1,1))+1)/DAY(EOMONTH(DATE(EINSTELLUNG!$C$35,$A$1,1),0))*F35,2),"")</f>
        <v>151.38</v>
      </c>
      <c r="I35" s="50"/>
      <c r="J35" s="51"/>
      <c r="K35" s="281">
        <f t="shared" ref="K35:K66" si="1">IF(OR(B35="",C35=""),"",IFERROR(IF(OR(MONTH(D35)=1,MONTH(D35)=3,MONTH(D35)=5,MONTH(D35)=7,MONTH(D35)=8,MONTH(D35)=10,MONTH(D35)=12),(G35/31)*J35,IF(OR(MONTH(D35)=4,MONTH(D35)=6,MONTH(D35)=9,MONTH(D35)=11),(G35/30)*J35,(G35/DAY(EOMONTH(D35,0)))*J35)),0))</f>
        <v>0</v>
      </c>
      <c r="L35" s="283">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1768.38</v>
      </c>
      <c r="M35" s="52"/>
      <c r="N35" s="66"/>
      <c r="O35" s="358" t="s">
        <v>98</v>
      </c>
      <c r="P35" s="297"/>
      <c r="Q35" s="329">
        <f>EINSTELLUNG!C7</f>
        <v>400000</v>
      </c>
      <c r="R35" s="329"/>
      <c r="S35" s="329">
        <f>EINSTELLUNG!C23</f>
        <v>425000</v>
      </c>
      <c r="T35" s="329"/>
      <c r="U35" s="329">
        <f>S35-Q35</f>
        <v>25000</v>
      </c>
      <c r="V35" s="330"/>
    </row>
    <row r="36" spans="1:22" ht="22" customHeight="1">
      <c r="A36" s="280" t="s">
        <v>99</v>
      </c>
      <c r="B36" s="91">
        <v>401703</v>
      </c>
      <c r="C36" s="39" t="s">
        <v>253</v>
      </c>
      <c r="D36" s="40">
        <v>45616</v>
      </c>
      <c r="E36" s="41" t="s">
        <v>2</v>
      </c>
      <c r="F36" s="42">
        <v>173</v>
      </c>
      <c r="G36" s="281">
        <f>IF(OR(E36="",F36=""),"",PID_KVLohnLookup($A$1,E36,F36,LOHNTABELLE!$H$4))</f>
        <v>2021</v>
      </c>
      <c r="H36" s="282">
        <f>IF(AND(ISNUMBER(D36),ISNUMBER(F36)),ROUNDDOWN(MIN(IF(OR(ISBLANK(I36),I36=""),EOMONTH(DATE(EINSTELLUNG!$C$35,$A$1,1),0),I36)-MAX(D36,DATE(EINSTELLUNG!$C$35,$A$1,1))+1)/DAY(EOMONTH(DATE(EINSTELLUNG!$C$35,$A$1,1),0))*F36,2),"")</f>
        <v>173</v>
      </c>
      <c r="I36" s="43"/>
      <c r="J36" s="44"/>
      <c r="K36" s="281">
        <f t="shared" si="1"/>
        <v>0</v>
      </c>
      <c r="L36" s="283">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2021</v>
      </c>
      <c r="M36" s="45"/>
      <c r="N36" s="65"/>
      <c r="O36" s="358" t="s">
        <v>100</v>
      </c>
      <c r="P36" s="297"/>
      <c r="Q36" s="329">
        <f>EINSTELLUNG!D7</f>
        <v>100000</v>
      </c>
      <c r="R36" s="329"/>
      <c r="S36" s="329">
        <f ca="1">SumMergedCells(Q17:R29)</f>
        <v>110751.4129</v>
      </c>
      <c r="T36" s="329"/>
      <c r="U36" s="329">
        <f t="shared" ref="U36:U41" ca="1" si="2">S36-Q36</f>
        <v>10751.412899999996</v>
      </c>
      <c r="V36" s="330"/>
    </row>
    <row r="37" spans="1:22" ht="22" customHeight="1">
      <c r="A37" s="280" t="s">
        <v>101</v>
      </c>
      <c r="B37" s="92">
        <v>401715</v>
      </c>
      <c r="C37" s="46" t="s">
        <v>255</v>
      </c>
      <c r="D37" s="47">
        <v>45755</v>
      </c>
      <c r="E37" s="48" t="s">
        <v>2</v>
      </c>
      <c r="F37" s="49">
        <v>173</v>
      </c>
      <c r="G37" s="281">
        <f>IF(OR(E37="",F37=""),"",PID_KVLohnLookup($A$1,E37,F37,LOHNTABELLE!$H$4))</f>
        <v>2021</v>
      </c>
      <c r="H37" s="282">
        <f>IF(AND(ISNUMBER(D37),ISNUMBER(F37)),ROUNDDOWN(MIN(IF(OR(ISBLANK(I37),I37=""),EOMONTH(DATE(EINSTELLUNG!$C$35,$A$1,1),0),I37)-MAX(D37,DATE(EINSTELLUNG!$C$35,$A$1,1))+1)/DAY(EOMONTH(DATE(EINSTELLUNG!$C$35,$A$1,1),0))*F37,2),"")</f>
        <v>173</v>
      </c>
      <c r="I37" s="50"/>
      <c r="J37" s="51"/>
      <c r="K37" s="281">
        <f t="shared" si="1"/>
        <v>0</v>
      </c>
      <c r="L37" s="283">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2021</v>
      </c>
      <c r="M37" s="52"/>
      <c r="N37" s="66"/>
      <c r="O37" s="358" t="s">
        <v>102</v>
      </c>
      <c r="P37" s="297"/>
      <c r="Q37" s="331">
        <f>IF(ISERROR(Q36/Q35), 0, Q36/Q35)</f>
        <v>0.25</v>
      </c>
      <c r="R37" s="331"/>
      <c r="S37" s="331">
        <f ca="1">IF(ISERROR(S36/S35), 0, S36/S35)</f>
        <v>0.26059155976470588</v>
      </c>
      <c r="T37" s="331"/>
      <c r="U37" s="331">
        <f t="shared" ca="1" si="2"/>
        <v>1.0591559764705882E-2</v>
      </c>
      <c r="V37" s="332"/>
    </row>
    <row r="38" spans="1:22" ht="22" customHeight="1">
      <c r="A38" s="280" t="s">
        <v>103</v>
      </c>
      <c r="B38" s="91">
        <v>401716</v>
      </c>
      <c r="C38" s="39" t="s">
        <v>256</v>
      </c>
      <c r="D38" s="40">
        <v>45800</v>
      </c>
      <c r="E38" s="41" t="s">
        <v>2</v>
      </c>
      <c r="F38" s="42">
        <v>173</v>
      </c>
      <c r="G38" s="281">
        <f>IF(OR(E38="",F38=""),"",PID_KVLohnLookup($A$1,E38,F38,LOHNTABELLE!$H$4))</f>
        <v>2021</v>
      </c>
      <c r="H38" s="282">
        <f>IF(AND(ISNUMBER(D38),ISNUMBER(F38)),ROUNDDOWN(MIN(IF(OR(ISBLANK(I38),I38=""),EOMONTH(DATE(EINSTELLUNG!$C$35,$A$1,1),0),I38)-MAX(D38,DATE(EINSTELLUNG!$C$35,$A$1,1))+1)/DAY(EOMONTH(DATE(EINSTELLUNG!$C$35,$A$1,1),0))*F38,2),"")</f>
        <v>173</v>
      </c>
      <c r="I38" s="43"/>
      <c r="J38" s="44"/>
      <c r="K38" s="281">
        <f t="shared" si="1"/>
        <v>0</v>
      </c>
      <c r="L38" s="283">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2021</v>
      </c>
      <c r="M38" s="45"/>
      <c r="N38" s="65"/>
      <c r="O38" s="358" t="s">
        <v>104</v>
      </c>
      <c r="P38" s="297"/>
      <c r="Q38" s="298">
        <f>EINSTELLUNG!F7</f>
        <v>30000</v>
      </c>
      <c r="R38" s="298"/>
      <c r="S38" s="298">
        <f>EINSTELLUNG!F23</f>
        <v>29000</v>
      </c>
      <c r="T38" s="298"/>
      <c r="U38" s="298">
        <f t="shared" si="2"/>
        <v>-1000</v>
      </c>
      <c r="V38" s="299"/>
    </row>
    <row r="39" spans="1:22" ht="22" customHeight="1">
      <c r="A39" s="280" t="s">
        <v>105</v>
      </c>
      <c r="B39" s="92">
        <v>401717</v>
      </c>
      <c r="C39" s="46" t="s">
        <v>257</v>
      </c>
      <c r="D39" s="47">
        <v>45814</v>
      </c>
      <c r="E39" s="48" t="s">
        <v>2</v>
      </c>
      <c r="F39" s="49">
        <v>86.5</v>
      </c>
      <c r="G39" s="281">
        <f>IF(OR(E39="",F39=""),"",PID_KVLohnLookup($A$1,E39,F39,LOHNTABELLE!$H$4))</f>
        <v>1010.5</v>
      </c>
      <c r="H39" s="282">
        <f>IF(AND(ISNUMBER(D39),ISNUMBER(F39)),ROUNDDOWN(MIN(IF(OR(ISBLANK(I39),I39=""),EOMONTH(DATE(EINSTELLUNG!$C$35,$A$1,1),0),I39)-MAX(D39,DATE(EINSTELLUNG!$C$35,$A$1,1))+1)/DAY(EOMONTH(DATE(EINSTELLUNG!$C$35,$A$1,1),0))*F39,2),"")</f>
        <v>86.5</v>
      </c>
      <c r="I39" s="50"/>
      <c r="J39" s="51"/>
      <c r="K39" s="281">
        <f t="shared" si="1"/>
        <v>0</v>
      </c>
      <c r="L39" s="283">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52"/>
      <c r="N39" s="66"/>
      <c r="O39" s="358" t="s">
        <v>106</v>
      </c>
      <c r="P39" s="297"/>
      <c r="Q39" s="329">
        <f>IF(Q38=0, 0, Q35/Q38)</f>
        <v>13.333333333333334</v>
      </c>
      <c r="R39" s="329"/>
      <c r="S39" s="329">
        <f>IF(S38=0, 0, S35/S38)</f>
        <v>14.655172413793103</v>
      </c>
      <c r="T39" s="329"/>
      <c r="U39" s="329">
        <f t="shared" si="2"/>
        <v>1.3218390804597693</v>
      </c>
      <c r="V39" s="330"/>
    </row>
    <row r="40" spans="1:22" ht="22" customHeight="1">
      <c r="A40" s="280" t="s">
        <v>107</v>
      </c>
      <c r="B40" s="91">
        <v>401722</v>
      </c>
      <c r="C40" s="39" t="s">
        <v>258</v>
      </c>
      <c r="D40" s="40">
        <v>45848</v>
      </c>
      <c r="E40" s="41" t="s">
        <v>2</v>
      </c>
      <c r="F40" s="42">
        <v>86.5</v>
      </c>
      <c r="G40" s="281">
        <f>IF(OR(E40="",F40=""),"",PID_KVLohnLookup($A$1,E40,F40,LOHNTABELLE!$H$4))</f>
        <v>1010.5</v>
      </c>
      <c r="H40" s="282">
        <f>IF(AND(ISNUMBER(D40),ISNUMBER(F40)),ROUNDDOWN(MIN(IF(OR(ISBLANK(I40),I40=""),EOMONTH(DATE(EINSTELLUNG!$C$35,$A$1,1),0),I40)-MAX(D40,DATE(EINSTELLUNG!$C$35,$A$1,1))+1)/DAY(EOMONTH(DATE(EINSTELLUNG!$C$35,$A$1,1),0))*F40,2),"")</f>
        <v>86.5</v>
      </c>
      <c r="I40" s="43"/>
      <c r="J40" s="44"/>
      <c r="K40" s="281">
        <f t="shared" si="1"/>
        <v>0</v>
      </c>
      <c r="L40" s="283">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45"/>
      <c r="N40" s="65"/>
      <c r="O40" s="358" t="s">
        <v>108</v>
      </c>
      <c r="P40" s="297"/>
      <c r="Q40" s="329">
        <f>IF(Q12=0, 0, Q35/Q12)</f>
        <v>50.146427568500023</v>
      </c>
      <c r="R40" s="329"/>
      <c r="S40" s="329">
        <f>IF(Q12=0, 0, S35/Q12)</f>
        <v>53.280579291531275</v>
      </c>
      <c r="T40" s="329"/>
      <c r="U40" s="329">
        <f t="shared" si="2"/>
        <v>3.1341517230312519</v>
      </c>
      <c r="V40" s="330"/>
    </row>
    <row r="41" spans="1:22" ht="22" customHeight="1">
      <c r="A41" s="280" t="s">
        <v>109</v>
      </c>
      <c r="B41" s="92">
        <v>401723</v>
      </c>
      <c r="C41" s="46" t="s">
        <v>259</v>
      </c>
      <c r="D41" s="47">
        <v>45852</v>
      </c>
      <c r="E41" s="48" t="s">
        <v>2</v>
      </c>
      <c r="F41" s="49">
        <v>86.5</v>
      </c>
      <c r="G41" s="281">
        <f>IF(OR(E41="",F41=""),"",PID_KVLohnLookup($A$1,E41,F41,LOHNTABELLE!$H$4))</f>
        <v>1010.5</v>
      </c>
      <c r="H41" s="282">
        <f>IF(AND(ISNUMBER(D41),ISNUMBER(F41)),ROUNDDOWN(MIN(IF(OR(ISBLANK(I41),I41=""),EOMONTH(DATE(EINSTELLUNG!$C$35,$A$1,1),0),I41)-MAX(D41,DATE(EINSTELLUNG!$C$35,$A$1,1))+1)/DAY(EOMONTH(DATE(EINSTELLUNG!$C$35,$A$1,1),0))*F41,2),"")</f>
        <v>86.5</v>
      </c>
      <c r="I41" s="50"/>
      <c r="J41" s="51"/>
      <c r="K41" s="281">
        <f t="shared" si="1"/>
        <v>0</v>
      </c>
      <c r="L41" s="283">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52"/>
      <c r="N41" s="66"/>
      <c r="O41" s="371" t="s">
        <v>110</v>
      </c>
      <c r="P41" s="334"/>
      <c r="Q41" s="335">
        <f>IF(Q12=0, 0, Q38/Q12)</f>
        <v>3.7609820676375016</v>
      </c>
      <c r="R41" s="335"/>
      <c r="S41" s="335">
        <f>IF(Q12=0, 0, S38/Q12)</f>
        <v>3.6356159987162515</v>
      </c>
      <c r="T41" s="335"/>
      <c r="U41" s="335">
        <f t="shared" si="2"/>
        <v>-0.12536606892125013</v>
      </c>
      <c r="V41" s="336"/>
    </row>
    <row r="42" spans="1:22" ht="22" customHeight="1" thickBot="1">
      <c r="A42" s="280" t="s">
        <v>111</v>
      </c>
      <c r="B42" s="91">
        <v>401726</v>
      </c>
      <c r="C42" s="39" t="s">
        <v>260</v>
      </c>
      <c r="D42" s="40">
        <v>45870</v>
      </c>
      <c r="E42" s="41" t="s">
        <v>2</v>
      </c>
      <c r="F42" s="42">
        <v>86.5</v>
      </c>
      <c r="G42" s="281">
        <f>IF(OR(E42="",F42=""),"",PID_KVLohnLookup($A$1,E42,F42,LOHNTABELLE!$H$4))</f>
        <v>1010.5</v>
      </c>
      <c r="H42" s="282">
        <f>IF(AND(ISNUMBER(D42),ISNUMBER(F42)),ROUNDDOWN(MIN(IF(OR(ISBLANK(I42),I42=""),EOMONTH(DATE(EINSTELLUNG!$C$35,$A$1,1),0),I42)-MAX(D42,DATE(EINSTELLUNG!$C$35,$A$1,1))+1)/DAY(EOMONTH(DATE(EINSTELLUNG!$C$35,$A$1,1),0))*F42,2),"")</f>
        <v>86.5</v>
      </c>
      <c r="I42" s="43"/>
      <c r="J42" s="44"/>
      <c r="K42" s="281">
        <f t="shared" si="1"/>
        <v>0</v>
      </c>
      <c r="L42" s="283">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45"/>
      <c r="N42" s="130"/>
      <c r="O42" s="314" t="s">
        <v>112</v>
      </c>
      <c r="P42" s="315"/>
      <c r="Q42" s="337">
        <f>IFERROR(Q17/Q8, 0)</f>
        <v>11.800369491939671</v>
      </c>
      <c r="R42" s="338"/>
      <c r="S42" s="337"/>
      <c r="T42" s="337"/>
      <c r="U42" s="337"/>
      <c r="V42" s="317"/>
    </row>
    <row r="43" spans="1:22" ht="22" customHeight="1">
      <c r="A43" s="280" t="s">
        <v>113</v>
      </c>
      <c r="B43" s="92">
        <v>401730</v>
      </c>
      <c r="C43" s="46" t="s">
        <v>262</v>
      </c>
      <c r="D43" s="47">
        <v>45895</v>
      </c>
      <c r="E43" s="48" t="s">
        <v>2</v>
      </c>
      <c r="F43" s="49">
        <v>86.5</v>
      </c>
      <c r="G43" s="281">
        <f>IF(OR(E43="",F43=""),"",PID_KVLohnLookup($A$1,E43,F43,LOHNTABELLE!$H$4))</f>
        <v>1010.5</v>
      </c>
      <c r="H43" s="282">
        <f>IF(AND(ISNUMBER(D43),ISNUMBER(F43)),ROUNDDOWN(MIN(IF(OR(ISBLANK(I43),I43=""),EOMONTH(DATE(EINSTELLUNG!$C$35,$A$1,1),0),I43)-MAX(D43,DATE(EINSTELLUNG!$C$35,$A$1,1))+1)/DAY(EOMONTH(DATE(EINSTELLUNG!$C$35,$A$1,1),0))*F43,2),"")</f>
        <v>86.5</v>
      </c>
      <c r="I43" s="50"/>
      <c r="J43" s="51"/>
      <c r="K43" s="281">
        <f t="shared" si="1"/>
        <v>0</v>
      </c>
      <c r="L43" s="283">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1010.5</v>
      </c>
      <c r="M43" s="128"/>
      <c r="N43" s="66"/>
      <c r="O43" s="339"/>
      <c r="P43" s="339"/>
      <c r="Q43" s="339"/>
      <c r="R43" s="278"/>
      <c r="S43" s="278"/>
      <c r="T43" s="278"/>
      <c r="U43" s="278"/>
      <c r="V43" s="278"/>
    </row>
    <row r="44" spans="1:22" ht="22" customHeight="1">
      <c r="A44" s="280" t="s">
        <v>114</v>
      </c>
      <c r="B44" s="91">
        <v>401731</v>
      </c>
      <c r="C44" s="39" t="s">
        <v>261</v>
      </c>
      <c r="D44" s="40">
        <v>45899</v>
      </c>
      <c r="E44" s="41" t="s">
        <v>2</v>
      </c>
      <c r="F44" s="42">
        <v>86.5</v>
      </c>
      <c r="G44" s="281">
        <f>IF(OR(E44="",F44=""),"",PID_KVLohnLookup($A$1,E44,F44,LOHNTABELLE!$H$4))</f>
        <v>1010.5</v>
      </c>
      <c r="H44" s="282">
        <f>IF(AND(ISNUMBER(D44),ISNUMBER(F44)),ROUNDDOWN(MIN(IF(OR(ISBLANK(I44),I44=""),EOMONTH(DATE(EINSTELLUNG!$C$35,$A$1,1),0),I44)-MAX(D44,DATE(EINSTELLUNG!$C$35,$A$1,1))+1)/DAY(EOMONTH(DATE(EINSTELLUNG!$C$35,$A$1,1),0))*F44,2),"")</f>
        <v>86.5</v>
      </c>
      <c r="I44" s="43"/>
      <c r="J44" s="44"/>
      <c r="K44" s="281">
        <f t="shared" si="1"/>
        <v>0</v>
      </c>
      <c r="L44" s="283">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1010.5</v>
      </c>
      <c r="M44" s="129"/>
      <c r="N44" s="65"/>
      <c r="O44" s="340" t="s">
        <v>115</v>
      </c>
      <c r="P44" s="340"/>
      <c r="Q44" s="340"/>
      <c r="R44" s="340"/>
      <c r="S44" s="340"/>
      <c r="T44" s="340"/>
      <c r="U44" s="340"/>
      <c r="V44" s="340"/>
    </row>
    <row r="45" spans="1:22" ht="22" customHeight="1">
      <c r="A45" s="280" t="s">
        <v>116</v>
      </c>
      <c r="B45" s="92">
        <v>401734</v>
      </c>
      <c r="C45" s="46" t="s">
        <v>263</v>
      </c>
      <c r="D45" s="47">
        <v>45904</v>
      </c>
      <c r="E45" s="48" t="s">
        <v>2</v>
      </c>
      <c r="F45" s="49">
        <v>86.5</v>
      </c>
      <c r="G45" s="281">
        <f>IF(OR(E45="",F45=""),"",PID_KVLohnLookup($A$1,E45,F45,LOHNTABELLE!$H$4))</f>
        <v>1010.5</v>
      </c>
      <c r="H45" s="282">
        <f>IF(AND(ISNUMBER(D45),ISNUMBER(F45)),ROUNDDOWN(MIN(IF(OR(ISBLANK(I45),I45=""),EOMONTH(DATE(EINSTELLUNG!$C$35,$A$1,1),0),I45)-MAX(D45,DATE(EINSTELLUNG!$C$35,$A$1,1))+1)/DAY(EOMONTH(DATE(EINSTELLUNG!$C$35,$A$1,1),0))*F45,2),"")</f>
        <v>86.5</v>
      </c>
      <c r="I45" s="50"/>
      <c r="J45" s="51"/>
      <c r="K45" s="281">
        <f t="shared" si="1"/>
        <v>0</v>
      </c>
      <c r="L45" s="283">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1010.5</v>
      </c>
      <c r="M45" s="128"/>
      <c r="N45" s="66"/>
      <c r="O45" s="341"/>
      <c r="P45" s="341"/>
      <c r="Q45" s="341"/>
      <c r="R45" s="342"/>
      <c r="S45" s="342"/>
      <c r="T45" s="342"/>
      <c r="U45" s="342"/>
      <c r="V45" s="278"/>
    </row>
    <row r="46" spans="1:22" ht="22" customHeight="1">
      <c r="A46" s="280" t="s">
        <v>117</v>
      </c>
      <c r="B46" s="91">
        <v>401736</v>
      </c>
      <c r="C46" s="39" t="s">
        <v>264</v>
      </c>
      <c r="D46" s="40">
        <v>45906</v>
      </c>
      <c r="E46" s="41" t="s">
        <v>2</v>
      </c>
      <c r="F46" s="42">
        <v>86.5</v>
      </c>
      <c r="G46" s="281">
        <f>IF(OR(E46="",F46=""),"",PID_KVLohnLookup($A$1,E46,F46,LOHNTABELLE!$H$4))</f>
        <v>1010.5</v>
      </c>
      <c r="H46" s="282">
        <f>IF(AND(ISNUMBER(D46),ISNUMBER(F46)),ROUNDDOWN(MIN(IF(OR(ISBLANK(I46),I46=""),EOMONTH(DATE(EINSTELLUNG!$C$35,$A$1,1),0),I46)-MAX(D46,DATE(EINSTELLUNG!$C$35,$A$1,1))+1)/DAY(EOMONTH(DATE(EINSTELLUNG!$C$35,$A$1,1),0))*F46,2),"")</f>
        <v>86.5</v>
      </c>
      <c r="I46" s="43"/>
      <c r="J46" s="44"/>
      <c r="K46" s="281">
        <f t="shared" si="1"/>
        <v>0</v>
      </c>
      <c r="L46" s="283">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1010.5</v>
      </c>
      <c r="M46" s="129"/>
      <c r="N46" s="65"/>
      <c r="O46" s="278"/>
      <c r="P46" s="278"/>
      <c r="Q46" s="278"/>
      <c r="R46" s="278"/>
      <c r="S46" s="278"/>
      <c r="T46" s="278"/>
      <c r="U46" s="278"/>
      <c r="V46" s="278"/>
    </row>
    <row r="47" spans="1:22" ht="22" customHeight="1">
      <c r="A47" s="280" t="s">
        <v>118</v>
      </c>
      <c r="B47" s="92">
        <v>401737</v>
      </c>
      <c r="C47" s="46" t="s">
        <v>265</v>
      </c>
      <c r="D47" s="47">
        <v>45906</v>
      </c>
      <c r="E47" s="48" t="s">
        <v>2</v>
      </c>
      <c r="F47" s="49">
        <v>86.5</v>
      </c>
      <c r="G47" s="281">
        <f>IF(OR(E47="",F47=""),"",PID_KVLohnLookup($A$1,E47,F47,LOHNTABELLE!$H$4))</f>
        <v>1010.5</v>
      </c>
      <c r="H47" s="282">
        <f>IF(AND(ISNUMBER(D47),ISNUMBER(F47)),ROUNDDOWN(MIN(IF(OR(ISBLANK(I47),I47=""),EOMONTH(DATE(EINSTELLUNG!$C$35,$A$1,1),0),I47)-MAX(D47,DATE(EINSTELLUNG!$C$35,$A$1,1))+1)/DAY(EOMONTH(DATE(EINSTELLUNG!$C$35,$A$1,1),0))*F47,2),"")</f>
        <v>86.5</v>
      </c>
      <c r="I47" s="50"/>
      <c r="J47" s="51"/>
      <c r="K47" s="281">
        <f t="shared" si="1"/>
        <v>0</v>
      </c>
      <c r="L47" s="283">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1010.5</v>
      </c>
      <c r="M47" s="128"/>
      <c r="N47" s="66"/>
      <c r="O47" s="278"/>
      <c r="P47" s="278"/>
      <c r="Q47" s="278"/>
      <c r="R47" s="278"/>
      <c r="S47" s="278"/>
      <c r="T47" s="278"/>
      <c r="U47" s="278"/>
      <c r="V47" s="278"/>
    </row>
    <row r="48" spans="1:22" ht="22" customHeight="1">
      <c r="A48" s="280" t="s">
        <v>119</v>
      </c>
      <c r="B48" s="91">
        <v>401738</v>
      </c>
      <c r="C48" s="39" t="s">
        <v>266</v>
      </c>
      <c r="D48" s="43">
        <v>45909</v>
      </c>
      <c r="E48" s="41" t="s">
        <v>2</v>
      </c>
      <c r="F48" s="42">
        <v>86.5</v>
      </c>
      <c r="G48" s="281">
        <f>IF(OR(E48="",F48=""),"",PID_KVLohnLookup($A$1,E48,F48,LOHNTABELLE!$H$4))</f>
        <v>1010.5</v>
      </c>
      <c r="H48" s="282">
        <f>IF(AND(ISNUMBER(D48),ISNUMBER(F48)),ROUNDDOWN(MIN(IF(OR(ISBLANK(I48),I48=""),EOMONTH(DATE(EINSTELLUNG!$C$35,$A$1,1),0),I48)-MAX(D48,DATE(EINSTELLUNG!$C$35,$A$1,1))+1)/DAY(EOMONTH(DATE(EINSTELLUNG!$C$35,$A$1,1),0))*F48,2),"")</f>
        <v>86.5</v>
      </c>
      <c r="I48" s="43"/>
      <c r="J48" s="44"/>
      <c r="K48" s="281">
        <f t="shared" si="1"/>
        <v>0</v>
      </c>
      <c r="L48" s="283">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1010.5</v>
      </c>
      <c r="M48" s="129"/>
      <c r="N48" s="65"/>
      <c r="O48" s="278"/>
      <c r="P48" s="278"/>
      <c r="Q48" s="278"/>
      <c r="R48" s="278"/>
      <c r="S48" s="278"/>
      <c r="T48" s="278"/>
      <c r="U48" s="278"/>
      <c r="V48" s="278"/>
    </row>
    <row r="49" spans="1:22" ht="22" customHeight="1">
      <c r="A49" s="280" t="s">
        <v>120</v>
      </c>
      <c r="B49" s="92">
        <v>401745</v>
      </c>
      <c r="C49" s="46" t="s">
        <v>270</v>
      </c>
      <c r="D49" s="50">
        <v>45934</v>
      </c>
      <c r="E49" s="48" t="s">
        <v>2</v>
      </c>
      <c r="F49" s="49">
        <v>86.5</v>
      </c>
      <c r="G49" s="281">
        <f>IF(OR(E49="",F49=""),"",PID_KVLohnLookup($A$1,E49,F49,LOHNTABELLE!$H$4))</f>
        <v>1010.5</v>
      </c>
      <c r="H49" s="282">
        <f>IF(AND(ISNUMBER(D49),ISNUMBER(F49)),ROUNDDOWN(MIN(IF(OR(ISBLANK(I49),I49=""),EOMONTH(DATE(EINSTELLUNG!$C$35,$A$1,1),0),I49)-MAX(D49,DATE(EINSTELLUNG!$C$35,$A$1,1))+1)/DAY(EOMONTH(DATE(EINSTELLUNG!$C$35,$A$1,1),0))*F49,2),"")</f>
        <v>86.5</v>
      </c>
      <c r="I49" s="50"/>
      <c r="J49" s="51"/>
      <c r="K49" s="281">
        <f t="shared" si="1"/>
        <v>0</v>
      </c>
      <c r="L49" s="283">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1010.5</v>
      </c>
      <c r="M49" s="128"/>
      <c r="N49" s="66"/>
      <c r="O49" s="278"/>
      <c r="P49" s="278"/>
      <c r="Q49" s="278"/>
      <c r="R49" s="278"/>
      <c r="S49" s="278"/>
      <c r="T49" s="278"/>
      <c r="U49" s="278"/>
      <c r="V49" s="278"/>
    </row>
    <row r="50" spans="1:22" ht="22" customHeight="1">
      <c r="A50" s="280" t="s">
        <v>121</v>
      </c>
      <c r="B50" s="91">
        <v>401746</v>
      </c>
      <c r="C50" s="53" t="s">
        <v>269</v>
      </c>
      <c r="D50" s="43">
        <v>45941</v>
      </c>
      <c r="E50" s="41" t="s">
        <v>2</v>
      </c>
      <c r="F50" s="42">
        <v>86.5</v>
      </c>
      <c r="G50" s="281">
        <f>IF(OR(E50="",F50=""),"",PID_KVLohnLookup($A$1,E50,F50,LOHNTABELLE!$H$4))</f>
        <v>1010.5</v>
      </c>
      <c r="H50" s="282">
        <f>IF(AND(ISNUMBER(D50),ISNUMBER(F50)),ROUNDDOWN(MIN(IF(OR(ISBLANK(I50),I50=""),EOMONTH(DATE(EINSTELLUNG!$C$35,$A$1,1),0),I50)-MAX(D50,DATE(EINSTELLUNG!$C$35,$A$1,1))+1)/DAY(EOMONTH(DATE(EINSTELLUNG!$C$35,$A$1,1),0))*F50,2),"")</f>
        <v>86.5</v>
      </c>
      <c r="I50" s="43"/>
      <c r="J50" s="44"/>
      <c r="K50" s="281">
        <f t="shared" si="1"/>
        <v>0</v>
      </c>
      <c r="L50" s="283">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1010.5</v>
      </c>
      <c r="M50" s="129"/>
      <c r="N50" s="65"/>
      <c r="O50" s="278"/>
      <c r="P50" s="278"/>
      <c r="Q50" s="278"/>
      <c r="R50" s="278"/>
      <c r="S50" s="278"/>
      <c r="T50" s="278"/>
      <c r="U50" s="278"/>
      <c r="V50" s="278"/>
    </row>
    <row r="51" spans="1:22" ht="22" customHeight="1">
      <c r="A51" s="280" t="s">
        <v>122</v>
      </c>
      <c r="B51" s="92">
        <v>401747</v>
      </c>
      <c r="C51" s="46" t="s">
        <v>267</v>
      </c>
      <c r="D51" s="50">
        <v>45941</v>
      </c>
      <c r="E51" s="48" t="s">
        <v>2</v>
      </c>
      <c r="F51" s="49">
        <v>86.5</v>
      </c>
      <c r="G51" s="281">
        <f>IF(OR(E51="",F51=""),"",PID_KVLohnLookup($A$1,E51,F51,LOHNTABELLE!$H$4))</f>
        <v>1010.5</v>
      </c>
      <c r="H51" s="282">
        <f>IF(AND(ISNUMBER(D51),ISNUMBER(F51)),ROUNDDOWN(MIN(IF(OR(ISBLANK(I51),I51=""),EOMONTH(DATE(EINSTELLUNG!$C$35,$A$1,1),0),I51)-MAX(D51,DATE(EINSTELLUNG!$C$35,$A$1,1))+1)/DAY(EOMONTH(DATE(EINSTELLUNG!$C$35,$A$1,1),0))*F51,2),"")</f>
        <v>86.5</v>
      </c>
      <c r="I51" s="50"/>
      <c r="J51" s="51"/>
      <c r="K51" s="281">
        <f t="shared" si="1"/>
        <v>0</v>
      </c>
      <c r="L51" s="283">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1010.5</v>
      </c>
      <c r="M51" s="52"/>
      <c r="N51" s="127"/>
    </row>
    <row r="52" spans="1:22" ht="22" customHeight="1">
      <c r="A52" s="280" t="s">
        <v>123</v>
      </c>
      <c r="B52" s="91">
        <v>401748</v>
      </c>
      <c r="C52" s="39" t="s">
        <v>268</v>
      </c>
      <c r="D52" s="43">
        <v>45941</v>
      </c>
      <c r="E52" s="41" t="s">
        <v>2</v>
      </c>
      <c r="F52" s="42">
        <v>138.4</v>
      </c>
      <c r="G52" s="281">
        <f>IF(OR(E52="",F52=""),"",PID_KVLohnLookup($A$1,E52,F52,LOHNTABELLE!$H$4))</f>
        <v>1616.8</v>
      </c>
      <c r="H52" s="282">
        <f>IF(AND(ISNUMBER(D52),ISNUMBER(F52)),ROUNDDOWN(MIN(IF(OR(ISBLANK(I52),I52=""),EOMONTH(DATE(EINSTELLUNG!$C$35,$A$1,1),0),I52)-MAX(D52,DATE(EINSTELLUNG!$C$35,$A$1,1))+1)/DAY(EOMONTH(DATE(EINSTELLUNG!$C$35,$A$1,1),0))*F52,2),"")</f>
        <v>138.4</v>
      </c>
      <c r="I52" s="43"/>
      <c r="J52" s="44"/>
      <c r="K52" s="281">
        <f t="shared" si="1"/>
        <v>0</v>
      </c>
      <c r="L52" s="283">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1616.8</v>
      </c>
      <c r="M52" s="45"/>
      <c r="N52" s="65"/>
    </row>
    <row r="53" spans="1:22" ht="22" customHeight="1">
      <c r="A53" s="280" t="s">
        <v>124</v>
      </c>
      <c r="B53" s="92">
        <v>401751</v>
      </c>
      <c r="C53" s="46" t="s">
        <v>271</v>
      </c>
      <c r="D53" s="50">
        <v>45961</v>
      </c>
      <c r="E53" s="48" t="s">
        <v>2</v>
      </c>
      <c r="F53" s="49">
        <v>86.5</v>
      </c>
      <c r="G53" s="281">
        <f>IF(OR(E53="",F53=""),"",PID_KVLohnLookup($A$1,E53,F53,LOHNTABELLE!$H$4))</f>
        <v>1010.5</v>
      </c>
      <c r="H53" s="282">
        <f>IF(AND(ISNUMBER(D53),ISNUMBER(F53)),ROUNDDOWN(MIN(IF(OR(ISBLANK(I53),I53=""),EOMONTH(DATE(EINSTELLUNG!$C$35,$A$1,1),0),I53)-MAX(D53,DATE(EINSTELLUNG!$C$35,$A$1,1))+1)/DAY(EOMONTH(DATE(EINSTELLUNG!$C$35,$A$1,1),0))*F53,2),"")</f>
        <v>86.5</v>
      </c>
      <c r="I53" s="50"/>
      <c r="J53" s="51"/>
      <c r="K53" s="281">
        <f t="shared" si="1"/>
        <v>0</v>
      </c>
      <c r="L53" s="283">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1010.5</v>
      </c>
      <c r="M53" s="52"/>
      <c r="N53" s="66"/>
    </row>
    <row r="54" spans="1:22" ht="22" customHeight="1">
      <c r="A54" s="280" t="s">
        <v>125</v>
      </c>
      <c r="B54" s="91">
        <v>401752</v>
      </c>
      <c r="C54" s="39" t="s">
        <v>272</v>
      </c>
      <c r="D54" s="43">
        <v>45986</v>
      </c>
      <c r="E54" s="41" t="s">
        <v>2</v>
      </c>
      <c r="F54" s="42">
        <v>173</v>
      </c>
      <c r="G54" s="281">
        <f>IF(OR(E54="",F54=""),"",PID_KVLohnLookup($A$1,E54,F54,LOHNTABELLE!$H$4))</f>
        <v>2021</v>
      </c>
      <c r="H54" s="282">
        <f>IF(AND(ISNUMBER(D54),ISNUMBER(F54)),ROUNDDOWN(MIN(IF(OR(ISBLANK(I54),I54=""),EOMONTH(DATE(EINSTELLUNG!$C$35,$A$1,1),0),I54)-MAX(D54,DATE(EINSTELLUNG!$C$35,$A$1,1))+1)/DAY(EOMONTH(DATE(EINSTELLUNG!$C$35,$A$1,1),0))*F54,2),"")</f>
        <v>173</v>
      </c>
      <c r="I54" s="43"/>
      <c r="J54" s="44"/>
      <c r="K54" s="281">
        <f t="shared" si="1"/>
        <v>0</v>
      </c>
      <c r="L54" s="283">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2021</v>
      </c>
      <c r="M54" s="45"/>
      <c r="N54" s="65"/>
    </row>
    <row r="55" spans="1:22" ht="22" customHeight="1">
      <c r="A55" s="280" t="s">
        <v>126</v>
      </c>
      <c r="B55" s="92">
        <v>401754</v>
      </c>
      <c r="C55" s="46" t="s">
        <v>273</v>
      </c>
      <c r="D55" s="50">
        <v>46014</v>
      </c>
      <c r="E55" s="48" t="s">
        <v>2</v>
      </c>
      <c r="F55" s="49">
        <v>151.38</v>
      </c>
      <c r="G55" s="281">
        <f>IF(OR(E55="",F55=""),"",PID_KVLohnLookup($A$1,E55,F55,LOHNTABELLE!$H$4))</f>
        <v>1768.38</v>
      </c>
      <c r="H55" s="282">
        <f>IF(AND(ISNUMBER(D55),ISNUMBER(F55)),ROUNDDOWN(MIN(IF(OR(ISBLANK(I55),I55=""),EOMONTH(DATE(EINSTELLUNG!$C$35,$A$1,1),0),I55)-MAX(D55,DATE(EINSTELLUNG!$C$35,$A$1,1))+1)/DAY(EOMONTH(DATE(EINSTELLUNG!$C$35,$A$1,1),0))*F55,2),"")</f>
        <v>151.38</v>
      </c>
      <c r="I55" s="50"/>
      <c r="J55" s="51"/>
      <c r="K55" s="281">
        <f t="shared" si="1"/>
        <v>0</v>
      </c>
      <c r="L55" s="283">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1768.38</v>
      </c>
      <c r="M55" s="52"/>
      <c r="N55" s="66"/>
    </row>
    <row r="56" spans="1:22" ht="22" customHeight="1">
      <c r="A56" s="280" t="s">
        <v>127</v>
      </c>
      <c r="B56" s="91">
        <v>401999</v>
      </c>
      <c r="C56" s="39" t="s">
        <v>354</v>
      </c>
      <c r="D56" s="43">
        <v>46041</v>
      </c>
      <c r="E56" s="41" t="s">
        <v>2</v>
      </c>
      <c r="F56" s="42">
        <v>151.38</v>
      </c>
      <c r="G56" s="281">
        <f>IF(OR(E56="",F56=""),"",PID_KVLohnLookup($A$1,E56,F56,LOHNTABELLE!$H$4))</f>
        <v>1768.38</v>
      </c>
      <c r="H56" s="282">
        <f>IF(AND(ISNUMBER(D56),ISNUMBER(F56)),ROUNDDOWN(MIN(IF(OR(ISBLANK(I56),I56=""),EOMONTH(DATE(EINSTELLUNG!$C$35,$A$1,1),0),I56)-MAX(D56,DATE(EINSTELLUNG!$C$35,$A$1,1))+1)/DAY(EOMONTH(DATE(EINSTELLUNG!$C$35,$A$1,1),0))*F56,2),"")</f>
        <v>151.38</v>
      </c>
      <c r="I56" s="43"/>
      <c r="J56" s="44"/>
      <c r="K56" s="281">
        <f t="shared" si="1"/>
        <v>0</v>
      </c>
      <c r="L56" s="283">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1768.38</v>
      </c>
      <c r="M56" s="45"/>
      <c r="N56" s="65"/>
    </row>
    <row r="57" spans="1:22" ht="22" customHeight="1">
      <c r="A57" s="280" t="s">
        <v>128</v>
      </c>
      <c r="B57" s="92">
        <v>402405</v>
      </c>
      <c r="C57" s="46" t="s">
        <v>297</v>
      </c>
      <c r="D57" s="50">
        <v>46054</v>
      </c>
      <c r="E57" s="48" t="s">
        <v>2</v>
      </c>
      <c r="F57" s="49">
        <v>173</v>
      </c>
      <c r="G57" s="281">
        <f>IF(OR(E57="",F57=""),"",PID_KVLohnLookup($A$1,E57,F57,LOHNTABELLE!$H$4))</f>
        <v>2021</v>
      </c>
      <c r="H57" s="282">
        <f>IF(AND(ISNUMBER(D57),ISNUMBER(F57)),ROUNDDOWN(MIN(IF(OR(ISBLANK(I57),I57=""),EOMONTH(DATE(EINSTELLUNG!$C$35,$A$1,1),0),I57)-MAX(D57,DATE(EINSTELLUNG!$C$35,$A$1,1))+1)/DAY(EOMONTH(DATE(EINSTELLUNG!$C$35,$A$1,1),0))*F57,2),"")</f>
        <v>173</v>
      </c>
      <c r="I57" s="50"/>
      <c r="J57" s="51"/>
      <c r="K57" s="281">
        <f t="shared" si="1"/>
        <v>0</v>
      </c>
      <c r="L57" s="283">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2021</v>
      </c>
      <c r="M57" s="52"/>
      <c r="N57" s="66"/>
    </row>
    <row r="58" spans="1:22" ht="22" customHeight="1">
      <c r="A58" s="280" t="s">
        <v>129</v>
      </c>
      <c r="B58" s="91">
        <v>500600</v>
      </c>
      <c r="C58" s="39" t="s">
        <v>301</v>
      </c>
      <c r="D58" s="43">
        <v>46054</v>
      </c>
      <c r="E58" s="41" t="s">
        <v>2</v>
      </c>
      <c r="F58" s="42">
        <v>173</v>
      </c>
      <c r="G58" s="281">
        <f>IF(OR(E58="",F58=""),"",PID_KVLohnLookup($A$1,E58,F58,LOHNTABELLE!$H$4))</f>
        <v>2021</v>
      </c>
      <c r="H58" s="282">
        <f>IF(AND(ISNUMBER(D58),ISNUMBER(F58)),ROUNDDOWN(MIN(IF(OR(ISBLANK(I58),I58=""),EOMONTH(DATE(EINSTELLUNG!$C$35,$A$1,1),0),I58)-MAX(D58,DATE(EINSTELLUNG!$C$35,$A$1,1))+1)/DAY(EOMONTH(DATE(EINSTELLUNG!$C$35,$A$1,1),0))*F58,2),"")</f>
        <v>173</v>
      </c>
      <c r="I58" s="43"/>
      <c r="J58" s="44"/>
      <c r="K58" s="281">
        <f t="shared" si="1"/>
        <v>0</v>
      </c>
      <c r="L58" s="283">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2021</v>
      </c>
      <c r="M58" s="45"/>
      <c r="N58" s="65"/>
    </row>
    <row r="59" spans="1:22" ht="22" customHeight="1">
      <c r="A59" s="280" t="s">
        <v>130</v>
      </c>
      <c r="B59" s="92">
        <v>503000</v>
      </c>
      <c r="C59" s="46" t="s">
        <v>298</v>
      </c>
      <c r="D59" s="50">
        <v>42401</v>
      </c>
      <c r="E59" s="48" t="s">
        <v>2</v>
      </c>
      <c r="F59" s="49">
        <v>173</v>
      </c>
      <c r="G59" s="281">
        <f>IF(OR(E59="",F59=""),"",PID_KVLohnLookup($A$1,E59,F59,LOHNTABELLE!$H$4))</f>
        <v>2021</v>
      </c>
      <c r="H59" s="282">
        <f>IF(AND(ISNUMBER(D59),ISNUMBER(F59)),ROUNDDOWN(MIN(IF(OR(ISBLANK(I59),I59=""),EOMONTH(DATE(EINSTELLUNG!$C$35,$A$1,1),0),I59)-MAX(D59,DATE(EINSTELLUNG!$C$35,$A$1,1))+1)/DAY(EOMONTH(DATE(EINSTELLUNG!$C$35,$A$1,1),0))*F59,2),"")</f>
        <v>173</v>
      </c>
      <c r="I59" s="50"/>
      <c r="J59" s="51"/>
      <c r="K59" s="281">
        <f t="shared" si="1"/>
        <v>0</v>
      </c>
      <c r="L59" s="283">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2021</v>
      </c>
      <c r="M59" s="52"/>
      <c r="N59" s="66"/>
    </row>
    <row r="60" spans="1:22" ht="22" customHeight="1">
      <c r="A60" s="280" t="s">
        <v>131</v>
      </c>
      <c r="B60" s="91">
        <v>504000</v>
      </c>
      <c r="C60" s="39" t="s">
        <v>299</v>
      </c>
      <c r="D60" s="43">
        <v>46054</v>
      </c>
      <c r="E60" s="41" t="s">
        <v>3</v>
      </c>
      <c r="F60" s="42">
        <v>138.4</v>
      </c>
      <c r="G60" s="281">
        <f>IF(OR(E60="",F60=""),"",PID_KVLohnLookup($A$1,E60,F60,LOHNTABELLE!$H$4))</f>
        <v>1665.6</v>
      </c>
      <c r="H60" s="282">
        <f>IF(AND(ISNUMBER(D60),ISNUMBER(F60)),ROUNDDOWN(MIN(IF(OR(ISBLANK(I60),I60=""),EOMONTH(DATE(EINSTELLUNG!$C$35,$A$1,1),0),I60)-MAX(D60,DATE(EINSTELLUNG!$C$35,$A$1,1))+1)/DAY(EOMONTH(DATE(EINSTELLUNG!$C$35,$A$1,1),0))*F60,2),"")</f>
        <v>138.4</v>
      </c>
      <c r="I60" s="43"/>
      <c r="J60" s="44"/>
      <c r="K60" s="281">
        <f t="shared" si="1"/>
        <v>0</v>
      </c>
      <c r="L60" s="283">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1665.6</v>
      </c>
      <c r="M60" s="45"/>
      <c r="N60" s="65"/>
    </row>
    <row r="61" spans="1:22" ht="22" customHeight="1">
      <c r="A61" s="280" t="s">
        <v>132</v>
      </c>
      <c r="B61" s="92">
        <v>505000</v>
      </c>
      <c r="C61" s="46" t="s">
        <v>300</v>
      </c>
      <c r="D61" s="50">
        <v>46054</v>
      </c>
      <c r="E61" s="48" t="s">
        <v>2</v>
      </c>
      <c r="F61" s="49">
        <v>138.4</v>
      </c>
      <c r="G61" s="281">
        <f>IF(OR(E61="",F61=""),"",PID_KVLohnLookup($A$1,E61,F61,LOHNTABELLE!$H$4))</f>
        <v>1616.8</v>
      </c>
      <c r="H61" s="282">
        <f>IF(AND(ISNUMBER(D61),ISNUMBER(F61)),ROUNDDOWN(MIN(IF(OR(ISBLANK(I61),I61=""),EOMONTH(DATE(EINSTELLUNG!$C$35,$A$1,1),0),I61)-MAX(D61,DATE(EINSTELLUNG!$C$35,$A$1,1))+1)/DAY(EOMONTH(DATE(EINSTELLUNG!$C$35,$A$1,1),0))*F61,2),"")</f>
        <v>138.4</v>
      </c>
      <c r="I61" s="50"/>
      <c r="J61" s="51"/>
      <c r="K61" s="281">
        <f t="shared" si="1"/>
        <v>0</v>
      </c>
      <c r="L61" s="283">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1616.8</v>
      </c>
      <c r="M61" s="52"/>
      <c r="N61" s="66"/>
    </row>
    <row r="62" spans="1:22" ht="22" customHeight="1">
      <c r="A62" s="280" t="s">
        <v>133</v>
      </c>
      <c r="B62" s="91">
        <v>525025</v>
      </c>
      <c r="C62" s="39" t="s">
        <v>355</v>
      </c>
      <c r="D62" s="43">
        <v>46040</v>
      </c>
      <c r="E62" s="41" t="s">
        <v>2</v>
      </c>
      <c r="F62" s="42">
        <v>129.75</v>
      </c>
      <c r="G62" s="281">
        <f>IF(OR(E62="",F62=""),"",PID_KVLohnLookup($A$1,E62,F62,LOHNTABELLE!$H$4))</f>
        <v>1515.75</v>
      </c>
      <c r="H62" s="282">
        <f>IF(AND(ISNUMBER(D62),ISNUMBER(F62)),ROUNDDOWN(MIN(IF(OR(ISBLANK(I62),I62=""),EOMONTH(DATE(EINSTELLUNG!$C$35,$A$1,1),0),I62)-MAX(D62,DATE(EINSTELLUNG!$C$35,$A$1,1))+1)/DAY(EOMONTH(DATE(EINSTELLUNG!$C$35,$A$1,1),0))*F62,2),"")</f>
        <v>129.75</v>
      </c>
      <c r="I62" s="43"/>
      <c r="J62" s="44"/>
      <c r="K62" s="281">
        <f t="shared" si="1"/>
        <v>0</v>
      </c>
      <c r="L62" s="283">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1515.75</v>
      </c>
      <c r="M62" s="45"/>
      <c r="N62" s="65"/>
    </row>
    <row r="63" spans="1:22" ht="18" customHeight="1">
      <c r="A63" s="280" t="s">
        <v>134</v>
      </c>
      <c r="B63" s="92">
        <v>600000</v>
      </c>
      <c r="C63" s="46" t="s">
        <v>302</v>
      </c>
      <c r="D63" s="50">
        <v>36865</v>
      </c>
      <c r="E63" s="48" t="s">
        <v>2</v>
      </c>
      <c r="F63" s="49">
        <v>151.38</v>
      </c>
      <c r="G63" s="281">
        <f>IF(OR(E63="",F63=""),"",PID_KVLohnLookup($A$1,E63,F63,LOHNTABELLE!$H$4))</f>
        <v>1768.38</v>
      </c>
      <c r="H63" s="282">
        <f>IF(AND(ISNUMBER(D63),ISNUMBER(F63)),ROUNDDOWN(MIN(IF(OR(ISBLANK(I63),I63=""),EOMONTH(DATE(EINSTELLUNG!$C$35,$A$1,1),0),I63)-MAX(D63,DATE(EINSTELLUNG!$C$35,$A$1,1))+1)/DAY(EOMONTH(DATE(EINSTELLUNG!$C$35,$A$1,1),0))*F63,2),"")</f>
        <v>10.81</v>
      </c>
      <c r="I63" s="50">
        <v>46055</v>
      </c>
      <c r="J63" s="51"/>
      <c r="K63" s="281">
        <f t="shared" si="1"/>
        <v>0</v>
      </c>
      <c r="L63" s="283">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126.31285714285715</v>
      </c>
      <c r="M63" s="52"/>
      <c r="N63" s="66" t="s">
        <v>190</v>
      </c>
    </row>
    <row r="64" spans="1:22" ht="22" customHeight="1">
      <c r="A64" s="280" t="s">
        <v>135</v>
      </c>
      <c r="B64" s="91">
        <v>700000</v>
      </c>
      <c r="C64" s="39" t="s">
        <v>308</v>
      </c>
      <c r="D64" s="43">
        <v>46054</v>
      </c>
      <c r="E64" s="41" t="s">
        <v>2</v>
      </c>
      <c r="F64" s="42">
        <v>173</v>
      </c>
      <c r="G64" s="281">
        <f>IF(OR(E64="",F64=""),"",PID_KVLohnLookup($A$1,E64,F64,LOHNTABELLE!$H$4))</f>
        <v>2021</v>
      </c>
      <c r="H64" s="282">
        <f>IF(AND(ISNUMBER(D64),ISNUMBER(F64)),ROUNDDOWN(MIN(IF(OR(ISBLANK(I64),I64=""),EOMONTH(DATE(EINSTELLUNG!$C$35,$A$1,1),0),I64)-MAX(D64,DATE(EINSTELLUNG!$C$35,$A$1,1))+1)/DAY(EOMONTH(DATE(EINSTELLUNG!$C$35,$A$1,1),0))*F64,2),"")</f>
        <v>173</v>
      </c>
      <c r="I64" s="43"/>
      <c r="J64" s="44"/>
      <c r="K64" s="281">
        <f t="shared" si="1"/>
        <v>0</v>
      </c>
      <c r="L64" s="283">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2021</v>
      </c>
      <c r="M64" s="45"/>
      <c r="N64" s="65"/>
    </row>
    <row r="65" spans="1:14" ht="22" customHeight="1">
      <c r="A65" s="280" t="s">
        <v>136</v>
      </c>
      <c r="B65" s="92"/>
      <c r="C65" s="46"/>
      <c r="D65" s="50"/>
      <c r="E65" s="48"/>
      <c r="F65" s="49"/>
      <c r="G65" s="281" t="str">
        <f>IF(OR(E65="",F65=""),"",PID_KVLohnLookup($A$1,E65,F65,LOHNTABELLE!$H$4))</f>
        <v/>
      </c>
      <c r="H65" s="282" t="str">
        <f>IF(AND(ISNUMBER(D65),ISNUMBER(F65)),ROUNDDOWN(MIN(IF(OR(ISBLANK(I65),I65=""),EOMONTH(DATE(EINSTELLUNG!$C$35,$A$1,1),0),I65)-MAX(D65,DATE(EINSTELLUNG!$C$35,$A$1,1))+1)/DAY(EOMONTH(DATE(EINSTELLUNG!$C$35,$A$1,1),0))*F65,2),"")</f>
        <v/>
      </c>
      <c r="I65" s="50"/>
      <c r="J65" s="51"/>
      <c r="K65" s="281" t="str">
        <f t="shared" si="1"/>
        <v/>
      </c>
      <c r="L65" s="283"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52"/>
      <c r="N65" s="66"/>
    </row>
    <row r="66" spans="1:14" ht="22" customHeight="1">
      <c r="A66" s="280" t="s">
        <v>137</v>
      </c>
      <c r="B66" s="91"/>
      <c r="C66" s="39"/>
      <c r="D66" s="43"/>
      <c r="E66" s="41"/>
      <c r="F66" s="42"/>
      <c r="G66" s="281" t="str">
        <f>IF(OR(E66="",F66=""),"",PID_KVLohnLookup($A$1,E66,F66,LOHNTABELLE!$H$4))</f>
        <v/>
      </c>
      <c r="H66" s="282" t="str">
        <f>IF(AND(ISNUMBER(D66),ISNUMBER(F66)),ROUNDDOWN(MIN(IF(OR(ISBLANK(I66),I66=""),EOMONTH(DATE(EINSTELLUNG!$C$35,$A$1,1),0),I66)-MAX(D66,DATE(EINSTELLUNG!$C$35,$A$1,1))+1)/DAY(EOMONTH(DATE(EINSTELLUNG!$C$35,$A$1,1),0))*F66,2),"")</f>
        <v/>
      </c>
      <c r="I66" s="43"/>
      <c r="J66" s="44"/>
      <c r="K66" s="281" t="str">
        <f t="shared" si="1"/>
        <v/>
      </c>
      <c r="L66" s="283"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45"/>
      <c r="N66" s="65"/>
    </row>
    <row r="67" spans="1:14" ht="22" customHeight="1">
      <c r="A67" s="280" t="s">
        <v>138</v>
      </c>
      <c r="B67" s="92"/>
      <c r="C67" s="46"/>
      <c r="D67" s="50"/>
      <c r="E67" s="48"/>
      <c r="F67" s="49"/>
      <c r="G67" s="281" t="str">
        <f>IF(OR(E67="",F67=""),"",PID_KVLohnLookup($A$1,E67,F67,LOHNTABELLE!$H$4))</f>
        <v/>
      </c>
      <c r="H67" s="282" t="str">
        <f>IF(AND(ISNUMBER(D67),ISNUMBER(F67)),ROUNDDOWN(MIN(IF(OR(ISBLANK(I67),I67=""),EOMONTH(DATE(EINSTELLUNG!$C$35,$A$1,1),0),I67)-MAX(D67,DATE(EINSTELLUNG!$C$35,$A$1,1))+1)/DAY(EOMONTH(DATE(EINSTELLUNG!$C$35,$A$1,1),0))*F67,2),"")</f>
        <v/>
      </c>
      <c r="I67" s="50"/>
      <c r="J67" s="51"/>
      <c r="K67" s="281" t="str">
        <f t="shared" ref="K67:K82" si="3">IF(OR(B67="",C67=""),"",IFERROR(IF(OR(MONTH(D67)=1,MONTH(D67)=3,MONTH(D67)=5,MONTH(D67)=7,MONTH(D67)=8,MONTH(D67)=10,MONTH(D67)=12),(G67/31)*J67,IF(OR(MONTH(D67)=4,MONTH(D67)=6,MONTH(D67)=9,MONTH(D67)=11),(G67/30)*J67,(G67/DAY(EOMONTH(D67,0)))*J67)),0))</f>
        <v/>
      </c>
      <c r="L67" s="283"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52"/>
      <c r="N67" s="66"/>
    </row>
    <row r="68" spans="1:14" ht="22" customHeight="1">
      <c r="A68" s="280" t="s">
        <v>139</v>
      </c>
      <c r="B68" s="91"/>
      <c r="C68" s="39"/>
      <c r="D68" s="43"/>
      <c r="E68" s="41"/>
      <c r="F68" s="42"/>
      <c r="G68" s="281" t="str">
        <f>IF(OR(E68="",F68=""),"",PID_KVLohnLookup($A$1,E68,F68,LOHNTABELLE!$H$4))</f>
        <v/>
      </c>
      <c r="H68" s="282" t="str">
        <f>IF(AND(ISNUMBER(D68),ISNUMBER(F68)),ROUNDDOWN(MIN(IF(OR(ISBLANK(I68),I68=""),EOMONTH(DATE(EINSTELLUNG!$C$35,$A$1,1),0),I68)-MAX(D68,DATE(EINSTELLUNG!$C$35,$A$1,1))+1)/DAY(EOMONTH(DATE(EINSTELLUNG!$C$35,$A$1,1),0))*F68,2),"")</f>
        <v/>
      </c>
      <c r="I68" s="43"/>
      <c r="J68" s="44"/>
      <c r="K68" s="281" t="str">
        <f t="shared" si="3"/>
        <v/>
      </c>
      <c r="L68" s="283"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45"/>
      <c r="N68" s="65"/>
    </row>
    <row r="69" spans="1:14" ht="22" customHeight="1">
      <c r="A69" s="280" t="s">
        <v>140</v>
      </c>
      <c r="B69" s="92"/>
      <c r="C69" s="46"/>
      <c r="D69" s="50"/>
      <c r="E69" s="48"/>
      <c r="F69" s="49"/>
      <c r="G69" s="281" t="str">
        <f>IF(OR(E69="",F69=""),"",PID_KVLohnLookup($A$1,E69,F69,LOHNTABELLE!$H$4))</f>
        <v/>
      </c>
      <c r="H69" s="282" t="str">
        <f>IF(AND(ISNUMBER(D69),ISNUMBER(F69)),ROUNDDOWN(MIN(IF(OR(ISBLANK(I69),I69=""),EOMONTH(DATE(EINSTELLUNG!$C$35,$A$1,1),0),I69)-MAX(D69,DATE(EINSTELLUNG!$C$35,$A$1,1))+1)/DAY(EOMONTH(DATE(EINSTELLUNG!$C$35,$A$1,1),0))*F69,2),"")</f>
        <v/>
      </c>
      <c r="I69" s="50"/>
      <c r="J69" s="51"/>
      <c r="K69" s="281" t="str">
        <f t="shared" si="3"/>
        <v/>
      </c>
      <c r="L69" s="283"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52"/>
      <c r="N69" s="66"/>
    </row>
    <row r="70" spans="1:14" ht="22" customHeight="1">
      <c r="A70" s="280" t="s">
        <v>141</v>
      </c>
      <c r="B70" s="91"/>
      <c r="C70" s="39"/>
      <c r="D70" s="43"/>
      <c r="E70" s="41"/>
      <c r="F70" s="42"/>
      <c r="G70" s="281" t="str">
        <f>IF(OR(E70="",F70=""),"",PID_KVLohnLookup($A$1,E70,F70,LOHNTABELLE!$H$4))</f>
        <v/>
      </c>
      <c r="H70" s="282" t="str">
        <f>IF(AND(ISNUMBER(D70),ISNUMBER(F70)),ROUNDDOWN(MIN(IF(OR(ISBLANK(I70),I70=""),EOMONTH(DATE(EINSTELLUNG!$C$35,$A$1,1),0),I70)-MAX(D70,DATE(EINSTELLUNG!$C$35,$A$1,1))+1)/DAY(EOMONTH(DATE(EINSTELLUNG!$C$35,$A$1,1),0))*F70,2),"")</f>
        <v/>
      </c>
      <c r="I70" s="43"/>
      <c r="J70" s="44"/>
      <c r="K70" s="281" t="str">
        <f t="shared" si="3"/>
        <v/>
      </c>
      <c r="L70" s="283"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45"/>
      <c r="N70" s="65"/>
    </row>
    <row r="71" spans="1:14" ht="22" customHeight="1">
      <c r="A71" s="280" t="s">
        <v>142</v>
      </c>
      <c r="B71" s="92"/>
      <c r="C71" s="46"/>
      <c r="D71" s="50"/>
      <c r="E71" s="48"/>
      <c r="F71" s="49"/>
      <c r="G71" s="281" t="str">
        <f>IF(OR(E71="",F71=""),"",PID_KVLohnLookup($A$1,E71,F71,LOHNTABELLE!$H$4))</f>
        <v/>
      </c>
      <c r="H71" s="282" t="str">
        <f>IF(AND(ISNUMBER(D71),ISNUMBER(F71)),ROUNDDOWN(MIN(IF(OR(ISBLANK(I71),I71=""),EOMONTH(DATE(EINSTELLUNG!$C$35,$A$1,1),0),I71)-MAX(D71,DATE(EINSTELLUNG!$C$35,$A$1,1))+1)/DAY(EOMONTH(DATE(EINSTELLUNG!$C$35,$A$1,1),0))*F71,2),"")</f>
        <v/>
      </c>
      <c r="I71" s="50"/>
      <c r="J71" s="51"/>
      <c r="K71" s="281" t="str">
        <f t="shared" si="3"/>
        <v/>
      </c>
      <c r="L71" s="283"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52"/>
      <c r="N71" s="66"/>
    </row>
    <row r="72" spans="1:14" ht="22" customHeight="1">
      <c r="A72" s="280" t="s">
        <v>143</v>
      </c>
      <c r="B72" s="91"/>
      <c r="C72" s="39"/>
      <c r="D72" s="43"/>
      <c r="E72" s="41"/>
      <c r="F72" s="42"/>
      <c r="G72" s="281" t="str">
        <f>IF(OR(E72="",F72=""),"",PID_KVLohnLookup($A$1,E72,F72,LOHNTABELLE!$H$4))</f>
        <v/>
      </c>
      <c r="H72" s="282" t="str">
        <f>IF(AND(ISNUMBER(D72),ISNUMBER(F72)),ROUNDDOWN(MIN(IF(OR(ISBLANK(I72),I72=""),EOMONTH(DATE(EINSTELLUNG!$C$35,$A$1,1),0),I72)-MAX(D72,DATE(EINSTELLUNG!$C$35,$A$1,1))+1)/DAY(EOMONTH(DATE(EINSTELLUNG!$C$35,$A$1,1),0))*F72,2),"")</f>
        <v/>
      </c>
      <c r="I72" s="43"/>
      <c r="J72" s="44"/>
      <c r="K72" s="281" t="str">
        <f t="shared" si="3"/>
        <v/>
      </c>
      <c r="L72" s="283"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45"/>
      <c r="N72" s="65"/>
    </row>
    <row r="73" spans="1:14" ht="22" customHeight="1">
      <c r="A73" s="280" t="s">
        <v>144</v>
      </c>
      <c r="B73" s="92"/>
      <c r="C73" s="46"/>
      <c r="D73" s="50"/>
      <c r="E73" s="48"/>
      <c r="F73" s="49"/>
      <c r="G73" s="281" t="str">
        <f>IF(OR(E73="",F73=""),"",PID_KVLohnLookup($A$1,E73,F73,LOHNTABELLE!$H$4))</f>
        <v/>
      </c>
      <c r="H73" s="282" t="str">
        <f>IF(AND(ISNUMBER(D73),ISNUMBER(F73)),ROUNDDOWN(MIN(IF(OR(ISBLANK(I73),I73=""),EOMONTH(DATE(EINSTELLUNG!$C$35,$A$1,1),0),I73)-MAX(D73,DATE(EINSTELLUNG!$C$35,$A$1,1))+1)/DAY(EOMONTH(DATE(EINSTELLUNG!$C$35,$A$1,1),0))*F73,2),"")</f>
        <v/>
      </c>
      <c r="I73" s="50"/>
      <c r="J73" s="51"/>
      <c r="K73" s="281" t="str">
        <f t="shared" si="3"/>
        <v/>
      </c>
      <c r="L73" s="283"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52"/>
      <c r="N73" s="66"/>
    </row>
    <row r="74" spans="1:14" ht="22" customHeight="1">
      <c r="A74" s="280" t="s">
        <v>145</v>
      </c>
      <c r="B74" s="91"/>
      <c r="C74" s="39"/>
      <c r="D74" s="43"/>
      <c r="E74" s="41"/>
      <c r="F74" s="42"/>
      <c r="G74" s="281" t="str">
        <f>IF(OR(E74="",F74=""),"",PID_KVLohnLookup($A$1,E74,F74,LOHNTABELLE!$H$4))</f>
        <v/>
      </c>
      <c r="H74" s="282" t="str">
        <f>IF(AND(ISNUMBER(D74),ISNUMBER(F74)),ROUNDDOWN(MIN(IF(OR(ISBLANK(I74),I74=""),EOMONTH(DATE(EINSTELLUNG!$C$35,$A$1,1),0),I74)-MAX(D74,DATE(EINSTELLUNG!$C$35,$A$1,1))+1)/DAY(EOMONTH(DATE(EINSTELLUNG!$C$35,$A$1,1),0))*F74,2),"")</f>
        <v/>
      </c>
      <c r="I74" s="43"/>
      <c r="J74" s="44"/>
      <c r="K74" s="281" t="str">
        <f t="shared" si="3"/>
        <v/>
      </c>
      <c r="L74" s="283"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45"/>
      <c r="N74" s="65"/>
    </row>
    <row r="75" spans="1:14" ht="22" customHeight="1">
      <c r="A75" s="280" t="s">
        <v>146</v>
      </c>
      <c r="B75" s="92"/>
      <c r="C75" s="46"/>
      <c r="D75" s="50"/>
      <c r="E75" s="48"/>
      <c r="F75" s="49"/>
      <c r="G75" s="281" t="str">
        <f>IF(OR(E75="",F75=""),"",PID_KVLohnLookup($A$1,E75,F75,LOHNTABELLE!$H$4))</f>
        <v/>
      </c>
      <c r="H75" s="282" t="str">
        <f>IF(AND(ISNUMBER(D75),ISNUMBER(F75)),ROUNDDOWN(MIN(IF(OR(ISBLANK(I75),I75=""),EOMONTH(DATE(EINSTELLUNG!$C$35,$A$1,1),0),I75)-MAX(D75,DATE(EINSTELLUNG!$C$35,$A$1,1))+1)/DAY(EOMONTH(DATE(EINSTELLUNG!$C$35,$A$1,1),0))*F75,2),"")</f>
        <v/>
      </c>
      <c r="I75" s="50"/>
      <c r="J75" s="51"/>
      <c r="K75" s="281" t="str">
        <f t="shared" si="3"/>
        <v/>
      </c>
      <c r="L75" s="283"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52"/>
      <c r="N75" s="66"/>
    </row>
    <row r="76" spans="1:14" ht="22" customHeight="1">
      <c r="A76" s="280" t="s">
        <v>147</v>
      </c>
      <c r="B76" s="91"/>
      <c r="C76" s="39"/>
      <c r="D76" s="43"/>
      <c r="E76" s="41"/>
      <c r="F76" s="42"/>
      <c r="G76" s="281" t="str">
        <f>IF(OR(E76="",F76=""),"",PID_KVLohnLookup($A$1,E76,F76,LOHNTABELLE!$H$4))</f>
        <v/>
      </c>
      <c r="H76" s="282" t="str">
        <f>IF(AND(ISNUMBER(D76),ISNUMBER(F76)),ROUNDDOWN(MIN(IF(OR(ISBLANK(I76),I76=""),EOMONTH(DATE(EINSTELLUNG!$C$35,$A$1,1),0),I76)-MAX(D76,DATE(EINSTELLUNG!$C$35,$A$1,1))+1)/DAY(EOMONTH(DATE(EINSTELLUNG!$C$35,$A$1,1),0))*F76,2),"")</f>
        <v/>
      </c>
      <c r="I76" s="43"/>
      <c r="J76" s="44"/>
      <c r="K76" s="281" t="str">
        <f t="shared" si="3"/>
        <v/>
      </c>
      <c r="L76" s="283"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45"/>
      <c r="N76" s="65"/>
    </row>
    <row r="77" spans="1:14" ht="22" customHeight="1">
      <c r="A77" s="280" t="s">
        <v>148</v>
      </c>
      <c r="B77" s="92"/>
      <c r="C77" s="46"/>
      <c r="D77" s="50"/>
      <c r="E77" s="48"/>
      <c r="F77" s="49"/>
      <c r="G77" s="281" t="str">
        <f>IF(OR(E77="",F77=""),"",PID_KVLohnLookup($A$1,E77,F77,LOHNTABELLE!$H$4))</f>
        <v/>
      </c>
      <c r="H77" s="282" t="str">
        <f>IF(AND(ISNUMBER(D77),ISNUMBER(F77)),ROUNDDOWN(MIN(IF(OR(ISBLANK(I77),I77=""),EOMONTH(DATE(EINSTELLUNG!$C$35,$A$1,1),0),I77)-MAX(D77,DATE(EINSTELLUNG!$C$35,$A$1,1))+1)/DAY(EOMONTH(DATE(EINSTELLUNG!$C$35,$A$1,1),0))*F77,2),"")</f>
        <v/>
      </c>
      <c r="I77" s="50"/>
      <c r="J77" s="51"/>
      <c r="K77" s="281" t="str">
        <f t="shared" si="3"/>
        <v/>
      </c>
      <c r="L77" s="283"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52"/>
      <c r="N77" s="66"/>
    </row>
    <row r="78" spans="1:14" ht="22" customHeight="1">
      <c r="A78" s="280" t="s">
        <v>149</v>
      </c>
      <c r="B78" s="91"/>
      <c r="C78" s="39"/>
      <c r="D78" s="43"/>
      <c r="E78" s="41"/>
      <c r="F78" s="42"/>
      <c r="G78" s="281" t="str">
        <f>IF(OR(E78="",F78=""),"",PID_KVLohnLookup($A$1,E78,F78,LOHNTABELLE!$H$4))</f>
        <v/>
      </c>
      <c r="H78" s="282" t="str">
        <f>IF(AND(ISNUMBER(D78),ISNUMBER(F78)),ROUNDDOWN(MIN(IF(OR(ISBLANK(I78),I78=""),EOMONTH(DATE(EINSTELLUNG!$C$35,$A$1,1),0),I78)-MAX(D78,DATE(EINSTELLUNG!$C$35,$A$1,1))+1)/DAY(EOMONTH(DATE(EINSTELLUNG!$C$35,$A$1,1),0))*F78,2),"")</f>
        <v/>
      </c>
      <c r="I78" s="43"/>
      <c r="J78" s="44"/>
      <c r="K78" s="281" t="str">
        <f t="shared" si="3"/>
        <v/>
      </c>
      <c r="L78" s="283"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45"/>
      <c r="N78" s="65"/>
    </row>
    <row r="79" spans="1:14" ht="22" customHeight="1">
      <c r="A79" s="280" t="s">
        <v>150</v>
      </c>
      <c r="B79" s="92"/>
      <c r="C79" s="46"/>
      <c r="D79" s="50"/>
      <c r="E79" s="48"/>
      <c r="F79" s="49"/>
      <c r="G79" s="281" t="str">
        <f>IF(OR(E79="",F79=""),"",PID_KVLohnLookup($A$1,E79,F79,LOHNTABELLE!$H$4))</f>
        <v/>
      </c>
      <c r="H79" s="282" t="str">
        <f>IF(AND(ISNUMBER(D79),ISNUMBER(F79)),ROUNDDOWN(MIN(IF(OR(ISBLANK(I79),I79=""),EOMONTH(DATE(EINSTELLUNG!$C$35,$A$1,1),0),I79)-MAX(D79,DATE(EINSTELLUNG!$C$35,$A$1,1))+1)/DAY(EOMONTH(DATE(EINSTELLUNG!$C$35,$A$1,1),0))*F79,2),"")</f>
        <v/>
      </c>
      <c r="I79" s="50"/>
      <c r="J79" s="51"/>
      <c r="K79" s="281" t="str">
        <f t="shared" si="3"/>
        <v/>
      </c>
      <c r="L79" s="283"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52"/>
      <c r="N79" s="66"/>
    </row>
    <row r="80" spans="1:14" ht="22" customHeight="1">
      <c r="A80" s="280" t="s">
        <v>151</v>
      </c>
      <c r="B80" s="91"/>
      <c r="C80" s="39"/>
      <c r="D80" s="43"/>
      <c r="E80" s="41"/>
      <c r="F80" s="42"/>
      <c r="G80" s="281" t="str">
        <f>IF(OR(E80="",F80=""),"",PID_KVLohnLookup($A$1,E80,F80,LOHNTABELLE!$H$4))</f>
        <v/>
      </c>
      <c r="H80" s="282" t="str">
        <f>IF(AND(ISNUMBER(D80),ISNUMBER(F80)),ROUNDDOWN(MIN(IF(OR(ISBLANK(I80),I80=""),EOMONTH(DATE(EINSTELLUNG!$C$35,$A$1,1),0),I80)-MAX(D80,DATE(EINSTELLUNG!$C$35,$A$1,1))+1)/DAY(EOMONTH(DATE(EINSTELLUNG!$C$35,$A$1,1),0))*F80,2),"")</f>
        <v/>
      </c>
      <c r="I80" s="43"/>
      <c r="J80" s="44"/>
      <c r="K80" s="281" t="str">
        <f t="shared" si="3"/>
        <v/>
      </c>
      <c r="L80" s="283"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45"/>
      <c r="N80" s="65"/>
    </row>
    <row r="81" spans="1:15" ht="22" customHeight="1">
      <c r="A81" s="280" t="s">
        <v>152</v>
      </c>
      <c r="B81" s="92"/>
      <c r="C81" s="46"/>
      <c r="D81" s="50"/>
      <c r="E81" s="48"/>
      <c r="F81" s="49"/>
      <c r="G81" s="281" t="str">
        <f>IF(OR(E81="",F81=""),"",PID_KVLohnLookup($A$1,E81,F81,LOHNTABELLE!$H$4))</f>
        <v/>
      </c>
      <c r="H81" s="282" t="str">
        <f>IF(AND(ISNUMBER(D81),ISNUMBER(F81)),ROUNDDOWN(MIN(IF(OR(ISBLANK(I81),I81=""),EOMONTH(DATE(EINSTELLUNG!$C$35,$A$1,1),0),I81)-MAX(D81,DATE(EINSTELLUNG!$C$35,$A$1,1))+1)/DAY(EOMONTH(DATE(EINSTELLUNG!$C$35,$A$1,1),0))*F81,2),"")</f>
        <v/>
      </c>
      <c r="I81" s="50"/>
      <c r="J81" s="51"/>
      <c r="K81" s="281" t="str">
        <f t="shared" si="3"/>
        <v/>
      </c>
      <c r="L81" s="283"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52"/>
      <c r="N81" s="66"/>
    </row>
    <row r="82" spans="1:15" ht="22" customHeight="1" thickBot="1">
      <c r="A82" s="343" t="s">
        <v>153</v>
      </c>
      <c r="B82" s="93"/>
      <c r="C82" s="54"/>
      <c r="D82" s="55"/>
      <c r="E82" s="56"/>
      <c r="F82" s="57"/>
      <c r="G82" s="344" t="str">
        <f>IF(OR(E82="",F82=""),"",PID_KVLohnLookup($A$1,E82,F82,LOHNTABELLE!$H$4))</f>
        <v/>
      </c>
      <c r="H82" s="345" t="str">
        <f>IF(AND(ISNUMBER(D82),ISNUMBER(F82)),ROUNDDOWN(MIN(IF(OR(ISBLANK(I82),I82=""),EOMONTH(DATE(EINSTELLUNG!$C$35,$A$1,1),0),I82)-MAX(D82,DATE(EINSTELLUNG!$C$35,$A$1,1))+1)/DAY(EOMONTH(DATE(EINSTELLUNG!$C$35,$A$1,1),0))*F82,2),"")</f>
        <v/>
      </c>
      <c r="I82" s="55"/>
      <c r="J82" s="58"/>
      <c r="K82" s="344" t="str">
        <f t="shared" si="3"/>
        <v/>
      </c>
      <c r="L82" s="346"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59"/>
      <c r="N82" s="69"/>
    </row>
    <row r="84" spans="1:15" ht="16" customHeight="1">
      <c r="O84" s="372"/>
    </row>
    <row r="85" spans="1:15" ht="16" customHeight="1">
      <c r="O85" s="372"/>
    </row>
    <row r="86" spans="1:15" ht="16" customHeight="1">
      <c r="O86" s="372"/>
    </row>
    <row r="100" spans="26:26" ht="16" customHeight="1">
      <c r="Z100" s="259"/>
    </row>
  </sheetData>
  <sheetProtection algorithmName="SHA-512" hashValue="AIjEjTtlnthhOlHs98N5drrYUUanAySI1B8yLpV+IBmBzyQlsmDDOVHmRTfPFtCUKI8o/cVuZuNFjaqLxuWV9A==" saltValue="O3LZVHCai54OhwQz2XwRPQ==" spinCount="100000" sheet="1" objects="1" scenarios="1" autoFilter="0"/>
  <sortState xmlns:xlrd2="http://schemas.microsoft.com/office/spreadsheetml/2017/richdata2" ref="B3:N82">
    <sortCondition ref="B3:B82"/>
    <sortCondition ref="C3:C82"/>
  </sortState>
  <mergeCells count="101">
    <mergeCell ref="N1:N2"/>
    <mergeCell ref="A1:A2"/>
    <mergeCell ref="O15:R15"/>
    <mergeCell ref="E1:E2"/>
    <mergeCell ref="F1:F2"/>
    <mergeCell ref="G1:G2"/>
    <mergeCell ref="H1:H2"/>
    <mergeCell ref="M1:M2"/>
    <mergeCell ref="S2:V2"/>
    <mergeCell ref="K1:K2"/>
    <mergeCell ref="O3:O4"/>
    <mergeCell ref="O14:P14"/>
    <mergeCell ref="Q14:R14"/>
    <mergeCell ref="B1:B2"/>
    <mergeCell ref="Q10:R10"/>
    <mergeCell ref="R3:R4"/>
    <mergeCell ref="O6:R6"/>
    <mergeCell ref="O8:P8"/>
    <mergeCell ref="Q8:R8"/>
    <mergeCell ref="O9:P9"/>
    <mergeCell ref="Q9:R9"/>
    <mergeCell ref="O10:P10"/>
    <mergeCell ref="L1:L2"/>
    <mergeCell ref="P3:P4"/>
    <mergeCell ref="S27:V27"/>
    <mergeCell ref="Q29:R29"/>
    <mergeCell ref="O42:P42"/>
    <mergeCell ref="Q42:V42"/>
    <mergeCell ref="O40:P40"/>
    <mergeCell ref="Q40:R40"/>
    <mergeCell ref="S40:T40"/>
    <mergeCell ref="U40:V40"/>
    <mergeCell ref="O41:P41"/>
    <mergeCell ref="Q41:R41"/>
    <mergeCell ref="S41:T41"/>
    <mergeCell ref="U41:V41"/>
    <mergeCell ref="U38:V38"/>
    <mergeCell ref="S39:T39"/>
    <mergeCell ref="U39:V39"/>
    <mergeCell ref="S38:T38"/>
    <mergeCell ref="U33:V34"/>
    <mergeCell ref="S33:T34"/>
    <mergeCell ref="U37:V37"/>
    <mergeCell ref="S35:T35"/>
    <mergeCell ref="U35:V35"/>
    <mergeCell ref="S36:T36"/>
    <mergeCell ref="U36:V36"/>
    <mergeCell ref="S37:T37"/>
    <mergeCell ref="Q19:R19"/>
    <mergeCell ref="O35:P35"/>
    <mergeCell ref="O22:P22"/>
    <mergeCell ref="Q22:R22"/>
    <mergeCell ref="O23:P23"/>
    <mergeCell ref="Q23:R23"/>
    <mergeCell ref="O24:P24"/>
    <mergeCell ref="Q24:R24"/>
    <mergeCell ref="O31:P31"/>
    <mergeCell ref="Q31:R31"/>
    <mergeCell ref="O33:P34"/>
    <mergeCell ref="Q33:R34"/>
    <mergeCell ref="Q35:R35"/>
    <mergeCell ref="O27:P27"/>
    <mergeCell ref="Q27:R27"/>
    <mergeCell ref="O28:P28"/>
    <mergeCell ref="O20:P20"/>
    <mergeCell ref="Q20:R20"/>
    <mergeCell ref="O21:P21"/>
    <mergeCell ref="Q21:R21"/>
    <mergeCell ref="Q3:Q4"/>
    <mergeCell ref="C1:C2"/>
    <mergeCell ref="D1:D2"/>
    <mergeCell ref="I1:I2"/>
    <mergeCell ref="J1:J2"/>
    <mergeCell ref="O25:P25"/>
    <mergeCell ref="Q25:R25"/>
    <mergeCell ref="O26:P26"/>
    <mergeCell ref="O44:V44"/>
    <mergeCell ref="Q26:R26"/>
    <mergeCell ref="Q28:R28"/>
    <mergeCell ref="O29:P29"/>
    <mergeCell ref="O16:R16"/>
    <mergeCell ref="O17:P17"/>
    <mergeCell ref="Q17:R17"/>
    <mergeCell ref="O18:P18"/>
    <mergeCell ref="Q18:R18"/>
    <mergeCell ref="O19:P19"/>
    <mergeCell ref="Q11:R11"/>
    <mergeCell ref="O12:P12"/>
    <mergeCell ref="Q12:R12"/>
    <mergeCell ref="O13:P13"/>
    <mergeCell ref="Q13:R13"/>
    <mergeCell ref="O11:P11"/>
    <mergeCell ref="O45:U45"/>
    <mergeCell ref="O39:P39"/>
    <mergeCell ref="Q39:R39"/>
    <mergeCell ref="O36:P36"/>
    <mergeCell ref="Q36:R36"/>
    <mergeCell ref="O37:P37"/>
    <mergeCell ref="Q37:R37"/>
    <mergeCell ref="O38:P38"/>
    <mergeCell ref="Q38:R38"/>
  </mergeCells>
  <dataValidations count="2">
    <dataValidation type="list" allowBlank="1" showInputMessage="1" showErrorMessage="1" errorTitle="Ungültiger Austrittsgrund" error="Bitte nur einen Wert aus der Liste auswählen." promptTitle="Austrittsgrund" prompt="Bitte den passenden Austrittsgrund auswählen." sqref="N3:N82" xr:uid="{834F483C-C922-3C4D-B8F1-FBFA68547219}">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DD85A82A-9461-C441-9D37-F8A57730742D}">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F63576E3-78DE-6C44-86FC-3C7752B9B615}">
          <x14:formula1>
            <xm:f>KV_DROPDOWN_HELPER!$CD$1:$CD$13</xm:f>
          </x14:formula1>
          <xm:sqref>F4 F5 F8 F15</xm:sqref>
        </x14:dataValidation>
        <x14:dataValidation type="list" allowBlank="1" showInputMessage="1" showErrorMessage="1" xr:uid="{AE47C2C6-94F2-6342-8F83-EA9DF4EE263A}">
          <x14:formula1>
            <xm:f>KV_DROPDOWN_HELPER!$CE$1:$CE$13</xm:f>
          </x14:formula1>
          <xm:sqref>F7 F9 F10 F11 F14 F21 F60</xm:sqref>
        </x14:dataValidation>
        <x14:dataValidation type="list" allowBlank="1" showInputMessage="1" showErrorMessage="1" xr:uid="{1A20B3B2-4BA1-7041-BBD7-C0F06E54E7BA}">
          <x14:formula1>
            <xm:f>KV_DROPDOWN_HELPER!$CF$1:$CF$13</xm:f>
          </x14:formula1>
          <xm:sqref>F17 F25 F28 F30</xm:sqref>
        </x14:dataValidation>
        <x14:dataValidation type="list" allowBlank="1" showInputMessage="1" showErrorMessage="1" xr:uid="{DBD76976-62DB-B347-A999-54E1745F2E90}">
          <x14:formula1>
            <xm:f>KV_DROPDOWN_HELPER!$CH$1:$CH$13</xm:f>
          </x14:formula1>
          <xm:sqref>F24</xm:sqref>
        </x14:dataValidation>
        <x14:dataValidation type="list" allowBlank="1" showInputMessage="1" showErrorMessage="1" xr:uid="{4F160977-24D1-994F-9102-DBBB791254DA}">
          <x14:formula1>
            <xm:f>KV_DROPDOWN_HELPER!$CI$1:$CI$13</xm:f>
          </x14:formula1>
          <xm:sqref>F65 F66 F67 F68 F69 F70 F71 F72 F73 F74 F75 F76 F77 F78 F79 F80 F81 F82</xm:sqref>
        </x14:dataValidation>
        <x14:dataValidation type="list" allowBlank="1" showInputMessage="1" showErrorMessage="1" xr:uid="{5654305E-0CF0-2A49-B885-95CF880F2591}">
          <x14:formula1>
            <xm:f>KV_DROPDOWN_HELPER!$CG$1:$CG$13</xm:f>
          </x14:formula1>
          <xm:sqref>F20</xm:sqref>
        </x14:dataValidation>
        <x14:dataValidation type="list" allowBlank="1" showInputMessage="1" showErrorMessage="1" xr:uid="{518AF824-67F5-421F-9156-64C85F279F5E}">
          <x14:formula1>
            <xm:f>KV_DROPDOWN_HELPER!$CC$1:$CC$16</xm:f>
          </x14:formula1>
          <xm:sqref>F3 F6 F12 F13 F16 F18 F19 F22 F23 F26 F27 F29 F31 F32 F33 F34 F35 F36 F37 F38 F39 F40 F41 F42 F43 F44 F45 F46 F47 F48 F49 F50 F51 F52 F53 F54 F55 F56 F57 F58 F59 F61 F62 F63 F64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20595C-6B7B-4F68-9998-06D15D0933ED}">
  <sheetPr codeName="Tabelle5"/>
  <dimension ref="A1:AC100"/>
  <sheetViews>
    <sheetView showGridLines="0" showRowColHeaders="0" zoomScaleNormal="100" workbookViewId="0">
      <pane ySplit="2" topLeftCell="A3" activePane="bottomLeft" state="frozen"/>
      <selection activeCell="T24" sqref="T24"/>
      <selection pane="bottomLeft" activeCell="W3" sqref="W3:Y50"/>
    </sheetView>
  </sheetViews>
  <sheetFormatPr baseColWidth="10" defaultColWidth="9.1796875" defaultRowHeight="16" customHeight="1"/>
  <cols>
    <col min="1" max="1" width="4.453125" style="347" customWidth="1"/>
    <col min="2" max="2" width="9.1796875" style="347" customWidth="1"/>
    <col min="3" max="3" width="35.6328125" style="179" customWidth="1"/>
    <col min="4" max="4" width="13.6328125" style="179" customWidth="1"/>
    <col min="5" max="5" width="9.6328125" style="179" customWidth="1"/>
    <col min="6" max="6" width="10.6328125" style="179" customWidth="1"/>
    <col min="7" max="7" width="13.6328125" style="179" customWidth="1"/>
    <col min="8" max="8" width="11.6328125" style="179" customWidth="1"/>
    <col min="9" max="10" width="13.6328125" style="179" customWidth="1"/>
    <col min="11" max="11" width="14.6328125" style="179" customWidth="1"/>
    <col min="12" max="12" width="14.6328125" style="306" customWidth="1"/>
    <col min="13" max="13" width="17.81640625" style="179" customWidth="1"/>
    <col min="14" max="14" width="34.6328125" style="179" customWidth="1"/>
    <col min="15" max="15" width="12.6328125" style="179" customWidth="1"/>
    <col min="16" max="16" width="16.6328125" style="179" customWidth="1"/>
    <col min="17" max="17" width="14.6328125" style="179" customWidth="1"/>
    <col min="18" max="18" width="13.6328125" style="179" customWidth="1"/>
    <col min="19" max="19" width="9.6328125" style="179" customWidth="1"/>
    <col min="20" max="20" width="10.6328125" style="179" customWidth="1"/>
    <col min="21" max="21" width="7.6328125" style="179" customWidth="1"/>
    <col min="22" max="27" width="9.1796875" style="179"/>
    <col min="28" max="28" width="10.1796875" style="179" bestFit="1" customWidth="1"/>
    <col min="29" max="16384" width="9.1796875" style="179"/>
  </cols>
  <sheetData>
    <row r="1" spans="1:28" ht="18" customHeight="1">
      <c r="A1" s="261">
        <v>3</v>
      </c>
      <c r="B1" s="262" t="s">
        <v>180</v>
      </c>
      <c r="C1" s="263" t="s">
        <v>39</v>
      </c>
      <c r="D1" s="263" t="s">
        <v>181</v>
      </c>
      <c r="E1" s="263" t="s">
        <v>0</v>
      </c>
      <c r="F1" s="263" t="s">
        <v>40</v>
      </c>
      <c r="G1" s="263" t="s">
        <v>41</v>
      </c>
      <c r="H1" s="263" t="s">
        <v>42</v>
      </c>
      <c r="I1" s="263" t="s">
        <v>182</v>
      </c>
      <c r="J1" s="263" t="s">
        <v>43</v>
      </c>
      <c r="K1" s="263" t="s">
        <v>44</v>
      </c>
      <c r="L1" s="263" t="s">
        <v>45</v>
      </c>
      <c r="M1" s="263" t="s">
        <v>46</v>
      </c>
      <c r="N1" s="264" t="s">
        <v>183</v>
      </c>
      <c r="AB1" s="265">
        <f>DATE(EINSTELLUNG!$C$35,$A$1,1)</f>
        <v>46082</v>
      </c>
    </row>
    <row r="2" spans="1:28" ht="18" customHeight="1" thickBot="1">
      <c r="A2" s="266"/>
      <c r="B2" s="267"/>
      <c r="C2" s="268"/>
      <c r="D2" s="268"/>
      <c r="E2" s="268"/>
      <c r="F2" s="268"/>
      <c r="G2" s="268"/>
      <c r="H2" s="268"/>
      <c r="I2" s="268"/>
      <c r="J2" s="268"/>
      <c r="K2" s="268"/>
      <c r="L2" s="268"/>
      <c r="M2" s="268"/>
      <c r="N2" s="269"/>
      <c r="O2" s="270"/>
      <c r="P2" s="270"/>
      <c r="Q2" s="270"/>
      <c r="S2" s="271" t="s">
        <v>378</v>
      </c>
      <c r="T2" s="271"/>
      <c r="U2" s="271"/>
      <c r="V2" s="271"/>
      <c r="AB2" s="265">
        <f>EOMONTH(DATE(EINSTELLUNG!$C$35,$A$1,1),0)</f>
        <v>46112</v>
      </c>
    </row>
    <row r="3" spans="1:28" ht="22" customHeight="1">
      <c r="A3" s="272" t="s">
        <v>383</v>
      </c>
      <c r="B3" s="90">
        <v>401010</v>
      </c>
      <c r="C3" s="32" t="s">
        <v>223</v>
      </c>
      <c r="D3" s="33">
        <v>39388</v>
      </c>
      <c r="E3" s="34" t="s">
        <v>2</v>
      </c>
      <c r="F3" s="60">
        <v>173</v>
      </c>
      <c r="G3" s="273">
        <f>IF(OR(E3="",F3=""),"",PID_KVLohnLookup($A$1,E3,F3,LOHNTABELLE!$H$4))</f>
        <v>2021</v>
      </c>
      <c r="H3" s="274">
        <f>IF(AND(ISNUMBER(D3),ISNUMBER(F3)),ROUNDDOWN(MIN(IF(OR(ISBLANK(I3),I3=""),EOMONTH(DATE(EINSTELLUNG!$C$35,$A$1,1),0),I3)-MAX(D3,DATE(EINSTELLUNG!$C$35,$A$1,1))+1)/DAY(EOMONTH(DATE(EINSTELLUNG!$C$35,$A$1,1),0))*F3,2),"")</f>
        <v>173</v>
      </c>
      <c r="I3" s="36"/>
      <c r="J3" s="37"/>
      <c r="K3" s="273">
        <f t="shared" ref="K3:K34" si="0">IF(OR(B3="",C3=""),"",IFERROR(IF(OR(MONTH(D3)=1,MONTH(D3)=3,MONTH(D3)=5,MONTH(D3)=7,MONTH(D3)=8,MONTH(D3)=10,MONTH(D3)=12),(G3/31)*J3,IF(OR(MONTH(D3)=4,MONTH(D3)=6,MONTH(D3)=9,MONTH(D3)=11),(G3/30)*J3,(G3/DAY(EOMONTH(D3,0)))*J3)),0))</f>
        <v>0</v>
      </c>
      <c r="L3" s="275">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2021</v>
      </c>
      <c r="M3" s="38"/>
      <c r="N3" s="64"/>
      <c r="O3" s="276" t="s">
        <v>47</v>
      </c>
      <c r="P3" s="276" t="s">
        <v>48</v>
      </c>
      <c r="Q3" s="276" t="s">
        <v>49</v>
      </c>
      <c r="R3" s="277" t="s">
        <v>50</v>
      </c>
      <c r="S3" s="278"/>
      <c r="T3" s="278"/>
      <c r="U3" s="278"/>
      <c r="V3" s="278"/>
      <c r="AB3" s="279"/>
    </row>
    <row r="4" spans="1:28" ht="22" customHeight="1">
      <c r="A4" s="280" t="s">
        <v>51</v>
      </c>
      <c r="B4" s="91">
        <v>401047</v>
      </c>
      <c r="C4" s="39" t="s">
        <v>225</v>
      </c>
      <c r="D4" s="40">
        <v>41154</v>
      </c>
      <c r="E4" s="41" t="s">
        <v>4</v>
      </c>
      <c r="F4" s="42">
        <v>173</v>
      </c>
      <c r="G4" s="281">
        <f>IF(OR(E4="",F4=""),"",PID_KVLohnLookup($A$1,E4,F4,LOHNTABELLE!$H$4))</f>
        <v>2123</v>
      </c>
      <c r="H4" s="282">
        <f>IF(AND(ISNUMBER(D4),ISNUMBER(F4)),ROUNDDOWN(MIN(IF(OR(ISBLANK(I4),I4=""),EOMONTH(DATE(EINSTELLUNG!$C$35,$A$1,1),0),I4)-MAX(D4,DATE(EINSTELLUNG!$C$35,$A$1,1))+1)/DAY(EOMONTH(DATE(EINSTELLUNG!$C$35,$A$1,1),0))*F4,2),"")</f>
        <v>173</v>
      </c>
      <c r="I4" s="43"/>
      <c r="J4" s="44"/>
      <c r="K4" s="281">
        <f t="shared" si="0"/>
        <v>0</v>
      </c>
      <c r="L4" s="283">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45"/>
      <c r="N4" s="65"/>
      <c r="O4" s="284"/>
      <c r="P4" s="284"/>
      <c r="Q4" s="284"/>
      <c r="R4" s="285"/>
      <c r="S4" s="278"/>
      <c r="T4" s="278"/>
      <c r="U4" s="278"/>
      <c r="V4" s="278"/>
    </row>
    <row r="5" spans="1:28" ht="22" customHeight="1">
      <c r="A5" s="280" t="s">
        <v>52</v>
      </c>
      <c r="B5" s="92">
        <v>401049</v>
      </c>
      <c r="C5" s="46" t="s">
        <v>224</v>
      </c>
      <c r="D5" s="47">
        <v>41130</v>
      </c>
      <c r="E5" s="48" t="s">
        <v>4</v>
      </c>
      <c r="F5" s="95">
        <v>173</v>
      </c>
      <c r="G5" s="281">
        <f>IF(OR(E5="",F5=""),"",PID_KVLohnLookup($A$1,E5,F5,LOHNTABELLE!$H$4))</f>
        <v>2123</v>
      </c>
      <c r="H5" s="282">
        <f>IF(AND(ISNUMBER(D5),ISNUMBER(F5)),ROUNDDOWN(MIN(IF(OR(ISBLANK(I5),I5=""),EOMONTH(DATE(EINSTELLUNG!$C$35,$A$1,1),0),I5)-MAX(D5,DATE(EINSTELLUNG!$C$35,$A$1,1))+1)/DAY(EOMONTH(DATE(EINSTELLUNG!$C$35,$A$1,1),0))*F5,2),"")</f>
        <v>173</v>
      </c>
      <c r="I5" s="50"/>
      <c r="J5" s="51"/>
      <c r="K5" s="281">
        <f t="shared" si="0"/>
        <v>0</v>
      </c>
      <c r="L5" s="283">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52"/>
      <c r="N5" s="66"/>
      <c r="O5" s="286" cm="1">
        <f t="array" ref="O5">SUMPRODUCT((F3:F82/4.310808)/5*2.08)</f>
        <v>882.95228179960691</v>
      </c>
      <c r="P5" s="287">
        <f>EINSTELLUNG!I8</f>
        <v>600</v>
      </c>
      <c r="Q5" s="287">
        <f>P5-O5</f>
        <v>-282.95228179960691</v>
      </c>
      <c r="R5" s="288">
        <f>IFERROR(Q5*Q42, 0)</f>
        <v>-3352.6370429349558</v>
      </c>
      <c r="S5" s="278"/>
      <c r="T5" s="278"/>
      <c r="U5" s="278"/>
      <c r="V5" s="278"/>
    </row>
    <row r="6" spans="1:28" ht="22" customHeight="1">
      <c r="A6" s="280" t="s">
        <v>53</v>
      </c>
      <c r="B6" s="91">
        <v>401051</v>
      </c>
      <c r="C6" s="39" t="s">
        <v>226</v>
      </c>
      <c r="D6" s="40">
        <v>41176</v>
      </c>
      <c r="E6" s="41" t="s">
        <v>2</v>
      </c>
      <c r="F6" s="42">
        <v>173</v>
      </c>
      <c r="G6" s="281">
        <f>IF(OR(E6="",F6=""),"",PID_KVLohnLookup($A$1,E6,F6,LOHNTABELLE!$H$4))</f>
        <v>2021</v>
      </c>
      <c r="H6" s="282">
        <f>IF(AND(ISNUMBER(D6),ISNUMBER(F6)),ROUNDDOWN(MIN(IF(OR(ISBLANK(I6),I6=""),EOMONTH(DATE(EINSTELLUNG!$C$35,$A$1,1),0),I6)-MAX(D6,DATE(EINSTELLUNG!$C$35,$A$1,1))+1)/DAY(EOMONTH(DATE(EINSTELLUNG!$C$35,$A$1,1),0))*F6,2),"")</f>
        <v>173</v>
      </c>
      <c r="I6" s="43"/>
      <c r="J6" s="44"/>
      <c r="K6" s="281">
        <f t="shared" si="0"/>
        <v>0</v>
      </c>
      <c r="L6" s="283">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2021</v>
      </c>
      <c r="M6" s="45"/>
      <c r="N6" s="65"/>
      <c r="O6" s="289" t="str">
        <f>IF(Q5&lt;0, "Schlecht! Zu wenig Urlaub abgebaut.", IF(Q5&gt;0, "Gut! Mehr Urlaub abgebaut als aufgebaut.", ""))</f>
        <v>Schlecht! Zu wenig Urlaub abgebaut.</v>
      </c>
      <c r="P6" s="290"/>
      <c r="Q6" s="290"/>
      <c r="R6" s="291"/>
      <c r="S6" s="278"/>
      <c r="T6" s="278"/>
      <c r="U6" s="278"/>
      <c r="V6" s="278"/>
    </row>
    <row r="7" spans="1:28" ht="22" customHeight="1" thickBot="1">
      <c r="A7" s="280" t="s">
        <v>54</v>
      </c>
      <c r="B7" s="92">
        <v>401089</v>
      </c>
      <c r="C7" s="46" t="s">
        <v>240</v>
      </c>
      <c r="D7" s="47">
        <v>44868</v>
      </c>
      <c r="E7" s="48" t="s">
        <v>3</v>
      </c>
      <c r="F7" s="49">
        <v>173</v>
      </c>
      <c r="G7" s="281">
        <f>IF(OR(E7="",F7=""),"",PID_KVLohnLookup($A$1,E7,F7,LOHNTABELLE!$H$4))</f>
        <v>2082</v>
      </c>
      <c r="H7" s="282">
        <f>IF(AND(ISNUMBER(D7),ISNUMBER(F7)),ROUNDDOWN(MIN(IF(OR(ISBLANK(I7),I7=""),EOMONTH(DATE(EINSTELLUNG!$C$35,$A$1,1),0),I7)-MAX(D7,DATE(EINSTELLUNG!$C$35,$A$1,1))+1)/DAY(EOMONTH(DATE(EINSTELLUNG!$C$35,$A$1,1),0))*F7,2),"")</f>
        <v>173</v>
      </c>
      <c r="I7" s="50"/>
      <c r="J7" s="51"/>
      <c r="K7" s="281">
        <f t="shared" si="0"/>
        <v>0</v>
      </c>
      <c r="L7" s="283">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2082</v>
      </c>
      <c r="M7" s="52"/>
      <c r="N7" s="66"/>
      <c r="O7" s="278"/>
      <c r="P7" s="278"/>
      <c r="Q7" s="278"/>
      <c r="R7" s="278"/>
      <c r="S7" s="278"/>
      <c r="T7" s="278"/>
      <c r="U7" s="278"/>
      <c r="V7" s="278"/>
    </row>
    <row r="8" spans="1:28" ht="22" customHeight="1">
      <c r="A8" s="280" t="s">
        <v>55</v>
      </c>
      <c r="B8" s="91">
        <v>401138</v>
      </c>
      <c r="C8" s="39" t="s">
        <v>227</v>
      </c>
      <c r="D8" s="40">
        <v>42006</v>
      </c>
      <c r="E8" s="41" t="s">
        <v>4</v>
      </c>
      <c r="F8" s="42">
        <v>173</v>
      </c>
      <c r="G8" s="281">
        <f>IF(OR(E8="",F8=""),"",PID_KVLohnLookup($A$1,E8,F8,LOHNTABELLE!$H$4))</f>
        <v>2123</v>
      </c>
      <c r="H8" s="282">
        <f>IF(AND(ISNUMBER(D8),ISNUMBER(F8)),ROUNDDOWN(MIN(IF(OR(ISBLANK(I8),I8=""),EOMONTH(DATE(EINSTELLUNG!$C$35,$A$1,1),0),I8)-MAX(D8,DATE(EINSTELLUNG!$C$35,$A$1,1))+1)/DAY(EOMONTH(DATE(EINSTELLUNG!$C$35,$A$1,1),0))*F8,2),"")</f>
        <v>173</v>
      </c>
      <c r="I8" s="43"/>
      <c r="J8" s="44"/>
      <c r="K8" s="281">
        <f t="shared" si="0"/>
        <v>0</v>
      </c>
      <c r="L8" s="283">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2123</v>
      </c>
      <c r="M8" s="45"/>
      <c r="N8" s="65"/>
      <c r="O8" s="357" t="s">
        <v>56</v>
      </c>
      <c r="P8" s="293"/>
      <c r="Q8" s="294">
        <f>SUM(H3:H82)</f>
        <v>8993.34</v>
      </c>
      <c r="R8" s="295"/>
      <c r="S8" s="278"/>
      <c r="T8" s="278"/>
      <c r="U8" s="278"/>
      <c r="V8" s="278"/>
    </row>
    <row r="9" spans="1:28" ht="22" customHeight="1">
      <c r="A9" s="280" t="s">
        <v>57</v>
      </c>
      <c r="B9" s="92">
        <v>401197</v>
      </c>
      <c r="C9" s="46" t="s">
        <v>228</v>
      </c>
      <c r="D9" s="47">
        <v>42644</v>
      </c>
      <c r="E9" s="48" t="s">
        <v>3</v>
      </c>
      <c r="F9" s="49">
        <v>173</v>
      </c>
      <c r="G9" s="281">
        <f>IF(OR(E9="",F9=""),"",PID_KVLohnLookup($A$1,E9,F9,LOHNTABELLE!$H$4))</f>
        <v>2082</v>
      </c>
      <c r="H9" s="282">
        <f>IF(AND(ISNUMBER(D9),ISNUMBER(F9)),ROUNDDOWN(MIN(IF(OR(ISBLANK(I9),I9=""),EOMONTH(DATE(EINSTELLUNG!$C$35,$A$1,1),0),I9)-MAX(D9,DATE(EINSTELLUNG!$C$35,$A$1,1))+1)/DAY(EOMONTH(DATE(EINSTELLUNG!$C$35,$A$1,1),0))*F9,2),"")</f>
        <v>173</v>
      </c>
      <c r="I9" s="50"/>
      <c r="J9" s="51"/>
      <c r="K9" s="281">
        <f t="shared" si="0"/>
        <v>0</v>
      </c>
      <c r="L9" s="283">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52"/>
      <c r="N9" s="66"/>
      <c r="O9" s="358" t="s">
        <v>58</v>
      </c>
      <c r="P9" s="297"/>
      <c r="Q9" s="298">
        <f>EINSTELLUNG!L24</f>
        <v>3</v>
      </c>
      <c r="R9" s="299"/>
      <c r="S9" s="300">
        <f>IFERROR(Q9/Q8, 0)</f>
        <v>3.3358018266850802E-4</v>
      </c>
      <c r="T9" s="278"/>
      <c r="U9" s="278"/>
      <c r="V9" s="278"/>
    </row>
    <row r="10" spans="1:28" ht="22" customHeight="1">
      <c r="A10" s="280" t="s">
        <v>59</v>
      </c>
      <c r="B10" s="91">
        <v>401214</v>
      </c>
      <c r="C10" s="39" t="s">
        <v>254</v>
      </c>
      <c r="D10" s="40">
        <v>45636</v>
      </c>
      <c r="E10" s="41" t="s">
        <v>3</v>
      </c>
      <c r="F10" s="42">
        <v>173</v>
      </c>
      <c r="G10" s="281">
        <f>IF(OR(E10="",F10=""),"",PID_KVLohnLookup($A$1,E10,F10,LOHNTABELLE!$H$4))</f>
        <v>2082</v>
      </c>
      <c r="H10" s="282">
        <f>IF(AND(ISNUMBER(D10),ISNUMBER(F10)),ROUNDDOWN(MIN(IF(OR(ISBLANK(I10),I10=""),EOMONTH(DATE(EINSTELLUNG!$C$35,$A$1,1),0),I10)-MAX(D10,DATE(EINSTELLUNG!$C$35,$A$1,1))+1)/DAY(EOMONTH(DATE(EINSTELLUNG!$C$35,$A$1,1),0))*F10,2),"")</f>
        <v>173</v>
      </c>
      <c r="I10" s="43"/>
      <c r="J10" s="44"/>
      <c r="K10" s="281">
        <f t="shared" si="0"/>
        <v>0</v>
      </c>
      <c r="L10" s="283">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45"/>
      <c r="N10" s="65"/>
      <c r="O10" s="358" t="s">
        <v>60</v>
      </c>
      <c r="P10" s="297"/>
      <c r="Q10" s="298">
        <f>EINSTELLUNG!I24</f>
        <v>0</v>
      </c>
      <c r="R10" s="299"/>
      <c r="S10" s="278"/>
      <c r="T10" s="278"/>
      <c r="U10" s="278"/>
      <c r="V10" s="278"/>
    </row>
    <row r="11" spans="1:28" ht="22" customHeight="1">
      <c r="A11" s="280" t="s">
        <v>61</v>
      </c>
      <c r="B11" s="92">
        <v>401276</v>
      </c>
      <c r="C11" s="46" t="s">
        <v>229</v>
      </c>
      <c r="D11" s="47">
        <v>43252</v>
      </c>
      <c r="E11" s="48" t="s">
        <v>3</v>
      </c>
      <c r="F11" s="49">
        <v>173</v>
      </c>
      <c r="G11" s="281">
        <f>IF(OR(E11="",F11=""),"",PID_KVLohnLookup($A$1,E11,F11,LOHNTABELLE!$H$4))</f>
        <v>2082</v>
      </c>
      <c r="H11" s="282">
        <f>IF(AND(ISNUMBER(D11),ISNUMBER(F11)),ROUNDDOWN(MIN(IF(OR(ISBLANK(I11),I11=""),EOMONTH(DATE(EINSTELLUNG!$C$35,$A$1,1),0),I11)-MAX(D11,DATE(EINSTELLUNG!$C$35,$A$1,1))+1)/DAY(EOMONTH(DATE(EINSTELLUNG!$C$35,$A$1,1),0))*F11,2),"")</f>
        <v>173</v>
      </c>
      <c r="I11" s="50"/>
      <c r="J11" s="51"/>
      <c r="K11" s="281">
        <f t="shared" si="0"/>
        <v>0</v>
      </c>
      <c r="L11" s="283">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2082</v>
      </c>
      <c r="M11" s="52"/>
      <c r="N11" s="66"/>
      <c r="O11" s="358" t="s">
        <v>62</v>
      </c>
      <c r="P11" s="297"/>
      <c r="Q11" s="298">
        <f>P5</f>
        <v>600</v>
      </c>
      <c r="R11" s="299"/>
      <c r="S11" s="278"/>
      <c r="T11" s="278"/>
      <c r="U11" s="278"/>
      <c r="V11" s="278"/>
    </row>
    <row r="12" spans="1:28" ht="22" customHeight="1">
      <c r="A12" s="280" t="s">
        <v>63</v>
      </c>
      <c r="B12" s="91">
        <v>401276</v>
      </c>
      <c r="C12" s="39" t="s">
        <v>386</v>
      </c>
      <c r="D12" s="40">
        <v>38899</v>
      </c>
      <c r="E12" s="41" t="s">
        <v>2</v>
      </c>
      <c r="F12" s="42">
        <v>55</v>
      </c>
      <c r="G12" s="281" t="str">
        <f>IF(OR(E12="",F12=""),"",PID_KVLohnLookup($A$1,E12,F12,LOHNTABELLE!$H$4))</f>
        <v>Nicht gefunden</v>
      </c>
      <c r="H12" s="282">
        <f>IF(AND(ISNUMBER(D12),ISNUMBER(F12)),ROUNDDOWN(MIN(IF(OR(ISBLANK(I12),I12=""),EOMONTH(DATE(EINSTELLUNG!$C$35,$A$1,1),0),I12)-MAX(D12,DATE(EINSTELLUNG!$C$35,$A$1,1))+1)/DAY(EOMONTH(DATE(EINSTELLUNG!$C$35,$A$1,1),0))*F12,2),"")</f>
        <v>55</v>
      </c>
      <c r="I12" s="43"/>
      <c r="J12" s="44"/>
      <c r="K12" s="281">
        <f t="shared" si="0"/>
        <v>0</v>
      </c>
      <c r="L12" s="283" t="str">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
      </c>
      <c r="M12" s="45"/>
      <c r="N12" s="65"/>
      <c r="O12" s="358" t="s">
        <v>64</v>
      </c>
      <c r="P12" s="297"/>
      <c r="Q12" s="172">
        <v>-445</v>
      </c>
      <c r="R12" s="173"/>
      <c r="S12" s="278"/>
      <c r="T12" s="278"/>
      <c r="U12" s="278"/>
      <c r="V12" s="278"/>
    </row>
    <row r="13" spans="1:28" ht="22" customHeight="1">
      <c r="A13" s="280" t="s">
        <v>65</v>
      </c>
      <c r="B13" s="92">
        <v>401307</v>
      </c>
      <c r="C13" s="46" t="s">
        <v>230</v>
      </c>
      <c r="D13" s="47">
        <v>43571</v>
      </c>
      <c r="E13" s="48" t="s">
        <v>2</v>
      </c>
      <c r="F13" s="49">
        <v>55</v>
      </c>
      <c r="G13" s="281" t="str">
        <f>IF(OR(E13="",F13=""),"",PID_KVLohnLookup($A$1,E13,F13,LOHNTABELLE!$H$4))</f>
        <v>Nicht gefunden</v>
      </c>
      <c r="H13" s="282">
        <f>IF(AND(ISNUMBER(D13),ISNUMBER(F13)),ROUNDDOWN(MIN(IF(OR(ISBLANK(I13),I13=""),EOMONTH(DATE(EINSTELLUNG!$C$35,$A$1,1),0),I13)-MAX(D13,DATE(EINSTELLUNG!$C$35,$A$1,1))+1)/DAY(EOMONTH(DATE(EINSTELLUNG!$C$35,$A$1,1),0))*F13,2),"")</f>
        <v>55</v>
      </c>
      <c r="I13" s="50"/>
      <c r="J13" s="51"/>
      <c r="K13" s="281">
        <f t="shared" si="0"/>
        <v>0</v>
      </c>
      <c r="L13" s="283" t="str">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
      </c>
      <c r="M13" s="52"/>
      <c r="N13" s="66"/>
      <c r="O13" s="358" t="s">
        <v>66</v>
      </c>
      <c r="P13" s="297"/>
      <c r="Q13" s="298">
        <f>Q8-Q9-Q10-Q11-Q12</f>
        <v>8835.34</v>
      </c>
      <c r="R13" s="299"/>
      <c r="S13" s="278"/>
      <c r="T13" s="278"/>
      <c r="U13" s="278"/>
      <c r="V13" s="278"/>
    </row>
    <row r="14" spans="1:28" ht="22" customHeight="1">
      <c r="A14" s="280" t="s">
        <v>67</v>
      </c>
      <c r="B14" s="91">
        <v>401308</v>
      </c>
      <c r="C14" s="39" t="s">
        <v>231</v>
      </c>
      <c r="D14" s="40">
        <v>43579</v>
      </c>
      <c r="E14" s="41" t="s">
        <v>3</v>
      </c>
      <c r="F14" s="42">
        <v>173</v>
      </c>
      <c r="G14" s="281">
        <f>IF(OR(E14="",F14=""),"",PID_KVLohnLookup($A$1,E14,F14,LOHNTABELLE!$H$4))</f>
        <v>2082</v>
      </c>
      <c r="H14" s="282">
        <f>IF(AND(ISNUMBER(D14),ISNUMBER(F14)),ROUNDDOWN(MIN(IF(OR(ISBLANK(I14),I14=""),EOMONTH(DATE(EINSTELLUNG!$C$35,$A$1,1),0),I14)-MAX(D14,DATE(EINSTELLUNG!$C$35,$A$1,1))+1)/DAY(EOMONTH(DATE(EINSTELLUNG!$C$35,$A$1,1),0))*F14,2),"")</f>
        <v>173</v>
      </c>
      <c r="I14" s="43"/>
      <c r="J14" s="44"/>
      <c r="K14" s="281">
        <f t="shared" si="0"/>
        <v>0</v>
      </c>
      <c r="L14" s="283">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2082</v>
      </c>
      <c r="M14" s="45"/>
      <c r="N14" s="65"/>
      <c r="O14" s="358" t="s">
        <v>68</v>
      </c>
      <c r="P14" s="297"/>
      <c r="Q14" s="298">
        <f>EINSTELLUNG!L8</f>
        <v>9300</v>
      </c>
      <c r="R14" s="299"/>
      <c r="S14" s="278"/>
      <c r="T14" s="278"/>
      <c r="U14" s="278"/>
      <c r="V14" s="278"/>
    </row>
    <row r="15" spans="1:28" ht="22" customHeight="1">
      <c r="A15" s="280" t="s">
        <v>69</v>
      </c>
      <c r="B15" s="92">
        <v>401389</v>
      </c>
      <c r="C15" s="46" t="s">
        <v>233</v>
      </c>
      <c r="D15" s="47">
        <v>44384</v>
      </c>
      <c r="E15" s="48" t="s">
        <v>4</v>
      </c>
      <c r="F15" s="49">
        <v>151.38</v>
      </c>
      <c r="G15" s="281">
        <f>IF(OR(E15="",F15=""),"",PID_KVLohnLookup($A$1,E15,F15,LOHNTABELLE!$H$4))</f>
        <v>1857.63</v>
      </c>
      <c r="H15" s="282">
        <f>IF(AND(ISNUMBER(D15),ISNUMBER(F15)),ROUNDDOWN(MIN(IF(OR(ISBLANK(I15),I15=""),EOMONTH(DATE(EINSTELLUNG!$C$35,$A$1,1),0),I15)-MAX(D15,DATE(EINSTELLUNG!$C$35,$A$1,1))+1)/DAY(EOMONTH(DATE(EINSTELLUNG!$C$35,$A$1,1),0))*F15,2),"")</f>
        <v>151.38</v>
      </c>
      <c r="I15" s="50"/>
      <c r="J15" s="51"/>
      <c r="K15" s="281">
        <f t="shared" si="0"/>
        <v>0</v>
      </c>
      <c r="L15" s="283">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1857.63</v>
      </c>
      <c r="M15" s="52"/>
      <c r="N15" s="66"/>
      <c r="O15" s="358" t="s">
        <v>70</v>
      </c>
      <c r="P15" s="297"/>
      <c r="Q15" s="298">
        <f>Q13-Q14</f>
        <v>-464.65999999999985</v>
      </c>
      <c r="R15" s="299"/>
      <c r="S15" s="301"/>
      <c r="T15" s="301"/>
      <c r="U15" s="301"/>
      <c r="V15" s="278"/>
    </row>
    <row r="16" spans="1:28" ht="22" customHeight="1" thickBot="1">
      <c r="A16" s="280" t="s">
        <v>71</v>
      </c>
      <c r="B16" s="91">
        <v>401394</v>
      </c>
      <c r="C16" s="39" t="s">
        <v>232</v>
      </c>
      <c r="D16" s="40">
        <v>44379</v>
      </c>
      <c r="E16" s="41" t="s">
        <v>2</v>
      </c>
      <c r="F16" s="42">
        <v>173</v>
      </c>
      <c r="G16" s="281">
        <f>IF(OR(E16="",F16=""),"",PID_KVLohnLookup($A$1,E16,F16,LOHNTABELLE!$H$4))</f>
        <v>2021</v>
      </c>
      <c r="H16" s="282">
        <f>IF(AND(ISNUMBER(D16),ISNUMBER(F16)),ROUNDDOWN(MIN(IF(OR(ISBLANK(I16),I16=""),EOMONTH(DATE(EINSTELLUNG!$C$35,$A$1,1),0),I16)-MAX(D16,DATE(EINSTELLUNG!$C$35,$A$1,1))+1)/DAY(EOMONTH(DATE(EINSTELLUNG!$C$35,$A$1,1),0))*F16,2),"")</f>
        <v>173</v>
      </c>
      <c r="I16" s="43"/>
      <c r="J16" s="44"/>
      <c r="K16" s="281">
        <f t="shared" si="0"/>
        <v>0</v>
      </c>
      <c r="L16" s="283">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2021</v>
      </c>
      <c r="M16" s="45"/>
      <c r="N16" s="65"/>
      <c r="O16" s="373" t="str">
        <f>IF(Q15&lt;0, "Schlecht! Zu wenig Stunden für Dienstplan.", IF(Q15&gt;0, "Du hast mehr als genug Stunden für Dienstplan.", ""))</f>
        <v>Schlecht! Zu wenig Stunden für Dienstplan.</v>
      </c>
      <c r="P16" s="303"/>
      <c r="Q16" s="303"/>
      <c r="R16" s="304"/>
      <c r="S16" s="305"/>
      <c r="T16" s="305"/>
      <c r="U16" s="305"/>
      <c r="V16" s="305"/>
      <c r="W16" s="306"/>
    </row>
    <row r="17" spans="1:29" ht="22" customHeight="1">
      <c r="A17" s="280" t="s">
        <v>72</v>
      </c>
      <c r="B17" s="92">
        <v>401406</v>
      </c>
      <c r="C17" s="46" t="s">
        <v>387</v>
      </c>
      <c r="D17" s="47">
        <v>36850</v>
      </c>
      <c r="E17" s="48" t="s">
        <v>10</v>
      </c>
      <c r="F17" s="49">
        <v>151.38</v>
      </c>
      <c r="G17" s="281">
        <f>IF(OR(E17="",F17=""),"",PID_KVLohnLookup($A$1,E17,F17,LOHNTABELLE!$H$4))</f>
        <v>2012.5</v>
      </c>
      <c r="H17" s="282">
        <f>IF(AND(ISNUMBER(D17),ISNUMBER(F17)),ROUNDDOWN(MIN(IF(OR(ISBLANK(I17),I17=""),EOMONTH(DATE(EINSTELLUNG!$C$35,$A$1,1),0),I17)-MAX(D17,DATE(EINSTELLUNG!$C$35,$A$1,1))+1)/DAY(EOMONTH(DATE(EINSTELLUNG!$C$35,$A$1,1),0))*F17,2),"")</f>
        <v>151.38</v>
      </c>
      <c r="I17" s="50"/>
      <c r="J17" s="51"/>
      <c r="K17" s="281">
        <f t="shared" si="0"/>
        <v>0</v>
      </c>
      <c r="L17" s="283">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2012.5</v>
      </c>
      <c r="M17" s="52"/>
      <c r="N17" s="66"/>
      <c r="O17" s="357" t="s">
        <v>73</v>
      </c>
      <c r="P17" s="293"/>
      <c r="Q17" s="307">
        <f>SUM(L3:L82)</f>
        <v>106560.0341935484</v>
      </c>
      <c r="R17" s="308"/>
      <c r="S17" s="278"/>
      <c r="T17" s="278"/>
      <c r="U17" s="278"/>
      <c r="V17" s="278"/>
      <c r="W17" s="306"/>
    </row>
    <row r="18" spans="1:29" ht="22" customHeight="1">
      <c r="A18" s="280" t="s">
        <v>74</v>
      </c>
      <c r="B18" s="91">
        <v>401432</v>
      </c>
      <c r="C18" s="39" t="s">
        <v>234</v>
      </c>
      <c r="D18" s="40">
        <v>44441</v>
      </c>
      <c r="E18" s="41" t="s">
        <v>2</v>
      </c>
      <c r="F18" s="42">
        <v>173</v>
      </c>
      <c r="G18" s="281">
        <f>IF(OR(E18="",F18=""),"",PID_KVLohnLookup($A$1,E18,F18,LOHNTABELLE!$H$4))</f>
        <v>2021</v>
      </c>
      <c r="H18" s="282">
        <f>IF(AND(ISNUMBER(D18),ISNUMBER(F18)),ROUNDDOWN(MIN(IF(OR(ISBLANK(I18),I18=""),EOMONTH(DATE(EINSTELLUNG!$C$35,$A$1,1),0),I18)-MAX(D18,DATE(EINSTELLUNG!$C$35,$A$1,1))+1)/DAY(EOMONTH(DATE(EINSTELLUNG!$C$35,$A$1,1),0))*F18,2),"")</f>
        <v>173</v>
      </c>
      <c r="I18" s="43"/>
      <c r="J18" s="44"/>
      <c r="K18" s="281">
        <f t="shared" si="0"/>
        <v>0</v>
      </c>
      <c r="L18" s="283">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2021</v>
      </c>
      <c r="M18" s="45"/>
      <c r="N18" s="65"/>
      <c r="O18" s="366" t="s">
        <v>371</v>
      </c>
      <c r="P18" s="310"/>
      <c r="Q18" s="311">
        <v>20</v>
      </c>
      <c r="R18" s="312"/>
      <c r="S18" s="278"/>
      <c r="T18" s="278"/>
      <c r="U18" s="278"/>
      <c r="V18" s="278"/>
    </row>
    <row r="19" spans="1:29" ht="22" customHeight="1">
      <c r="A19" s="280" t="s">
        <v>75</v>
      </c>
      <c r="B19" s="92">
        <v>401476</v>
      </c>
      <c r="C19" s="46" t="s">
        <v>236</v>
      </c>
      <c r="D19" s="47">
        <v>44504</v>
      </c>
      <c r="E19" s="48" t="s">
        <v>2</v>
      </c>
      <c r="F19" s="49">
        <v>173</v>
      </c>
      <c r="G19" s="281">
        <f>IF(OR(E19="",F19=""),"",PID_KVLohnLookup($A$1,E19,F19,LOHNTABELLE!$H$4))</f>
        <v>2021</v>
      </c>
      <c r="H19" s="282">
        <f>IF(AND(ISNUMBER(D19),ISNUMBER(F19)),ROUNDDOWN(MIN(IF(OR(ISBLANK(I19),I19=""),EOMONTH(DATE(EINSTELLUNG!$C$35,$A$1,1),0),I19)-MAX(D19,DATE(EINSTELLUNG!$C$35,$A$1,1))+1)/DAY(EOMONTH(DATE(EINSTELLUNG!$C$35,$A$1,1),0))*F19,2),"")</f>
        <v>173</v>
      </c>
      <c r="I19" s="50"/>
      <c r="J19" s="51"/>
      <c r="K19" s="281">
        <f t="shared" si="0"/>
        <v>0</v>
      </c>
      <c r="L19" s="283">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2021</v>
      </c>
      <c r="M19" s="52"/>
      <c r="N19" s="66"/>
      <c r="O19" s="366" t="s">
        <v>293</v>
      </c>
      <c r="P19" s="310"/>
      <c r="Q19" s="311">
        <v>333</v>
      </c>
      <c r="R19" s="312"/>
      <c r="S19" s="278"/>
      <c r="T19" s="278"/>
      <c r="U19" s="278"/>
      <c r="V19" s="278"/>
    </row>
    <row r="20" spans="1:29" ht="22" customHeight="1">
      <c r="A20" s="280" t="s">
        <v>76</v>
      </c>
      <c r="B20" s="91">
        <v>401479</v>
      </c>
      <c r="C20" s="39" t="s">
        <v>237</v>
      </c>
      <c r="D20" s="40">
        <v>44511</v>
      </c>
      <c r="E20" s="41" t="s">
        <v>6</v>
      </c>
      <c r="F20" s="42">
        <v>173</v>
      </c>
      <c r="G20" s="281">
        <f>IF(OR(E20="",F20=""),"",PID_KVLohnLookup($A$1,E20,F20,LOHNTABELLE!$H$4))</f>
        <v>2160</v>
      </c>
      <c r="H20" s="282">
        <f>IF(AND(ISNUMBER(D20),ISNUMBER(F20)),ROUNDDOWN(MIN(IF(OR(ISBLANK(I20),I20=""),EOMONTH(DATE(EINSTELLUNG!$C$35,$A$1,1),0),I20)-MAX(D20,DATE(EINSTELLUNG!$C$35,$A$1,1))+1)/DAY(EOMONTH(DATE(EINSTELLUNG!$C$35,$A$1,1),0))*F20,2),"")</f>
        <v>173</v>
      </c>
      <c r="I20" s="43"/>
      <c r="J20" s="44"/>
      <c r="K20" s="281">
        <f t="shared" si="0"/>
        <v>0</v>
      </c>
      <c r="L20" s="283">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2160</v>
      </c>
      <c r="M20" s="45"/>
      <c r="N20" s="65"/>
      <c r="O20" s="366" t="s">
        <v>293</v>
      </c>
      <c r="P20" s="310"/>
      <c r="Q20" s="311">
        <v>35</v>
      </c>
      <c r="R20" s="312"/>
      <c r="S20" s="278"/>
      <c r="T20" s="278"/>
      <c r="U20" s="278"/>
      <c r="V20" s="278"/>
    </row>
    <row r="21" spans="1:29" ht="22" customHeight="1">
      <c r="A21" s="280" t="s">
        <v>77</v>
      </c>
      <c r="B21" s="92">
        <v>401481</v>
      </c>
      <c r="C21" s="46" t="s">
        <v>238</v>
      </c>
      <c r="D21" s="47">
        <v>44531</v>
      </c>
      <c r="E21" s="48" t="s">
        <v>3</v>
      </c>
      <c r="F21" s="49">
        <v>173</v>
      </c>
      <c r="G21" s="281">
        <f>IF(OR(E21="",F21=""),"",PID_KVLohnLookup($A$1,E21,F21,LOHNTABELLE!$H$4))</f>
        <v>2082</v>
      </c>
      <c r="H21" s="282">
        <f>IF(AND(ISNUMBER(D21),ISNUMBER(F21)),ROUNDDOWN(MIN(IF(OR(ISBLANK(I21),I21=""),EOMONTH(DATE(EINSTELLUNG!$C$35,$A$1,1),0),I21)-MAX(D21,DATE(EINSTELLUNG!$C$35,$A$1,1))+1)/DAY(EOMONTH(DATE(EINSTELLUNG!$C$35,$A$1,1),0))*F21,2),"")</f>
        <v>173</v>
      </c>
      <c r="I21" s="50"/>
      <c r="J21" s="51"/>
      <c r="K21" s="281">
        <f t="shared" si="0"/>
        <v>0</v>
      </c>
      <c r="L21" s="283">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2082</v>
      </c>
      <c r="M21" s="52"/>
      <c r="N21" s="66"/>
      <c r="O21" s="366" t="s">
        <v>293</v>
      </c>
      <c r="P21" s="310"/>
      <c r="Q21" s="311">
        <v>100</v>
      </c>
      <c r="R21" s="312"/>
      <c r="S21" s="278"/>
      <c r="T21" s="278"/>
      <c r="U21" s="278"/>
      <c r="V21" s="278"/>
    </row>
    <row r="22" spans="1:29" ht="22" customHeight="1">
      <c r="A22" s="280" t="s">
        <v>78</v>
      </c>
      <c r="B22" s="91">
        <v>401558</v>
      </c>
      <c r="C22" s="39" t="s">
        <v>235</v>
      </c>
      <c r="D22" s="40">
        <v>44460</v>
      </c>
      <c r="E22" s="41" t="s">
        <v>2</v>
      </c>
      <c r="F22" s="42">
        <v>173</v>
      </c>
      <c r="G22" s="281">
        <f>IF(OR(E22="",F22=""),"",PID_KVLohnLookup($A$1,E22,F22,LOHNTABELLE!$H$4))</f>
        <v>2021</v>
      </c>
      <c r="H22" s="282">
        <f>IF(AND(ISNUMBER(D22),ISNUMBER(F22)),ROUNDDOWN(MIN(IF(OR(ISBLANK(I22),I22=""),EOMONTH(DATE(EINSTELLUNG!$C$35,$A$1,1),0),I22)-MAX(D22,DATE(EINSTELLUNG!$C$35,$A$1,1))+1)/DAY(EOMONTH(DATE(EINSTELLUNG!$C$35,$A$1,1),0))*F22,2),"")</f>
        <v>173</v>
      </c>
      <c r="I22" s="43"/>
      <c r="J22" s="44"/>
      <c r="K22" s="281">
        <f t="shared" si="0"/>
        <v>0</v>
      </c>
      <c r="L22" s="283">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2021</v>
      </c>
      <c r="M22" s="45"/>
      <c r="N22" s="65"/>
      <c r="O22" s="366" t="s">
        <v>293</v>
      </c>
      <c r="P22" s="310"/>
      <c r="Q22" s="311"/>
      <c r="R22" s="312"/>
      <c r="S22" s="278"/>
      <c r="T22" s="278"/>
      <c r="U22" s="278"/>
      <c r="V22" s="278"/>
    </row>
    <row r="23" spans="1:29" ht="22" customHeight="1">
      <c r="A23" s="280" t="s">
        <v>79</v>
      </c>
      <c r="B23" s="92">
        <v>401564</v>
      </c>
      <c r="C23" s="46" t="s">
        <v>239</v>
      </c>
      <c r="D23" s="47">
        <v>44824</v>
      </c>
      <c r="E23" s="48" t="s">
        <v>2</v>
      </c>
      <c r="F23" s="49">
        <v>151.38</v>
      </c>
      <c r="G23" s="281">
        <f>IF(OR(E23="",F23=""),"",PID_KVLohnLookup($A$1,E23,F23,LOHNTABELLE!$H$4))</f>
        <v>1768.38</v>
      </c>
      <c r="H23" s="282">
        <f>IF(AND(ISNUMBER(D23),ISNUMBER(F23)),ROUNDDOWN(MIN(IF(OR(ISBLANK(I23),I23=""),EOMONTH(DATE(EINSTELLUNG!$C$35,$A$1,1),0),I23)-MAX(D23,DATE(EINSTELLUNG!$C$35,$A$1,1))+1)/DAY(EOMONTH(DATE(EINSTELLUNG!$C$35,$A$1,1),0))*F23,2),"")</f>
        <v>151.38</v>
      </c>
      <c r="I23" s="50"/>
      <c r="J23" s="51"/>
      <c r="K23" s="281">
        <f t="shared" si="0"/>
        <v>0</v>
      </c>
      <c r="L23" s="283">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1768.38</v>
      </c>
      <c r="M23" s="52"/>
      <c r="N23" s="66"/>
      <c r="O23" s="366" t="s">
        <v>293</v>
      </c>
      <c r="P23" s="310"/>
      <c r="Q23" s="311">
        <v>5000</v>
      </c>
      <c r="R23" s="312"/>
      <c r="S23" s="278"/>
      <c r="T23" s="278"/>
      <c r="U23" s="278"/>
      <c r="V23" s="278"/>
      <c r="W23" s="306"/>
    </row>
    <row r="24" spans="1:29" ht="22" customHeight="1">
      <c r="A24" s="280" t="s">
        <v>80</v>
      </c>
      <c r="B24" s="91">
        <v>401583</v>
      </c>
      <c r="C24" s="39" t="s">
        <v>241</v>
      </c>
      <c r="D24" s="40">
        <v>44900</v>
      </c>
      <c r="E24" s="41" t="s">
        <v>13</v>
      </c>
      <c r="F24" s="42">
        <v>173</v>
      </c>
      <c r="G24" s="281">
        <f>IF(OR(E24="",F24=""),"",PID_KVLohnLookup($A$1,E24,F24,LOHNTABELLE!$H$4))</f>
        <v>2328</v>
      </c>
      <c r="H24" s="282">
        <f>IF(AND(ISNUMBER(D24),ISNUMBER(F24)),ROUNDDOWN(MIN(IF(OR(ISBLANK(I24),I24=""),EOMONTH(DATE(EINSTELLUNG!$C$35,$A$1,1),0),I24)-MAX(D24,DATE(EINSTELLUNG!$C$35,$A$1,1))+1)/DAY(EOMONTH(DATE(EINSTELLUNG!$C$35,$A$1,1),0))*F24,2),"")</f>
        <v>173</v>
      </c>
      <c r="I24" s="43"/>
      <c r="J24" s="44"/>
      <c r="K24" s="281">
        <f t="shared" si="0"/>
        <v>0</v>
      </c>
      <c r="L24" s="283">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2328</v>
      </c>
      <c r="M24" s="45"/>
      <c r="N24" s="65"/>
      <c r="O24" s="366"/>
      <c r="P24" s="310"/>
      <c r="Q24" s="311"/>
      <c r="R24" s="312"/>
      <c r="S24" s="278"/>
      <c r="T24" s="278"/>
      <c r="U24" s="278"/>
      <c r="V24" s="278"/>
      <c r="W24" s="306"/>
    </row>
    <row r="25" spans="1:29" ht="22" customHeight="1">
      <c r="A25" s="280" t="s">
        <v>81</v>
      </c>
      <c r="B25" s="92">
        <v>401589</v>
      </c>
      <c r="C25" s="46" t="s">
        <v>242</v>
      </c>
      <c r="D25" s="47">
        <v>44926</v>
      </c>
      <c r="E25" s="48" t="s">
        <v>10</v>
      </c>
      <c r="F25" s="49">
        <v>173</v>
      </c>
      <c r="G25" s="281">
        <f>IF(OR(E25="",F25=""),"",PID_KVLohnLookup($A$1,E25,F25,LOHNTABELLE!$H$4))</f>
        <v>2300</v>
      </c>
      <c r="H25" s="282">
        <f>IF(AND(ISNUMBER(D25),ISNUMBER(F25)),ROUNDDOWN(MIN(IF(OR(ISBLANK(I25),I25=""),EOMONTH(DATE(EINSTELLUNG!$C$35,$A$1,1),0),I25)-MAX(D25,DATE(EINSTELLUNG!$C$35,$A$1,1))+1)/DAY(EOMONTH(DATE(EINSTELLUNG!$C$35,$A$1,1),0))*F25,2),"")</f>
        <v>173</v>
      </c>
      <c r="I25" s="50"/>
      <c r="J25" s="51"/>
      <c r="K25" s="281">
        <f t="shared" si="0"/>
        <v>0</v>
      </c>
      <c r="L25" s="283">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2300</v>
      </c>
      <c r="M25" s="52"/>
      <c r="N25" s="66"/>
      <c r="O25" s="366"/>
      <c r="P25" s="310"/>
      <c r="Q25" s="311"/>
      <c r="R25" s="312"/>
      <c r="S25" s="278"/>
      <c r="T25" s="278"/>
      <c r="U25" s="278"/>
      <c r="V25" s="278"/>
    </row>
    <row r="26" spans="1:29" ht="22" customHeight="1">
      <c r="A26" s="280" t="s">
        <v>82</v>
      </c>
      <c r="B26" s="91">
        <v>401602</v>
      </c>
      <c r="C26" s="39" t="s">
        <v>243</v>
      </c>
      <c r="D26" s="40">
        <v>45975</v>
      </c>
      <c r="E26" s="41" t="s">
        <v>2</v>
      </c>
      <c r="F26" s="42">
        <v>169</v>
      </c>
      <c r="G26" s="281">
        <f>IF(OR(E26="",F26=""),"",PID_KVLohnLookup($A$1,E26,F26,LOHNTABELLE!$H$4))</f>
        <v>2000</v>
      </c>
      <c r="H26" s="282">
        <f>IF(AND(ISNUMBER(D26),ISNUMBER(F26)),ROUNDDOWN(MIN(IF(OR(ISBLANK(I26),I26=""),EOMONTH(DATE(EINSTELLUNG!$C$35,$A$1,1),0),I26)-MAX(D26,DATE(EINSTELLUNG!$C$35,$A$1,1))+1)/DAY(EOMONTH(DATE(EINSTELLUNG!$C$35,$A$1,1),0))*F26,2),"")</f>
        <v>169</v>
      </c>
      <c r="I26" s="43"/>
      <c r="J26" s="44"/>
      <c r="K26" s="281">
        <f t="shared" si="0"/>
        <v>0</v>
      </c>
      <c r="L26" s="283">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2000</v>
      </c>
      <c r="M26" s="45"/>
      <c r="N26" s="65"/>
      <c r="O26" s="366"/>
      <c r="P26" s="310"/>
      <c r="Q26" s="311"/>
      <c r="R26" s="312"/>
      <c r="S26" s="278"/>
      <c r="T26" s="278"/>
      <c r="U26" s="278"/>
      <c r="V26" s="278"/>
    </row>
    <row r="27" spans="1:29" ht="22" customHeight="1">
      <c r="A27" s="280" t="s">
        <v>83</v>
      </c>
      <c r="B27" s="92">
        <v>401605</v>
      </c>
      <c r="C27" s="46" t="s">
        <v>244</v>
      </c>
      <c r="D27" s="47">
        <v>44986</v>
      </c>
      <c r="E27" s="48" t="s">
        <v>2</v>
      </c>
      <c r="F27" s="49">
        <v>173</v>
      </c>
      <c r="G27" s="281">
        <f>IF(OR(E27="",F27=""),"",PID_KVLohnLookup($A$1,E27,F27,LOHNTABELLE!$H$4))</f>
        <v>2021</v>
      </c>
      <c r="H27" s="282">
        <f>IF(AND(ISNUMBER(D27),ISNUMBER(F27)),ROUNDDOWN(MIN(IF(OR(ISBLANK(I27),I27=""),EOMONTH(DATE(EINSTELLUNG!$C$35,$A$1,1),0),I27)-MAX(D27,DATE(EINSTELLUNG!$C$35,$A$1,1))+1)/DAY(EOMONTH(DATE(EINSTELLUNG!$C$35,$A$1,1),0))*F27,2),"")</f>
        <v>173</v>
      </c>
      <c r="I27" s="50"/>
      <c r="J27" s="51"/>
      <c r="K27" s="281">
        <f t="shared" si="0"/>
        <v>0</v>
      </c>
      <c r="L27" s="283">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2021</v>
      </c>
      <c r="M27" s="52"/>
      <c r="N27" s="66"/>
      <c r="O27" s="366"/>
      <c r="P27" s="310"/>
      <c r="Q27" s="311"/>
      <c r="R27" s="312"/>
      <c r="S27" s="313" t="s">
        <v>84</v>
      </c>
      <c r="T27" s="313"/>
      <c r="U27" s="313"/>
      <c r="V27" s="313"/>
    </row>
    <row r="28" spans="1:29" ht="22" customHeight="1">
      <c r="A28" s="280" t="s">
        <v>85</v>
      </c>
      <c r="B28" s="91">
        <v>401605</v>
      </c>
      <c r="C28" s="39" t="s">
        <v>387</v>
      </c>
      <c r="D28" s="40">
        <v>36850</v>
      </c>
      <c r="E28" s="41" t="s">
        <v>10</v>
      </c>
      <c r="F28" s="42">
        <v>151.38</v>
      </c>
      <c r="G28" s="281">
        <f>IF(OR(E28="",F28=""),"",PID_KVLohnLookup($A$1,E28,F28,LOHNTABELLE!$H$4))</f>
        <v>2012.5</v>
      </c>
      <c r="H28" s="282">
        <f>IF(AND(ISNUMBER(D28),ISNUMBER(F28)),ROUNDDOWN(MIN(IF(OR(ISBLANK(I28),I28=""),EOMONTH(DATE(EINSTELLUNG!$C$35,$A$1,1),0),I28)-MAX(D28,DATE(EINSTELLUNG!$C$35,$A$1,1))+1)/DAY(EOMONTH(DATE(EINSTELLUNG!$C$35,$A$1,1),0))*F28,2),"")</f>
        <v>151.38</v>
      </c>
      <c r="I28" s="43"/>
      <c r="J28" s="44"/>
      <c r="K28" s="281">
        <f t="shared" si="0"/>
        <v>0</v>
      </c>
      <c r="L28" s="283">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2012.5</v>
      </c>
      <c r="M28" s="45"/>
      <c r="N28" s="65"/>
      <c r="O28" s="366"/>
      <c r="P28" s="310"/>
      <c r="Q28" s="311"/>
      <c r="R28" s="312"/>
      <c r="S28" s="278"/>
      <c r="T28" s="278"/>
      <c r="U28" s="278"/>
      <c r="V28" s="278"/>
    </row>
    <row r="29" spans="1:29" ht="22" customHeight="1" thickBot="1">
      <c r="A29" s="280" t="s">
        <v>86</v>
      </c>
      <c r="B29" s="92">
        <v>401626</v>
      </c>
      <c r="C29" s="46" t="s">
        <v>245</v>
      </c>
      <c r="D29" s="47">
        <v>45063</v>
      </c>
      <c r="E29" s="48" t="s">
        <v>2</v>
      </c>
      <c r="F29" s="49">
        <v>173</v>
      </c>
      <c r="G29" s="281">
        <f>IF(OR(E29="",F29=""),"",PID_KVLohnLookup($A$1,E29,F29,LOHNTABELLE!$H$4))</f>
        <v>2021</v>
      </c>
      <c r="H29" s="282">
        <f>IF(AND(ISNUMBER(D29),ISNUMBER(F29)),ROUNDDOWN(MIN(IF(OR(ISBLANK(I29),I29=""),EOMONTH(DATE(EINSTELLUNG!$C$35,$A$1,1),0),I29)-MAX(D29,DATE(EINSTELLUNG!$C$35,$A$1,1))+1)/DAY(EOMONTH(DATE(EINSTELLUNG!$C$35,$A$1,1),0))*F29,2),"")</f>
        <v>173</v>
      </c>
      <c r="I29" s="50"/>
      <c r="J29" s="51"/>
      <c r="K29" s="281">
        <f t="shared" si="0"/>
        <v>0</v>
      </c>
      <c r="L29" s="283">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2021</v>
      </c>
      <c r="M29" s="52"/>
      <c r="N29" s="66"/>
      <c r="O29" s="367" t="s">
        <v>87</v>
      </c>
      <c r="P29" s="315"/>
      <c r="Q29" s="316">
        <f>EINSTELLUNG!O8</f>
        <v>1250</v>
      </c>
      <c r="R29" s="317"/>
      <c r="S29" s="278"/>
      <c r="T29" s="278"/>
      <c r="U29" s="278"/>
      <c r="V29" s="278"/>
    </row>
    <row r="30" spans="1:29" ht="22" customHeight="1" thickBot="1">
      <c r="A30" s="280" t="s">
        <v>88</v>
      </c>
      <c r="B30" s="91">
        <v>401633</v>
      </c>
      <c r="C30" s="39" t="s">
        <v>246</v>
      </c>
      <c r="D30" s="40">
        <v>45089</v>
      </c>
      <c r="E30" s="41" t="s">
        <v>10</v>
      </c>
      <c r="F30" s="42">
        <v>173</v>
      </c>
      <c r="G30" s="281">
        <f>IF(OR(E30="",F30=""),"",PID_KVLohnLookup($A$1,E30,F30,LOHNTABELLE!$H$4))</f>
        <v>2300</v>
      </c>
      <c r="H30" s="282">
        <f>IF(AND(ISNUMBER(D30),ISNUMBER(F30)),ROUNDDOWN(MIN(IF(OR(ISBLANK(I30),I30=""),EOMONTH(DATE(EINSTELLUNG!$C$35,$A$1,1),0),I30)-MAX(D30,DATE(EINSTELLUNG!$C$35,$A$1,1))+1)/DAY(EOMONTH(DATE(EINSTELLUNG!$C$35,$A$1,1),0))*F30,2),"")</f>
        <v>173</v>
      </c>
      <c r="I30" s="43"/>
      <c r="J30" s="44"/>
      <c r="K30" s="281">
        <f t="shared" si="0"/>
        <v>0</v>
      </c>
      <c r="L30" s="283">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2300</v>
      </c>
      <c r="M30" s="45"/>
      <c r="N30" s="65"/>
      <c r="O30" s="278"/>
      <c r="P30" s="278"/>
      <c r="Q30" s="278"/>
      <c r="R30" s="278"/>
      <c r="S30" s="278"/>
      <c r="T30" s="278"/>
      <c r="U30" s="278"/>
      <c r="V30" s="278"/>
      <c r="W30" s="318"/>
      <c r="X30" s="318"/>
      <c r="Y30" s="318"/>
      <c r="Z30" s="318"/>
      <c r="AA30" s="318"/>
      <c r="AB30" s="318"/>
      <c r="AC30" s="318"/>
    </row>
    <row r="31" spans="1:29" ht="22" customHeight="1" thickBot="1">
      <c r="A31" s="280" t="s">
        <v>89</v>
      </c>
      <c r="B31" s="92">
        <v>401647</v>
      </c>
      <c r="C31" s="46" t="s">
        <v>247</v>
      </c>
      <c r="D31" s="47">
        <v>45182</v>
      </c>
      <c r="E31" s="48" t="s">
        <v>2</v>
      </c>
      <c r="F31" s="49">
        <v>173</v>
      </c>
      <c r="G31" s="281">
        <f>IF(OR(E31="",F31=""),"",PID_KVLohnLookup($A$1,E31,F31,LOHNTABELLE!$H$4))</f>
        <v>2021</v>
      </c>
      <c r="H31" s="282">
        <f>IF(AND(ISNUMBER(D31),ISNUMBER(F31)),ROUNDDOWN(MIN(IF(OR(ISBLANK(I31),I31=""),EOMONTH(DATE(EINSTELLUNG!$C$35,$A$1,1),0),I31)-MAX(D31,DATE(EINSTELLUNG!$C$35,$A$1,1))+1)/DAY(EOMONTH(DATE(EINSTELLUNG!$C$35,$A$1,1),0))*F31,2),"")</f>
        <v>173</v>
      </c>
      <c r="I31" s="50"/>
      <c r="J31" s="51"/>
      <c r="K31" s="281">
        <f t="shared" si="0"/>
        <v>0</v>
      </c>
      <c r="L31" s="283">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2021</v>
      </c>
      <c r="M31" s="52"/>
      <c r="N31" s="66"/>
      <c r="O31" s="368" t="s">
        <v>415</v>
      </c>
      <c r="P31" s="320"/>
      <c r="Q31" s="321">
        <v>1.6129032258064516E-2</v>
      </c>
      <c r="R31" s="322"/>
      <c r="S31" s="278"/>
      <c r="T31" s="278"/>
      <c r="U31" s="278"/>
      <c r="V31" s="278"/>
    </row>
    <row r="32" spans="1:29" ht="22" customHeight="1" thickBot="1">
      <c r="A32" s="280" t="s">
        <v>91</v>
      </c>
      <c r="B32" s="91">
        <v>401661</v>
      </c>
      <c r="C32" s="39" t="s">
        <v>248</v>
      </c>
      <c r="D32" s="40">
        <v>45261</v>
      </c>
      <c r="E32" s="41" t="s">
        <v>2</v>
      </c>
      <c r="F32" s="42">
        <v>173</v>
      </c>
      <c r="G32" s="281">
        <f>IF(OR(E32="",F32=""),"",PID_KVLohnLookup($A$1,E32,F32,LOHNTABELLE!$H$4))</f>
        <v>2021</v>
      </c>
      <c r="H32" s="282">
        <f>IF(AND(ISNUMBER(D32),ISNUMBER(F32)),ROUNDDOWN(MIN(IF(OR(ISBLANK(I32),I32=""),EOMONTH(DATE(EINSTELLUNG!$C$35,$A$1,1),0),I32)-MAX(D32,DATE(EINSTELLUNG!$C$35,$A$1,1))+1)/DAY(EOMONTH(DATE(EINSTELLUNG!$C$35,$A$1,1),0))*F32,2),"")</f>
        <v>173</v>
      </c>
      <c r="I32" s="43"/>
      <c r="J32" s="44"/>
      <c r="K32" s="281">
        <f t="shared" si="0"/>
        <v>0</v>
      </c>
      <c r="L32" s="283">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2021</v>
      </c>
      <c r="M32" s="45"/>
      <c r="N32" s="65"/>
      <c r="O32" s="278"/>
      <c r="P32" s="278"/>
      <c r="Q32" s="278"/>
      <c r="R32" s="278"/>
      <c r="S32" s="278"/>
      <c r="T32" s="278"/>
      <c r="U32" s="278"/>
      <c r="V32" s="278"/>
    </row>
    <row r="33" spans="1:22" ht="22" customHeight="1">
      <c r="A33" s="280" t="s">
        <v>92</v>
      </c>
      <c r="B33" s="92">
        <v>401670</v>
      </c>
      <c r="C33" s="46" t="s">
        <v>249</v>
      </c>
      <c r="D33" s="47">
        <v>45358</v>
      </c>
      <c r="E33" s="48" t="s">
        <v>2</v>
      </c>
      <c r="F33" s="49">
        <v>173</v>
      </c>
      <c r="G33" s="281">
        <f>IF(OR(E33="",F33=""),"",PID_KVLohnLookup($A$1,E33,F33,LOHNTABELLE!$H$4))</f>
        <v>2021</v>
      </c>
      <c r="H33" s="282">
        <f>IF(AND(ISNUMBER(D33),ISNUMBER(F33)),ROUNDDOWN(MIN(IF(OR(ISBLANK(I33),I33=""),EOMONTH(DATE(EINSTELLUNG!$C$35,$A$1,1),0),I33)-MAX(D33,DATE(EINSTELLUNG!$C$35,$A$1,1))+1)/DAY(EOMONTH(DATE(EINSTELLUNG!$C$35,$A$1,1),0))*F33,2),"")</f>
        <v>173</v>
      </c>
      <c r="I33" s="50"/>
      <c r="J33" s="51"/>
      <c r="K33" s="281">
        <f t="shared" si="0"/>
        <v>0</v>
      </c>
      <c r="L33" s="283">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2021</v>
      </c>
      <c r="M33" s="52"/>
      <c r="N33" s="66"/>
      <c r="O33" s="369"/>
      <c r="P33" s="324"/>
      <c r="Q33" s="263" t="str">
        <f>EINSTELLUNG!B3</f>
        <v>Budget</v>
      </c>
      <c r="R33" s="263"/>
      <c r="S33" s="263" t="str">
        <f>EINSTELLUNG!B19</f>
        <v>Projection/Aktuell Zahlen</v>
      </c>
      <c r="T33" s="263"/>
      <c r="U33" s="263" t="s">
        <v>95</v>
      </c>
      <c r="V33" s="264"/>
    </row>
    <row r="34" spans="1:22" ht="22" customHeight="1">
      <c r="A34" s="280" t="s">
        <v>96</v>
      </c>
      <c r="B34" s="91">
        <v>401678</v>
      </c>
      <c r="C34" s="39" t="s">
        <v>250</v>
      </c>
      <c r="D34" s="40">
        <v>45414</v>
      </c>
      <c r="E34" s="41" t="s">
        <v>2</v>
      </c>
      <c r="F34" s="42">
        <v>173</v>
      </c>
      <c r="G34" s="281">
        <f>IF(OR(E34="",F34=""),"",PID_KVLohnLookup($A$1,E34,F34,LOHNTABELLE!$H$4))</f>
        <v>2021</v>
      </c>
      <c r="H34" s="282">
        <f>IF(AND(ISNUMBER(D34),ISNUMBER(F34)),ROUNDDOWN(MIN(IF(OR(ISBLANK(I34),I34=""),EOMONTH(DATE(EINSTELLUNG!$C$35,$A$1,1),0),I34)-MAX(D34,DATE(EINSTELLUNG!$C$35,$A$1,1))+1)/DAY(EOMONTH(DATE(EINSTELLUNG!$C$35,$A$1,1),0))*F34,2),"")</f>
        <v>173</v>
      </c>
      <c r="I34" s="43"/>
      <c r="J34" s="44"/>
      <c r="K34" s="281">
        <f t="shared" si="0"/>
        <v>0</v>
      </c>
      <c r="L34" s="283">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2021</v>
      </c>
      <c r="M34" s="45"/>
      <c r="N34" s="65"/>
      <c r="O34" s="370"/>
      <c r="P34" s="326"/>
      <c r="Q34" s="327"/>
      <c r="R34" s="327"/>
      <c r="S34" s="327"/>
      <c r="T34" s="327"/>
      <c r="U34" s="327"/>
      <c r="V34" s="328"/>
    </row>
    <row r="35" spans="1:22" ht="22" customHeight="1">
      <c r="A35" s="280" t="s">
        <v>97</v>
      </c>
      <c r="B35" s="92">
        <v>401690</v>
      </c>
      <c r="C35" s="46" t="s">
        <v>252</v>
      </c>
      <c r="D35" s="47">
        <v>45536</v>
      </c>
      <c r="E35" s="48" t="s">
        <v>2</v>
      </c>
      <c r="F35" s="49">
        <v>151.38</v>
      </c>
      <c r="G35" s="281">
        <f>IF(OR(E35="",F35=""),"",PID_KVLohnLookup($A$1,E35,F35,LOHNTABELLE!$H$4))</f>
        <v>1768.38</v>
      </c>
      <c r="H35" s="282">
        <f>IF(AND(ISNUMBER(D35),ISNUMBER(F35)),ROUNDDOWN(MIN(IF(OR(ISBLANK(I35),I35=""),EOMONTH(DATE(EINSTELLUNG!$C$35,$A$1,1),0),I35)-MAX(D35,DATE(EINSTELLUNG!$C$35,$A$1,1))+1)/DAY(EOMONTH(DATE(EINSTELLUNG!$C$35,$A$1,1),0))*F35,2),"")</f>
        <v>151.38</v>
      </c>
      <c r="I35" s="50"/>
      <c r="J35" s="51"/>
      <c r="K35" s="281">
        <f t="shared" ref="K35:K66" si="1">IF(OR(B35="",C35=""),"",IFERROR(IF(OR(MONTH(D35)=1,MONTH(D35)=3,MONTH(D35)=5,MONTH(D35)=7,MONTH(D35)=8,MONTH(D35)=10,MONTH(D35)=12),(G35/31)*J35,IF(OR(MONTH(D35)=4,MONTH(D35)=6,MONTH(D35)=9,MONTH(D35)=11),(G35/30)*J35,(G35/DAY(EOMONTH(D35,0)))*J35)),0))</f>
        <v>0</v>
      </c>
      <c r="L35" s="283">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1768.38</v>
      </c>
      <c r="M35" s="52"/>
      <c r="N35" s="66"/>
      <c r="O35" s="358" t="s">
        <v>98</v>
      </c>
      <c r="P35" s="297"/>
      <c r="Q35" s="329">
        <f>EINSTELLUNG!C8</f>
        <v>400000</v>
      </c>
      <c r="R35" s="329"/>
      <c r="S35" s="329">
        <f>EINSTELLUNG!C24</f>
        <v>430000</v>
      </c>
      <c r="T35" s="329"/>
      <c r="U35" s="329">
        <f>S35-Q35</f>
        <v>30000</v>
      </c>
      <c r="V35" s="330"/>
    </row>
    <row r="36" spans="1:22" ht="22" customHeight="1">
      <c r="A36" s="280" t="s">
        <v>99</v>
      </c>
      <c r="B36" s="91">
        <v>401703</v>
      </c>
      <c r="C36" s="39" t="s">
        <v>253</v>
      </c>
      <c r="D36" s="40">
        <v>45616</v>
      </c>
      <c r="E36" s="41" t="s">
        <v>2</v>
      </c>
      <c r="F36" s="42">
        <v>173</v>
      </c>
      <c r="G36" s="281">
        <f>IF(OR(E36="",F36=""),"",PID_KVLohnLookup($A$1,E36,F36,LOHNTABELLE!$H$4))</f>
        <v>2021</v>
      </c>
      <c r="H36" s="282">
        <f>IF(AND(ISNUMBER(D36),ISNUMBER(F36)),ROUNDDOWN(MIN(IF(OR(ISBLANK(I36),I36=""),EOMONTH(DATE(EINSTELLUNG!$C$35,$A$1,1),0),I36)-MAX(D36,DATE(EINSTELLUNG!$C$35,$A$1,1))+1)/DAY(EOMONTH(DATE(EINSTELLUNG!$C$35,$A$1,1),0))*F36,2),"")</f>
        <v>173</v>
      </c>
      <c r="I36" s="43"/>
      <c r="J36" s="44"/>
      <c r="K36" s="281">
        <f t="shared" si="1"/>
        <v>0</v>
      </c>
      <c r="L36" s="283">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2021</v>
      </c>
      <c r="M36" s="45"/>
      <c r="N36" s="65"/>
      <c r="O36" s="358" t="s">
        <v>100</v>
      </c>
      <c r="P36" s="297"/>
      <c r="Q36" s="329">
        <f>EINSTELLUNG!D8</f>
        <v>100000</v>
      </c>
      <c r="R36" s="329"/>
      <c r="S36" s="329">
        <f ca="1">SumMergedCells(Q17:R29)</f>
        <v>113298.03419999999</v>
      </c>
      <c r="T36" s="329"/>
      <c r="U36" s="329">
        <f t="shared" ref="U36:U41" ca="1" si="2">S36-Q36</f>
        <v>13298.034199999995</v>
      </c>
      <c r="V36" s="330"/>
    </row>
    <row r="37" spans="1:22" ht="22" customHeight="1">
      <c r="A37" s="280" t="s">
        <v>101</v>
      </c>
      <c r="B37" s="92">
        <v>401715</v>
      </c>
      <c r="C37" s="46" t="s">
        <v>255</v>
      </c>
      <c r="D37" s="47">
        <v>45755</v>
      </c>
      <c r="E37" s="48" t="s">
        <v>2</v>
      </c>
      <c r="F37" s="49">
        <v>173</v>
      </c>
      <c r="G37" s="281">
        <f>IF(OR(E37="",F37=""),"",PID_KVLohnLookup($A$1,E37,F37,LOHNTABELLE!$H$4))</f>
        <v>2021</v>
      </c>
      <c r="H37" s="282">
        <f>IF(AND(ISNUMBER(D37),ISNUMBER(F37)),ROUNDDOWN(MIN(IF(OR(ISBLANK(I37),I37=""),EOMONTH(DATE(EINSTELLUNG!$C$35,$A$1,1),0),I37)-MAX(D37,DATE(EINSTELLUNG!$C$35,$A$1,1))+1)/DAY(EOMONTH(DATE(EINSTELLUNG!$C$35,$A$1,1),0))*F37,2),"")</f>
        <v>173</v>
      </c>
      <c r="I37" s="50"/>
      <c r="J37" s="51"/>
      <c r="K37" s="281">
        <f t="shared" si="1"/>
        <v>0</v>
      </c>
      <c r="L37" s="283">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2021</v>
      </c>
      <c r="M37" s="52"/>
      <c r="N37" s="66"/>
      <c r="O37" s="358" t="s">
        <v>102</v>
      </c>
      <c r="P37" s="297"/>
      <c r="Q37" s="331">
        <f>IF(ISERROR(Q36/Q35), 0, Q36/Q35)</f>
        <v>0.25</v>
      </c>
      <c r="R37" s="331"/>
      <c r="S37" s="331">
        <f ca="1">IF(ISERROR(S36/S35), 0, S36/S35)</f>
        <v>0.26348380046511627</v>
      </c>
      <c r="T37" s="331"/>
      <c r="U37" s="331">
        <f t="shared" ca="1" si="2"/>
        <v>1.3483800465116269E-2</v>
      </c>
      <c r="V37" s="332"/>
    </row>
    <row r="38" spans="1:22" ht="22" customHeight="1">
      <c r="A38" s="280" t="s">
        <v>103</v>
      </c>
      <c r="B38" s="91">
        <v>401716</v>
      </c>
      <c r="C38" s="39" t="s">
        <v>256</v>
      </c>
      <c r="D38" s="40">
        <v>45800</v>
      </c>
      <c r="E38" s="41" t="s">
        <v>2</v>
      </c>
      <c r="F38" s="42">
        <v>173</v>
      </c>
      <c r="G38" s="281">
        <f>IF(OR(E38="",F38=""),"",PID_KVLohnLookup($A$1,E38,F38,LOHNTABELLE!$H$4))</f>
        <v>2021</v>
      </c>
      <c r="H38" s="282">
        <f>IF(AND(ISNUMBER(D38),ISNUMBER(F38)),ROUNDDOWN(MIN(IF(OR(ISBLANK(I38),I38=""),EOMONTH(DATE(EINSTELLUNG!$C$35,$A$1,1),0),I38)-MAX(D38,DATE(EINSTELLUNG!$C$35,$A$1,1))+1)/DAY(EOMONTH(DATE(EINSTELLUNG!$C$35,$A$1,1),0))*F38,2),"")</f>
        <v>173</v>
      </c>
      <c r="I38" s="43"/>
      <c r="J38" s="44"/>
      <c r="K38" s="281">
        <f t="shared" si="1"/>
        <v>0</v>
      </c>
      <c r="L38" s="283">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2021</v>
      </c>
      <c r="M38" s="45"/>
      <c r="N38" s="65"/>
      <c r="O38" s="358" t="s">
        <v>104</v>
      </c>
      <c r="P38" s="297"/>
      <c r="Q38" s="298">
        <f>EINSTELLUNG!F8</f>
        <v>30000</v>
      </c>
      <c r="R38" s="298"/>
      <c r="S38" s="298">
        <f>EINSTELLUNG!F24</f>
        <v>29000</v>
      </c>
      <c r="T38" s="298"/>
      <c r="U38" s="298">
        <f t="shared" si="2"/>
        <v>-1000</v>
      </c>
      <c r="V38" s="299"/>
    </row>
    <row r="39" spans="1:22" ht="22" customHeight="1">
      <c r="A39" s="280" t="s">
        <v>105</v>
      </c>
      <c r="B39" s="92">
        <v>401717</v>
      </c>
      <c r="C39" s="46" t="s">
        <v>257</v>
      </c>
      <c r="D39" s="47">
        <v>45814</v>
      </c>
      <c r="E39" s="48" t="s">
        <v>2</v>
      </c>
      <c r="F39" s="49">
        <v>86.5</v>
      </c>
      <c r="G39" s="281">
        <f>IF(OR(E39="",F39=""),"",PID_KVLohnLookup($A$1,E39,F39,LOHNTABELLE!$H$4))</f>
        <v>1010.5</v>
      </c>
      <c r="H39" s="282">
        <f>IF(AND(ISNUMBER(D39),ISNUMBER(F39)),ROUNDDOWN(MIN(IF(OR(ISBLANK(I39),I39=""),EOMONTH(DATE(EINSTELLUNG!$C$35,$A$1,1),0),I39)-MAX(D39,DATE(EINSTELLUNG!$C$35,$A$1,1))+1)/DAY(EOMONTH(DATE(EINSTELLUNG!$C$35,$A$1,1),0))*F39,2),"")</f>
        <v>86.5</v>
      </c>
      <c r="I39" s="50"/>
      <c r="J39" s="51"/>
      <c r="K39" s="281">
        <f t="shared" si="1"/>
        <v>0</v>
      </c>
      <c r="L39" s="283">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52"/>
      <c r="N39" s="66"/>
      <c r="O39" s="358" t="s">
        <v>106</v>
      </c>
      <c r="P39" s="297"/>
      <c r="Q39" s="329">
        <f>IF(Q38=0, 0, Q35/Q38)</f>
        <v>13.333333333333334</v>
      </c>
      <c r="R39" s="329"/>
      <c r="S39" s="329">
        <f>IF(S38=0, 0, S35/S38)</f>
        <v>14.827586206896552</v>
      </c>
      <c r="T39" s="329"/>
      <c r="U39" s="329">
        <f t="shared" si="2"/>
        <v>1.4942528735632177</v>
      </c>
      <c r="V39" s="330"/>
    </row>
    <row r="40" spans="1:22" ht="22" customHeight="1">
      <c r="A40" s="280" t="s">
        <v>107</v>
      </c>
      <c r="B40" s="91">
        <v>401722</v>
      </c>
      <c r="C40" s="39" t="s">
        <v>258</v>
      </c>
      <c r="D40" s="40">
        <v>45848</v>
      </c>
      <c r="E40" s="41" t="s">
        <v>2</v>
      </c>
      <c r="F40" s="42">
        <v>86.5</v>
      </c>
      <c r="G40" s="281">
        <f>IF(OR(E40="",F40=""),"",PID_KVLohnLookup($A$1,E40,F40,LOHNTABELLE!$H$4))</f>
        <v>1010.5</v>
      </c>
      <c r="H40" s="282">
        <f>IF(AND(ISNUMBER(D40),ISNUMBER(F40)),ROUNDDOWN(MIN(IF(OR(ISBLANK(I40),I40=""),EOMONTH(DATE(EINSTELLUNG!$C$35,$A$1,1),0),I40)-MAX(D40,DATE(EINSTELLUNG!$C$35,$A$1,1))+1)/DAY(EOMONTH(DATE(EINSTELLUNG!$C$35,$A$1,1),0))*F40,2),"")</f>
        <v>86.5</v>
      </c>
      <c r="I40" s="43"/>
      <c r="J40" s="44"/>
      <c r="K40" s="281">
        <f t="shared" si="1"/>
        <v>0</v>
      </c>
      <c r="L40" s="283">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45"/>
      <c r="N40" s="65"/>
      <c r="O40" s="358" t="s">
        <v>108</v>
      </c>
      <c r="P40" s="297"/>
      <c r="Q40" s="329">
        <f>IF(Q13=0, 0, Q35/Q13)</f>
        <v>45.272734269422571</v>
      </c>
      <c r="R40" s="329"/>
      <c r="S40" s="329">
        <f>IF(Q13=0, 0, S35/Q13)</f>
        <v>48.668189339629258</v>
      </c>
      <c r="T40" s="329"/>
      <c r="U40" s="329">
        <f t="shared" si="2"/>
        <v>3.3954550702066868</v>
      </c>
      <c r="V40" s="330"/>
    </row>
    <row r="41" spans="1:22" ht="22" customHeight="1">
      <c r="A41" s="280" t="s">
        <v>109</v>
      </c>
      <c r="B41" s="92">
        <v>401723</v>
      </c>
      <c r="C41" s="46" t="s">
        <v>259</v>
      </c>
      <c r="D41" s="47">
        <v>45852</v>
      </c>
      <c r="E41" s="48" t="s">
        <v>2</v>
      </c>
      <c r="F41" s="49">
        <v>86.5</v>
      </c>
      <c r="G41" s="281">
        <f>IF(OR(E41="",F41=""),"",PID_KVLohnLookup($A$1,E41,F41,LOHNTABELLE!$H$4))</f>
        <v>1010.5</v>
      </c>
      <c r="H41" s="282">
        <f>IF(AND(ISNUMBER(D41),ISNUMBER(F41)),ROUNDDOWN(MIN(IF(OR(ISBLANK(I41),I41=""),EOMONTH(DATE(EINSTELLUNG!$C$35,$A$1,1),0),I41)-MAX(D41,DATE(EINSTELLUNG!$C$35,$A$1,1))+1)/DAY(EOMONTH(DATE(EINSTELLUNG!$C$35,$A$1,1),0))*F41,2),"")</f>
        <v>86.5</v>
      </c>
      <c r="I41" s="50"/>
      <c r="J41" s="51"/>
      <c r="K41" s="281">
        <f t="shared" si="1"/>
        <v>0</v>
      </c>
      <c r="L41" s="283">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52"/>
      <c r="N41" s="66"/>
      <c r="O41" s="371" t="s">
        <v>110</v>
      </c>
      <c r="P41" s="334"/>
      <c r="Q41" s="335">
        <f>IF(Q13=0, 0, Q38/Q13)</f>
        <v>3.3954550702066926</v>
      </c>
      <c r="R41" s="335"/>
      <c r="S41" s="335">
        <f>IF(Q13=0, 0, S38/Q13)</f>
        <v>3.282273234533136</v>
      </c>
      <c r="T41" s="335"/>
      <c r="U41" s="335">
        <f t="shared" si="2"/>
        <v>-0.11318183567355655</v>
      </c>
      <c r="V41" s="336"/>
    </row>
    <row r="42" spans="1:22" ht="22" customHeight="1" thickBot="1">
      <c r="A42" s="280" t="s">
        <v>111</v>
      </c>
      <c r="B42" s="91">
        <v>401726</v>
      </c>
      <c r="C42" s="39" t="s">
        <v>260</v>
      </c>
      <c r="D42" s="40">
        <v>45870</v>
      </c>
      <c r="E42" s="41" t="s">
        <v>2</v>
      </c>
      <c r="F42" s="42">
        <v>86.5</v>
      </c>
      <c r="G42" s="281">
        <f>IF(OR(E42="",F42=""),"",PID_KVLohnLookup($A$1,E42,F42,LOHNTABELLE!$H$4))</f>
        <v>1010.5</v>
      </c>
      <c r="H42" s="282">
        <f>IF(AND(ISNUMBER(D42),ISNUMBER(F42)),ROUNDDOWN(MIN(IF(OR(ISBLANK(I42),I42=""),EOMONTH(DATE(EINSTELLUNG!$C$35,$A$1,1),0),I42)-MAX(D42,DATE(EINSTELLUNG!$C$35,$A$1,1))+1)/DAY(EOMONTH(DATE(EINSTELLUNG!$C$35,$A$1,1),0))*F42,2),"")</f>
        <v>86.5</v>
      </c>
      <c r="I42" s="43"/>
      <c r="J42" s="44"/>
      <c r="K42" s="281">
        <f t="shared" si="1"/>
        <v>0</v>
      </c>
      <c r="L42" s="283">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45"/>
      <c r="N42" s="130"/>
      <c r="O42" s="314" t="s">
        <v>112</v>
      </c>
      <c r="P42" s="315"/>
      <c r="Q42" s="337">
        <f>IFERROR(Q17/Q8, 0)</f>
        <v>11.848771890482112</v>
      </c>
      <c r="R42" s="338"/>
      <c r="S42" s="337"/>
      <c r="T42" s="337"/>
      <c r="U42" s="337"/>
      <c r="V42" s="317"/>
    </row>
    <row r="43" spans="1:22" ht="22" customHeight="1">
      <c r="A43" s="280" t="s">
        <v>113</v>
      </c>
      <c r="B43" s="92">
        <v>401730</v>
      </c>
      <c r="C43" s="46" t="s">
        <v>262</v>
      </c>
      <c r="D43" s="47">
        <v>45895</v>
      </c>
      <c r="E43" s="48" t="s">
        <v>2</v>
      </c>
      <c r="F43" s="49">
        <v>86.5</v>
      </c>
      <c r="G43" s="281">
        <f>IF(OR(E43="",F43=""),"",PID_KVLohnLookup($A$1,E43,F43,LOHNTABELLE!$H$4))</f>
        <v>1010.5</v>
      </c>
      <c r="H43" s="282">
        <f>IF(AND(ISNUMBER(D43),ISNUMBER(F43)),ROUNDDOWN(MIN(IF(OR(ISBLANK(I43),I43=""),EOMONTH(DATE(EINSTELLUNG!$C$35,$A$1,1),0),I43)-MAX(D43,DATE(EINSTELLUNG!$C$35,$A$1,1))+1)/DAY(EOMONTH(DATE(EINSTELLUNG!$C$35,$A$1,1),0))*F43,2),"")</f>
        <v>86.5</v>
      </c>
      <c r="I43" s="50"/>
      <c r="J43" s="51"/>
      <c r="K43" s="281">
        <f t="shared" si="1"/>
        <v>0</v>
      </c>
      <c r="L43" s="283">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1010.5</v>
      </c>
      <c r="M43" s="128"/>
      <c r="N43" s="66"/>
      <c r="O43" s="339"/>
      <c r="P43" s="339"/>
      <c r="Q43" s="339"/>
      <c r="R43" s="278"/>
      <c r="S43" s="278"/>
      <c r="T43" s="278"/>
      <c r="U43" s="278"/>
      <c r="V43" s="278"/>
    </row>
    <row r="44" spans="1:22" ht="22" customHeight="1">
      <c r="A44" s="280" t="s">
        <v>114</v>
      </c>
      <c r="B44" s="91">
        <v>401731</v>
      </c>
      <c r="C44" s="39" t="s">
        <v>261</v>
      </c>
      <c r="D44" s="40">
        <v>45899</v>
      </c>
      <c r="E44" s="41" t="s">
        <v>2</v>
      </c>
      <c r="F44" s="42">
        <v>86.5</v>
      </c>
      <c r="G44" s="281">
        <f>IF(OR(E44="",F44=""),"",PID_KVLohnLookup($A$1,E44,F44,LOHNTABELLE!$H$4))</f>
        <v>1010.5</v>
      </c>
      <c r="H44" s="282">
        <f>IF(AND(ISNUMBER(D44),ISNUMBER(F44)),ROUNDDOWN(MIN(IF(OR(ISBLANK(I44),I44=""),EOMONTH(DATE(EINSTELLUNG!$C$35,$A$1,1),0),I44)-MAX(D44,DATE(EINSTELLUNG!$C$35,$A$1,1))+1)/DAY(EOMONTH(DATE(EINSTELLUNG!$C$35,$A$1,1),0))*F44,2),"")</f>
        <v>86.5</v>
      </c>
      <c r="I44" s="43"/>
      <c r="J44" s="44"/>
      <c r="K44" s="281">
        <f t="shared" si="1"/>
        <v>0</v>
      </c>
      <c r="L44" s="283">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1010.5</v>
      </c>
      <c r="M44" s="129"/>
      <c r="N44" s="65"/>
      <c r="O44" s="340" t="s">
        <v>115</v>
      </c>
      <c r="P44" s="340"/>
      <c r="Q44" s="340"/>
      <c r="R44" s="340"/>
      <c r="S44" s="340"/>
      <c r="T44" s="340"/>
      <c r="U44" s="340"/>
      <c r="V44" s="340"/>
    </row>
    <row r="45" spans="1:22" ht="22" customHeight="1">
      <c r="A45" s="280" t="s">
        <v>116</v>
      </c>
      <c r="B45" s="92">
        <v>401734</v>
      </c>
      <c r="C45" s="46" t="s">
        <v>263</v>
      </c>
      <c r="D45" s="47">
        <v>45904</v>
      </c>
      <c r="E45" s="48" t="s">
        <v>2</v>
      </c>
      <c r="F45" s="49">
        <v>86.5</v>
      </c>
      <c r="G45" s="281">
        <f>IF(OR(E45="",F45=""),"",PID_KVLohnLookup($A$1,E45,F45,LOHNTABELLE!$H$4))</f>
        <v>1010.5</v>
      </c>
      <c r="H45" s="282">
        <f>IF(AND(ISNUMBER(D45),ISNUMBER(F45)),ROUNDDOWN(MIN(IF(OR(ISBLANK(I45),I45=""),EOMONTH(DATE(EINSTELLUNG!$C$35,$A$1,1),0),I45)-MAX(D45,DATE(EINSTELLUNG!$C$35,$A$1,1))+1)/DAY(EOMONTH(DATE(EINSTELLUNG!$C$35,$A$1,1),0))*F45,2),"")</f>
        <v>86.5</v>
      </c>
      <c r="I45" s="50"/>
      <c r="J45" s="51"/>
      <c r="K45" s="281">
        <f t="shared" si="1"/>
        <v>0</v>
      </c>
      <c r="L45" s="283">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1010.5</v>
      </c>
      <c r="M45" s="128"/>
      <c r="N45" s="66"/>
      <c r="O45" s="341"/>
      <c r="P45" s="341"/>
      <c r="Q45" s="341"/>
      <c r="R45" s="342"/>
      <c r="S45" s="342"/>
      <c r="T45" s="342"/>
      <c r="U45" s="342"/>
      <c r="V45" s="278"/>
    </row>
    <row r="46" spans="1:22" ht="22" customHeight="1">
      <c r="A46" s="280" t="s">
        <v>117</v>
      </c>
      <c r="B46" s="91">
        <v>401736</v>
      </c>
      <c r="C46" s="39" t="s">
        <v>264</v>
      </c>
      <c r="D46" s="40">
        <v>45906</v>
      </c>
      <c r="E46" s="41" t="s">
        <v>2</v>
      </c>
      <c r="F46" s="42">
        <v>86.5</v>
      </c>
      <c r="G46" s="281">
        <f>IF(OR(E46="",F46=""),"",PID_KVLohnLookup($A$1,E46,F46,LOHNTABELLE!$H$4))</f>
        <v>1010.5</v>
      </c>
      <c r="H46" s="282">
        <f>IF(AND(ISNUMBER(D46),ISNUMBER(F46)),ROUNDDOWN(MIN(IF(OR(ISBLANK(I46),I46=""),EOMONTH(DATE(EINSTELLUNG!$C$35,$A$1,1),0),I46)-MAX(D46,DATE(EINSTELLUNG!$C$35,$A$1,1))+1)/DAY(EOMONTH(DATE(EINSTELLUNG!$C$35,$A$1,1),0))*F46,2),"")</f>
        <v>86.5</v>
      </c>
      <c r="I46" s="43"/>
      <c r="J46" s="44"/>
      <c r="K46" s="281">
        <f t="shared" si="1"/>
        <v>0</v>
      </c>
      <c r="L46" s="283">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1010.5</v>
      </c>
      <c r="M46" s="129"/>
      <c r="N46" s="65"/>
      <c r="O46" s="278"/>
      <c r="P46" s="278"/>
      <c r="Q46" s="278"/>
      <c r="R46" s="278"/>
      <c r="S46" s="278"/>
      <c r="T46" s="278"/>
      <c r="U46" s="278"/>
      <c r="V46" s="278"/>
    </row>
    <row r="47" spans="1:22" ht="22" customHeight="1">
      <c r="A47" s="280" t="s">
        <v>118</v>
      </c>
      <c r="B47" s="92">
        <v>401737</v>
      </c>
      <c r="C47" s="46" t="s">
        <v>265</v>
      </c>
      <c r="D47" s="47">
        <v>45906</v>
      </c>
      <c r="E47" s="48" t="s">
        <v>2</v>
      </c>
      <c r="F47" s="49">
        <v>86.5</v>
      </c>
      <c r="G47" s="281">
        <f>IF(OR(E47="",F47=""),"",PID_KVLohnLookup($A$1,E47,F47,LOHNTABELLE!$H$4))</f>
        <v>1010.5</v>
      </c>
      <c r="H47" s="282">
        <f>IF(AND(ISNUMBER(D47),ISNUMBER(F47)),ROUNDDOWN(MIN(IF(OR(ISBLANK(I47),I47=""),EOMONTH(DATE(EINSTELLUNG!$C$35,$A$1,1),0),I47)-MAX(D47,DATE(EINSTELLUNG!$C$35,$A$1,1))+1)/DAY(EOMONTH(DATE(EINSTELLUNG!$C$35,$A$1,1),0))*F47,2),"")</f>
        <v>86.5</v>
      </c>
      <c r="I47" s="50"/>
      <c r="J47" s="51"/>
      <c r="K47" s="281">
        <f t="shared" si="1"/>
        <v>0</v>
      </c>
      <c r="L47" s="283">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1010.5</v>
      </c>
      <c r="M47" s="128"/>
      <c r="N47" s="66"/>
      <c r="O47" s="278"/>
      <c r="P47" s="278"/>
      <c r="Q47" s="278"/>
      <c r="R47" s="278"/>
      <c r="S47" s="278"/>
      <c r="T47" s="278"/>
      <c r="U47" s="278"/>
      <c r="V47" s="278"/>
    </row>
    <row r="48" spans="1:22" ht="22" customHeight="1">
      <c r="A48" s="280" t="s">
        <v>119</v>
      </c>
      <c r="B48" s="91">
        <v>401738</v>
      </c>
      <c r="C48" s="39" t="s">
        <v>266</v>
      </c>
      <c r="D48" s="43">
        <v>45909</v>
      </c>
      <c r="E48" s="41" t="s">
        <v>2</v>
      </c>
      <c r="F48" s="42">
        <v>86.5</v>
      </c>
      <c r="G48" s="281">
        <f>IF(OR(E48="",F48=""),"",PID_KVLohnLookup($A$1,E48,F48,LOHNTABELLE!$H$4))</f>
        <v>1010.5</v>
      </c>
      <c r="H48" s="282">
        <f>IF(AND(ISNUMBER(D48),ISNUMBER(F48)),ROUNDDOWN(MIN(IF(OR(ISBLANK(I48),I48=""),EOMONTH(DATE(EINSTELLUNG!$C$35,$A$1,1),0),I48)-MAX(D48,DATE(EINSTELLUNG!$C$35,$A$1,1))+1)/DAY(EOMONTH(DATE(EINSTELLUNG!$C$35,$A$1,1),0))*F48,2),"")</f>
        <v>86.5</v>
      </c>
      <c r="I48" s="43"/>
      <c r="J48" s="44"/>
      <c r="K48" s="281">
        <f t="shared" si="1"/>
        <v>0</v>
      </c>
      <c r="L48" s="283">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1010.5</v>
      </c>
      <c r="M48" s="129"/>
      <c r="N48" s="65"/>
      <c r="O48" s="278"/>
      <c r="P48" s="278"/>
      <c r="Q48" s="278"/>
      <c r="R48" s="278"/>
      <c r="S48" s="278"/>
      <c r="T48" s="278"/>
      <c r="U48" s="278"/>
      <c r="V48" s="278"/>
    </row>
    <row r="49" spans="1:22" ht="22" customHeight="1">
      <c r="A49" s="280" t="s">
        <v>120</v>
      </c>
      <c r="B49" s="92">
        <v>401745</v>
      </c>
      <c r="C49" s="46" t="s">
        <v>270</v>
      </c>
      <c r="D49" s="50">
        <v>45934</v>
      </c>
      <c r="E49" s="48" t="s">
        <v>2</v>
      </c>
      <c r="F49" s="49">
        <v>86.5</v>
      </c>
      <c r="G49" s="281">
        <f>IF(OR(E49="",F49=""),"",PID_KVLohnLookup($A$1,E49,F49,LOHNTABELLE!$H$4))</f>
        <v>1010.5</v>
      </c>
      <c r="H49" s="282">
        <f>IF(AND(ISNUMBER(D49),ISNUMBER(F49)),ROUNDDOWN(MIN(IF(OR(ISBLANK(I49),I49=""),EOMONTH(DATE(EINSTELLUNG!$C$35,$A$1,1),0),I49)-MAX(D49,DATE(EINSTELLUNG!$C$35,$A$1,1))+1)/DAY(EOMONTH(DATE(EINSTELLUNG!$C$35,$A$1,1),0))*F49,2),"")</f>
        <v>86.5</v>
      </c>
      <c r="I49" s="50"/>
      <c r="J49" s="51"/>
      <c r="K49" s="281">
        <f t="shared" si="1"/>
        <v>0</v>
      </c>
      <c r="L49" s="283">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1010.5</v>
      </c>
      <c r="M49" s="128"/>
      <c r="N49" s="66"/>
      <c r="O49" s="278"/>
      <c r="P49" s="278"/>
      <c r="Q49" s="278"/>
      <c r="R49" s="278"/>
      <c r="S49" s="278"/>
      <c r="T49" s="278"/>
      <c r="U49" s="278"/>
      <c r="V49" s="278"/>
    </row>
    <row r="50" spans="1:22" ht="22" customHeight="1">
      <c r="A50" s="280" t="s">
        <v>121</v>
      </c>
      <c r="B50" s="91">
        <v>401746</v>
      </c>
      <c r="C50" s="53" t="s">
        <v>269</v>
      </c>
      <c r="D50" s="43">
        <v>45941</v>
      </c>
      <c r="E50" s="41" t="s">
        <v>2</v>
      </c>
      <c r="F50" s="42">
        <v>86.5</v>
      </c>
      <c r="G50" s="281">
        <f>IF(OR(E50="",F50=""),"",PID_KVLohnLookup($A$1,E50,F50,LOHNTABELLE!$H$4))</f>
        <v>1010.5</v>
      </c>
      <c r="H50" s="282">
        <f>IF(AND(ISNUMBER(D50),ISNUMBER(F50)),ROUNDDOWN(MIN(IF(OR(ISBLANK(I50),I50=""),EOMONTH(DATE(EINSTELLUNG!$C$35,$A$1,1),0),I50)-MAX(D50,DATE(EINSTELLUNG!$C$35,$A$1,1))+1)/DAY(EOMONTH(DATE(EINSTELLUNG!$C$35,$A$1,1),0))*F50,2),"")</f>
        <v>86.5</v>
      </c>
      <c r="I50" s="43"/>
      <c r="J50" s="44"/>
      <c r="K50" s="281">
        <f t="shared" si="1"/>
        <v>0</v>
      </c>
      <c r="L50" s="283">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1010.5</v>
      </c>
      <c r="M50" s="129"/>
      <c r="N50" s="65"/>
      <c r="O50" s="278"/>
      <c r="P50" s="278"/>
      <c r="Q50" s="278"/>
      <c r="R50" s="278"/>
      <c r="S50" s="278"/>
      <c r="T50" s="278"/>
      <c r="U50" s="278"/>
      <c r="V50" s="278"/>
    </row>
    <row r="51" spans="1:22" ht="22" customHeight="1">
      <c r="A51" s="280" t="s">
        <v>122</v>
      </c>
      <c r="B51" s="92">
        <v>401747</v>
      </c>
      <c r="C51" s="46" t="s">
        <v>267</v>
      </c>
      <c r="D51" s="50">
        <v>45941</v>
      </c>
      <c r="E51" s="48" t="s">
        <v>2</v>
      </c>
      <c r="F51" s="49">
        <v>86.5</v>
      </c>
      <c r="G51" s="281">
        <f>IF(OR(E51="",F51=""),"",PID_KVLohnLookup($A$1,E51,F51,LOHNTABELLE!$H$4))</f>
        <v>1010.5</v>
      </c>
      <c r="H51" s="282">
        <f>IF(AND(ISNUMBER(D51),ISNUMBER(F51)),ROUNDDOWN(MIN(IF(OR(ISBLANK(I51),I51=""),EOMONTH(DATE(EINSTELLUNG!$C$35,$A$1,1),0),I51)-MAX(D51,DATE(EINSTELLUNG!$C$35,$A$1,1))+1)/DAY(EOMONTH(DATE(EINSTELLUNG!$C$35,$A$1,1),0))*F51,2),"")</f>
        <v>86.5</v>
      </c>
      <c r="I51" s="50"/>
      <c r="J51" s="51"/>
      <c r="K51" s="281">
        <f t="shared" si="1"/>
        <v>0</v>
      </c>
      <c r="L51" s="283">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1010.5</v>
      </c>
      <c r="M51" s="52"/>
      <c r="N51" s="127"/>
    </row>
    <row r="52" spans="1:22" ht="22" customHeight="1">
      <c r="A52" s="280" t="s">
        <v>123</v>
      </c>
      <c r="B52" s="91">
        <v>401748</v>
      </c>
      <c r="C52" s="39" t="s">
        <v>268</v>
      </c>
      <c r="D52" s="43">
        <v>45941</v>
      </c>
      <c r="E52" s="41" t="s">
        <v>2</v>
      </c>
      <c r="F52" s="42">
        <v>138.4</v>
      </c>
      <c r="G52" s="281">
        <f>IF(OR(E52="",F52=""),"",PID_KVLohnLookup($A$1,E52,F52,LOHNTABELLE!$H$4))</f>
        <v>1616.8</v>
      </c>
      <c r="H52" s="282">
        <f>IF(AND(ISNUMBER(D52),ISNUMBER(F52)),ROUNDDOWN(MIN(IF(OR(ISBLANK(I52),I52=""),EOMONTH(DATE(EINSTELLUNG!$C$35,$A$1,1),0),I52)-MAX(D52,DATE(EINSTELLUNG!$C$35,$A$1,1))+1)/DAY(EOMONTH(DATE(EINSTELLUNG!$C$35,$A$1,1),0))*F52,2),"")</f>
        <v>138.4</v>
      </c>
      <c r="I52" s="43"/>
      <c r="J52" s="44"/>
      <c r="K52" s="281">
        <f t="shared" si="1"/>
        <v>0</v>
      </c>
      <c r="L52" s="283">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1616.8</v>
      </c>
      <c r="M52" s="45"/>
      <c r="N52" s="65"/>
    </row>
    <row r="53" spans="1:22" ht="22" customHeight="1">
      <c r="A53" s="280" t="s">
        <v>124</v>
      </c>
      <c r="B53" s="92">
        <v>401751</v>
      </c>
      <c r="C53" s="46" t="s">
        <v>271</v>
      </c>
      <c r="D53" s="50">
        <v>45961</v>
      </c>
      <c r="E53" s="48" t="s">
        <v>2</v>
      </c>
      <c r="F53" s="49">
        <v>86.5</v>
      </c>
      <c r="G53" s="281">
        <f>IF(OR(E53="",F53=""),"",PID_KVLohnLookup($A$1,E53,F53,LOHNTABELLE!$H$4))</f>
        <v>1010.5</v>
      </c>
      <c r="H53" s="282">
        <f>IF(AND(ISNUMBER(D53),ISNUMBER(F53)),ROUNDDOWN(MIN(IF(OR(ISBLANK(I53),I53=""),EOMONTH(DATE(EINSTELLUNG!$C$35,$A$1,1),0),I53)-MAX(D53,DATE(EINSTELLUNG!$C$35,$A$1,1))+1)/DAY(EOMONTH(DATE(EINSTELLUNG!$C$35,$A$1,1),0))*F53,2),"")</f>
        <v>86.5</v>
      </c>
      <c r="I53" s="50"/>
      <c r="J53" s="51"/>
      <c r="K53" s="281">
        <f t="shared" si="1"/>
        <v>0</v>
      </c>
      <c r="L53" s="283">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1010.5</v>
      </c>
      <c r="M53" s="52"/>
      <c r="N53" s="66"/>
    </row>
    <row r="54" spans="1:22" ht="22" customHeight="1">
      <c r="A54" s="280" t="s">
        <v>125</v>
      </c>
      <c r="B54" s="91">
        <v>401752</v>
      </c>
      <c r="C54" s="39" t="s">
        <v>272</v>
      </c>
      <c r="D54" s="43">
        <v>45986</v>
      </c>
      <c r="E54" s="41" t="s">
        <v>2</v>
      </c>
      <c r="F54" s="42">
        <v>173</v>
      </c>
      <c r="G54" s="281">
        <f>IF(OR(E54="",F54=""),"",PID_KVLohnLookup($A$1,E54,F54,LOHNTABELLE!$H$4))</f>
        <v>2021</v>
      </c>
      <c r="H54" s="282">
        <f>IF(AND(ISNUMBER(D54),ISNUMBER(F54)),ROUNDDOWN(MIN(IF(OR(ISBLANK(I54),I54=""),EOMONTH(DATE(EINSTELLUNG!$C$35,$A$1,1),0),I54)-MAX(D54,DATE(EINSTELLUNG!$C$35,$A$1,1))+1)/DAY(EOMONTH(DATE(EINSTELLUNG!$C$35,$A$1,1),0))*F54,2),"")</f>
        <v>173</v>
      </c>
      <c r="I54" s="43"/>
      <c r="J54" s="44"/>
      <c r="K54" s="281">
        <f t="shared" si="1"/>
        <v>0</v>
      </c>
      <c r="L54" s="283">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2021</v>
      </c>
      <c r="M54" s="45"/>
      <c r="N54" s="65"/>
    </row>
    <row r="55" spans="1:22" ht="18" customHeight="1">
      <c r="A55" s="280" t="s">
        <v>126</v>
      </c>
      <c r="B55" s="92">
        <v>401754</v>
      </c>
      <c r="C55" s="46" t="s">
        <v>273</v>
      </c>
      <c r="D55" s="50">
        <v>46014</v>
      </c>
      <c r="E55" s="48" t="s">
        <v>2</v>
      </c>
      <c r="F55" s="49">
        <v>151.38</v>
      </c>
      <c r="G55" s="281">
        <f>IF(OR(E55="",F55=""),"",PID_KVLohnLookup($A$1,E55,F55,LOHNTABELLE!$H$4))</f>
        <v>1768.38</v>
      </c>
      <c r="H55" s="282">
        <f>IF(AND(ISNUMBER(D55),ISNUMBER(F55)),ROUNDDOWN(MIN(IF(OR(ISBLANK(I55),I55=""),EOMONTH(DATE(EINSTELLUNG!$C$35,$A$1,1),0),I55)-MAX(D55,DATE(EINSTELLUNG!$C$35,$A$1,1))+1)/DAY(EOMONTH(DATE(EINSTELLUNG!$C$35,$A$1,1),0))*F55,2),"")</f>
        <v>73.239999999999995</v>
      </c>
      <c r="I55" s="50">
        <v>46096</v>
      </c>
      <c r="J55" s="51">
        <v>8</v>
      </c>
      <c r="K55" s="281">
        <f t="shared" si="1"/>
        <v>456.35612903225808</v>
      </c>
      <c r="L55" s="283">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1312.0238709677419</v>
      </c>
      <c r="M55" s="52"/>
      <c r="N55" s="66" t="s">
        <v>194</v>
      </c>
    </row>
    <row r="56" spans="1:22" ht="22" customHeight="1">
      <c r="A56" s="280" t="s">
        <v>127</v>
      </c>
      <c r="B56" s="91">
        <v>401999</v>
      </c>
      <c r="C56" s="39" t="s">
        <v>354</v>
      </c>
      <c r="D56" s="43">
        <v>46041</v>
      </c>
      <c r="E56" s="41" t="s">
        <v>2</v>
      </c>
      <c r="F56" s="42">
        <v>151.38</v>
      </c>
      <c r="G56" s="281">
        <f>IF(OR(E56="",F56=""),"",PID_KVLohnLookup($A$1,E56,F56,LOHNTABELLE!$H$4))</f>
        <v>1768.38</v>
      </c>
      <c r="H56" s="282">
        <f>IF(AND(ISNUMBER(D56),ISNUMBER(F56)),ROUNDDOWN(MIN(IF(OR(ISBLANK(I56),I56=""),EOMONTH(DATE(EINSTELLUNG!$C$35,$A$1,1),0),I56)-MAX(D56,DATE(EINSTELLUNG!$C$35,$A$1,1))+1)/DAY(EOMONTH(DATE(EINSTELLUNG!$C$35,$A$1,1),0))*F56,2),"")</f>
        <v>151.38</v>
      </c>
      <c r="I56" s="43"/>
      <c r="J56" s="44"/>
      <c r="K56" s="281">
        <f t="shared" si="1"/>
        <v>0</v>
      </c>
      <c r="L56" s="283">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1768.38</v>
      </c>
      <c r="M56" s="45"/>
      <c r="N56" s="65"/>
    </row>
    <row r="57" spans="1:22" ht="22" customHeight="1">
      <c r="A57" s="280" t="s">
        <v>128</v>
      </c>
      <c r="B57" s="92">
        <v>401999</v>
      </c>
      <c r="C57" s="46" t="s">
        <v>292</v>
      </c>
      <c r="D57" s="50">
        <v>46082</v>
      </c>
      <c r="E57" s="48" t="s">
        <v>2</v>
      </c>
      <c r="F57" s="49">
        <v>173</v>
      </c>
      <c r="G57" s="281">
        <f>IF(OR(E57="",F57=""),"",PID_KVLohnLookup($A$1,E57,F57,LOHNTABELLE!$H$4))</f>
        <v>2021</v>
      </c>
      <c r="H57" s="282">
        <f>IF(AND(ISNUMBER(D57),ISNUMBER(F57)),ROUNDDOWN(MIN(IF(OR(ISBLANK(I57),I57=""),EOMONTH(DATE(EINSTELLUNG!$C$35,$A$1,1),0),I57)-MAX(D57,DATE(EINSTELLUNG!$C$35,$A$1,1))+1)/DAY(EOMONTH(DATE(EINSTELLUNG!$C$35,$A$1,1),0))*F57,2),"")</f>
        <v>173</v>
      </c>
      <c r="I57" s="50"/>
      <c r="J57" s="51"/>
      <c r="K57" s="281">
        <f t="shared" si="1"/>
        <v>0</v>
      </c>
      <c r="L57" s="283">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2020.9999999999998</v>
      </c>
      <c r="M57" s="52"/>
      <c r="N57" s="66"/>
    </row>
    <row r="58" spans="1:22" ht="22" customHeight="1">
      <c r="A58" s="280" t="s">
        <v>129</v>
      </c>
      <c r="B58" s="91">
        <v>402405</v>
      </c>
      <c r="C58" s="39" t="s">
        <v>297</v>
      </c>
      <c r="D58" s="43">
        <v>46054</v>
      </c>
      <c r="E58" s="41" t="s">
        <v>2</v>
      </c>
      <c r="F58" s="42">
        <v>173</v>
      </c>
      <c r="G58" s="281">
        <f>IF(OR(E58="",F58=""),"",PID_KVLohnLookup($A$1,E58,F58,LOHNTABELLE!$H$4))</f>
        <v>2021</v>
      </c>
      <c r="H58" s="282">
        <f>IF(AND(ISNUMBER(D58),ISNUMBER(F58)),ROUNDDOWN(MIN(IF(OR(ISBLANK(I58),I58=""),EOMONTH(DATE(EINSTELLUNG!$C$35,$A$1,1),0),I58)-MAX(D58,DATE(EINSTELLUNG!$C$35,$A$1,1))+1)/DAY(EOMONTH(DATE(EINSTELLUNG!$C$35,$A$1,1),0))*F58,2),"")</f>
        <v>173</v>
      </c>
      <c r="I58" s="43"/>
      <c r="J58" s="44"/>
      <c r="K58" s="281">
        <f t="shared" si="1"/>
        <v>0</v>
      </c>
      <c r="L58" s="283">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2021</v>
      </c>
      <c r="M58" s="45"/>
      <c r="N58" s="65"/>
    </row>
    <row r="59" spans="1:22" ht="22" customHeight="1">
      <c r="A59" s="280" t="s">
        <v>130</v>
      </c>
      <c r="B59" s="92">
        <v>500600</v>
      </c>
      <c r="C59" s="46" t="s">
        <v>301</v>
      </c>
      <c r="D59" s="50">
        <v>46054</v>
      </c>
      <c r="E59" s="48" t="s">
        <v>2</v>
      </c>
      <c r="F59" s="49">
        <v>173</v>
      </c>
      <c r="G59" s="281">
        <f>IF(OR(E59="",F59=""),"",PID_KVLohnLookup($A$1,E59,F59,LOHNTABELLE!$H$4))</f>
        <v>2021</v>
      </c>
      <c r="H59" s="282">
        <f>IF(AND(ISNUMBER(D59),ISNUMBER(F59)),ROUNDDOWN(MIN(IF(OR(ISBLANK(I59),I59=""),EOMONTH(DATE(EINSTELLUNG!$C$35,$A$1,1),0),I59)-MAX(D59,DATE(EINSTELLUNG!$C$35,$A$1,1))+1)/DAY(EOMONTH(DATE(EINSTELLUNG!$C$35,$A$1,1),0))*F59,2),"")</f>
        <v>173</v>
      </c>
      <c r="I59" s="50"/>
      <c r="J59" s="51"/>
      <c r="K59" s="281">
        <f t="shared" si="1"/>
        <v>0</v>
      </c>
      <c r="L59" s="283">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2021</v>
      </c>
      <c r="M59" s="52"/>
      <c r="N59" s="66"/>
    </row>
    <row r="60" spans="1:22" ht="22" customHeight="1">
      <c r="A60" s="280" t="s">
        <v>131</v>
      </c>
      <c r="B60" s="91">
        <v>503000</v>
      </c>
      <c r="C60" s="39" t="s">
        <v>298</v>
      </c>
      <c r="D60" s="43">
        <v>42401</v>
      </c>
      <c r="E60" s="41" t="s">
        <v>2</v>
      </c>
      <c r="F60" s="42">
        <v>173</v>
      </c>
      <c r="G60" s="281">
        <f>IF(OR(E60="",F60=""),"",PID_KVLohnLookup($A$1,E60,F60,LOHNTABELLE!$H$4))</f>
        <v>2021</v>
      </c>
      <c r="H60" s="282">
        <f>IF(AND(ISNUMBER(D60),ISNUMBER(F60)),ROUNDDOWN(MIN(IF(OR(ISBLANK(I60),I60=""),EOMONTH(DATE(EINSTELLUNG!$C$35,$A$1,1),0),I60)-MAX(D60,DATE(EINSTELLUNG!$C$35,$A$1,1))+1)/DAY(EOMONTH(DATE(EINSTELLUNG!$C$35,$A$1,1),0))*F60,2),"")</f>
        <v>173</v>
      </c>
      <c r="I60" s="43"/>
      <c r="J60" s="44"/>
      <c r="K60" s="281">
        <f t="shared" si="1"/>
        <v>0</v>
      </c>
      <c r="L60" s="283">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2021</v>
      </c>
      <c r="M60" s="45"/>
      <c r="N60" s="65"/>
    </row>
    <row r="61" spans="1:22" ht="22" customHeight="1">
      <c r="A61" s="280" t="s">
        <v>132</v>
      </c>
      <c r="B61" s="92">
        <v>504000</v>
      </c>
      <c r="C61" s="46" t="s">
        <v>299</v>
      </c>
      <c r="D61" s="50">
        <v>46054</v>
      </c>
      <c r="E61" s="48" t="s">
        <v>3</v>
      </c>
      <c r="F61" s="49">
        <v>138.4</v>
      </c>
      <c r="G61" s="281">
        <f>IF(OR(E61="",F61=""),"",PID_KVLohnLookup($A$1,E61,F61,LOHNTABELLE!$H$4))</f>
        <v>1665.6</v>
      </c>
      <c r="H61" s="282">
        <f>IF(AND(ISNUMBER(D61),ISNUMBER(F61)),ROUNDDOWN(MIN(IF(OR(ISBLANK(I61),I61=""),EOMONTH(DATE(EINSTELLUNG!$C$35,$A$1,1),0),I61)-MAX(D61,DATE(EINSTELLUNG!$C$35,$A$1,1))+1)/DAY(EOMONTH(DATE(EINSTELLUNG!$C$35,$A$1,1),0))*F61,2),"")</f>
        <v>138.4</v>
      </c>
      <c r="I61" s="50"/>
      <c r="J61" s="51"/>
      <c r="K61" s="281">
        <f t="shared" si="1"/>
        <v>0</v>
      </c>
      <c r="L61" s="283">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1665.6</v>
      </c>
      <c r="M61" s="52"/>
      <c r="N61" s="66"/>
    </row>
    <row r="62" spans="1:22" ht="22" customHeight="1">
      <c r="A62" s="280" t="s">
        <v>133</v>
      </c>
      <c r="B62" s="91">
        <v>505000</v>
      </c>
      <c r="C62" s="39" t="s">
        <v>300</v>
      </c>
      <c r="D62" s="43">
        <v>46054</v>
      </c>
      <c r="E62" s="41" t="s">
        <v>2</v>
      </c>
      <c r="F62" s="42">
        <v>138.4</v>
      </c>
      <c r="G62" s="281">
        <f>IF(OR(E62="",F62=""),"",PID_KVLohnLookup($A$1,E62,F62,LOHNTABELLE!$H$4))</f>
        <v>1616.8</v>
      </c>
      <c r="H62" s="282">
        <f>IF(AND(ISNUMBER(D62),ISNUMBER(F62)),ROUNDDOWN(MIN(IF(OR(ISBLANK(I62),I62=""),EOMONTH(DATE(EINSTELLUNG!$C$35,$A$1,1),0),I62)-MAX(D62,DATE(EINSTELLUNG!$C$35,$A$1,1))+1)/DAY(EOMONTH(DATE(EINSTELLUNG!$C$35,$A$1,1),0))*F62,2),"")</f>
        <v>138.4</v>
      </c>
      <c r="I62" s="43"/>
      <c r="J62" s="44"/>
      <c r="K62" s="281">
        <f t="shared" si="1"/>
        <v>0</v>
      </c>
      <c r="L62" s="283">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1616.8</v>
      </c>
      <c r="M62" s="45"/>
      <c r="N62" s="65"/>
    </row>
    <row r="63" spans="1:22" ht="22" customHeight="1">
      <c r="A63" s="280" t="s">
        <v>134</v>
      </c>
      <c r="B63" s="92">
        <v>525025</v>
      </c>
      <c r="C63" s="46" t="s">
        <v>355</v>
      </c>
      <c r="D63" s="50">
        <v>46040</v>
      </c>
      <c r="E63" s="48" t="s">
        <v>2</v>
      </c>
      <c r="F63" s="49">
        <v>129.75</v>
      </c>
      <c r="G63" s="281">
        <f>IF(OR(E63="",F63=""),"",PID_KVLohnLookup($A$1,E63,F63,LOHNTABELLE!$H$4))</f>
        <v>1515.75</v>
      </c>
      <c r="H63" s="282">
        <f>IF(AND(ISNUMBER(D63),ISNUMBER(F63)),ROUNDDOWN(MIN(IF(OR(ISBLANK(I63),I63=""),EOMONTH(DATE(EINSTELLUNG!$C$35,$A$1,1),0),I63)-MAX(D63,DATE(EINSTELLUNG!$C$35,$A$1,1))+1)/DAY(EOMONTH(DATE(EINSTELLUNG!$C$35,$A$1,1),0))*F63,2),"")</f>
        <v>129.75</v>
      </c>
      <c r="I63" s="50"/>
      <c r="J63" s="51"/>
      <c r="K63" s="281">
        <f t="shared" si="1"/>
        <v>0</v>
      </c>
      <c r="L63" s="283">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1515.75</v>
      </c>
      <c r="M63" s="52"/>
      <c r="N63" s="66"/>
    </row>
    <row r="64" spans="1:22" ht="22" customHeight="1">
      <c r="A64" s="280" t="s">
        <v>135</v>
      </c>
      <c r="B64" s="91">
        <v>700000</v>
      </c>
      <c r="C64" s="39" t="s">
        <v>308</v>
      </c>
      <c r="D64" s="43">
        <v>46054</v>
      </c>
      <c r="E64" s="41" t="s">
        <v>2</v>
      </c>
      <c r="F64" s="42">
        <v>173</v>
      </c>
      <c r="G64" s="281">
        <f>IF(OR(E64="",F64=""),"",PID_KVLohnLookup($A$1,E64,F64,LOHNTABELLE!$H$4))</f>
        <v>2021</v>
      </c>
      <c r="H64" s="282">
        <f>IF(AND(ISNUMBER(D64),ISNUMBER(F64)),ROUNDDOWN(MIN(IF(OR(ISBLANK(I64),I64=""),EOMONTH(DATE(EINSTELLUNG!$C$35,$A$1,1),0),I64)-MAX(D64,DATE(EINSTELLUNG!$C$35,$A$1,1))+1)/DAY(EOMONTH(DATE(EINSTELLUNG!$C$35,$A$1,1),0))*F64,2),"")</f>
        <v>173</v>
      </c>
      <c r="I64" s="43"/>
      <c r="J64" s="44"/>
      <c r="K64" s="281">
        <f t="shared" si="1"/>
        <v>0</v>
      </c>
      <c r="L64" s="283">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2021</v>
      </c>
      <c r="M64" s="45"/>
      <c r="N64" s="65"/>
    </row>
    <row r="65" spans="1:14" ht="22" customHeight="1">
      <c r="A65" s="280" t="s">
        <v>136</v>
      </c>
      <c r="B65" s="92">
        <v>800000</v>
      </c>
      <c r="C65" s="46" t="s">
        <v>309</v>
      </c>
      <c r="D65" s="50">
        <v>46096</v>
      </c>
      <c r="E65" s="48" t="s">
        <v>2</v>
      </c>
      <c r="F65" s="49">
        <v>173</v>
      </c>
      <c r="G65" s="281">
        <f>IF(OR(E65="",F65=""),"",PID_KVLohnLookup($A$1,E65,F65,LOHNTABELLE!$H$4))</f>
        <v>2021</v>
      </c>
      <c r="H65" s="282">
        <f>IF(AND(ISNUMBER(D65),ISNUMBER(F65)),ROUNDDOWN(MIN(IF(OR(ISBLANK(I65),I65=""),EOMONTH(DATE(EINSTELLUNG!$C$35,$A$1,1),0),I65)-MAX(D65,DATE(EINSTELLUNG!$C$35,$A$1,1))+1)/DAY(EOMONTH(DATE(EINSTELLUNG!$C$35,$A$1,1),0))*F65,2),"")</f>
        <v>94.87</v>
      </c>
      <c r="I65" s="50"/>
      <c r="J65" s="51"/>
      <c r="K65" s="281">
        <f t="shared" si="1"/>
        <v>0</v>
      </c>
      <c r="L65" s="283">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1108.2903225806451</v>
      </c>
      <c r="M65" s="52"/>
      <c r="N65" s="66"/>
    </row>
    <row r="66" spans="1:14" ht="22" customHeight="1">
      <c r="A66" s="280" t="s">
        <v>137</v>
      </c>
      <c r="B66" s="91"/>
      <c r="C66" s="39"/>
      <c r="D66" s="43"/>
      <c r="E66" s="41"/>
      <c r="F66" s="42"/>
      <c r="G66" s="281" t="str">
        <f>IF(OR(E66="",F66=""),"",PID_KVLohnLookup($A$1,E66,F66,LOHNTABELLE!$H$4))</f>
        <v/>
      </c>
      <c r="H66" s="282" t="str">
        <f>IF(AND(ISNUMBER(D66),ISNUMBER(F66)),ROUNDDOWN(MIN(IF(OR(ISBLANK(I66),I66=""),EOMONTH(DATE(EINSTELLUNG!$C$35,$A$1,1),0),I66)-MAX(D66,DATE(EINSTELLUNG!$C$35,$A$1,1))+1)/DAY(EOMONTH(DATE(EINSTELLUNG!$C$35,$A$1,1),0))*F66,2),"")</f>
        <v/>
      </c>
      <c r="I66" s="43"/>
      <c r="J66" s="44"/>
      <c r="K66" s="281" t="str">
        <f t="shared" si="1"/>
        <v/>
      </c>
      <c r="L66" s="283"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45"/>
      <c r="N66" s="65"/>
    </row>
    <row r="67" spans="1:14" ht="22" customHeight="1">
      <c r="A67" s="280" t="s">
        <v>138</v>
      </c>
      <c r="B67" s="92"/>
      <c r="C67" s="46"/>
      <c r="D67" s="50"/>
      <c r="E67" s="48"/>
      <c r="F67" s="49"/>
      <c r="G67" s="281" t="str">
        <f>IF(OR(E67="",F67=""),"",PID_KVLohnLookup($A$1,E67,F67,LOHNTABELLE!$H$4))</f>
        <v/>
      </c>
      <c r="H67" s="282" t="str">
        <f>IF(AND(ISNUMBER(D67),ISNUMBER(F67)),ROUNDDOWN(MIN(IF(OR(ISBLANK(I67),I67=""),EOMONTH(DATE(EINSTELLUNG!$C$35,$A$1,1),0),I67)-MAX(D67,DATE(EINSTELLUNG!$C$35,$A$1,1))+1)/DAY(EOMONTH(DATE(EINSTELLUNG!$C$35,$A$1,1),0))*F67,2),"")</f>
        <v/>
      </c>
      <c r="I67" s="50"/>
      <c r="J67" s="51"/>
      <c r="K67" s="281" t="str">
        <f t="shared" ref="K67:K82" si="3">IF(OR(B67="",C67=""),"",IFERROR(IF(OR(MONTH(D67)=1,MONTH(D67)=3,MONTH(D67)=5,MONTH(D67)=7,MONTH(D67)=8,MONTH(D67)=10,MONTH(D67)=12),(G67/31)*J67,IF(OR(MONTH(D67)=4,MONTH(D67)=6,MONTH(D67)=9,MONTH(D67)=11),(G67/30)*J67,(G67/DAY(EOMONTH(D67,0)))*J67)),0))</f>
        <v/>
      </c>
      <c r="L67" s="283"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52"/>
      <c r="N67" s="66"/>
    </row>
    <row r="68" spans="1:14" ht="22" customHeight="1">
      <c r="A68" s="280" t="s">
        <v>139</v>
      </c>
      <c r="B68" s="91"/>
      <c r="C68" s="39"/>
      <c r="D68" s="43"/>
      <c r="E68" s="41"/>
      <c r="F68" s="42"/>
      <c r="G68" s="281" t="str">
        <f>IF(OR(E68="",F68=""),"",PID_KVLohnLookup($A$1,E68,F68,LOHNTABELLE!$H$4))</f>
        <v/>
      </c>
      <c r="H68" s="282" t="str">
        <f>IF(AND(ISNUMBER(D68),ISNUMBER(F68)),ROUNDDOWN(MIN(IF(OR(ISBLANK(I68),I68=""),EOMONTH(DATE(EINSTELLUNG!$C$35,$A$1,1),0),I68)-MAX(D68,DATE(EINSTELLUNG!$C$35,$A$1,1))+1)/DAY(EOMONTH(DATE(EINSTELLUNG!$C$35,$A$1,1),0))*F68,2),"")</f>
        <v/>
      </c>
      <c r="I68" s="43"/>
      <c r="J68" s="44"/>
      <c r="K68" s="281" t="str">
        <f t="shared" si="3"/>
        <v/>
      </c>
      <c r="L68" s="283"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45"/>
      <c r="N68" s="65"/>
    </row>
    <row r="69" spans="1:14" ht="22" customHeight="1">
      <c r="A69" s="280" t="s">
        <v>140</v>
      </c>
      <c r="B69" s="92"/>
      <c r="C69" s="46"/>
      <c r="D69" s="50"/>
      <c r="E69" s="48"/>
      <c r="F69" s="49"/>
      <c r="G69" s="281" t="str">
        <f>IF(OR(E69="",F69=""),"",PID_KVLohnLookup($A$1,E69,F69,LOHNTABELLE!$H$4))</f>
        <v/>
      </c>
      <c r="H69" s="282" t="str">
        <f>IF(AND(ISNUMBER(D69),ISNUMBER(F69)),ROUNDDOWN(MIN(IF(OR(ISBLANK(I69),I69=""),EOMONTH(DATE(EINSTELLUNG!$C$35,$A$1,1),0),I69)-MAX(D69,DATE(EINSTELLUNG!$C$35,$A$1,1))+1)/DAY(EOMONTH(DATE(EINSTELLUNG!$C$35,$A$1,1),0))*F69,2),"")</f>
        <v/>
      </c>
      <c r="I69" s="50"/>
      <c r="J69" s="51"/>
      <c r="K69" s="281" t="str">
        <f t="shared" si="3"/>
        <v/>
      </c>
      <c r="L69" s="283"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52"/>
      <c r="N69" s="66"/>
    </row>
    <row r="70" spans="1:14" ht="22" customHeight="1">
      <c r="A70" s="280" t="s">
        <v>141</v>
      </c>
      <c r="B70" s="91"/>
      <c r="C70" s="39"/>
      <c r="D70" s="43"/>
      <c r="E70" s="41"/>
      <c r="F70" s="42"/>
      <c r="G70" s="281" t="str">
        <f>IF(OR(E70="",F70=""),"",PID_KVLohnLookup($A$1,E70,F70,LOHNTABELLE!$H$4))</f>
        <v/>
      </c>
      <c r="H70" s="282" t="str">
        <f>IF(AND(ISNUMBER(D70),ISNUMBER(F70)),ROUNDDOWN(MIN(IF(OR(ISBLANK(I70),I70=""),EOMONTH(DATE(EINSTELLUNG!$C$35,$A$1,1),0),I70)-MAX(D70,DATE(EINSTELLUNG!$C$35,$A$1,1))+1)/DAY(EOMONTH(DATE(EINSTELLUNG!$C$35,$A$1,1),0))*F70,2),"")</f>
        <v/>
      </c>
      <c r="I70" s="43"/>
      <c r="J70" s="44"/>
      <c r="K70" s="281" t="str">
        <f t="shared" si="3"/>
        <v/>
      </c>
      <c r="L70" s="283"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45"/>
      <c r="N70" s="65"/>
    </row>
    <row r="71" spans="1:14" ht="22" customHeight="1">
      <c r="A71" s="280" t="s">
        <v>142</v>
      </c>
      <c r="B71" s="92"/>
      <c r="C71" s="46"/>
      <c r="D71" s="50"/>
      <c r="E71" s="48"/>
      <c r="F71" s="49"/>
      <c r="G71" s="281" t="str">
        <f>IF(OR(E71="",F71=""),"",PID_KVLohnLookup($A$1,E71,F71,LOHNTABELLE!$H$4))</f>
        <v/>
      </c>
      <c r="H71" s="282" t="str">
        <f>IF(AND(ISNUMBER(D71),ISNUMBER(F71)),ROUNDDOWN(MIN(IF(OR(ISBLANK(I71),I71=""),EOMONTH(DATE(EINSTELLUNG!$C$35,$A$1,1),0),I71)-MAX(D71,DATE(EINSTELLUNG!$C$35,$A$1,1))+1)/DAY(EOMONTH(DATE(EINSTELLUNG!$C$35,$A$1,1),0))*F71,2),"")</f>
        <v/>
      </c>
      <c r="I71" s="50"/>
      <c r="J71" s="51"/>
      <c r="K71" s="281" t="str">
        <f t="shared" si="3"/>
        <v/>
      </c>
      <c r="L71" s="283"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52"/>
      <c r="N71" s="66"/>
    </row>
    <row r="72" spans="1:14" ht="22" customHeight="1">
      <c r="A72" s="280" t="s">
        <v>143</v>
      </c>
      <c r="B72" s="91"/>
      <c r="C72" s="39"/>
      <c r="D72" s="43"/>
      <c r="E72" s="41"/>
      <c r="F72" s="42"/>
      <c r="G72" s="281" t="str">
        <f>IF(OR(E72="",F72=""),"",PID_KVLohnLookup($A$1,E72,F72,LOHNTABELLE!$H$4))</f>
        <v/>
      </c>
      <c r="H72" s="282" t="str">
        <f>IF(AND(ISNUMBER(D72),ISNUMBER(F72)),ROUNDDOWN(MIN(IF(OR(ISBLANK(I72),I72=""),EOMONTH(DATE(EINSTELLUNG!$C$35,$A$1,1),0),I72)-MAX(D72,DATE(EINSTELLUNG!$C$35,$A$1,1))+1)/DAY(EOMONTH(DATE(EINSTELLUNG!$C$35,$A$1,1),0))*F72,2),"")</f>
        <v/>
      </c>
      <c r="I72" s="43"/>
      <c r="J72" s="44"/>
      <c r="K72" s="281" t="str">
        <f t="shared" si="3"/>
        <v/>
      </c>
      <c r="L72" s="283"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45"/>
      <c r="N72" s="65"/>
    </row>
    <row r="73" spans="1:14" ht="22" customHeight="1">
      <c r="A73" s="280" t="s">
        <v>144</v>
      </c>
      <c r="B73" s="92"/>
      <c r="C73" s="46"/>
      <c r="D73" s="50"/>
      <c r="E73" s="48"/>
      <c r="F73" s="49"/>
      <c r="G73" s="281" t="str">
        <f>IF(OR(E73="",F73=""),"",PID_KVLohnLookup($A$1,E73,F73,LOHNTABELLE!$H$4))</f>
        <v/>
      </c>
      <c r="H73" s="282" t="str">
        <f>IF(AND(ISNUMBER(D73),ISNUMBER(F73)),ROUNDDOWN(MIN(IF(OR(ISBLANK(I73),I73=""),EOMONTH(DATE(EINSTELLUNG!$C$35,$A$1,1),0),I73)-MAX(D73,DATE(EINSTELLUNG!$C$35,$A$1,1))+1)/DAY(EOMONTH(DATE(EINSTELLUNG!$C$35,$A$1,1),0))*F73,2),"")</f>
        <v/>
      </c>
      <c r="I73" s="50"/>
      <c r="J73" s="51"/>
      <c r="K73" s="281" t="str">
        <f t="shared" si="3"/>
        <v/>
      </c>
      <c r="L73" s="283"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52"/>
      <c r="N73" s="66"/>
    </row>
    <row r="74" spans="1:14" ht="22" customHeight="1">
      <c r="A74" s="280" t="s">
        <v>145</v>
      </c>
      <c r="B74" s="91"/>
      <c r="C74" s="39"/>
      <c r="D74" s="43"/>
      <c r="E74" s="41"/>
      <c r="F74" s="42"/>
      <c r="G74" s="281" t="str">
        <f>IF(OR(E74="",F74=""),"",PID_KVLohnLookup($A$1,E74,F74,LOHNTABELLE!$H$4))</f>
        <v/>
      </c>
      <c r="H74" s="282" t="str">
        <f>IF(AND(ISNUMBER(D74),ISNUMBER(F74)),ROUNDDOWN(MIN(IF(OR(ISBLANK(I74),I74=""),EOMONTH(DATE(EINSTELLUNG!$C$35,$A$1,1),0),I74)-MAX(D74,DATE(EINSTELLUNG!$C$35,$A$1,1))+1)/DAY(EOMONTH(DATE(EINSTELLUNG!$C$35,$A$1,1),0))*F74,2),"")</f>
        <v/>
      </c>
      <c r="I74" s="43"/>
      <c r="J74" s="44"/>
      <c r="K74" s="281" t="str">
        <f t="shared" si="3"/>
        <v/>
      </c>
      <c r="L74" s="283"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45"/>
      <c r="N74" s="65"/>
    </row>
    <row r="75" spans="1:14" ht="22" customHeight="1">
      <c r="A75" s="280" t="s">
        <v>146</v>
      </c>
      <c r="B75" s="92"/>
      <c r="C75" s="46"/>
      <c r="D75" s="50"/>
      <c r="E75" s="48"/>
      <c r="F75" s="49"/>
      <c r="G75" s="281" t="str">
        <f>IF(OR(E75="",F75=""),"",PID_KVLohnLookup($A$1,E75,F75,LOHNTABELLE!$H$4))</f>
        <v/>
      </c>
      <c r="H75" s="282" t="str">
        <f>IF(AND(ISNUMBER(D75),ISNUMBER(F75)),ROUNDDOWN(MIN(IF(OR(ISBLANK(I75),I75=""),EOMONTH(DATE(EINSTELLUNG!$C$35,$A$1,1),0),I75)-MAX(D75,DATE(EINSTELLUNG!$C$35,$A$1,1))+1)/DAY(EOMONTH(DATE(EINSTELLUNG!$C$35,$A$1,1),0))*F75,2),"")</f>
        <v/>
      </c>
      <c r="I75" s="50"/>
      <c r="J75" s="51"/>
      <c r="K75" s="281" t="str">
        <f t="shared" si="3"/>
        <v/>
      </c>
      <c r="L75" s="283"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52"/>
      <c r="N75" s="66"/>
    </row>
    <row r="76" spans="1:14" ht="22" customHeight="1">
      <c r="A76" s="280" t="s">
        <v>147</v>
      </c>
      <c r="B76" s="91"/>
      <c r="C76" s="39"/>
      <c r="D76" s="43"/>
      <c r="E76" s="41"/>
      <c r="F76" s="42"/>
      <c r="G76" s="281" t="str">
        <f>IF(OR(E76="",F76=""),"",PID_KVLohnLookup($A$1,E76,F76,LOHNTABELLE!$H$4))</f>
        <v/>
      </c>
      <c r="H76" s="282" t="str">
        <f>IF(AND(ISNUMBER(D76),ISNUMBER(F76)),ROUNDDOWN(MIN(IF(OR(ISBLANK(I76),I76=""),EOMONTH(DATE(EINSTELLUNG!$C$35,$A$1,1),0),I76)-MAX(D76,DATE(EINSTELLUNG!$C$35,$A$1,1))+1)/DAY(EOMONTH(DATE(EINSTELLUNG!$C$35,$A$1,1),0))*F76,2),"")</f>
        <v/>
      </c>
      <c r="I76" s="43"/>
      <c r="J76" s="44"/>
      <c r="K76" s="281" t="str">
        <f t="shared" si="3"/>
        <v/>
      </c>
      <c r="L76" s="283"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45"/>
      <c r="N76" s="65"/>
    </row>
    <row r="77" spans="1:14" ht="22" customHeight="1">
      <c r="A77" s="280" t="s">
        <v>148</v>
      </c>
      <c r="B77" s="92"/>
      <c r="C77" s="46"/>
      <c r="D77" s="50"/>
      <c r="E77" s="48"/>
      <c r="F77" s="49"/>
      <c r="G77" s="281" t="str">
        <f>IF(OR(E77="",F77=""),"",PID_KVLohnLookup($A$1,E77,F77,LOHNTABELLE!$H$4))</f>
        <v/>
      </c>
      <c r="H77" s="282" t="str">
        <f>IF(AND(ISNUMBER(D77),ISNUMBER(F77)),ROUNDDOWN(MIN(IF(OR(ISBLANK(I77),I77=""),EOMONTH(DATE(EINSTELLUNG!$C$35,$A$1,1),0),I77)-MAX(D77,DATE(EINSTELLUNG!$C$35,$A$1,1))+1)/DAY(EOMONTH(DATE(EINSTELLUNG!$C$35,$A$1,1),0))*F77,2),"")</f>
        <v/>
      </c>
      <c r="I77" s="50"/>
      <c r="J77" s="51"/>
      <c r="K77" s="281" t="str">
        <f t="shared" si="3"/>
        <v/>
      </c>
      <c r="L77" s="283"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52"/>
      <c r="N77" s="66"/>
    </row>
    <row r="78" spans="1:14" ht="22" customHeight="1">
      <c r="A78" s="280" t="s">
        <v>149</v>
      </c>
      <c r="B78" s="91"/>
      <c r="C78" s="39"/>
      <c r="D78" s="43"/>
      <c r="E78" s="41"/>
      <c r="F78" s="42"/>
      <c r="G78" s="281" t="str">
        <f>IF(OR(E78="",F78=""),"",PID_KVLohnLookup($A$1,E78,F78,LOHNTABELLE!$H$4))</f>
        <v/>
      </c>
      <c r="H78" s="282" t="str">
        <f>IF(AND(ISNUMBER(D78),ISNUMBER(F78)),ROUNDDOWN(MIN(IF(OR(ISBLANK(I78),I78=""),EOMONTH(DATE(EINSTELLUNG!$C$35,$A$1,1),0),I78)-MAX(D78,DATE(EINSTELLUNG!$C$35,$A$1,1))+1)/DAY(EOMONTH(DATE(EINSTELLUNG!$C$35,$A$1,1),0))*F78,2),"")</f>
        <v/>
      </c>
      <c r="I78" s="43"/>
      <c r="J78" s="44"/>
      <c r="K78" s="281" t="str">
        <f t="shared" si="3"/>
        <v/>
      </c>
      <c r="L78" s="283"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45"/>
      <c r="N78" s="65"/>
    </row>
    <row r="79" spans="1:14" ht="22" customHeight="1">
      <c r="A79" s="280" t="s">
        <v>150</v>
      </c>
      <c r="B79" s="92"/>
      <c r="C79" s="46"/>
      <c r="D79" s="50"/>
      <c r="E79" s="48"/>
      <c r="F79" s="49"/>
      <c r="G79" s="281" t="str">
        <f>IF(OR(E79="",F79=""),"",PID_KVLohnLookup($A$1,E79,F79,LOHNTABELLE!$H$4))</f>
        <v/>
      </c>
      <c r="H79" s="282" t="str">
        <f>IF(AND(ISNUMBER(D79),ISNUMBER(F79)),ROUNDDOWN(MIN(IF(OR(ISBLANK(I79),I79=""),EOMONTH(DATE(EINSTELLUNG!$C$35,$A$1,1),0),I79)-MAX(D79,DATE(EINSTELLUNG!$C$35,$A$1,1))+1)/DAY(EOMONTH(DATE(EINSTELLUNG!$C$35,$A$1,1),0))*F79,2),"")</f>
        <v/>
      </c>
      <c r="I79" s="50"/>
      <c r="J79" s="51"/>
      <c r="K79" s="281" t="str">
        <f t="shared" si="3"/>
        <v/>
      </c>
      <c r="L79" s="283"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52"/>
      <c r="N79" s="66"/>
    </row>
    <row r="80" spans="1:14" ht="22" customHeight="1">
      <c r="A80" s="280" t="s">
        <v>151</v>
      </c>
      <c r="B80" s="91"/>
      <c r="C80" s="39"/>
      <c r="D80" s="43"/>
      <c r="E80" s="41"/>
      <c r="F80" s="42"/>
      <c r="G80" s="281" t="str">
        <f>IF(OR(E80="",F80=""),"",PID_KVLohnLookup($A$1,E80,F80,LOHNTABELLE!$H$4))</f>
        <v/>
      </c>
      <c r="H80" s="282" t="str">
        <f>IF(AND(ISNUMBER(D80),ISNUMBER(F80)),ROUNDDOWN(MIN(IF(OR(ISBLANK(I80),I80=""),EOMONTH(DATE(EINSTELLUNG!$C$35,$A$1,1),0),I80)-MAX(D80,DATE(EINSTELLUNG!$C$35,$A$1,1))+1)/DAY(EOMONTH(DATE(EINSTELLUNG!$C$35,$A$1,1),0))*F80,2),"")</f>
        <v/>
      </c>
      <c r="I80" s="43"/>
      <c r="J80" s="44"/>
      <c r="K80" s="281" t="str">
        <f t="shared" si="3"/>
        <v/>
      </c>
      <c r="L80" s="283"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45"/>
      <c r="N80" s="65"/>
    </row>
    <row r="81" spans="1:14" ht="22" customHeight="1">
      <c r="A81" s="280" t="s">
        <v>152</v>
      </c>
      <c r="B81" s="92"/>
      <c r="C81" s="46"/>
      <c r="D81" s="50"/>
      <c r="E81" s="48"/>
      <c r="F81" s="49"/>
      <c r="G81" s="281" t="str">
        <f>IF(OR(E81="",F81=""),"",PID_KVLohnLookup($A$1,E81,F81,LOHNTABELLE!$H$4))</f>
        <v/>
      </c>
      <c r="H81" s="282" t="str">
        <f>IF(AND(ISNUMBER(D81),ISNUMBER(F81)),ROUNDDOWN(MIN(IF(OR(ISBLANK(I81),I81=""),EOMONTH(DATE(EINSTELLUNG!$C$35,$A$1,1),0),I81)-MAX(D81,DATE(EINSTELLUNG!$C$35,$A$1,1))+1)/DAY(EOMONTH(DATE(EINSTELLUNG!$C$35,$A$1,1),0))*F81,2),"")</f>
        <v/>
      </c>
      <c r="I81" s="50"/>
      <c r="J81" s="51"/>
      <c r="K81" s="281" t="str">
        <f t="shared" si="3"/>
        <v/>
      </c>
      <c r="L81" s="283"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52"/>
      <c r="N81" s="66"/>
    </row>
    <row r="82" spans="1:14" ht="22" customHeight="1" thickBot="1">
      <c r="A82" s="343" t="s">
        <v>153</v>
      </c>
      <c r="B82" s="93"/>
      <c r="C82" s="54"/>
      <c r="D82" s="55"/>
      <c r="E82" s="56"/>
      <c r="F82" s="57"/>
      <c r="G82" s="344" t="str">
        <f>IF(OR(E82="",F82=""),"",PID_KVLohnLookup($A$1,E82,F82,LOHNTABELLE!$H$4))</f>
        <v/>
      </c>
      <c r="H82" s="345" t="str">
        <f>IF(AND(ISNUMBER(D82),ISNUMBER(F82)),ROUNDDOWN(MIN(IF(OR(ISBLANK(I82),I82=""),EOMONTH(DATE(EINSTELLUNG!$C$35,$A$1,1),0),I82)-MAX(D82,DATE(EINSTELLUNG!$C$35,$A$1,1))+1)/DAY(EOMONTH(DATE(EINSTELLUNG!$C$35,$A$1,1),0))*F82,2),"")</f>
        <v/>
      </c>
      <c r="I82" s="55"/>
      <c r="J82" s="58"/>
      <c r="K82" s="344" t="str">
        <f t="shared" si="3"/>
        <v/>
      </c>
      <c r="L82" s="346"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59"/>
      <c r="N82" s="69"/>
    </row>
    <row r="100" spans="26:26" ht="16" customHeight="1">
      <c r="Z100" s="259"/>
    </row>
  </sheetData>
  <sheetProtection algorithmName="SHA-512" hashValue="C1t/q8pJAUrxDRMNLJMOgPdCrJGwWrDZa56eWXOaEKr/Y0MaMOOB6ijFOSdyxioS7VXC1IZFkWb7O2bTtsmwhw==" saltValue="3MIopFWDlc65RhZP0QM7Hg==" spinCount="100000" sheet="1" objects="1" scenarios="1" autoFilter="0"/>
  <sortState xmlns:xlrd2="http://schemas.microsoft.com/office/spreadsheetml/2017/richdata2" ref="B3:N82">
    <sortCondition ref="B3:B82"/>
    <sortCondition ref="C3:C82"/>
  </sortState>
  <mergeCells count="102">
    <mergeCell ref="N1:N2"/>
    <mergeCell ref="A1:A2"/>
    <mergeCell ref="E1:E2"/>
    <mergeCell ref="F1:F2"/>
    <mergeCell ref="G1:G2"/>
    <mergeCell ref="H1:H2"/>
    <mergeCell ref="M1:M2"/>
    <mergeCell ref="S2:V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U36:V36"/>
    <mergeCell ref="O29:P29"/>
    <mergeCell ref="Q29:R29"/>
    <mergeCell ref="O31:P31"/>
    <mergeCell ref="Q31:R31"/>
    <mergeCell ref="O33:P34"/>
    <mergeCell ref="Q33:R34"/>
    <mergeCell ref="S33:T34"/>
    <mergeCell ref="U33:V34"/>
    <mergeCell ref="Q35:R35"/>
    <mergeCell ref="S35:T35"/>
    <mergeCell ref="U35:V35"/>
    <mergeCell ref="Q38:R38"/>
    <mergeCell ref="S38:T38"/>
    <mergeCell ref="O37:P37"/>
    <mergeCell ref="O35:P35"/>
    <mergeCell ref="O36:P36"/>
    <mergeCell ref="Q36:R36"/>
    <mergeCell ref="S36:T36"/>
    <mergeCell ref="Q25:R25"/>
    <mergeCell ref="O26:P26"/>
    <mergeCell ref="Q26:R26"/>
    <mergeCell ref="Q27:R27"/>
    <mergeCell ref="Q22:R22"/>
    <mergeCell ref="O23:P23"/>
    <mergeCell ref="Q23:R23"/>
    <mergeCell ref="O24:P24"/>
    <mergeCell ref="Q24:R24"/>
    <mergeCell ref="Q28:R28"/>
    <mergeCell ref="Q20:R20"/>
    <mergeCell ref="O21:P21"/>
    <mergeCell ref="Q21:R21"/>
    <mergeCell ref="Q11:R11"/>
    <mergeCell ref="O13:P13"/>
    <mergeCell ref="Q13:R13"/>
    <mergeCell ref="O14:P14"/>
    <mergeCell ref="Q14:R14"/>
    <mergeCell ref="O15:P15"/>
    <mergeCell ref="Q15:R15"/>
    <mergeCell ref="O17:P17"/>
    <mergeCell ref="Q17:R17"/>
    <mergeCell ref="O40:P40"/>
    <mergeCell ref="O41:P41"/>
    <mergeCell ref="O3:O4"/>
    <mergeCell ref="P3:P4"/>
    <mergeCell ref="O9:P9"/>
    <mergeCell ref="O20:P20"/>
    <mergeCell ref="O19:P19"/>
    <mergeCell ref="O28:P28"/>
    <mergeCell ref="O12:P12"/>
    <mergeCell ref="O25:P25"/>
    <mergeCell ref="O11:P11"/>
    <mergeCell ref="O22:P22"/>
    <mergeCell ref="O38:P38"/>
    <mergeCell ref="O45:U45"/>
    <mergeCell ref="B1:B2"/>
    <mergeCell ref="C1:C2"/>
    <mergeCell ref="D1:D2"/>
    <mergeCell ref="O16:R16"/>
    <mergeCell ref="Q3:Q4"/>
    <mergeCell ref="R3:R4"/>
    <mergeCell ref="O6:R6"/>
    <mergeCell ref="O8:P8"/>
    <mergeCell ref="Q8:R8"/>
    <mergeCell ref="Q12:R12"/>
    <mergeCell ref="Q9:R9"/>
    <mergeCell ref="O10:P10"/>
    <mergeCell ref="Q10:R10"/>
    <mergeCell ref="O44:V44"/>
    <mergeCell ref="Q19:R19"/>
    <mergeCell ref="O18:P18"/>
    <mergeCell ref="Q18:R18"/>
    <mergeCell ref="O42:P42"/>
    <mergeCell ref="I1:I2"/>
    <mergeCell ref="J1:J2"/>
    <mergeCell ref="K1:K2"/>
    <mergeCell ref="L1:L2"/>
    <mergeCell ref="O39:P39"/>
  </mergeCells>
  <dataValidations count="2">
    <dataValidation type="list" allowBlank="1" showInputMessage="1" showErrorMessage="1" errorTitle="Ungültiger Austrittsgrund" error="Bitte nur einen Wert aus der Liste auswählen." promptTitle="Austrittsgrund" prompt="Bitte den passenden Austrittsgrund auswählen." sqref="N3:N82" xr:uid="{C2C64B2F-7D14-2C4C-ADDB-1E663902A46A}">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90EF2ED0-7045-1348-A2BD-05B6626A8941}">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A5B93285-CE8B-4B45-ACD6-CA5FCA4FAE05}">
          <x14:formula1>
            <xm:f>KV_DROPDOWN_HELPER!$FF$1:$FF$13</xm:f>
          </x14:formula1>
          <xm:sqref>F4 F5 F8 F15</xm:sqref>
        </x14:dataValidation>
        <x14:dataValidation type="list" allowBlank="1" showInputMessage="1" showErrorMessage="1" xr:uid="{33674D9A-742D-CA49-8768-562DA5E7AEF2}">
          <x14:formula1>
            <xm:f>KV_DROPDOWN_HELPER!$FG$1:$FG$13</xm:f>
          </x14:formula1>
          <xm:sqref>F7 F9 F10 F11 F14 F21 F61</xm:sqref>
        </x14:dataValidation>
        <x14:dataValidation type="list" allowBlank="1" showInputMessage="1" showErrorMessage="1" xr:uid="{CD270973-C4E4-3E4E-8A55-E671E7429B12}">
          <x14:formula1>
            <xm:f>KV_DROPDOWN_HELPER!$FJ$1:$FJ$13</xm:f>
          </x14:formula1>
          <xm:sqref>F24</xm:sqref>
        </x14:dataValidation>
        <x14:dataValidation type="list" allowBlank="1" showInputMessage="1" showErrorMessage="1" xr:uid="{0FF71FE5-837D-7C4B-9642-3CC78AE6742B}">
          <x14:formula1>
            <xm:f>KV_DROPDOWN_HELPER!$FK$1:$FK$13</xm:f>
          </x14:formula1>
          <xm:sqref>F66 F67 F68 F69 F70 F71 F72 F73 F74 F75 F76 F77 F78 F79 F80 F81 F82</xm:sqref>
        </x14:dataValidation>
        <x14:dataValidation type="list" allowBlank="1" showInputMessage="1" showErrorMessage="1" xr:uid="{C0715FB4-2120-4344-A238-84312A59E72C}">
          <x14:formula1>
            <xm:f>KV_DROPDOWN_HELPER!$FI$1:$FI$13</xm:f>
          </x14:formula1>
          <xm:sqref>F20</xm:sqref>
        </x14:dataValidation>
        <x14:dataValidation type="list" allowBlank="1" showInputMessage="1" showErrorMessage="1" xr:uid="{2AB5396C-82E7-4892-84A4-A45F78E5A978}">
          <x14:formula1>
            <xm:f>KV_DROPDOWN_HELPER!$FH$1:$FH$13</xm:f>
          </x14:formula1>
          <xm:sqref>F17 F25 F28 F30</xm:sqref>
        </x14:dataValidation>
        <x14:dataValidation type="list" allowBlank="1" showInputMessage="1" showErrorMessage="1" xr:uid="{18763220-A174-44EC-9C32-BBDE2553BA2C}">
          <x14:formula1>
            <xm:f>KV_DROPDOWN_HELPER!$FE$1:$FE$16</xm:f>
          </x14:formula1>
          <xm:sqref>F3 F6 F12 F13 F16 F18 F19 F22 F23 F26 F27 F29 F31 F32 F33 F34 F35 F36 F37 F38 F39 F40 F41 F42 F43 F44 F45 F46 F47 F48 F49 F50 F51 F52 F53 F54 F55 F56 F57 F58 F59 F60 F62 F63 F64 F65</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D575F9-786C-4425-96E4-E30C2373A72A}">
  <sheetPr codeName="Tabelle6"/>
  <dimension ref="A1:AC100"/>
  <sheetViews>
    <sheetView showGridLines="0" showRowColHeaders="0" zoomScaleNormal="100" workbookViewId="0">
      <pane ySplit="2" topLeftCell="A16" activePane="bottomLeft" state="frozen"/>
      <selection activeCell="T24" sqref="T24"/>
      <selection pane="bottomLeft" activeCell="Q42" sqref="Q42:V42"/>
    </sheetView>
  </sheetViews>
  <sheetFormatPr baseColWidth="10" defaultColWidth="9.1796875" defaultRowHeight="16" customHeight="1"/>
  <cols>
    <col min="1" max="1" width="4.453125" style="347" customWidth="1"/>
    <col min="2" max="2" width="9.1796875" style="347" customWidth="1"/>
    <col min="3" max="3" width="35.6328125" style="179" customWidth="1"/>
    <col min="4" max="4" width="13.6328125" style="179" customWidth="1"/>
    <col min="5" max="5" width="9.6328125" style="179" customWidth="1"/>
    <col min="6" max="6" width="10.6328125" style="179" customWidth="1"/>
    <col min="7" max="7" width="13.6328125" style="179" customWidth="1"/>
    <col min="8" max="8" width="11.6328125" style="179" customWidth="1"/>
    <col min="9" max="10" width="13.6328125" style="179" customWidth="1"/>
    <col min="11" max="11" width="14.6328125" style="179" customWidth="1"/>
    <col min="12" max="12" width="14.6328125" style="306" customWidth="1"/>
    <col min="13" max="13" width="17.81640625" style="179" customWidth="1"/>
    <col min="14" max="14" width="34.6328125" style="179" customWidth="1"/>
    <col min="15" max="15" width="12.6328125" style="179" customWidth="1"/>
    <col min="16" max="16" width="16.6328125" style="179" customWidth="1"/>
    <col min="17" max="17" width="14.6328125" style="179" customWidth="1"/>
    <col min="18" max="18" width="13.6328125" style="179" customWidth="1"/>
    <col min="19" max="19" width="9.6328125" style="179" customWidth="1"/>
    <col min="20" max="20" width="10.6328125" style="179" customWidth="1"/>
    <col min="21" max="21" width="7.6328125" style="179" customWidth="1"/>
    <col min="22" max="27" width="9.1796875" style="179"/>
    <col min="28" max="28" width="10.6328125" style="179" bestFit="1" customWidth="1"/>
    <col min="29" max="16384" width="9.1796875" style="179"/>
  </cols>
  <sheetData>
    <row r="1" spans="1:28" ht="18" customHeight="1">
      <c r="A1" s="261">
        <v>4</v>
      </c>
      <c r="B1" s="262" t="s">
        <v>180</v>
      </c>
      <c r="C1" s="263" t="s">
        <v>39</v>
      </c>
      <c r="D1" s="263" t="s">
        <v>181</v>
      </c>
      <c r="E1" s="263" t="s">
        <v>0</v>
      </c>
      <c r="F1" s="263" t="s">
        <v>40</v>
      </c>
      <c r="G1" s="263" t="s">
        <v>41</v>
      </c>
      <c r="H1" s="263" t="s">
        <v>42</v>
      </c>
      <c r="I1" s="263" t="s">
        <v>182</v>
      </c>
      <c r="J1" s="263" t="s">
        <v>43</v>
      </c>
      <c r="K1" s="263" t="s">
        <v>44</v>
      </c>
      <c r="L1" s="263" t="s">
        <v>45</v>
      </c>
      <c r="M1" s="263" t="s">
        <v>46</v>
      </c>
      <c r="N1" s="264" t="s">
        <v>183</v>
      </c>
      <c r="AB1" s="265">
        <f>DATE(EINSTELLUNG!$C$35,$A$1,1)</f>
        <v>46113</v>
      </c>
    </row>
    <row r="2" spans="1:28" ht="18" customHeight="1" thickBot="1">
      <c r="A2" s="266"/>
      <c r="B2" s="267"/>
      <c r="C2" s="268"/>
      <c r="D2" s="268"/>
      <c r="E2" s="268"/>
      <c r="F2" s="268"/>
      <c r="G2" s="268"/>
      <c r="H2" s="268"/>
      <c r="I2" s="268"/>
      <c r="J2" s="268"/>
      <c r="K2" s="268"/>
      <c r="L2" s="268"/>
      <c r="M2" s="268"/>
      <c r="N2" s="269"/>
      <c r="O2" s="270"/>
      <c r="P2" s="270"/>
      <c r="Q2" s="270"/>
      <c r="S2" s="271" t="s">
        <v>378</v>
      </c>
      <c r="T2" s="271"/>
      <c r="U2" s="271"/>
      <c r="V2" s="271"/>
      <c r="AB2" s="265">
        <f>EOMONTH(DATE(EINSTELLUNG!$C$35,$A$1,1),0)</f>
        <v>46142</v>
      </c>
    </row>
    <row r="3" spans="1:28" ht="22" customHeight="1">
      <c r="A3" s="272" t="s">
        <v>383</v>
      </c>
      <c r="B3" s="90">
        <v>401010</v>
      </c>
      <c r="C3" s="32" t="s">
        <v>223</v>
      </c>
      <c r="D3" s="33">
        <v>39388</v>
      </c>
      <c r="E3" s="34" t="s">
        <v>2</v>
      </c>
      <c r="F3" s="60">
        <v>173</v>
      </c>
      <c r="G3" s="273">
        <f>IF(OR(E3="",F3=""),"",PID_KVLohnLookup($A$1,E3,F3,LOHNTABELLE!$H$4))</f>
        <v>2021</v>
      </c>
      <c r="H3" s="274">
        <f>IF(AND(ISNUMBER(D3),ISNUMBER(F3)),ROUNDDOWN(MIN(IF(OR(ISBLANK(I3),I3=""),EOMONTH(DATE(EINSTELLUNG!$C$35,$A$1,1),0),I3)-MAX(D3,DATE(EINSTELLUNG!$C$35,$A$1,1))+1)/DAY(EOMONTH(DATE(EINSTELLUNG!$C$35,$A$1,1),0))*F3,2),"")</f>
        <v>173</v>
      </c>
      <c r="I3" s="36"/>
      <c r="J3" s="37"/>
      <c r="K3" s="273">
        <f t="shared" ref="K3:K34" si="0">IF(OR(B3="",C3=""),"",IFERROR(IF(OR(MONTH(D3)=1,MONTH(D3)=3,MONTH(D3)=5,MONTH(D3)=7,MONTH(D3)=8,MONTH(D3)=10,MONTH(D3)=12),(G3/31)*J3,IF(OR(MONTH(D3)=4,MONTH(D3)=6,MONTH(D3)=9,MONTH(D3)=11),(G3/30)*J3,(G3/DAY(EOMONTH(D3,0)))*J3)),0))</f>
        <v>0</v>
      </c>
      <c r="L3" s="275">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2021</v>
      </c>
      <c r="M3" s="38"/>
      <c r="N3" s="64"/>
      <c r="O3" s="276" t="s">
        <v>47</v>
      </c>
      <c r="P3" s="276" t="s">
        <v>48</v>
      </c>
      <c r="Q3" s="276" t="s">
        <v>49</v>
      </c>
      <c r="R3" s="277" t="s">
        <v>50</v>
      </c>
      <c r="S3" s="278"/>
      <c r="T3" s="278"/>
      <c r="U3" s="278"/>
      <c r="V3" s="278"/>
      <c r="AB3" s="279"/>
    </row>
    <row r="4" spans="1:28" ht="22" customHeight="1">
      <c r="A4" s="280" t="s">
        <v>51</v>
      </c>
      <c r="B4" s="91">
        <v>401047</v>
      </c>
      <c r="C4" s="39" t="s">
        <v>225</v>
      </c>
      <c r="D4" s="40">
        <v>41154</v>
      </c>
      <c r="E4" s="41" t="s">
        <v>4</v>
      </c>
      <c r="F4" s="42">
        <v>173</v>
      </c>
      <c r="G4" s="281">
        <f>IF(OR(E4="",F4=""),"",PID_KVLohnLookup($A$1,E4,F4,LOHNTABELLE!$H$4))</f>
        <v>2123</v>
      </c>
      <c r="H4" s="282">
        <f>IF(AND(ISNUMBER(D4),ISNUMBER(F4)),ROUNDDOWN(MIN(IF(OR(ISBLANK(I4),I4=""),EOMONTH(DATE(EINSTELLUNG!$C$35,$A$1,1),0),I4)-MAX(D4,DATE(EINSTELLUNG!$C$35,$A$1,1))+1)/DAY(EOMONTH(DATE(EINSTELLUNG!$C$35,$A$1,1),0))*F4,2),"")</f>
        <v>173</v>
      </c>
      <c r="I4" s="43"/>
      <c r="J4" s="44"/>
      <c r="K4" s="281">
        <f t="shared" si="0"/>
        <v>0</v>
      </c>
      <c r="L4" s="283">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45"/>
      <c r="N4" s="65"/>
      <c r="O4" s="284"/>
      <c r="P4" s="284"/>
      <c r="Q4" s="284"/>
      <c r="R4" s="285"/>
      <c r="S4" s="278"/>
      <c r="T4" s="278"/>
      <c r="U4" s="278"/>
      <c r="V4" s="278"/>
    </row>
    <row r="5" spans="1:28" ht="22" customHeight="1">
      <c r="A5" s="280" t="s">
        <v>52</v>
      </c>
      <c r="B5" s="92">
        <v>401049</v>
      </c>
      <c r="C5" s="46" t="s">
        <v>224</v>
      </c>
      <c r="D5" s="47">
        <v>41130</v>
      </c>
      <c r="E5" s="48" t="s">
        <v>4</v>
      </c>
      <c r="F5" s="95">
        <v>173</v>
      </c>
      <c r="G5" s="281">
        <f>IF(OR(E5="",F5=""),"",PID_KVLohnLookup($A$1,E5,F5,LOHNTABELLE!$H$4))</f>
        <v>2123</v>
      </c>
      <c r="H5" s="282">
        <f>IF(AND(ISNUMBER(D5),ISNUMBER(F5)),ROUNDDOWN(MIN(IF(OR(ISBLANK(I5),I5=""),EOMONTH(DATE(EINSTELLUNG!$C$35,$A$1,1),0),I5)-MAX(D5,DATE(EINSTELLUNG!$C$35,$A$1,1))+1)/DAY(EOMONTH(DATE(EINSTELLUNG!$C$35,$A$1,1),0))*F5,2),"")</f>
        <v>173</v>
      </c>
      <c r="I5" s="50"/>
      <c r="J5" s="51"/>
      <c r="K5" s="281">
        <f t="shared" si="0"/>
        <v>0</v>
      </c>
      <c r="L5" s="283">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52"/>
      <c r="N5" s="66"/>
      <c r="O5" s="286" cm="1">
        <f t="array" ref="O5">SUMPRODUCT((F3:F82/4.310808)/5*2.08)</f>
        <v>885.03864704714294</v>
      </c>
      <c r="P5" s="287">
        <f>EINSTELLUNG!I9</f>
        <v>600</v>
      </c>
      <c r="Q5" s="287">
        <f>P5-O5</f>
        <v>-285.03864704714294</v>
      </c>
      <c r="R5" s="288">
        <f>IFERROR(Q5*Q42, 0)</f>
        <v>-3359.51837132227</v>
      </c>
      <c r="S5" s="278"/>
      <c r="T5" s="278"/>
      <c r="U5" s="278"/>
      <c r="V5" s="278"/>
    </row>
    <row r="6" spans="1:28" ht="22" customHeight="1">
      <c r="A6" s="280" t="s">
        <v>53</v>
      </c>
      <c r="B6" s="91">
        <v>401051</v>
      </c>
      <c r="C6" s="39" t="s">
        <v>226</v>
      </c>
      <c r="D6" s="40">
        <v>41176</v>
      </c>
      <c r="E6" s="41" t="s">
        <v>2</v>
      </c>
      <c r="F6" s="42">
        <v>173</v>
      </c>
      <c r="G6" s="281">
        <f>IF(OR(E6="",F6=""),"",PID_KVLohnLookup($A$1,E6,F6,LOHNTABELLE!$H$4))</f>
        <v>2021</v>
      </c>
      <c r="H6" s="282">
        <f>IF(AND(ISNUMBER(D6),ISNUMBER(F6)),ROUNDDOWN(MIN(IF(OR(ISBLANK(I6),I6=""),EOMONTH(DATE(EINSTELLUNG!$C$35,$A$1,1),0),I6)-MAX(D6,DATE(EINSTELLUNG!$C$35,$A$1,1))+1)/DAY(EOMONTH(DATE(EINSTELLUNG!$C$35,$A$1,1),0))*F6,2),"")</f>
        <v>173</v>
      </c>
      <c r="I6" s="43"/>
      <c r="J6" s="44"/>
      <c r="K6" s="281">
        <f t="shared" si="0"/>
        <v>0</v>
      </c>
      <c r="L6" s="283">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2021</v>
      </c>
      <c r="M6" s="45"/>
      <c r="N6" s="65"/>
      <c r="O6" s="289" t="str">
        <f>IF(Q5&lt;0, "Schlecht! Zu wenig Urlaub abgebaut.", IF(Q5&gt;0, "Gut! Mehr Urlaub abgebaut als aufgebaut.", ""))</f>
        <v>Schlecht! Zu wenig Urlaub abgebaut.</v>
      </c>
      <c r="P6" s="290"/>
      <c r="Q6" s="290"/>
      <c r="R6" s="291"/>
      <c r="S6" s="278"/>
      <c r="T6" s="278"/>
      <c r="U6" s="278"/>
      <c r="V6" s="278"/>
    </row>
    <row r="7" spans="1:28" ht="22" customHeight="1" thickBot="1">
      <c r="A7" s="280" t="s">
        <v>54</v>
      </c>
      <c r="B7" s="92">
        <v>401089</v>
      </c>
      <c r="C7" s="46" t="s">
        <v>240</v>
      </c>
      <c r="D7" s="47">
        <v>44868</v>
      </c>
      <c r="E7" s="48" t="s">
        <v>3</v>
      </c>
      <c r="F7" s="49">
        <v>173</v>
      </c>
      <c r="G7" s="281">
        <f>IF(OR(E7="",F7=""),"",PID_KVLohnLookup($A$1,E7,F7,LOHNTABELLE!$H$4))</f>
        <v>2082</v>
      </c>
      <c r="H7" s="282">
        <f>IF(AND(ISNUMBER(D7),ISNUMBER(F7)),ROUNDDOWN(MIN(IF(OR(ISBLANK(I7),I7=""),EOMONTH(DATE(EINSTELLUNG!$C$35,$A$1,1),0),I7)-MAX(D7,DATE(EINSTELLUNG!$C$35,$A$1,1))+1)/DAY(EOMONTH(DATE(EINSTELLUNG!$C$35,$A$1,1),0))*F7,2),"")</f>
        <v>173</v>
      </c>
      <c r="I7" s="50"/>
      <c r="J7" s="51"/>
      <c r="K7" s="281">
        <f t="shared" si="0"/>
        <v>0</v>
      </c>
      <c r="L7" s="283">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2082</v>
      </c>
      <c r="M7" s="52"/>
      <c r="N7" s="66"/>
      <c r="O7" s="278"/>
      <c r="P7" s="278"/>
      <c r="Q7" s="278"/>
      <c r="R7" s="278"/>
      <c r="S7" s="278"/>
      <c r="T7" s="278"/>
      <c r="U7" s="278"/>
      <c r="V7" s="278"/>
    </row>
    <row r="8" spans="1:28" ht="22" customHeight="1">
      <c r="A8" s="280" t="s">
        <v>55</v>
      </c>
      <c r="B8" s="91">
        <v>401138</v>
      </c>
      <c r="C8" s="39" t="s">
        <v>227</v>
      </c>
      <c r="D8" s="40">
        <v>42006</v>
      </c>
      <c r="E8" s="41" t="s">
        <v>4</v>
      </c>
      <c r="F8" s="42">
        <v>173</v>
      </c>
      <c r="G8" s="281">
        <f>IF(OR(E8="",F8=""),"",PID_KVLohnLookup($A$1,E8,F8,LOHNTABELLE!$H$4))</f>
        <v>2123</v>
      </c>
      <c r="H8" s="282">
        <f>IF(AND(ISNUMBER(D8),ISNUMBER(F8)),ROUNDDOWN(MIN(IF(OR(ISBLANK(I8),I8=""),EOMONTH(DATE(EINSTELLUNG!$C$35,$A$1,1),0),I8)-MAX(D8,DATE(EINSTELLUNG!$C$35,$A$1,1))+1)/DAY(EOMONTH(DATE(EINSTELLUNG!$C$35,$A$1,1),0))*F8,2),"")</f>
        <v>173</v>
      </c>
      <c r="I8" s="43"/>
      <c r="J8" s="44"/>
      <c r="K8" s="281">
        <f t="shared" si="0"/>
        <v>0</v>
      </c>
      <c r="L8" s="283">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2123</v>
      </c>
      <c r="M8" s="45"/>
      <c r="N8" s="65"/>
      <c r="O8" s="357" t="s">
        <v>56</v>
      </c>
      <c r="P8" s="293"/>
      <c r="Q8" s="294">
        <f>SUM(H3:H82)</f>
        <v>8833.14</v>
      </c>
      <c r="R8" s="295"/>
      <c r="S8" s="278"/>
      <c r="T8" s="278"/>
      <c r="U8" s="278"/>
      <c r="V8" s="278"/>
    </row>
    <row r="9" spans="1:28" ht="22" customHeight="1">
      <c r="A9" s="280" t="s">
        <v>57</v>
      </c>
      <c r="B9" s="92">
        <v>401197</v>
      </c>
      <c r="C9" s="46" t="s">
        <v>228</v>
      </c>
      <c r="D9" s="47">
        <v>42644</v>
      </c>
      <c r="E9" s="48" t="s">
        <v>3</v>
      </c>
      <c r="F9" s="49">
        <v>173</v>
      </c>
      <c r="G9" s="281">
        <f>IF(OR(E9="",F9=""),"",PID_KVLohnLookup($A$1,E9,F9,LOHNTABELLE!$H$4))</f>
        <v>2082</v>
      </c>
      <c r="H9" s="282">
        <f>IF(AND(ISNUMBER(D9),ISNUMBER(F9)),ROUNDDOWN(MIN(IF(OR(ISBLANK(I9),I9=""),EOMONTH(DATE(EINSTELLUNG!$C$35,$A$1,1),0),I9)-MAX(D9,DATE(EINSTELLUNG!$C$35,$A$1,1))+1)/DAY(EOMONTH(DATE(EINSTELLUNG!$C$35,$A$1,1),0))*F9,2),"")</f>
        <v>173</v>
      </c>
      <c r="I9" s="50"/>
      <c r="J9" s="51"/>
      <c r="K9" s="281">
        <f t="shared" si="0"/>
        <v>0</v>
      </c>
      <c r="L9" s="283">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52"/>
      <c r="N9" s="66"/>
      <c r="O9" s="358" t="s">
        <v>58</v>
      </c>
      <c r="P9" s="297"/>
      <c r="Q9" s="298">
        <f>EINSTELLUNG!L25</f>
        <v>4</v>
      </c>
      <c r="R9" s="299"/>
      <c r="S9" s="300">
        <f>IFERROR(Q9/Q8, 0)</f>
        <v>4.5284009989652609E-4</v>
      </c>
      <c r="T9" s="278"/>
      <c r="U9" s="278"/>
      <c r="V9" s="278"/>
    </row>
    <row r="10" spans="1:28" ht="22" customHeight="1">
      <c r="A10" s="280" t="s">
        <v>59</v>
      </c>
      <c r="B10" s="91">
        <v>401214</v>
      </c>
      <c r="C10" s="39" t="s">
        <v>254</v>
      </c>
      <c r="D10" s="40">
        <v>45636</v>
      </c>
      <c r="E10" s="41" t="s">
        <v>3</v>
      </c>
      <c r="F10" s="42">
        <v>173</v>
      </c>
      <c r="G10" s="281">
        <f>IF(OR(E10="",F10=""),"",PID_KVLohnLookup($A$1,E10,F10,LOHNTABELLE!$H$4))</f>
        <v>2082</v>
      </c>
      <c r="H10" s="282">
        <f>IF(AND(ISNUMBER(D10),ISNUMBER(F10)),ROUNDDOWN(MIN(IF(OR(ISBLANK(I10),I10=""),EOMONTH(DATE(EINSTELLUNG!$C$35,$A$1,1),0),I10)-MAX(D10,DATE(EINSTELLUNG!$C$35,$A$1,1))+1)/DAY(EOMONTH(DATE(EINSTELLUNG!$C$35,$A$1,1),0))*F10,2),"")</f>
        <v>173</v>
      </c>
      <c r="I10" s="43"/>
      <c r="J10" s="44"/>
      <c r="K10" s="281">
        <f t="shared" si="0"/>
        <v>0</v>
      </c>
      <c r="L10" s="283">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45"/>
      <c r="N10" s="65"/>
      <c r="O10" s="358" t="s">
        <v>60</v>
      </c>
      <c r="P10" s="297"/>
      <c r="Q10" s="298">
        <f>EINSTELLUNG!I25</f>
        <v>150</v>
      </c>
      <c r="R10" s="299"/>
      <c r="S10" s="278"/>
      <c r="T10" s="278"/>
      <c r="U10" s="278"/>
      <c r="V10" s="278"/>
    </row>
    <row r="11" spans="1:28" ht="22" customHeight="1">
      <c r="A11" s="280" t="s">
        <v>61</v>
      </c>
      <c r="B11" s="92">
        <v>401276</v>
      </c>
      <c r="C11" s="46" t="s">
        <v>229</v>
      </c>
      <c r="D11" s="47">
        <v>43252</v>
      </c>
      <c r="E11" s="48" t="s">
        <v>3</v>
      </c>
      <c r="F11" s="49">
        <v>173</v>
      </c>
      <c r="G11" s="281">
        <f>IF(OR(E11="",F11=""),"",PID_KVLohnLookup($A$1,E11,F11,LOHNTABELLE!$H$4))</f>
        <v>2082</v>
      </c>
      <c r="H11" s="282">
        <f>IF(AND(ISNUMBER(D11),ISNUMBER(F11)),ROUNDDOWN(MIN(IF(OR(ISBLANK(I11),I11=""),EOMONTH(DATE(EINSTELLUNG!$C$35,$A$1,1),0),I11)-MAX(D11,DATE(EINSTELLUNG!$C$35,$A$1,1))+1)/DAY(EOMONTH(DATE(EINSTELLUNG!$C$35,$A$1,1),0))*F11,2),"")</f>
        <v>173</v>
      </c>
      <c r="I11" s="50"/>
      <c r="J11" s="51"/>
      <c r="K11" s="281">
        <f t="shared" si="0"/>
        <v>0</v>
      </c>
      <c r="L11" s="283">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2082</v>
      </c>
      <c r="M11" s="52"/>
      <c r="N11" s="66"/>
      <c r="O11" s="358" t="s">
        <v>62</v>
      </c>
      <c r="P11" s="297"/>
      <c r="Q11" s="298">
        <f>P5</f>
        <v>600</v>
      </c>
      <c r="R11" s="299"/>
      <c r="S11" s="278"/>
      <c r="T11" s="278"/>
      <c r="U11" s="278"/>
      <c r="V11" s="278"/>
    </row>
    <row r="12" spans="1:28" ht="22" customHeight="1">
      <c r="A12" s="280" t="s">
        <v>63</v>
      </c>
      <c r="B12" s="91">
        <v>401276</v>
      </c>
      <c r="C12" s="39" t="s">
        <v>386</v>
      </c>
      <c r="D12" s="40">
        <v>38899</v>
      </c>
      <c r="E12" s="41" t="s">
        <v>2</v>
      </c>
      <c r="F12" s="42">
        <v>55</v>
      </c>
      <c r="G12" s="281" t="str">
        <f>IF(OR(E12="",F12=""),"",PID_KVLohnLookup($A$1,E12,F12,LOHNTABELLE!$H$4))</f>
        <v>Nicht gefunden</v>
      </c>
      <c r="H12" s="282">
        <f>IF(AND(ISNUMBER(D12),ISNUMBER(F12)),ROUNDDOWN(MIN(IF(OR(ISBLANK(I12),I12=""),EOMONTH(DATE(EINSTELLUNG!$C$35,$A$1,1),0),I12)-MAX(D12,DATE(EINSTELLUNG!$C$35,$A$1,1))+1)/DAY(EOMONTH(DATE(EINSTELLUNG!$C$35,$A$1,1),0))*F12,2),"")</f>
        <v>55</v>
      </c>
      <c r="I12" s="43"/>
      <c r="J12" s="44"/>
      <c r="K12" s="281">
        <f t="shared" si="0"/>
        <v>0</v>
      </c>
      <c r="L12" s="283" t="str">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
      </c>
      <c r="M12" s="45"/>
      <c r="N12" s="65"/>
      <c r="O12" s="358" t="s">
        <v>64</v>
      </c>
      <c r="P12" s="297"/>
      <c r="Q12" s="172">
        <v>-260</v>
      </c>
      <c r="R12" s="173"/>
      <c r="S12" s="278"/>
      <c r="T12" s="278"/>
      <c r="U12" s="278"/>
      <c r="V12" s="278"/>
    </row>
    <row r="13" spans="1:28" ht="22" customHeight="1">
      <c r="A13" s="280" t="s">
        <v>65</v>
      </c>
      <c r="B13" s="92">
        <v>401307</v>
      </c>
      <c r="C13" s="46" t="s">
        <v>230</v>
      </c>
      <c r="D13" s="47">
        <v>43571</v>
      </c>
      <c r="E13" s="48" t="s">
        <v>2</v>
      </c>
      <c r="F13" s="49">
        <v>55</v>
      </c>
      <c r="G13" s="281" t="str">
        <f>IF(OR(E13="",F13=""),"",PID_KVLohnLookup($A$1,E13,F13,LOHNTABELLE!$H$4))</f>
        <v>Nicht gefunden</v>
      </c>
      <c r="H13" s="282">
        <f>IF(AND(ISNUMBER(D13),ISNUMBER(F13)),ROUNDDOWN(MIN(IF(OR(ISBLANK(I13),I13=""),EOMONTH(DATE(EINSTELLUNG!$C$35,$A$1,1),0),I13)-MAX(D13,DATE(EINSTELLUNG!$C$35,$A$1,1))+1)/DAY(EOMONTH(DATE(EINSTELLUNG!$C$35,$A$1,1),0))*F13,2),"")</f>
        <v>55</v>
      </c>
      <c r="I13" s="50"/>
      <c r="J13" s="51"/>
      <c r="K13" s="281">
        <f t="shared" si="0"/>
        <v>0</v>
      </c>
      <c r="L13" s="283" t="str">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
      </c>
      <c r="M13" s="52"/>
      <c r="N13" s="66"/>
      <c r="O13" s="358" t="s">
        <v>66</v>
      </c>
      <c r="P13" s="297"/>
      <c r="Q13" s="298">
        <f>Q8-Q9-Q10-Q11-Q12</f>
        <v>8339.14</v>
      </c>
      <c r="R13" s="299"/>
      <c r="S13" s="278"/>
      <c r="T13" s="278"/>
      <c r="U13" s="278"/>
      <c r="V13" s="278"/>
    </row>
    <row r="14" spans="1:28" ht="22" customHeight="1">
      <c r="A14" s="280" t="s">
        <v>67</v>
      </c>
      <c r="B14" s="91">
        <v>401308</v>
      </c>
      <c r="C14" s="39" t="s">
        <v>231</v>
      </c>
      <c r="D14" s="40">
        <v>43579</v>
      </c>
      <c r="E14" s="41" t="s">
        <v>3</v>
      </c>
      <c r="F14" s="42">
        <v>173</v>
      </c>
      <c r="G14" s="281">
        <f>IF(OR(E14="",F14=""),"",PID_KVLohnLookup($A$1,E14,F14,LOHNTABELLE!$H$4))</f>
        <v>2082</v>
      </c>
      <c r="H14" s="282">
        <f>IF(AND(ISNUMBER(D14),ISNUMBER(F14)),ROUNDDOWN(MIN(IF(OR(ISBLANK(I14),I14=""),EOMONTH(DATE(EINSTELLUNG!$C$35,$A$1,1),0),I14)-MAX(D14,DATE(EINSTELLUNG!$C$35,$A$1,1))+1)/DAY(EOMONTH(DATE(EINSTELLUNG!$C$35,$A$1,1),0))*F14,2),"")</f>
        <v>173</v>
      </c>
      <c r="I14" s="43"/>
      <c r="J14" s="44"/>
      <c r="K14" s="281">
        <f t="shared" si="0"/>
        <v>0</v>
      </c>
      <c r="L14" s="283">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2082</v>
      </c>
      <c r="M14" s="45"/>
      <c r="N14" s="65"/>
      <c r="O14" s="358" t="s">
        <v>68</v>
      </c>
      <c r="P14" s="297"/>
      <c r="Q14" s="298">
        <f>EINSTELLUNG!L9</f>
        <v>1500</v>
      </c>
      <c r="R14" s="299"/>
      <c r="S14" s="278"/>
      <c r="T14" s="278"/>
      <c r="U14" s="278"/>
      <c r="V14" s="278"/>
    </row>
    <row r="15" spans="1:28" ht="18" customHeight="1">
      <c r="A15" s="280" t="s">
        <v>69</v>
      </c>
      <c r="B15" s="92">
        <v>401389</v>
      </c>
      <c r="C15" s="46" t="s">
        <v>233</v>
      </c>
      <c r="D15" s="47">
        <v>44384</v>
      </c>
      <c r="E15" s="48" t="s">
        <v>4</v>
      </c>
      <c r="F15" s="49">
        <v>151.38</v>
      </c>
      <c r="G15" s="281">
        <f>IF(OR(E15="",F15=""),"",PID_KVLohnLookup($A$1,E15,F15,LOHNTABELLE!$H$4))</f>
        <v>1857.63</v>
      </c>
      <c r="H15" s="282">
        <f>IF(AND(ISNUMBER(D15),ISNUMBER(F15)),ROUNDDOWN(MIN(IF(OR(ISBLANK(I15),I15=""),EOMONTH(DATE(EINSTELLUNG!$C$35,$A$1,1),0),I15)-MAX(D15,DATE(EINSTELLUNG!$C$35,$A$1,1))+1)/DAY(EOMONTH(DATE(EINSTELLUNG!$C$35,$A$1,1),0))*F15,2),"")</f>
        <v>100.92</v>
      </c>
      <c r="I15" s="50">
        <v>46132</v>
      </c>
      <c r="J15" s="51"/>
      <c r="K15" s="281">
        <f t="shared" si="0"/>
        <v>0</v>
      </c>
      <c r="L15" s="283">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1238.42</v>
      </c>
      <c r="M15" s="52"/>
      <c r="N15" s="66" t="s">
        <v>184</v>
      </c>
      <c r="O15" s="358" t="s">
        <v>70</v>
      </c>
      <c r="P15" s="297"/>
      <c r="Q15" s="298">
        <f>Q13-Q14</f>
        <v>6839.1399999999994</v>
      </c>
      <c r="R15" s="299"/>
      <c r="S15" s="301"/>
      <c r="T15" s="301"/>
      <c r="U15" s="301"/>
      <c r="V15" s="278"/>
    </row>
    <row r="16" spans="1:28" ht="22" customHeight="1" thickBot="1">
      <c r="A16" s="280" t="s">
        <v>71</v>
      </c>
      <c r="B16" s="91">
        <v>401394</v>
      </c>
      <c r="C16" s="39" t="s">
        <v>232</v>
      </c>
      <c r="D16" s="40">
        <v>44379</v>
      </c>
      <c r="E16" s="41" t="s">
        <v>2</v>
      </c>
      <c r="F16" s="42">
        <v>173</v>
      </c>
      <c r="G16" s="281">
        <f>IF(OR(E16="",F16=""),"",PID_KVLohnLookup($A$1,E16,F16,LOHNTABELLE!$H$4))</f>
        <v>2021</v>
      </c>
      <c r="H16" s="282">
        <f>IF(AND(ISNUMBER(D16),ISNUMBER(F16)),ROUNDDOWN(MIN(IF(OR(ISBLANK(I16),I16=""),EOMONTH(DATE(EINSTELLUNG!$C$35,$A$1,1),0),I16)-MAX(D16,DATE(EINSTELLUNG!$C$35,$A$1,1))+1)/DAY(EOMONTH(DATE(EINSTELLUNG!$C$35,$A$1,1),0))*F16,2),"")</f>
        <v>173</v>
      </c>
      <c r="I16" s="43"/>
      <c r="J16" s="44"/>
      <c r="K16" s="281">
        <f t="shared" si="0"/>
        <v>0</v>
      </c>
      <c r="L16" s="283">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2021</v>
      </c>
      <c r="M16" s="45"/>
      <c r="N16" s="65"/>
      <c r="O16" s="373" t="str">
        <f>IF(Q15&lt;0, "Schlecht! Zu wenig Stunden für Dienstplan.", IF(Q15&gt;0, "Du hast mehr als genug Stunden für Dienstplan.", ""))</f>
        <v>Du hast mehr als genug Stunden für Dienstplan.</v>
      </c>
      <c r="P16" s="303"/>
      <c r="Q16" s="303"/>
      <c r="R16" s="304"/>
      <c r="S16" s="305"/>
      <c r="T16" s="305"/>
      <c r="U16" s="305"/>
      <c r="V16" s="305"/>
      <c r="W16" s="306"/>
    </row>
    <row r="17" spans="1:29" ht="18" customHeight="1">
      <c r="A17" s="280" t="s">
        <v>72</v>
      </c>
      <c r="B17" s="92">
        <v>401406</v>
      </c>
      <c r="C17" s="46" t="s">
        <v>387</v>
      </c>
      <c r="D17" s="47">
        <v>36850</v>
      </c>
      <c r="E17" s="48" t="s">
        <v>10</v>
      </c>
      <c r="F17" s="49">
        <v>151.38</v>
      </c>
      <c r="G17" s="281">
        <f>IF(OR(E17="",F17=""),"",PID_KVLohnLookup($A$1,E17,F17,LOHNTABELLE!$H$4))</f>
        <v>2012.5</v>
      </c>
      <c r="H17" s="282">
        <f>IF(AND(ISNUMBER(D17),ISNUMBER(F17)),ROUNDDOWN(MIN(IF(OR(ISBLANK(I17),I17=""),EOMONTH(DATE(EINSTELLUNG!$C$35,$A$1,1),0),I17)-MAX(D17,DATE(EINSTELLUNG!$C$35,$A$1,1))+1)/DAY(EOMONTH(DATE(EINSTELLUNG!$C$35,$A$1,1),0))*F17,2),"")</f>
        <v>105.96</v>
      </c>
      <c r="I17" s="50">
        <v>46133</v>
      </c>
      <c r="J17" s="51"/>
      <c r="K17" s="281">
        <f t="shared" si="0"/>
        <v>0</v>
      </c>
      <c r="L17" s="283">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1408.75</v>
      </c>
      <c r="M17" s="52"/>
      <c r="N17" s="66" t="s">
        <v>194</v>
      </c>
      <c r="O17" s="357" t="s">
        <v>73</v>
      </c>
      <c r="P17" s="293"/>
      <c r="Q17" s="307">
        <f>SUM(L3:L82)</f>
        <v>104109.02666666667</v>
      </c>
      <c r="R17" s="308"/>
      <c r="S17" s="278"/>
      <c r="T17" s="278"/>
      <c r="U17" s="278"/>
      <c r="V17" s="278"/>
      <c r="W17" s="306"/>
    </row>
    <row r="18" spans="1:29" ht="18" customHeight="1">
      <c r="A18" s="280" t="s">
        <v>74</v>
      </c>
      <c r="B18" s="91">
        <v>401432</v>
      </c>
      <c r="C18" s="39" t="s">
        <v>234</v>
      </c>
      <c r="D18" s="40">
        <v>44441</v>
      </c>
      <c r="E18" s="41" t="s">
        <v>2</v>
      </c>
      <c r="F18" s="42">
        <v>173</v>
      </c>
      <c r="G18" s="281">
        <f>IF(OR(E18="",F18=""),"",PID_KVLohnLookup($A$1,E18,F18,LOHNTABELLE!$H$4))</f>
        <v>2021</v>
      </c>
      <c r="H18" s="282">
        <f>IF(AND(ISNUMBER(D18),ISNUMBER(F18)),ROUNDDOWN(MIN(IF(OR(ISBLANK(I18),I18=""),EOMONTH(DATE(EINSTELLUNG!$C$35,$A$1,1),0),I18)-MAX(D18,DATE(EINSTELLUNG!$C$35,$A$1,1))+1)/DAY(EOMONTH(DATE(EINSTELLUNG!$C$35,$A$1,1),0))*F18,2),"")</f>
        <v>109.56</v>
      </c>
      <c r="I18" s="43">
        <v>46131</v>
      </c>
      <c r="J18" s="44"/>
      <c r="K18" s="281">
        <f t="shared" si="0"/>
        <v>0</v>
      </c>
      <c r="L18" s="283">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1279.9666666666665</v>
      </c>
      <c r="M18" s="45"/>
      <c r="N18" s="65" t="s">
        <v>188</v>
      </c>
      <c r="O18" s="366" t="s">
        <v>371</v>
      </c>
      <c r="P18" s="310"/>
      <c r="Q18" s="311">
        <v>20</v>
      </c>
      <c r="R18" s="312"/>
      <c r="S18" s="278"/>
      <c r="T18" s="278"/>
      <c r="U18" s="278"/>
      <c r="V18" s="278"/>
    </row>
    <row r="19" spans="1:29" ht="18" customHeight="1">
      <c r="A19" s="280" t="s">
        <v>75</v>
      </c>
      <c r="B19" s="92">
        <v>401476</v>
      </c>
      <c r="C19" s="46" t="s">
        <v>236</v>
      </c>
      <c r="D19" s="47">
        <v>44504</v>
      </c>
      <c r="E19" s="48" t="s">
        <v>2</v>
      </c>
      <c r="F19" s="49">
        <v>173</v>
      </c>
      <c r="G19" s="281">
        <f>IF(OR(E19="",F19=""),"",PID_KVLohnLookup($A$1,E19,F19,LOHNTABELLE!$H$4))</f>
        <v>2021</v>
      </c>
      <c r="H19" s="282">
        <f>IF(AND(ISNUMBER(D19),ISNUMBER(F19)),ROUNDDOWN(MIN(IF(OR(ISBLANK(I19),I19=""),EOMONTH(DATE(EINSTELLUNG!$C$35,$A$1,1),0),I19)-MAX(D19,DATE(EINSTELLUNG!$C$35,$A$1,1))+1)/DAY(EOMONTH(DATE(EINSTELLUNG!$C$35,$A$1,1),0))*F19,2),"")</f>
        <v>103.8</v>
      </c>
      <c r="I19" s="50">
        <v>46130</v>
      </c>
      <c r="J19" s="51"/>
      <c r="K19" s="281">
        <f t="shared" si="0"/>
        <v>0</v>
      </c>
      <c r="L19" s="283">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1212.5999999999999</v>
      </c>
      <c r="M19" s="52"/>
      <c r="N19" s="66" t="s">
        <v>185</v>
      </c>
      <c r="O19" s="366" t="s">
        <v>293</v>
      </c>
      <c r="P19" s="310"/>
      <c r="Q19" s="311">
        <v>333</v>
      </c>
      <c r="R19" s="312"/>
      <c r="S19" s="278"/>
      <c r="T19" s="278"/>
      <c r="U19" s="278"/>
      <c r="V19" s="278"/>
    </row>
    <row r="20" spans="1:29" ht="22" customHeight="1">
      <c r="A20" s="280" t="s">
        <v>76</v>
      </c>
      <c r="B20" s="91">
        <v>401479</v>
      </c>
      <c r="C20" s="39" t="s">
        <v>237</v>
      </c>
      <c r="D20" s="40">
        <v>44511</v>
      </c>
      <c r="E20" s="41" t="s">
        <v>6</v>
      </c>
      <c r="F20" s="42">
        <v>173</v>
      </c>
      <c r="G20" s="281">
        <f>IF(OR(E20="",F20=""),"",PID_KVLohnLookup($A$1,E20,F20,LOHNTABELLE!$H$4))</f>
        <v>2160</v>
      </c>
      <c r="H20" s="282">
        <f>IF(AND(ISNUMBER(D20),ISNUMBER(F20)),ROUNDDOWN(MIN(IF(OR(ISBLANK(I20),I20=""),EOMONTH(DATE(EINSTELLUNG!$C$35,$A$1,1),0),I20)-MAX(D20,DATE(EINSTELLUNG!$C$35,$A$1,1))+1)/DAY(EOMONTH(DATE(EINSTELLUNG!$C$35,$A$1,1),0))*F20,2),"")</f>
        <v>173</v>
      </c>
      <c r="I20" s="43"/>
      <c r="J20" s="44"/>
      <c r="K20" s="281">
        <f t="shared" si="0"/>
        <v>0</v>
      </c>
      <c r="L20" s="283">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2160</v>
      </c>
      <c r="M20" s="45"/>
      <c r="N20" s="65"/>
      <c r="O20" s="366" t="s">
        <v>293</v>
      </c>
      <c r="P20" s="310"/>
      <c r="Q20" s="311">
        <v>35</v>
      </c>
      <c r="R20" s="312"/>
      <c r="S20" s="278"/>
      <c r="T20" s="278"/>
      <c r="U20" s="278"/>
      <c r="V20" s="278"/>
    </row>
    <row r="21" spans="1:29" ht="18" customHeight="1">
      <c r="A21" s="280" t="s">
        <v>77</v>
      </c>
      <c r="B21" s="92">
        <v>401481</v>
      </c>
      <c r="C21" s="46" t="s">
        <v>238</v>
      </c>
      <c r="D21" s="47">
        <v>44531</v>
      </c>
      <c r="E21" s="48" t="s">
        <v>3</v>
      </c>
      <c r="F21" s="49">
        <v>173</v>
      </c>
      <c r="G21" s="281">
        <f>IF(OR(E21="",F21=""),"",PID_KVLohnLookup($A$1,E21,F21,LOHNTABELLE!$H$4))</f>
        <v>2082</v>
      </c>
      <c r="H21" s="282">
        <f>IF(AND(ISNUMBER(D21),ISNUMBER(F21)),ROUNDDOWN(MIN(IF(OR(ISBLANK(I21),I21=""),EOMONTH(DATE(EINSTELLUNG!$C$35,$A$1,1),0),I21)-MAX(D21,DATE(EINSTELLUNG!$C$35,$A$1,1))+1)/DAY(EOMONTH(DATE(EINSTELLUNG!$C$35,$A$1,1),0))*F21,2),"")</f>
        <v>115.33</v>
      </c>
      <c r="I21" s="50">
        <v>46132</v>
      </c>
      <c r="J21" s="51"/>
      <c r="K21" s="281">
        <f t="shared" si="0"/>
        <v>0</v>
      </c>
      <c r="L21" s="283">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1388</v>
      </c>
      <c r="M21" s="52"/>
      <c r="N21" s="66" t="s">
        <v>189</v>
      </c>
      <c r="O21" s="366" t="s">
        <v>293</v>
      </c>
      <c r="P21" s="310"/>
      <c r="Q21" s="311">
        <v>100</v>
      </c>
      <c r="R21" s="312"/>
      <c r="S21" s="278"/>
      <c r="T21" s="278"/>
      <c r="U21" s="278"/>
      <c r="V21" s="278"/>
    </row>
    <row r="22" spans="1:29" ht="22" customHeight="1">
      <c r="A22" s="280" t="s">
        <v>78</v>
      </c>
      <c r="B22" s="91">
        <v>401558</v>
      </c>
      <c r="C22" s="39" t="s">
        <v>235</v>
      </c>
      <c r="D22" s="40">
        <v>44460</v>
      </c>
      <c r="E22" s="41" t="s">
        <v>2</v>
      </c>
      <c r="F22" s="42">
        <v>173</v>
      </c>
      <c r="G22" s="281">
        <f>IF(OR(E22="",F22=""),"",PID_KVLohnLookup($A$1,E22,F22,LOHNTABELLE!$H$4))</f>
        <v>2021</v>
      </c>
      <c r="H22" s="282">
        <f>IF(AND(ISNUMBER(D22),ISNUMBER(F22)),ROUNDDOWN(MIN(IF(OR(ISBLANK(I22),I22=""),EOMONTH(DATE(EINSTELLUNG!$C$35,$A$1,1),0),I22)-MAX(D22,DATE(EINSTELLUNG!$C$35,$A$1,1))+1)/DAY(EOMONTH(DATE(EINSTELLUNG!$C$35,$A$1,1),0))*F22,2),"")</f>
        <v>173</v>
      </c>
      <c r="I22" s="43"/>
      <c r="J22" s="44"/>
      <c r="K22" s="281">
        <f t="shared" si="0"/>
        <v>0</v>
      </c>
      <c r="L22" s="283">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2021</v>
      </c>
      <c r="M22" s="45"/>
      <c r="N22" s="65"/>
      <c r="O22" s="366" t="s">
        <v>293</v>
      </c>
      <c r="P22" s="310"/>
      <c r="Q22" s="311"/>
      <c r="R22" s="312"/>
      <c r="S22" s="278"/>
      <c r="T22" s="278"/>
      <c r="U22" s="278"/>
      <c r="V22" s="278"/>
    </row>
    <row r="23" spans="1:29" ht="22" customHeight="1">
      <c r="A23" s="280" t="s">
        <v>79</v>
      </c>
      <c r="B23" s="92">
        <v>401564</v>
      </c>
      <c r="C23" s="46" t="s">
        <v>239</v>
      </c>
      <c r="D23" s="47">
        <v>44824</v>
      </c>
      <c r="E23" s="48" t="s">
        <v>2</v>
      </c>
      <c r="F23" s="49">
        <v>151.38</v>
      </c>
      <c r="G23" s="281">
        <f>IF(OR(E23="",F23=""),"",PID_KVLohnLookup($A$1,E23,F23,LOHNTABELLE!$H$4))</f>
        <v>1768.38</v>
      </c>
      <c r="H23" s="282">
        <f>IF(AND(ISNUMBER(D23),ISNUMBER(F23)),ROUNDDOWN(MIN(IF(OR(ISBLANK(I23),I23=""),EOMONTH(DATE(EINSTELLUNG!$C$35,$A$1,1),0),I23)-MAX(D23,DATE(EINSTELLUNG!$C$35,$A$1,1))+1)/DAY(EOMONTH(DATE(EINSTELLUNG!$C$35,$A$1,1),0))*F23,2),"")</f>
        <v>151.38</v>
      </c>
      <c r="I23" s="50"/>
      <c r="J23" s="51"/>
      <c r="K23" s="281">
        <f t="shared" si="0"/>
        <v>0</v>
      </c>
      <c r="L23" s="283">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1768.38</v>
      </c>
      <c r="M23" s="52"/>
      <c r="N23" s="66"/>
      <c r="O23" s="366" t="s">
        <v>293</v>
      </c>
      <c r="P23" s="310"/>
      <c r="Q23" s="311">
        <v>5000</v>
      </c>
      <c r="R23" s="312"/>
      <c r="S23" s="278"/>
      <c r="T23" s="278"/>
      <c r="U23" s="278"/>
      <c r="V23" s="278"/>
      <c r="W23" s="306"/>
    </row>
    <row r="24" spans="1:29" ht="22" customHeight="1">
      <c r="A24" s="280" t="s">
        <v>80</v>
      </c>
      <c r="B24" s="91">
        <v>401583</v>
      </c>
      <c r="C24" s="39" t="s">
        <v>241</v>
      </c>
      <c r="D24" s="40">
        <v>44900</v>
      </c>
      <c r="E24" s="41" t="s">
        <v>13</v>
      </c>
      <c r="F24" s="42">
        <v>173</v>
      </c>
      <c r="G24" s="281">
        <f>IF(OR(E24="",F24=""),"",PID_KVLohnLookup($A$1,E24,F24,LOHNTABELLE!$H$4))</f>
        <v>2328</v>
      </c>
      <c r="H24" s="282">
        <f>IF(AND(ISNUMBER(D24),ISNUMBER(F24)),ROUNDDOWN(MIN(IF(OR(ISBLANK(I24),I24=""),EOMONTH(DATE(EINSTELLUNG!$C$35,$A$1,1),0),I24)-MAX(D24,DATE(EINSTELLUNG!$C$35,$A$1,1))+1)/DAY(EOMONTH(DATE(EINSTELLUNG!$C$35,$A$1,1),0))*F24,2),"")</f>
        <v>173</v>
      </c>
      <c r="I24" s="43"/>
      <c r="J24" s="44"/>
      <c r="K24" s="281">
        <f t="shared" si="0"/>
        <v>0</v>
      </c>
      <c r="L24" s="283">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2328</v>
      </c>
      <c r="M24" s="45"/>
      <c r="N24" s="65"/>
      <c r="O24" s="366"/>
      <c r="P24" s="310"/>
      <c r="Q24" s="311"/>
      <c r="R24" s="312"/>
      <c r="S24" s="278"/>
      <c r="T24" s="278"/>
      <c r="U24" s="278"/>
      <c r="V24" s="278"/>
      <c r="W24" s="306"/>
    </row>
    <row r="25" spans="1:29" ht="22" customHeight="1">
      <c r="A25" s="280" t="s">
        <v>81</v>
      </c>
      <c r="B25" s="92">
        <v>401589</v>
      </c>
      <c r="C25" s="46" t="s">
        <v>242</v>
      </c>
      <c r="D25" s="47">
        <v>44926</v>
      </c>
      <c r="E25" s="48" t="s">
        <v>10</v>
      </c>
      <c r="F25" s="49">
        <v>173</v>
      </c>
      <c r="G25" s="281">
        <f>IF(OR(E25="",F25=""),"",PID_KVLohnLookup($A$1,E25,F25,LOHNTABELLE!$H$4))</f>
        <v>2300</v>
      </c>
      <c r="H25" s="282">
        <f>IF(AND(ISNUMBER(D25),ISNUMBER(F25)),ROUNDDOWN(MIN(IF(OR(ISBLANK(I25),I25=""),EOMONTH(DATE(EINSTELLUNG!$C$35,$A$1,1),0),I25)-MAX(D25,DATE(EINSTELLUNG!$C$35,$A$1,1))+1)/DAY(EOMONTH(DATE(EINSTELLUNG!$C$35,$A$1,1),0))*F25,2),"")</f>
        <v>173</v>
      </c>
      <c r="I25" s="50"/>
      <c r="J25" s="51"/>
      <c r="K25" s="281">
        <f t="shared" si="0"/>
        <v>0</v>
      </c>
      <c r="L25" s="283">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2300</v>
      </c>
      <c r="M25" s="52"/>
      <c r="N25" s="66"/>
      <c r="O25" s="366"/>
      <c r="P25" s="310"/>
      <c r="Q25" s="311"/>
      <c r="R25" s="312"/>
      <c r="S25" s="278"/>
      <c r="T25" s="278"/>
      <c r="U25" s="278"/>
      <c r="V25" s="278"/>
    </row>
    <row r="26" spans="1:29" ht="22" customHeight="1">
      <c r="A26" s="280" t="s">
        <v>82</v>
      </c>
      <c r="B26" s="91">
        <v>401602</v>
      </c>
      <c r="C26" s="39" t="s">
        <v>243</v>
      </c>
      <c r="D26" s="40">
        <v>45975</v>
      </c>
      <c r="E26" s="41" t="s">
        <v>2</v>
      </c>
      <c r="F26" s="42">
        <v>169</v>
      </c>
      <c r="G26" s="281">
        <f>IF(OR(E26="",F26=""),"",PID_KVLohnLookup($A$1,E26,F26,LOHNTABELLE!$H$4))</f>
        <v>2000</v>
      </c>
      <c r="H26" s="282">
        <f>IF(AND(ISNUMBER(D26),ISNUMBER(F26)),ROUNDDOWN(MIN(IF(OR(ISBLANK(I26),I26=""),EOMONTH(DATE(EINSTELLUNG!$C$35,$A$1,1),0),I26)-MAX(D26,DATE(EINSTELLUNG!$C$35,$A$1,1))+1)/DAY(EOMONTH(DATE(EINSTELLUNG!$C$35,$A$1,1),0))*F26,2),"")</f>
        <v>169</v>
      </c>
      <c r="I26" s="43"/>
      <c r="J26" s="44"/>
      <c r="K26" s="281">
        <f t="shared" si="0"/>
        <v>0</v>
      </c>
      <c r="L26" s="283">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2000</v>
      </c>
      <c r="M26" s="45"/>
      <c r="N26" s="65"/>
      <c r="O26" s="366"/>
      <c r="P26" s="310"/>
      <c r="Q26" s="311"/>
      <c r="R26" s="312"/>
      <c r="S26" s="278"/>
      <c r="T26" s="278"/>
      <c r="U26" s="278"/>
      <c r="V26" s="278"/>
    </row>
    <row r="27" spans="1:29" ht="22" customHeight="1">
      <c r="A27" s="280" t="s">
        <v>83</v>
      </c>
      <c r="B27" s="92">
        <v>401605</v>
      </c>
      <c r="C27" s="46" t="s">
        <v>244</v>
      </c>
      <c r="D27" s="47">
        <v>44986</v>
      </c>
      <c r="E27" s="48" t="s">
        <v>2</v>
      </c>
      <c r="F27" s="49">
        <v>173</v>
      </c>
      <c r="G27" s="281">
        <f>IF(OR(E27="",F27=""),"",PID_KVLohnLookup($A$1,E27,F27,LOHNTABELLE!$H$4))</f>
        <v>2021</v>
      </c>
      <c r="H27" s="282">
        <f>IF(AND(ISNUMBER(D27),ISNUMBER(F27)),ROUNDDOWN(MIN(IF(OR(ISBLANK(I27),I27=""),EOMONTH(DATE(EINSTELLUNG!$C$35,$A$1,1),0),I27)-MAX(D27,DATE(EINSTELLUNG!$C$35,$A$1,1))+1)/DAY(EOMONTH(DATE(EINSTELLUNG!$C$35,$A$1,1),0))*F27,2),"")</f>
        <v>173</v>
      </c>
      <c r="I27" s="50"/>
      <c r="J27" s="51"/>
      <c r="K27" s="281">
        <f t="shared" si="0"/>
        <v>0</v>
      </c>
      <c r="L27" s="283">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2021</v>
      </c>
      <c r="M27" s="52"/>
      <c r="N27" s="66"/>
      <c r="O27" s="366"/>
      <c r="P27" s="310"/>
      <c r="Q27" s="311"/>
      <c r="R27" s="312"/>
      <c r="S27" s="313" t="s">
        <v>84</v>
      </c>
      <c r="T27" s="313"/>
      <c r="U27" s="313"/>
      <c r="V27" s="313"/>
    </row>
    <row r="28" spans="1:29" ht="22" customHeight="1">
      <c r="A28" s="280" t="s">
        <v>85</v>
      </c>
      <c r="B28" s="91">
        <v>401605</v>
      </c>
      <c r="C28" s="39" t="s">
        <v>387</v>
      </c>
      <c r="D28" s="40">
        <v>36850</v>
      </c>
      <c r="E28" s="41" t="s">
        <v>10</v>
      </c>
      <c r="F28" s="42">
        <v>151.38</v>
      </c>
      <c r="G28" s="281">
        <f>IF(OR(E28="",F28=""),"",PID_KVLohnLookup($A$1,E28,F28,LOHNTABELLE!$H$4))</f>
        <v>2012.5</v>
      </c>
      <c r="H28" s="282">
        <f>IF(AND(ISNUMBER(D28),ISNUMBER(F28)),ROUNDDOWN(MIN(IF(OR(ISBLANK(I28),I28=""),EOMONTH(DATE(EINSTELLUNG!$C$35,$A$1,1),0),I28)-MAX(D28,DATE(EINSTELLUNG!$C$35,$A$1,1))+1)/DAY(EOMONTH(DATE(EINSTELLUNG!$C$35,$A$1,1),0))*F28,2),"")</f>
        <v>151.38</v>
      </c>
      <c r="I28" s="43"/>
      <c r="J28" s="44"/>
      <c r="K28" s="281">
        <f t="shared" si="0"/>
        <v>0</v>
      </c>
      <c r="L28" s="283">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2012.5</v>
      </c>
      <c r="M28" s="45"/>
      <c r="N28" s="65"/>
      <c r="O28" s="366"/>
      <c r="P28" s="310"/>
      <c r="Q28" s="311"/>
      <c r="R28" s="312"/>
      <c r="S28" s="278"/>
      <c r="T28" s="278"/>
      <c r="U28" s="278"/>
      <c r="V28" s="278"/>
    </row>
    <row r="29" spans="1:29" ht="22" customHeight="1" thickBot="1">
      <c r="A29" s="280" t="s">
        <v>86</v>
      </c>
      <c r="B29" s="92">
        <v>401626</v>
      </c>
      <c r="C29" s="46" t="s">
        <v>245</v>
      </c>
      <c r="D29" s="47">
        <v>45063</v>
      </c>
      <c r="E29" s="48" t="s">
        <v>2</v>
      </c>
      <c r="F29" s="49">
        <v>173</v>
      </c>
      <c r="G29" s="281">
        <f>IF(OR(E29="",F29=""),"",PID_KVLohnLookup($A$1,E29,F29,LOHNTABELLE!$H$4))</f>
        <v>2021</v>
      </c>
      <c r="H29" s="282">
        <f>IF(AND(ISNUMBER(D29),ISNUMBER(F29)),ROUNDDOWN(MIN(IF(OR(ISBLANK(I29),I29=""),EOMONTH(DATE(EINSTELLUNG!$C$35,$A$1,1),0),I29)-MAX(D29,DATE(EINSTELLUNG!$C$35,$A$1,1))+1)/DAY(EOMONTH(DATE(EINSTELLUNG!$C$35,$A$1,1),0))*F29,2),"")</f>
        <v>173</v>
      </c>
      <c r="I29" s="50"/>
      <c r="J29" s="51"/>
      <c r="K29" s="281">
        <f t="shared" si="0"/>
        <v>0</v>
      </c>
      <c r="L29" s="283">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2021</v>
      </c>
      <c r="M29" s="52"/>
      <c r="N29" s="66"/>
      <c r="O29" s="367" t="s">
        <v>87</v>
      </c>
      <c r="P29" s="315"/>
      <c r="Q29" s="316">
        <f>EINSTELLUNG!O9</f>
        <v>1250</v>
      </c>
      <c r="R29" s="317"/>
      <c r="S29" s="278"/>
      <c r="T29" s="278"/>
      <c r="U29" s="278"/>
      <c r="V29" s="278"/>
    </row>
    <row r="30" spans="1:29" ht="22" customHeight="1" thickBot="1">
      <c r="A30" s="280" t="s">
        <v>88</v>
      </c>
      <c r="B30" s="91">
        <v>401633</v>
      </c>
      <c r="C30" s="39" t="s">
        <v>246</v>
      </c>
      <c r="D30" s="40">
        <v>45089</v>
      </c>
      <c r="E30" s="41" t="s">
        <v>10</v>
      </c>
      <c r="F30" s="42">
        <v>173</v>
      </c>
      <c r="G30" s="281">
        <f>IF(OR(E30="",F30=""),"",PID_KVLohnLookup($A$1,E30,F30,LOHNTABELLE!$H$4))</f>
        <v>2300</v>
      </c>
      <c r="H30" s="282">
        <f>IF(AND(ISNUMBER(D30),ISNUMBER(F30)),ROUNDDOWN(MIN(IF(OR(ISBLANK(I30),I30=""),EOMONTH(DATE(EINSTELLUNG!$C$35,$A$1,1),0),I30)-MAX(D30,DATE(EINSTELLUNG!$C$35,$A$1,1))+1)/DAY(EOMONTH(DATE(EINSTELLUNG!$C$35,$A$1,1),0))*F30,2),"")</f>
        <v>173</v>
      </c>
      <c r="I30" s="43"/>
      <c r="J30" s="44"/>
      <c r="K30" s="281">
        <f t="shared" si="0"/>
        <v>0</v>
      </c>
      <c r="L30" s="283">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2300</v>
      </c>
      <c r="M30" s="45"/>
      <c r="N30" s="65"/>
      <c r="O30" s="278"/>
      <c r="P30" s="278"/>
      <c r="Q30" s="278"/>
      <c r="R30" s="278"/>
      <c r="S30" s="278"/>
      <c r="T30" s="278"/>
      <c r="U30" s="278"/>
      <c r="V30" s="278"/>
      <c r="W30" s="318"/>
      <c r="X30" s="318"/>
      <c r="Y30" s="318"/>
      <c r="Z30" s="318"/>
      <c r="AA30" s="318"/>
      <c r="AB30" s="318"/>
      <c r="AC30" s="318"/>
    </row>
    <row r="31" spans="1:29" ht="22" customHeight="1" thickBot="1">
      <c r="A31" s="280" t="s">
        <v>89</v>
      </c>
      <c r="B31" s="92">
        <v>401647</v>
      </c>
      <c r="C31" s="46" t="s">
        <v>247</v>
      </c>
      <c r="D31" s="47">
        <v>45182</v>
      </c>
      <c r="E31" s="48" t="s">
        <v>2</v>
      </c>
      <c r="F31" s="49">
        <v>173</v>
      </c>
      <c r="G31" s="281">
        <f>IF(OR(E31="",F31=""),"",PID_KVLohnLookup($A$1,E31,F31,LOHNTABELLE!$H$4))</f>
        <v>2021</v>
      </c>
      <c r="H31" s="282">
        <f>IF(AND(ISNUMBER(D31),ISNUMBER(F31)),ROUNDDOWN(MIN(IF(OR(ISBLANK(I31),I31=""),EOMONTH(DATE(EINSTELLUNG!$C$35,$A$1,1),0),I31)-MAX(D31,DATE(EINSTELLUNG!$C$35,$A$1,1))+1)/DAY(EOMONTH(DATE(EINSTELLUNG!$C$35,$A$1,1),0))*F31,2),"")</f>
        <v>173</v>
      </c>
      <c r="I31" s="50"/>
      <c r="J31" s="51"/>
      <c r="K31" s="281">
        <f t="shared" si="0"/>
        <v>0</v>
      </c>
      <c r="L31" s="283">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2021</v>
      </c>
      <c r="M31" s="52"/>
      <c r="N31" s="66"/>
      <c r="O31" s="368" t="s">
        <v>415</v>
      </c>
      <c r="P31" s="320"/>
      <c r="Q31" s="321">
        <v>3.3333333333333333E-2</v>
      </c>
      <c r="R31" s="322"/>
      <c r="S31" s="278"/>
      <c r="T31" s="278"/>
      <c r="U31" s="278"/>
      <c r="V31" s="278"/>
    </row>
    <row r="32" spans="1:29" ht="22" customHeight="1" thickBot="1">
      <c r="A32" s="280" t="s">
        <v>91</v>
      </c>
      <c r="B32" s="91">
        <v>401661</v>
      </c>
      <c r="C32" s="39" t="s">
        <v>248</v>
      </c>
      <c r="D32" s="40">
        <v>45261</v>
      </c>
      <c r="E32" s="41" t="s">
        <v>2</v>
      </c>
      <c r="F32" s="42">
        <v>173</v>
      </c>
      <c r="G32" s="281">
        <f>IF(OR(E32="",F32=""),"",PID_KVLohnLookup($A$1,E32,F32,LOHNTABELLE!$H$4))</f>
        <v>2021</v>
      </c>
      <c r="H32" s="282">
        <f>IF(AND(ISNUMBER(D32),ISNUMBER(F32)),ROUNDDOWN(MIN(IF(OR(ISBLANK(I32),I32=""),EOMONTH(DATE(EINSTELLUNG!$C$35,$A$1,1),0),I32)-MAX(D32,DATE(EINSTELLUNG!$C$35,$A$1,1))+1)/DAY(EOMONTH(DATE(EINSTELLUNG!$C$35,$A$1,1),0))*F32,2),"")</f>
        <v>173</v>
      </c>
      <c r="I32" s="43"/>
      <c r="J32" s="44"/>
      <c r="K32" s="281">
        <f t="shared" si="0"/>
        <v>0</v>
      </c>
      <c r="L32" s="283">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2021</v>
      </c>
      <c r="M32" s="45"/>
      <c r="N32" s="65"/>
      <c r="O32" s="278"/>
      <c r="P32" s="278"/>
      <c r="Q32" s="278"/>
      <c r="R32" s="278"/>
      <c r="S32" s="278"/>
      <c r="T32" s="278"/>
      <c r="U32" s="278"/>
      <c r="V32" s="278"/>
    </row>
    <row r="33" spans="1:22" ht="22" customHeight="1">
      <c r="A33" s="280" t="s">
        <v>92</v>
      </c>
      <c r="B33" s="92">
        <v>401670</v>
      </c>
      <c r="C33" s="46" t="s">
        <v>249</v>
      </c>
      <c r="D33" s="47">
        <v>45358</v>
      </c>
      <c r="E33" s="48" t="s">
        <v>2</v>
      </c>
      <c r="F33" s="49">
        <v>173</v>
      </c>
      <c r="G33" s="281">
        <f>IF(OR(E33="",F33=""),"",PID_KVLohnLookup($A$1,E33,F33,LOHNTABELLE!$H$4))</f>
        <v>2021</v>
      </c>
      <c r="H33" s="282">
        <f>IF(AND(ISNUMBER(D33),ISNUMBER(F33)),ROUNDDOWN(MIN(IF(OR(ISBLANK(I33),I33=""),EOMONTH(DATE(EINSTELLUNG!$C$35,$A$1,1),0),I33)-MAX(D33,DATE(EINSTELLUNG!$C$35,$A$1,1))+1)/DAY(EOMONTH(DATE(EINSTELLUNG!$C$35,$A$1,1),0))*F33,2),"")</f>
        <v>173</v>
      </c>
      <c r="I33" s="50"/>
      <c r="J33" s="51"/>
      <c r="K33" s="281">
        <f t="shared" si="0"/>
        <v>0</v>
      </c>
      <c r="L33" s="283">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2021</v>
      </c>
      <c r="M33" s="52"/>
      <c r="N33" s="66"/>
      <c r="O33" s="369"/>
      <c r="P33" s="324"/>
      <c r="Q33" s="263" t="str">
        <f>EINSTELLUNG!B3</f>
        <v>Budget</v>
      </c>
      <c r="R33" s="263"/>
      <c r="S33" s="263" t="str">
        <f>EINSTELLUNG!B19</f>
        <v>Projection/Aktuell Zahlen</v>
      </c>
      <c r="T33" s="263"/>
      <c r="U33" s="263" t="s">
        <v>95</v>
      </c>
      <c r="V33" s="264"/>
    </row>
    <row r="34" spans="1:22" ht="22" customHeight="1">
      <c r="A34" s="280" t="s">
        <v>96</v>
      </c>
      <c r="B34" s="91">
        <v>401678</v>
      </c>
      <c r="C34" s="39" t="s">
        <v>250</v>
      </c>
      <c r="D34" s="40">
        <v>45414</v>
      </c>
      <c r="E34" s="41" t="s">
        <v>2</v>
      </c>
      <c r="F34" s="42">
        <v>173</v>
      </c>
      <c r="G34" s="281">
        <f>IF(OR(E34="",F34=""),"",PID_KVLohnLookup($A$1,E34,F34,LOHNTABELLE!$H$4))</f>
        <v>2021</v>
      </c>
      <c r="H34" s="282">
        <f>IF(AND(ISNUMBER(D34),ISNUMBER(F34)),ROUNDDOWN(MIN(IF(OR(ISBLANK(I34),I34=""),EOMONTH(DATE(EINSTELLUNG!$C$35,$A$1,1),0),I34)-MAX(D34,DATE(EINSTELLUNG!$C$35,$A$1,1))+1)/DAY(EOMONTH(DATE(EINSTELLUNG!$C$35,$A$1,1),0))*F34,2),"")</f>
        <v>173</v>
      </c>
      <c r="I34" s="43"/>
      <c r="J34" s="44"/>
      <c r="K34" s="281">
        <f t="shared" si="0"/>
        <v>0</v>
      </c>
      <c r="L34" s="283">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2021</v>
      </c>
      <c r="M34" s="45"/>
      <c r="N34" s="65"/>
      <c r="O34" s="370"/>
      <c r="P34" s="326"/>
      <c r="Q34" s="327"/>
      <c r="R34" s="327"/>
      <c r="S34" s="327"/>
      <c r="T34" s="327"/>
      <c r="U34" s="327"/>
      <c r="V34" s="328"/>
    </row>
    <row r="35" spans="1:22" ht="22" customHeight="1">
      <c r="A35" s="280" t="s">
        <v>97</v>
      </c>
      <c r="B35" s="92">
        <v>401690</v>
      </c>
      <c r="C35" s="46" t="s">
        <v>252</v>
      </c>
      <c r="D35" s="47">
        <v>45536</v>
      </c>
      <c r="E35" s="48" t="s">
        <v>2</v>
      </c>
      <c r="F35" s="49">
        <v>151.38</v>
      </c>
      <c r="G35" s="281">
        <f>IF(OR(E35="",F35=""),"",PID_KVLohnLookup($A$1,E35,F35,LOHNTABELLE!$H$4))</f>
        <v>1768.38</v>
      </c>
      <c r="H35" s="282">
        <f>IF(AND(ISNUMBER(D35),ISNUMBER(F35)),ROUNDDOWN(MIN(IF(OR(ISBLANK(I35),I35=""),EOMONTH(DATE(EINSTELLUNG!$C$35,$A$1,1),0),I35)-MAX(D35,DATE(EINSTELLUNG!$C$35,$A$1,1))+1)/DAY(EOMONTH(DATE(EINSTELLUNG!$C$35,$A$1,1),0))*F35,2),"")</f>
        <v>151.38</v>
      </c>
      <c r="I35" s="50"/>
      <c r="J35" s="51"/>
      <c r="K35" s="281">
        <f t="shared" ref="K35:K66" si="1">IF(OR(B35="",C35=""),"",IFERROR(IF(OR(MONTH(D35)=1,MONTH(D35)=3,MONTH(D35)=5,MONTH(D35)=7,MONTH(D35)=8,MONTH(D35)=10,MONTH(D35)=12),(G35/31)*J35,IF(OR(MONTH(D35)=4,MONTH(D35)=6,MONTH(D35)=9,MONTH(D35)=11),(G35/30)*J35,(G35/DAY(EOMONTH(D35,0)))*J35)),0))</f>
        <v>0</v>
      </c>
      <c r="L35" s="283">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1768.38</v>
      </c>
      <c r="M35" s="52"/>
      <c r="N35" s="66"/>
      <c r="O35" s="358" t="s">
        <v>98</v>
      </c>
      <c r="P35" s="297"/>
      <c r="Q35" s="329">
        <f>EINSTELLUNG!C9</f>
        <v>400000</v>
      </c>
      <c r="R35" s="329"/>
      <c r="S35" s="329">
        <f>EINSTELLUNG!C25</f>
        <v>300000</v>
      </c>
      <c r="T35" s="329"/>
      <c r="U35" s="329">
        <f>S35-Q35</f>
        <v>-100000</v>
      </c>
      <c r="V35" s="330"/>
    </row>
    <row r="36" spans="1:22" ht="22" customHeight="1">
      <c r="A36" s="280" t="s">
        <v>99</v>
      </c>
      <c r="B36" s="91">
        <v>401703</v>
      </c>
      <c r="C36" s="39" t="s">
        <v>253</v>
      </c>
      <c r="D36" s="40">
        <v>45616</v>
      </c>
      <c r="E36" s="41" t="s">
        <v>2</v>
      </c>
      <c r="F36" s="42">
        <v>173</v>
      </c>
      <c r="G36" s="281">
        <f>IF(OR(E36="",F36=""),"",PID_KVLohnLookup($A$1,E36,F36,LOHNTABELLE!$H$4))</f>
        <v>2021</v>
      </c>
      <c r="H36" s="282">
        <f>IF(AND(ISNUMBER(D36),ISNUMBER(F36)),ROUNDDOWN(MIN(IF(OR(ISBLANK(I36),I36=""),EOMONTH(DATE(EINSTELLUNG!$C$35,$A$1,1),0),I36)-MAX(D36,DATE(EINSTELLUNG!$C$35,$A$1,1))+1)/DAY(EOMONTH(DATE(EINSTELLUNG!$C$35,$A$1,1),0))*F36,2),"")</f>
        <v>173</v>
      </c>
      <c r="I36" s="43"/>
      <c r="J36" s="44"/>
      <c r="K36" s="281">
        <f t="shared" si="1"/>
        <v>0</v>
      </c>
      <c r="L36" s="283">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2021</v>
      </c>
      <c r="M36" s="45"/>
      <c r="N36" s="65"/>
      <c r="O36" s="358" t="s">
        <v>100</v>
      </c>
      <c r="P36" s="297"/>
      <c r="Q36" s="329">
        <f>EINSTELLUNG!D9</f>
        <v>100000</v>
      </c>
      <c r="R36" s="329"/>
      <c r="S36" s="329">
        <f ca="1">SumMergedCells(Q17:R29)</f>
        <v>110847.0267</v>
      </c>
      <c r="T36" s="329"/>
      <c r="U36" s="329">
        <f t="shared" ref="U36:U41" ca="1" si="2">S36-Q36</f>
        <v>10847.026700000002</v>
      </c>
      <c r="V36" s="330"/>
    </row>
    <row r="37" spans="1:22" ht="22" customHeight="1">
      <c r="A37" s="280" t="s">
        <v>101</v>
      </c>
      <c r="B37" s="92">
        <v>401715</v>
      </c>
      <c r="C37" s="46" t="s">
        <v>255</v>
      </c>
      <c r="D37" s="47">
        <v>45755</v>
      </c>
      <c r="E37" s="48" t="s">
        <v>2</v>
      </c>
      <c r="F37" s="49">
        <v>173</v>
      </c>
      <c r="G37" s="281">
        <f>IF(OR(E37="",F37=""),"",PID_KVLohnLookup($A$1,E37,F37,LOHNTABELLE!$H$4))</f>
        <v>2021</v>
      </c>
      <c r="H37" s="282">
        <f>IF(AND(ISNUMBER(D37),ISNUMBER(F37)),ROUNDDOWN(MIN(IF(OR(ISBLANK(I37),I37=""),EOMONTH(DATE(EINSTELLUNG!$C$35,$A$1,1),0),I37)-MAX(D37,DATE(EINSTELLUNG!$C$35,$A$1,1))+1)/DAY(EOMONTH(DATE(EINSTELLUNG!$C$35,$A$1,1),0))*F37,2),"")</f>
        <v>173</v>
      </c>
      <c r="I37" s="50"/>
      <c r="J37" s="51"/>
      <c r="K37" s="281">
        <f t="shared" si="1"/>
        <v>0</v>
      </c>
      <c r="L37" s="283">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2021</v>
      </c>
      <c r="M37" s="52"/>
      <c r="N37" s="66"/>
      <c r="O37" s="358" t="s">
        <v>102</v>
      </c>
      <c r="P37" s="297"/>
      <c r="Q37" s="331">
        <f>IF(ISERROR(Q36/Q35), 0, Q36/Q35)</f>
        <v>0.25</v>
      </c>
      <c r="R37" s="331"/>
      <c r="S37" s="331">
        <f ca="1">IF(ISERROR(S36/S35), 0, S36/S35)</f>
        <v>0.36949008900000002</v>
      </c>
      <c r="T37" s="331"/>
      <c r="U37" s="331">
        <f t="shared" ca="1" si="2"/>
        <v>0.11949008900000002</v>
      </c>
      <c r="V37" s="332"/>
    </row>
    <row r="38" spans="1:22" ht="22" customHeight="1">
      <c r="A38" s="280" t="s">
        <v>103</v>
      </c>
      <c r="B38" s="91">
        <v>401716</v>
      </c>
      <c r="C38" s="39" t="s">
        <v>256</v>
      </c>
      <c r="D38" s="40">
        <v>45800</v>
      </c>
      <c r="E38" s="41" t="s">
        <v>2</v>
      </c>
      <c r="F38" s="42">
        <v>173</v>
      </c>
      <c r="G38" s="281">
        <f>IF(OR(E38="",F38=""),"",PID_KVLohnLookup($A$1,E38,F38,LOHNTABELLE!$H$4))</f>
        <v>2021</v>
      </c>
      <c r="H38" s="282">
        <f>IF(AND(ISNUMBER(D38),ISNUMBER(F38)),ROUNDDOWN(MIN(IF(OR(ISBLANK(I38),I38=""),EOMONTH(DATE(EINSTELLUNG!$C$35,$A$1,1),0),I38)-MAX(D38,DATE(EINSTELLUNG!$C$35,$A$1,1))+1)/DAY(EOMONTH(DATE(EINSTELLUNG!$C$35,$A$1,1),0))*F38,2),"")</f>
        <v>173</v>
      </c>
      <c r="I38" s="43"/>
      <c r="J38" s="44"/>
      <c r="K38" s="281">
        <f t="shared" si="1"/>
        <v>0</v>
      </c>
      <c r="L38" s="283">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2021</v>
      </c>
      <c r="M38" s="45"/>
      <c r="N38" s="65"/>
      <c r="O38" s="358" t="s">
        <v>104</v>
      </c>
      <c r="P38" s="297"/>
      <c r="Q38" s="298">
        <f>EINSTELLUNG!F9</f>
        <v>30000</v>
      </c>
      <c r="R38" s="298"/>
      <c r="S38" s="298">
        <f>EINSTELLUNG!F25</f>
        <v>25000</v>
      </c>
      <c r="T38" s="298"/>
      <c r="U38" s="298">
        <f t="shared" si="2"/>
        <v>-5000</v>
      </c>
      <c r="V38" s="299"/>
    </row>
    <row r="39" spans="1:22" ht="22" customHeight="1">
      <c r="A39" s="280" t="s">
        <v>105</v>
      </c>
      <c r="B39" s="92">
        <v>401717</v>
      </c>
      <c r="C39" s="46" t="s">
        <v>257</v>
      </c>
      <c r="D39" s="47">
        <v>45814</v>
      </c>
      <c r="E39" s="48" t="s">
        <v>2</v>
      </c>
      <c r="F39" s="49">
        <v>86.5</v>
      </c>
      <c r="G39" s="281">
        <f>IF(OR(E39="",F39=""),"",PID_KVLohnLookup($A$1,E39,F39,LOHNTABELLE!$H$4))</f>
        <v>1010.5</v>
      </c>
      <c r="H39" s="282">
        <f>IF(AND(ISNUMBER(D39),ISNUMBER(F39)),ROUNDDOWN(MIN(IF(OR(ISBLANK(I39),I39=""),EOMONTH(DATE(EINSTELLUNG!$C$35,$A$1,1),0),I39)-MAX(D39,DATE(EINSTELLUNG!$C$35,$A$1,1))+1)/DAY(EOMONTH(DATE(EINSTELLUNG!$C$35,$A$1,1),0))*F39,2),"")</f>
        <v>86.5</v>
      </c>
      <c r="I39" s="50"/>
      <c r="J39" s="51"/>
      <c r="K39" s="281">
        <f t="shared" si="1"/>
        <v>0</v>
      </c>
      <c r="L39" s="283">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52"/>
      <c r="N39" s="66"/>
      <c r="O39" s="358" t="s">
        <v>106</v>
      </c>
      <c r="P39" s="297"/>
      <c r="Q39" s="329">
        <f>IF(Q38=0, 0, Q35/Q38)</f>
        <v>13.333333333333334</v>
      </c>
      <c r="R39" s="329"/>
      <c r="S39" s="329">
        <f>IF(S38=0, 0, S35/S38)</f>
        <v>12</v>
      </c>
      <c r="T39" s="329"/>
      <c r="U39" s="329">
        <f t="shared" si="2"/>
        <v>-1.3333333333333339</v>
      </c>
      <c r="V39" s="330"/>
    </row>
    <row r="40" spans="1:22" ht="22" customHeight="1">
      <c r="A40" s="280" t="s">
        <v>107</v>
      </c>
      <c r="B40" s="91">
        <v>401722</v>
      </c>
      <c r="C40" s="39" t="s">
        <v>258</v>
      </c>
      <c r="D40" s="40">
        <v>45848</v>
      </c>
      <c r="E40" s="41" t="s">
        <v>2</v>
      </c>
      <c r="F40" s="42">
        <v>86.5</v>
      </c>
      <c r="G40" s="281">
        <f>IF(OR(E40="",F40=""),"",PID_KVLohnLookup($A$1,E40,F40,LOHNTABELLE!$H$4))</f>
        <v>1010.5</v>
      </c>
      <c r="H40" s="282">
        <f>IF(AND(ISNUMBER(D40),ISNUMBER(F40)),ROUNDDOWN(MIN(IF(OR(ISBLANK(I40),I40=""),EOMONTH(DATE(EINSTELLUNG!$C$35,$A$1,1),0),I40)-MAX(D40,DATE(EINSTELLUNG!$C$35,$A$1,1))+1)/DAY(EOMONTH(DATE(EINSTELLUNG!$C$35,$A$1,1),0))*F40,2),"")</f>
        <v>86.5</v>
      </c>
      <c r="I40" s="43"/>
      <c r="J40" s="44"/>
      <c r="K40" s="281">
        <f t="shared" si="1"/>
        <v>0</v>
      </c>
      <c r="L40" s="283">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45"/>
      <c r="N40" s="65"/>
      <c r="O40" s="358" t="s">
        <v>108</v>
      </c>
      <c r="P40" s="297"/>
      <c r="Q40" s="329">
        <f>IF(Q13=0, 0, Q35/Q13)</f>
        <v>47.966576889223589</v>
      </c>
      <c r="R40" s="329"/>
      <c r="S40" s="329">
        <f>IF(Q13=0, 0, S35/Q13)</f>
        <v>35.974932666917695</v>
      </c>
      <c r="T40" s="329"/>
      <c r="U40" s="329">
        <f t="shared" si="2"/>
        <v>-11.991644222305894</v>
      </c>
      <c r="V40" s="330"/>
    </row>
    <row r="41" spans="1:22" ht="22" customHeight="1">
      <c r="A41" s="280" t="s">
        <v>109</v>
      </c>
      <c r="B41" s="92">
        <v>401723</v>
      </c>
      <c r="C41" s="46" t="s">
        <v>259</v>
      </c>
      <c r="D41" s="47">
        <v>45852</v>
      </c>
      <c r="E41" s="48" t="s">
        <v>2</v>
      </c>
      <c r="F41" s="49">
        <v>86.5</v>
      </c>
      <c r="G41" s="281">
        <f>IF(OR(E41="",F41=""),"",PID_KVLohnLookup($A$1,E41,F41,LOHNTABELLE!$H$4))</f>
        <v>1010.5</v>
      </c>
      <c r="H41" s="282">
        <f>IF(AND(ISNUMBER(D41),ISNUMBER(F41)),ROUNDDOWN(MIN(IF(OR(ISBLANK(I41),I41=""),EOMONTH(DATE(EINSTELLUNG!$C$35,$A$1,1),0),I41)-MAX(D41,DATE(EINSTELLUNG!$C$35,$A$1,1))+1)/DAY(EOMONTH(DATE(EINSTELLUNG!$C$35,$A$1,1),0))*F41,2),"")</f>
        <v>86.5</v>
      </c>
      <c r="I41" s="50"/>
      <c r="J41" s="51"/>
      <c r="K41" s="281">
        <f t="shared" si="1"/>
        <v>0</v>
      </c>
      <c r="L41" s="283">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52"/>
      <c r="N41" s="66"/>
      <c r="O41" s="371" t="s">
        <v>110</v>
      </c>
      <c r="P41" s="334"/>
      <c r="Q41" s="335">
        <f>IF(Q13=0, 0, Q38/Q13)</f>
        <v>3.5974932666917696</v>
      </c>
      <c r="R41" s="335"/>
      <c r="S41" s="335">
        <f>IF(Q13=0, 0, S38/Q13)</f>
        <v>2.9979110555764743</v>
      </c>
      <c r="T41" s="335"/>
      <c r="U41" s="335">
        <f t="shared" si="2"/>
        <v>-0.5995822111152953</v>
      </c>
      <c r="V41" s="336"/>
    </row>
    <row r="42" spans="1:22" ht="22" customHeight="1" thickBot="1">
      <c r="A42" s="280" t="s">
        <v>111</v>
      </c>
      <c r="B42" s="91">
        <v>401726</v>
      </c>
      <c r="C42" s="39" t="s">
        <v>260</v>
      </c>
      <c r="D42" s="40">
        <v>45870</v>
      </c>
      <c r="E42" s="41" t="s">
        <v>2</v>
      </c>
      <c r="F42" s="42">
        <v>86.5</v>
      </c>
      <c r="G42" s="281">
        <f>IF(OR(E42="",F42=""),"",PID_KVLohnLookup($A$1,E42,F42,LOHNTABELLE!$H$4))</f>
        <v>1010.5</v>
      </c>
      <c r="H42" s="282">
        <f>IF(AND(ISNUMBER(D42),ISNUMBER(F42)),ROUNDDOWN(MIN(IF(OR(ISBLANK(I42),I42=""),EOMONTH(DATE(EINSTELLUNG!$C$35,$A$1,1),0),I42)-MAX(D42,DATE(EINSTELLUNG!$C$35,$A$1,1))+1)/DAY(EOMONTH(DATE(EINSTELLUNG!$C$35,$A$1,1),0))*F42,2),"")</f>
        <v>86.5</v>
      </c>
      <c r="I42" s="43"/>
      <c r="J42" s="44"/>
      <c r="K42" s="281">
        <f t="shared" si="1"/>
        <v>0</v>
      </c>
      <c r="L42" s="283">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45"/>
      <c r="N42" s="130"/>
      <c r="O42" s="314" t="s">
        <v>112</v>
      </c>
      <c r="P42" s="315"/>
      <c r="Q42" s="337">
        <f>IFERROR(Q17/Q8, 0)</f>
        <v>11.786185508965858</v>
      </c>
      <c r="R42" s="338"/>
      <c r="S42" s="337"/>
      <c r="T42" s="337"/>
      <c r="U42" s="337"/>
      <c r="V42" s="317"/>
    </row>
    <row r="43" spans="1:22" ht="22" customHeight="1">
      <c r="A43" s="280" t="s">
        <v>113</v>
      </c>
      <c r="B43" s="92">
        <v>401730</v>
      </c>
      <c r="C43" s="46" t="s">
        <v>262</v>
      </c>
      <c r="D43" s="47">
        <v>45895</v>
      </c>
      <c r="E43" s="48" t="s">
        <v>2</v>
      </c>
      <c r="F43" s="49">
        <v>86.5</v>
      </c>
      <c r="G43" s="281">
        <f>IF(OR(E43="",F43=""),"",PID_KVLohnLookup($A$1,E43,F43,LOHNTABELLE!$H$4))</f>
        <v>1010.5</v>
      </c>
      <c r="H43" s="282">
        <f>IF(AND(ISNUMBER(D43),ISNUMBER(F43)),ROUNDDOWN(MIN(IF(OR(ISBLANK(I43),I43=""),EOMONTH(DATE(EINSTELLUNG!$C$35,$A$1,1),0),I43)-MAX(D43,DATE(EINSTELLUNG!$C$35,$A$1,1))+1)/DAY(EOMONTH(DATE(EINSTELLUNG!$C$35,$A$1,1),0))*F43,2),"")</f>
        <v>86.5</v>
      </c>
      <c r="I43" s="50"/>
      <c r="J43" s="51"/>
      <c r="K43" s="281">
        <f t="shared" si="1"/>
        <v>0</v>
      </c>
      <c r="L43" s="283">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1010.5</v>
      </c>
      <c r="M43" s="128"/>
      <c r="N43" s="66"/>
      <c r="O43" s="339"/>
      <c r="P43" s="339"/>
      <c r="Q43" s="339"/>
      <c r="R43" s="278"/>
      <c r="S43" s="278"/>
      <c r="T43" s="278"/>
      <c r="U43" s="278"/>
      <c r="V43" s="278"/>
    </row>
    <row r="44" spans="1:22" ht="22" customHeight="1">
      <c r="A44" s="280" t="s">
        <v>114</v>
      </c>
      <c r="B44" s="91">
        <v>401731</v>
      </c>
      <c r="C44" s="39" t="s">
        <v>261</v>
      </c>
      <c r="D44" s="40">
        <v>45899</v>
      </c>
      <c r="E44" s="41" t="s">
        <v>2</v>
      </c>
      <c r="F44" s="42">
        <v>86.5</v>
      </c>
      <c r="G44" s="281">
        <f>IF(OR(E44="",F44=""),"",PID_KVLohnLookup($A$1,E44,F44,LOHNTABELLE!$H$4))</f>
        <v>1010.5</v>
      </c>
      <c r="H44" s="282">
        <f>IF(AND(ISNUMBER(D44),ISNUMBER(F44)),ROUNDDOWN(MIN(IF(OR(ISBLANK(I44),I44=""),EOMONTH(DATE(EINSTELLUNG!$C$35,$A$1,1),0),I44)-MAX(D44,DATE(EINSTELLUNG!$C$35,$A$1,1))+1)/DAY(EOMONTH(DATE(EINSTELLUNG!$C$35,$A$1,1),0))*F44,2),"")</f>
        <v>86.5</v>
      </c>
      <c r="I44" s="43"/>
      <c r="J44" s="44"/>
      <c r="K44" s="281">
        <f t="shared" si="1"/>
        <v>0</v>
      </c>
      <c r="L44" s="283">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1010.5</v>
      </c>
      <c r="M44" s="129"/>
      <c r="N44" s="65"/>
      <c r="O44" s="340" t="s">
        <v>115</v>
      </c>
      <c r="P44" s="340"/>
      <c r="Q44" s="340"/>
      <c r="R44" s="340"/>
      <c r="S44" s="340"/>
      <c r="T44" s="340"/>
      <c r="U44" s="340"/>
      <c r="V44" s="340"/>
    </row>
    <row r="45" spans="1:22" ht="22" customHeight="1">
      <c r="A45" s="280" t="s">
        <v>116</v>
      </c>
      <c r="B45" s="92">
        <v>401734</v>
      </c>
      <c r="C45" s="46" t="s">
        <v>263</v>
      </c>
      <c r="D45" s="47">
        <v>45904</v>
      </c>
      <c r="E45" s="48" t="s">
        <v>2</v>
      </c>
      <c r="F45" s="49">
        <v>86.5</v>
      </c>
      <c r="G45" s="281">
        <f>IF(OR(E45="",F45=""),"",PID_KVLohnLookup($A$1,E45,F45,LOHNTABELLE!$H$4))</f>
        <v>1010.5</v>
      </c>
      <c r="H45" s="282">
        <f>IF(AND(ISNUMBER(D45),ISNUMBER(F45)),ROUNDDOWN(MIN(IF(OR(ISBLANK(I45),I45=""),EOMONTH(DATE(EINSTELLUNG!$C$35,$A$1,1),0),I45)-MAX(D45,DATE(EINSTELLUNG!$C$35,$A$1,1))+1)/DAY(EOMONTH(DATE(EINSTELLUNG!$C$35,$A$1,1),0))*F45,2),"")</f>
        <v>86.5</v>
      </c>
      <c r="I45" s="50"/>
      <c r="J45" s="51"/>
      <c r="K45" s="281">
        <f t="shared" si="1"/>
        <v>0</v>
      </c>
      <c r="L45" s="283">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1010.5</v>
      </c>
      <c r="M45" s="128"/>
      <c r="N45" s="66"/>
      <c r="O45" s="341"/>
      <c r="P45" s="341"/>
      <c r="Q45" s="341"/>
      <c r="R45" s="342"/>
      <c r="S45" s="342"/>
      <c r="T45" s="342"/>
      <c r="U45" s="342"/>
      <c r="V45" s="278"/>
    </row>
    <row r="46" spans="1:22" ht="22" customHeight="1">
      <c r="A46" s="280" t="s">
        <v>117</v>
      </c>
      <c r="B46" s="91">
        <v>401736</v>
      </c>
      <c r="C46" s="39" t="s">
        <v>264</v>
      </c>
      <c r="D46" s="40">
        <v>45906</v>
      </c>
      <c r="E46" s="41" t="s">
        <v>2</v>
      </c>
      <c r="F46" s="42">
        <v>86.5</v>
      </c>
      <c r="G46" s="281">
        <f>IF(OR(E46="",F46=""),"",PID_KVLohnLookup($A$1,E46,F46,LOHNTABELLE!$H$4))</f>
        <v>1010.5</v>
      </c>
      <c r="H46" s="282">
        <f>IF(AND(ISNUMBER(D46),ISNUMBER(F46)),ROUNDDOWN(MIN(IF(OR(ISBLANK(I46),I46=""),EOMONTH(DATE(EINSTELLUNG!$C$35,$A$1,1),0),I46)-MAX(D46,DATE(EINSTELLUNG!$C$35,$A$1,1))+1)/DAY(EOMONTH(DATE(EINSTELLUNG!$C$35,$A$1,1),0))*F46,2),"")</f>
        <v>86.5</v>
      </c>
      <c r="I46" s="43"/>
      <c r="J46" s="44"/>
      <c r="K46" s="281">
        <f t="shared" si="1"/>
        <v>0</v>
      </c>
      <c r="L46" s="283">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1010.5</v>
      </c>
      <c r="M46" s="129"/>
      <c r="N46" s="65"/>
      <c r="O46" s="278"/>
      <c r="P46" s="278"/>
      <c r="Q46" s="278"/>
      <c r="R46" s="278"/>
      <c r="S46" s="278"/>
      <c r="T46" s="278"/>
      <c r="U46" s="278"/>
      <c r="V46" s="278"/>
    </row>
    <row r="47" spans="1:22" ht="22" customHeight="1">
      <c r="A47" s="280" t="s">
        <v>118</v>
      </c>
      <c r="B47" s="92">
        <v>401737</v>
      </c>
      <c r="C47" s="46" t="s">
        <v>265</v>
      </c>
      <c r="D47" s="47">
        <v>45906</v>
      </c>
      <c r="E47" s="48" t="s">
        <v>2</v>
      </c>
      <c r="F47" s="49">
        <v>86.5</v>
      </c>
      <c r="G47" s="281">
        <f>IF(OR(E47="",F47=""),"",PID_KVLohnLookup($A$1,E47,F47,LOHNTABELLE!$H$4))</f>
        <v>1010.5</v>
      </c>
      <c r="H47" s="282">
        <f>IF(AND(ISNUMBER(D47),ISNUMBER(F47)),ROUNDDOWN(MIN(IF(OR(ISBLANK(I47),I47=""),EOMONTH(DATE(EINSTELLUNG!$C$35,$A$1,1),0),I47)-MAX(D47,DATE(EINSTELLUNG!$C$35,$A$1,1))+1)/DAY(EOMONTH(DATE(EINSTELLUNG!$C$35,$A$1,1),0))*F47,2),"")</f>
        <v>86.5</v>
      </c>
      <c r="I47" s="50"/>
      <c r="J47" s="51"/>
      <c r="K47" s="281">
        <f t="shared" si="1"/>
        <v>0</v>
      </c>
      <c r="L47" s="283">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1010.5</v>
      </c>
      <c r="M47" s="128"/>
      <c r="N47" s="66"/>
      <c r="O47" s="278"/>
      <c r="P47" s="278"/>
      <c r="Q47" s="278"/>
      <c r="R47" s="278"/>
      <c r="S47" s="278"/>
      <c r="T47" s="278"/>
      <c r="U47" s="278"/>
      <c r="V47" s="278"/>
    </row>
    <row r="48" spans="1:22" ht="22" customHeight="1">
      <c r="A48" s="280" t="s">
        <v>119</v>
      </c>
      <c r="B48" s="91">
        <v>401738</v>
      </c>
      <c r="C48" s="39" t="s">
        <v>266</v>
      </c>
      <c r="D48" s="43">
        <v>45909</v>
      </c>
      <c r="E48" s="41" t="s">
        <v>2</v>
      </c>
      <c r="F48" s="42">
        <v>86.5</v>
      </c>
      <c r="G48" s="281">
        <f>IF(OR(E48="",F48=""),"",PID_KVLohnLookup($A$1,E48,F48,LOHNTABELLE!$H$4))</f>
        <v>1010.5</v>
      </c>
      <c r="H48" s="282">
        <f>IF(AND(ISNUMBER(D48),ISNUMBER(F48)),ROUNDDOWN(MIN(IF(OR(ISBLANK(I48),I48=""),EOMONTH(DATE(EINSTELLUNG!$C$35,$A$1,1),0),I48)-MAX(D48,DATE(EINSTELLUNG!$C$35,$A$1,1))+1)/DAY(EOMONTH(DATE(EINSTELLUNG!$C$35,$A$1,1),0))*F48,2),"")</f>
        <v>86.5</v>
      </c>
      <c r="I48" s="43"/>
      <c r="J48" s="44"/>
      <c r="K48" s="281">
        <f t="shared" si="1"/>
        <v>0</v>
      </c>
      <c r="L48" s="283">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1010.5</v>
      </c>
      <c r="M48" s="129"/>
      <c r="N48" s="65"/>
      <c r="O48" s="278"/>
      <c r="P48" s="278"/>
      <c r="Q48" s="278"/>
      <c r="R48" s="278"/>
      <c r="S48" s="278"/>
      <c r="T48" s="278"/>
      <c r="U48" s="278"/>
      <c r="V48" s="278"/>
    </row>
    <row r="49" spans="1:22" ht="22" customHeight="1">
      <c r="A49" s="280" t="s">
        <v>120</v>
      </c>
      <c r="B49" s="92">
        <v>401745</v>
      </c>
      <c r="C49" s="46" t="s">
        <v>270</v>
      </c>
      <c r="D49" s="50">
        <v>45934</v>
      </c>
      <c r="E49" s="48" t="s">
        <v>2</v>
      </c>
      <c r="F49" s="49">
        <v>86.5</v>
      </c>
      <c r="G49" s="281">
        <f>IF(OR(E49="",F49=""),"",PID_KVLohnLookup($A$1,E49,F49,LOHNTABELLE!$H$4))</f>
        <v>1010.5</v>
      </c>
      <c r="H49" s="282">
        <f>IF(AND(ISNUMBER(D49),ISNUMBER(F49)),ROUNDDOWN(MIN(IF(OR(ISBLANK(I49),I49=""),EOMONTH(DATE(EINSTELLUNG!$C$35,$A$1,1),0),I49)-MAX(D49,DATE(EINSTELLUNG!$C$35,$A$1,1))+1)/DAY(EOMONTH(DATE(EINSTELLUNG!$C$35,$A$1,1),0))*F49,2),"")</f>
        <v>86.5</v>
      </c>
      <c r="I49" s="50"/>
      <c r="J49" s="51"/>
      <c r="K49" s="281">
        <f t="shared" si="1"/>
        <v>0</v>
      </c>
      <c r="L49" s="283">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1010.5</v>
      </c>
      <c r="M49" s="128"/>
      <c r="N49" s="66"/>
      <c r="O49" s="278"/>
      <c r="P49" s="278"/>
      <c r="Q49" s="278"/>
      <c r="R49" s="278"/>
      <c r="S49" s="278"/>
      <c r="T49" s="278"/>
      <c r="U49" s="278"/>
      <c r="V49" s="278"/>
    </row>
    <row r="50" spans="1:22" ht="22" customHeight="1">
      <c r="A50" s="280" t="s">
        <v>121</v>
      </c>
      <c r="B50" s="91">
        <v>401746</v>
      </c>
      <c r="C50" s="53" t="s">
        <v>269</v>
      </c>
      <c r="D50" s="43">
        <v>45941</v>
      </c>
      <c r="E50" s="41" t="s">
        <v>2</v>
      </c>
      <c r="F50" s="42">
        <v>86.5</v>
      </c>
      <c r="G50" s="281">
        <f>IF(OR(E50="",F50=""),"",PID_KVLohnLookup($A$1,E50,F50,LOHNTABELLE!$H$4))</f>
        <v>1010.5</v>
      </c>
      <c r="H50" s="282">
        <f>IF(AND(ISNUMBER(D50),ISNUMBER(F50)),ROUNDDOWN(MIN(IF(OR(ISBLANK(I50),I50=""),EOMONTH(DATE(EINSTELLUNG!$C$35,$A$1,1),0),I50)-MAX(D50,DATE(EINSTELLUNG!$C$35,$A$1,1))+1)/DAY(EOMONTH(DATE(EINSTELLUNG!$C$35,$A$1,1),0))*F50,2),"")</f>
        <v>86.5</v>
      </c>
      <c r="I50" s="43"/>
      <c r="J50" s="44"/>
      <c r="K50" s="281">
        <f t="shared" si="1"/>
        <v>0</v>
      </c>
      <c r="L50" s="283">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1010.5</v>
      </c>
      <c r="M50" s="129"/>
      <c r="N50" s="65"/>
      <c r="O50" s="278"/>
      <c r="P50" s="278"/>
      <c r="Q50" s="278"/>
      <c r="R50" s="278"/>
      <c r="S50" s="278"/>
      <c r="T50" s="278"/>
      <c r="U50" s="278"/>
      <c r="V50" s="278"/>
    </row>
    <row r="51" spans="1:22" ht="22" customHeight="1">
      <c r="A51" s="280" t="s">
        <v>122</v>
      </c>
      <c r="B51" s="92">
        <v>401747</v>
      </c>
      <c r="C51" s="46" t="s">
        <v>267</v>
      </c>
      <c r="D51" s="50">
        <v>45941</v>
      </c>
      <c r="E51" s="48" t="s">
        <v>2</v>
      </c>
      <c r="F51" s="49">
        <v>86.5</v>
      </c>
      <c r="G51" s="281">
        <f>IF(OR(E51="",F51=""),"",PID_KVLohnLookup($A$1,E51,F51,LOHNTABELLE!$H$4))</f>
        <v>1010.5</v>
      </c>
      <c r="H51" s="282">
        <f>IF(AND(ISNUMBER(D51),ISNUMBER(F51)),ROUNDDOWN(MIN(IF(OR(ISBLANK(I51),I51=""),EOMONTH(DATE(EINSTELLUNG!$C$35,$A$1,1),0),I51)-MAX(D51,DATE(EINSTELLUNG!$C$35,$A$1,1))+1)/DAY(EOMONTH(DATE(EINSTELLUNG!$C$35,$A$1,1),0))*F51,2),"")</f>
        <v>86.5</v>
      </c>
      <c r="I51" s="50"/>
      <c r="J51" s="51"/>
      <c r="K51" s="281">
        <f t="shared" si="1"/>
        <v>0</v>
      </c>
      <c r="L51" s="283">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1010.5</v>
      </c>
      <c r="M51" s="52"/>
      <c r="N51" s="127"/>
    </row>
    <row r="52" spans="1:22" ht="22" customHeight="1">
      <c r="A52" s="280" t="s">
        <v>123</v>
      </c>
      <c r="B52" s="91">
        <v>401748</v>
      </c>
      <c r="C52" s="39" t="s">
        <v>268</v>
      </c>
      <c r="D52" s="43">
        <v>45941</v>
      </c>
      <c r="E52" s="41" t="s">
        <v>2</v>
      </c>
      <c r="F52" s="42">
        <v>138.4</v>
      </c>
      <c r="G52" s="281">
        <f>IF(OR(E52="",F52=""),"",PID_KVLohnLookup($A$1,E52,F52,LOHNTABELLE!$H$4))</f>
        <v>1616.8</v>
      </c>
      <c r="H52" s="282">
        <f>IF(AND(ISNUMBER(D52),ISNUMBER(F52)),ROUNDDOWN(MIN(IF(OR(ISBLANK(I52),I52=""),EOMONTH(DATE(EINSTELLUNG!$C$35,$A$1,1),0),I52)-MAX(D52,DATE(EINSTELLUNG!$C$35,$A$1,1))+1)/DAY(EOMONTH(DATE(EINSTELLUNG!$C$35,$A$1,1),0))*F52,2),"")</f>
        <v>138.4</v>
      </c>
      <c r="I52" s="43"/>
      <c r="J52" s="44"/>
      <c r="K52" s="281">
        <f t="shared" si="1"/>
        <v>0</v>
      </c>
      <c r="L52" s="283">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1616.8</v>
      </c>
      <c r="M52" s="45"/>
      <c r="N52" s="65"/>
    </row>
    <row r="53" spans="1:22" ht="22" customHeight="1">
      <c r="A53" s="280" t="s">
        <v>124</v>
      </c>
      <c r="B53" s="92">
        <v>401751</v>
      </c>
      <c r="C53" s="46" t="s">
        <v>271</v>
      </c>
      <c r="D53" s="50">
        <v>45961</v>
      </c>
      <c r="E53" s="48" t="s">
        <v>2</v>
      </c>
      <c r="F53" s="49">
        <v>86.5</v>
      </c>
      <c r="G53" s="281">
        <f>IF(OR(E53="",F53=""),"",PID_KVLohnLookup($A$1,E53,F53,LOHNTABELLE!$H$4))</f>
        <v>1010.5</v>
      </c>
      <c r="H53" s="282">
        <f>IF(AND(ISNUMBER(D53),ISNUMBER(F53)),ROUNDDOWN(MIN(IF(OR(ISBLANK(I53),I53=""),EOMONTH(DATE(EINSTELLUNG!$C$35,$A$1,1),0),I53)-MAX(D53,DATE(EINSTELLUNG!$C$35,$A$1,1))+1)/DAY(EOMONTH(DATE(EINSTELLUNG!$C$35,$A$1,1),0))*F53,2),"")</f>
        <v>86.5</v>
      </c>
      <c r="I53" s="50"/>
      <c r="J53" s="51"/>
      <c r="K53" s="281">
        <f t="shared" si="1"/>
        <v>0</v>
      </c>
      <c r="L53" s="283">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1010.5</v>
      </c>
      <c r="M53" s="52"/>
      <c r="N53" s="66"/>
    </row>
    <row r="54" spans="1:22" ht="22" customHeight="1">
      <c r="A54" s="280" t="s">
        <v>125</v>
      </c>
      <c r="B54" s="91">
        <v>401752</v>
      </c>
      <c r="C54" s="39" t="s">
        <v>272</v>
      </c>
      <c r="D54" s="43">
        <v>45986</v>
      </c>
      <c r="E54" s="41" t="s">
        <v>2</v>
      </c>
      <c r="F54" s="42">
        <v>173</v>
      </c>
      <c r="G54" s="281">
        <f>IF(OR(E54="",F54=""),"",PID_KVLohnLookup($A$1,E54,F54,LOHNTABELLE!$H$4))</f>
        <v>2021</v>
      </c>
      <c r="H54" s="282">
        <f>IF(AND(ISNUMBER(D54),ISNUMBER(F54)),ROUNDDOWN(MIN(IF(OR(ISBLANK(I54),I54=""),EOMONTH(DATE(EINSTELLUNG!$C$35,$A$1,1),0),I54)-MAX(D54,DATE(EINSTELLUNG!$C$35,$A$1,1))+1)/DAY(EOMONTH(DATE(EINSTELLUNG!$C$35,$A$1,1),0))*F54,2),"")</f>
        <v>173</v>
      </c>
      <c r="I54" s="43"/>
      <c r="J54" s="44"/>
      <c r="K54" s="281">
        <f t="shared" si="1"/>
        <v>0</v>
      </c>
      <c r="L54" s="283">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2021</v>
      </c>
      <c r="M54" s="45"/>
      <c r="N54" s="65"/>
    </row>
    <row r="55" spans="1:22" ht="22" customHeight="1">
      <c r="A55" s="280" t="s">
        <v>126</v>
      </c>
      <c r="B55" s="92">
        <v>401999</v>
      </c>
      <c r="C55" s="46" t="s">
        <v>354</v>
      </c>
      <c r="D55" s="50">
        <v>46041</v>
      </c>
      <c r="E55" s="48" t="s">
        <v>2</v>
      </c>
      <c r="F55" s="49">
        <v>151.38</v>
      </c>
      <c r="G55" s="281">
        <f>IF(OR(E55="",F55=""),"",PID_KVLohnLookup($A$1,E55,F55,LOHNTABELLE!$H$4))</f>
        <v>1768.38</v>
      </c>
      <c r="H55" s="282">
        <f>IF(AND(ISNUMBER(D55),ISNUMBER(F55)),ROUNDDOWN(MIN(IF(OR(ISBLANK(I55),I55=""),EOMONTH(DATE(EINSTELLUNG!$C$35,$A$1,1),0),I55)-MAX(D55,DATE(EINSTELLUNG!$C$35,$A$1,1))+1)/DAY(EOMONTH(DATE(EINSTELLUNG!$C$35,$A$1,1),0))*F55,2),"")</f>
        <v>151.38</v>
      </c>
      <c r="I55" s="50"/>
      <c r="J55" s="51"/>
      <c r="K55" s="281">
        <f t="shared" si="1"/>
        <v>0</v>
      </c>
      <c r="L55" s="283">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1768.38</v>
      </c>
      <c r="M55" s="52"/>
      <c r="N55" s="66"/>
    </row>
    <row r="56" spans="1:22" ht="22" customHeight="1">
      <c r="A56" s="280" t="s">
        <v>127</v>
      </c>
      <c r="B56" s="91">
        <v>401999</v>
      </c>
      <c r="C56" s="39" t="s">
        <v>292</v>
      </c>
      <c r="D56" s="43">
        <v>46082</v>
      </c>
      <c r="E56" s="41" t="s">
        <v>2</v>
      </c>
      <c r="F56" s="42">
        <v>173</v>
      </c>
      <c r="G56" s="281">
        <f>IF(OR(E56="",F56=""),"",PID_KVLohnLookup($A$1,E56,F56,LOHNTABELLE!$H$4))</f>
        <v>2021</v>
      </c>
      <c r="H56" s="282">
        <f>IF(AND(ISNUMBER(D56),ISNUMBER(F56)),ROUNDDOWN(MIN(IF(OR(ISBLANK(I56),I56=""),EOMONTH(DATE(EINSTELLUNG!$C$35,$A$1,1),0),I56)-MAX(D56,DATE(EINSTELLUNG!$C$35,$A$1,1))+1)/DAY(EOMONTH(DATE(EINSTELLUNG!$C$35,$A$1,1),0))*F56,2),"")</f>
        <v>173</v>
      </c>
      <c r="I56" s="43"/>
      <c r="J56" s="44"/>
      <c r="K56" s="281">
        <f t="shared" si="1"/>
        <v>0</v>
      </c>
      <c r="L56" s="283">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2021</v>
      </c>
      <c r="M56" s="45"/>
      <c r="N56" s="65"/>
    </row>
    <row r="57" spans="1:22" ht="22" customHeight="1">
      <c r="A57" s="280" t="s">
        <v>128</v>
      </c>
      <c r="B57" s="92">
        <v>402004</v>
      </c>
      <c r="C57" s="46" t="s">
        <v>295</v>
      </c>
      <c r="D57" s="50">
        <v>46122</v>
      </c>
      <c r="E57" s="48" t="s">
        <v>2</v>
      </c>
      <c r="F57" s="49">
        <v>173</v>
      </c>
      <c r="G57" s="281">
        <f>IF(OR(E57="",F57=""),"",PID_KVLohnLookup($A$1,E57,F57,LOHNTABELLE!$H$4))</f>
        <v>2021</v>
      </c>
      <c r="H57" s="282">
        <f>IF(AND(ISNUMBER(D57),ISNUMBER(F57)),ROUNDDOWN(MIN(IF(OR(ISBLANK(I57),I57=""),EOMONTH(DATE(EINSTELLUNG!$C$35,$A$1,1),0),I57)-MAX(D57,DATE(EINSTELLUNG!$C$35,$A$1,1))+1)/DAY(EOMONTH(DATE(EINSTELLUNG!$C$35,$A$1,1),0))*F57,2),"")</f>
        <v>121.1</v>
      </c>
      <c r="I57" s="50"/>
      <c r="J57" s="51"/>
      <c r="K57" s="281">
        <f t="shared" si="1"/>
        <v>0</v>
      </c>
      <c r="L57" s="283">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1414.6999999999998</v>
      </c>
      <c r="M57" s="52"/>
      <c r="N57" s="66"/>
    </row>
    <row r="58" spans="1:22" ht="22" customHeight="1">
      <c r="A58" s="280" t="s">
        <v>129</v>
      </c>
      <c r="B58" s="91">
        <v>402405</v>
      </c>
      <c r="C58" s="39" t="s">
        <v>297</v>
      </c>
      <c r="D58" s="43">
        <v>46054</v>
      </c>
      <c r="E58" s="41" t="s">
        <v>2</v>
      </c>
      <c r="F58" s="42">
        <v>173</v>
      </c>
      <c r="G58" s="281">
        <f>IF(OR(E58="",F58=""),"",PID_KVLohnLookup($A$1,E58,F58,LOHNTABELLE!$H$4))</f>
        <v>2021</v>
      </c>
      <c r="H58" s="282">
        <f>IF(AND(ISNUMBER(D58),ISNUMBER(F58)),ROUNDDOWN(MIN(IF(OR(ISBLANK(I58),I58=""),EOMONTH(DATE(EINSTELLUNG!$C$35,$A$1,1),0),I58)-MAX(D58,DATE(EINSTELLUNG!$C$35,$A$1,1))+1)/DAY(EOMONTH(DATE(EINSTELLUNG!$C$35,$A$1,1),0))*F58,2),"")</f>
        <v>173</v>
      </c>
      <c r="I58" s="43"/>
      <c r="J58" s="44"/>
      <c r="K58" s="281">
        <f t="shared" si="1"/>
        <v>0</v>
      </c>
      <c r="L58" s="283">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2021</v>
      </c>
      <c r="M58" s="45"/>
      <c r="N58" s="65"/>
    </row>
    <row r="59" spans="1:22" ht="22" customHeight="1">
      <c r="A59" s="280" t="s">
        <v>130</v>
      </c>
      <c r="B59" s="92">
        <v>500600</v>
      </c>
      <c r="C59" s="46" t="s">
        <v>301</v>
      </c>
      <c r="D59" s="50">
        <v>46054</v>
      </c>
      <c r="E59" s="48" t="s">
        <v>2</v>
      </c>
      <c r="F59" s="49">
        <v>173</v>
      </c>
      <c r="G59" s="281">
        <f>IF(OR(E59="",F59=""),"",PID_KVLohnLookup($A$1,E59,F59,LOHNTABELLE!$H$4))</f>
        <v>2021</v>
      </c>
      <c r="H59" s="282">
        <f>IF(AND(ISNUMBER(D59),ISNUMBER(F59)),ROUNDDOWN(MIN(IF(OR(ISBLANK(I59),I59=""),EOMONTH(DATE(EINSTELLUNG!$C$35,$A$1,1),0),I59)-MAX(D59,DATE(EINSTELLUNG!$C$35,$A$1,1))+1)/DAY(EOMONTH(DATE(EINSTELLUNG!$C$35,$A$1,1),0))*F59,2),"")</f>
        <v>173</v>
      </c>
      <c r="I59" s="50"/>
      <c r="J59" s="51"/>
      <c r="K59" s="281">
        <f t="shared" si="1"/>
        <v>0</v>
      </c>
      <c r="L59" s="283">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2021</v>
      </c>
      <c r="M59" s="52"/>
      <c r="N59" s="66"/>
    </row>
    <row r="60" spans="1:22" ht="22" customHeight="1">
      <c r="A60" s="280" t="s">
        <v>131</v>
      </c>
      <c r="B60" s="91">
        <v>503000</v>
      </c>
      <c r="C60" s="39" t="s">
        <v>298</v>
      </c>
      <c r="D60" s="43">
        <v>42401</v>
      </c>
      <c r="E60" s="41" t="s">
        <v>2</v>
      </c>
      <c r="F60" s="42">
        <v>173</v>
      </c>
      <c r="G60" s="281">
        <f>IF(OR(E60="",F60=""),"",PID_KVLohnLookup($A$1,E60,F60,LOHNTABELLE!$H$4))</f>
        <v>2021</v>
      </c>
      <c r="H60" s="282">
        <f>IF(AND(ISNUMBER(D60),ISNUMBER(F60)),ROUNDDOWN(MIN(IF(OR(ISBLANK(I60),I60=""),EOMONTH(DATE(EINSTELLUNG!$C$35,$A$1,1),0),I60)-MAX(D60,DATE(EINSTELLUNG!$C$35,$A$1,1))+1)/DAY(EOMONTH(DATE(EINSTELLUNG!$C$35,$A$1,1),0))*F60,2),"")</f>
        <v>173</v>
      </c>
      <c r="I60" s="43"/>
      <c r="J60" s="44"/>
      <c r="K60" s="281">
        <f t="shared" si="1"/>
        <v>0</v>
      </c>
      <c r="L60" s="283">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2021</v>
      </c>
      <c r="M60" s="45"/>
      <c r="N60" s="65"/>
    </row>
    <row r="61" spans="1:22" ht="22" customHeight="1">
      <c r="A61" s="280" t="s">
        <v>132</v>
      </c>
      <c r="B61" s="92">
        <v>504000</v>
      </c>
      <c r="C61" s="46" t="s">
        <v>299</v>
      </c>
      <c r="D61" s="50">
        <v>46054</v>
      </c>
      <c r="E61" s="48" t="s">
        <v>3</v>
      </c>
      <c r="F61" s="49">
        <v>138.4</v>
      </c>
      <c r="G61" s="281">
        <f>IF(OR(E61="",F61=""),"",PID_KVLohnLookup($A$1,E61,F61,LOHNTABELLE!$H$4))</f>
        <v>1665.6</v>
      </c>
      <c r="H61" s="282">
        <f>IF(AND(ISNUMBER(D61),ISNUMBER(F61)),ROUNDDOWN(MIN(IF(OR(ISBLANK(I61),I61=""),EOMONTH(DATE(EINSTELLUNG!$C$35,$A$1,1),0),I61)-MAX(D61,DATE(EINSTELLUNG!$C$35,$A$1,1))+1)/DAY(EOMONTH(DATE(EINSTELLUNG!$C$35,$A$1,1),0))*F61,2),"")</f>
        <v>138.4</v>
      </c>
      <c r="I61" s="50"/>
      <c r="J61" s="51"/>
      <c r="K61" s="281">
        <f t="shared" si="1"/>
        <v>0</v>
      </c>
      <c r="L61" s="283">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1665.6</v>
      </c>
      <c r="M61" s="52"/>
      <c r="N61" s="66"/>
    </row>
    <row r="62" spans="1:22" ht="22" customHeight="1">
      <c r="A62" s="280" t="s">
        <v>133</v>
      </c>
      <c r="B62" s="91">
        <v>505000</v>
      </c>
      <c r="C62" s="39" t="s">
        <v>300</v>
      </c>
      <c r="D62" s="43">
        <v>46054</v>
      </c>
      <c r="E62" s="41" t="s">
        <v>2</v>
      </c>
      <c r="F62" s="42">
        <v>138.4</v>
      </c>
      <c r="G62" s="281">
        <f>IF(OR(E62="",F62=""),"",PID_KVLohnLookup($A$1,E62,F62,LOHNTABELLE!$H$4))</f>
        <v>1616.8</v>
      </c>
      <c r="H62" s="282">
        <f>IF(AND(ISNUMBER(D62),ISNUMBER(F62)),ROUNDDOWN(MIN(IF(OR(ISBLANK(I62),I62=""),EOMONTH(DATE(EINSTELLUNG!$C$35,$A$1,1),0),I62)-MAX(D62,DATE(EINSTELLUNG!$C$35,$A$1,1))+1)/DAY(EOMONTH(DATE(EINSTELLUNG!$C$35,$A$1,1),0))*F62,2),"")</f>
        <v>138.4</v>
      </c>
      <c r="I62" s="43"/>
      <c r="J62" s="44"/>
      <c r="K62" s="281">
        <f t="shared" si="1"/>
        <v>0</v>
      </c>
      <c r="L62" s="283">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1616.8</v>
      </c>
      <c r="M62" s="45"/>
      <c r="N62" s="65"/>
    </row>
    <row r="63" spans="1:22" ht="22" customHeight="1">
      <c r="A63" s="280" t="s">
        <v>134</v>
      </c>
      <c r="B63" s="92">
        <v>525025</v>
      </c>
      <c r="C63" s="46" t="s">
        <v>355</v>
      </c>
      <c r="D63" s="50">
        <v>46040</v>
      </c>
      <c r="E63" s="48" t="s">
        <v>2</v>
      </c>
      <c r="F63" s="49">
        <v>129.75</v>
      </c>
      <c r="G63" s="281">
        <f>IF(OR(E63="",F63=""),"",PID_KVLohnLookup($A$1,E63,F63,LOHNTABELLE!$H$4))</f>
        <v>1515.75</v>
      </c>
      <c r="H63" s="282">
        <f>IF(AND(ISNUMBER(D63),ISNUMBER(F63)),ROUNDDOWN(MIN(IF(OR(ISBLANK(I63),I63=""),EOMONTH(DATE(EINSTELLUNG!$C$35,$A$1,1),0),I63)-MAX(D63,DATE(EINSTELLUNG!$C$35,$A$1,1))+1)/DAY(EOMONTH(DATE(EINSTELLUNG!$C$35,$A$1,1),0))*F63,2),"")</f>
        <v>129.75</v>
      </c>
      <c r="I63" s="50"/>
      <c r="J63" s="51"/>
      <c r="K63" s="281">
        <f t="shared" si="1"/>
        <v>0</v>
      </c>
      <c r="L63" s="283">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1515.75</v>
      </c>
      <c r="M63" s="52"/>
      <c r="N63" s="66"/>
    </row>
    <row r="64" spans="1:22" ht="22" customHeight="1">
      <c r="A64" s="280" t="s">
        <v>135</v>
      </c>
      <c r="B64" s="91">
        <v>700000</v>
      </c>
      <c r="C64" s="39" t="s">
        <v>308</v>
      </c>
      <c r="D64" s="43">
        <v>46054</v>
      </c>
      <c r="E64" s="41" t="s">
        <v>2</v>
      </c>
      <c r="F64" s="42">
        <v>173</v>
      </c>
      <c r="G64" s="281">
        <f>IF(OR(E64="",F64=""),"",PID_KVLohnLookup($A$1,E64,F64,LOHNTABELLE!$H$4))</f>
        <v>2021</v>
      </c>
      <c r="H64" s="282">
        <f>IF(AND(ISNUMBER(D64),ISNUMBER(F64)),ROUNDDOWN(MIN(IF(OR(ISBLANK(I64),I64=""),EOMONTH(DATE(EINSTELLUNG!$C$35,$A$1,1),0),I64)-MAX(D64,DATE(EINSTELLUNG!$C$35,$A$1,1))+1)/DAY(EOMONTH(DATE(EINSTELLUNG!$C$35,$A$1,1),0))*F64,2),"")</f>
        <v>173</v>
      </c>
      <c r="I64" s="43"/>
      <c r="J64" s="44"/>
      <c r="K64" s="281">
        <f t="shared" si="1"/>
        <v>0</v>
      </c>
      <c r="L64" s="283">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2021</v>
      </c>
      <c r="M64" s="45"/>
      <c r="N64" s="65"/>
    </row>
    <row r="65" spans="1:14" ht="22" customHeight="1">
      <c r="A65" s="280" t="s">
        <v>136</v>
      </c>
      <c r="B65" s="92">
        <v>800000</v>
      </c>
      <c r="C65" s="46" t="s">
        <v>309</v>
      </c>
      <c r="D65" s="50">
        <v>46096</v>
      </c>
      <c r="E65" s="48" t="s">
        <v>2</v>
      </c>
      <c r="F65" s="49">
        <v>173</v>
      </c>
      <c r="G65" s="281">
        <f>IF(OR(E65="",F65=""),"",PID_KVLohnLookup($A$1,E65,F65,LOHNTABELLE!$H$4))</f>
        <v>2021</v>
      </c>
      <c r="H65" s="282">
        <f>IF(AND(ISNUMBER(D65),ISNUMBER(F65)),ROUNDDOWN(MIN(IF(OR(ISBLANK(I65),I65=""),EOMONTH(DATE(EINSTELLUNG!$C$35,$A$1,1),0),I65)-MAX(D65,DATE(EINSTELLUNG!$C$35,$A$1,1))+1)/DAY(EOMONTH(DATE(EINSTELLUNG!$C$35,$A$1,1),0))*F65,2),"")</f>
        <v>173</v>
      </c>
      <c r="I65" s="50"/>
      <c r="J65" s="51"/>
      <c r="K65" s="281">
        <f t="shared" si="1"/>
        <v>0</v>
      </c>
      <c r="L65" s="283">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2021</v>
      </c>
      <c r="M65" s="52"/>
      <c r="N65" s="66"/>
    </row>
    <row r="66" spans="1:14" ht="22" customHeight="1">
      <c r="A66" s="280" t="s">
        <v>137</v>
      </c>
      <c r="B66" s="91"/>
      <c r="C66" s="39"/>
      <c r="D66" s="43"/>
      <c r="E66" s="41"/>
      <c r="F66" s="42"/>
      <c r="G66" s="281" t="str">
        <f>IF(OR(E66="",F66=""),"",PID_KVLohnLookup($A$1,E66,F66,LOHNTABELLE!$H$4))</f>
        <v/>
      </c>
      <c r="H66" s="282" t="str">
        <f>IF(AND(ISNUMBER(D66),ISNUMBER(F66)),ROUNDDOWN(MIN(IF(OR(ISBLANK(I66),I66=""),EOMONTH(DATE(EINSTELLUNG!$C$35,$A$1,1),0),I66)-MAX(D66,DATE(EINSTELLUNG!$C$35,$A$1,1))+1)/DAY(EOMONTH(DATE(EINSTELLUNG!$C$35,$A$1,1),0))*F66,2),"")</f>
        <v/>
      </c>
      <c r="I66" s="43"/>
      <c r="J66" s="44"/>
      <c r="K66" s="281" t="str">
        <f t="shared" si="1"/>
        <v/>
      </c>
      <c r="L66" s="283"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45"/>
      <c r="N66" s="65"/>
    </row>
    <row r="67" spans="1:14" ht="22" customHeight="1">
      <c r="A67" s="280" t="s">
        <v>138</v>
      </c>
      <c r="B67" s="92"/>
      <c r="C67" s="46"/>
      <c r="D67" s="50"/>
      <c r="E67" s="48"/>
      <c r="F67" s="49"/>
      <c r="G67" s="281" t="str">
        <f>IF(OR(E67="",F67=""),"",PID_KVLohnLookup($A$1,E67,F67,LOHNTABELLE!$H$4))</f>
        <v/>
      </c>
      <c r="H67" s="282" t="str">
        <f>IF(AND(ISNUMBER(D67),ISNUMBER(F67)),ROUNDDOWN(MIN(IF(OR(ISBLANK(I67),I67=""),EOMONTH(DATE(EINSTELLUNG!$C$35,$A$1,1),0),I67)-MAX(D67,DATE(EINSTELLUNG!$C$35,$A$1,1))+1)/DAY(EOMONTH(DATE(EINSTELLUNG!$C$35,$A$1,1),0))*F67,2),"")</f>
        <v/>
      </c>
      <c r="I67" s="50"/>
      <c r="J67" s="51"/>
      <c r="K67" s="281" t="str">
        <f t="shared" ref="K67:K82" si="3">IF(OR(B67="",C67=""),"",IFERROR(IF(OR(MONTH(D67)=1,MONTH(D67)=3,MONTH(D67)=5,MONTH(D67)=7,MONTH(D67)=8,MONTH(D67)=10,MONTH(D67)=12),(G67/31)*J67,IF(OR(MONTH(D67)=4,MONTH(D67)=6,MONTH(D67)=9,MONTH(D67)=11),(G67/30)*J67,(G67/DAY(EOMONTH(D67,0)))*J67)),0))</f>
        <v/>
      </c>
      <c r="L67" s="283"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52"/>
      <c r="N67" s="66"/>
    </row>
    <row r="68" spans="1:14" ht="22" customHeight="1">
      <c r="A68" s="280" t="s">
        <v>139</v>
      </c>
      <c r="B68" s="91"/>
      <c r="C68" s="39"/>
      <c r="D68" s="43"/>
      <c r="E68" s="41"/>
      <c r="F68" s="42"/>
      <c r="G68" s="281" t="str">
        <f>IF(OR(E68="",F68=""),"",PID_KVLohnLookup($A$1,E68,F68,LOHNTABELLE!$H$4))</f>
        <v/>
      </c>
      <c r="H68" s="282" t="str">
        <f>IF(AND(ISNUMBER(D68),ISNUMBER(F68)),ROUNDDOWN(MIN(IF(OR(ISBLANK(I68),I68=""),EOMONTH(DATE(EINSTELLUNG!$C$35,$A$1,1),0),I68)-MAX(D68,DATE(EINSTELLUNG!$C$35,$A$1,1))+1)/DAY(EOMONTH(DATE(EINSTELLUNG!$C$35,$A$1,1),0))*F68,2),"")</f>
        <v/>
      </c>
      <c r="I68" s="43"/>
      <c r="J68" s="44"/>
      <c r="K68" s="281" t="str">
        <f t="shared" si="3"/>
        <v/>
      </c>
      <c r="L68" s="283"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45"/>
      <c r="N68" s="65"/>
    </row>
    <row r="69" spans="1:14" ht="22" customHeight="1">
      <c r="A69" s="280" t="s">
        <v>140</v>
      </c>
      <c r="B69" s="92"/>
      <c r="C69" s="46"/>
      <c r="D69" s="50"/>
      <c r="E69" s="48"/>
      <c r="F69" s="49"/>
      <c r="G69" s="281" t="str">
        <f>IF(OR(E69="",F69=""),"",PID_KVLohnLookup($A$1,E69,F69,LOHNTABELLE!$H$4))</f>
        <v/>
      </c>
      <c r="H69" s="282" t="str">
        <f>IF(AND(ISNUMBER(D69),ISNUMBER(F69)),ROUNDDOWN(MIN(IF(OR(ISBLANK(I69),I69=""),EOMONTH(DATE(EINSTELLUNG!$C$35,$A$1,1),0),I69)-MAX(D69,DATE(EINSTELLUNG!$C$35,$A$1,1))+1)/DAY(EOMONTH(DATE(EINSTELLUNG!$C$35,$A$1,1),0))*F69,2),"")</f>
        <v/>
      </c>
      <c r="I69" s="50"/>
      <c r="J69" s="51"/>
      <c r="K69" s="281" t="str">
        <f t="shared" si="3"/>
        <v/>
      </c>
      <c r="L69" s="283"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52"/>
      <c r="N69" s="66"/>
    </row>
    <row r="70" spans="1:14" ht="22" customHeight="1">
      <c r="A70" s="280" t="s">
        <v>141</v>
      </c>
      <c r="B70" s="91"/>
      <c r="C70" s="39"/>
      <c r="D70" s="43"/>
      <c r="E70" s="41"/>
      <c r="F70" s="42"/>
      <c r="G70" s="281" t="str">
        <f>IF(OR(E70="",F70=""),"",PID_KVLohnLookup($A$1,E70,F70,LOHNTABELLE!$H$4))</f>
        <v/>
      </c>
      <c r="H70" s="282" t="str">
        <f>IF(AND(ISNUMBER(D70),ISNUMBER(F70)),ROUNDDOWN(MIN(IF(OR(ISBLANK(I70),I70=""),EOMONTH(DATE(EINSTELLUNG!$C$35,$A$1,1),0),I70)-MAX(D70,DATE(EINSTELLUNG!$C$35,$A$1,1))+1)/DAY(EOMONTH(DATE(EINSTELLUNG!$C$35,$A$1,1),0))*F70,2),"")</f>
        <v/>
      </c>
      <c r="I70" s="43"/>
      <c r="J70" s="44"/>
      <c r="K70" s="281" t="str">
        <f t="shared" si="3"/>
        <v/>
      </c>
      <c r="L70" s="283"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45"/>
      <c r="N70" s="65"/>
    </row>
    <row r="71" spans="1:14" ht="22" customHeight="1">
      <c r="A71" s="280" t="s">
        <v>142</v>
      </c>
      <c r="B71" s="92"/>
      <c r="C71" s="46"/>
      <c r="D71" s="50"/>
      <c r="E71" s="48"/>
      <c r="F71" s="49"/>
      <c r="G71" s="281" t="str">
        <f>IF(OR(E71="",F71=""),"",PID_KVLohnLookup($A$1,E71,F71,LOHNTABELLE!$H$4))</f>
        <v/>
      </c>
      <c r="H71" s="282" t="str">
        <f>IF(AND(ISNUMBER(D71),ISNUMBER(F71)),ROUNDDOWN(MIN(IF(OR(ISBLANK(I71),I71=""),EOMONTH(DATE(EINSTELLUNG!$C$35,$A$1,1),0),I71)-MAX(D71,DATE(EINSTELLUNG!$C$35,$A$1,1))+1)/DAY(EOMONTH(DATE(EINSTELLUNG!$C$35,$A$1,1),0))*F71,2),"")</f>
        <v/>
      </c>
      <c r="I71" s="50"/>
      <c r="J71" s="51"/>
      <c r="K71" s="281" t="str">
        <f t="shared" si="3"/>
        <v/>
      </c>
      <c r="L71" s="283"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52"/>
      <c r="N71" s="66"/>
    </row>
    <row r="72" spans="1:14" ht="22" customHeight="1">
      <c r="A72" s="280" t="s">
        <v>143</v>
      </c>
      <c r="B72" s="91"/>
      <c r="C72" s="39"/>
      <c r="D72" s="43"/>
      <c r="E72" s="41"/>
      <c r="F72" s="42"/>
      <c r="G72" s="281" t="str">
        <f>IF(OR(E72="",F72=""),"",PID_KVLohnLookup($A$1,E72,F72,LOHNTABELLE!$H$4))</f>
        <v/>
      </c>
      <c r="H72" s="282" t="str">
        <f>IF(AND(ISNUMBER(D72),ISNUMBER(F72)),ROUNDDOWN(MIN(IF(OR(ISBLANK(I72),I72=""),EOMONTH(DATE(EINSTELLUNG!$C$35,$A$1,1),0),I72)-MAX(D72,DATE(EINSTELLUNG!$C$35,$A$1,1))+1)/DAY(EOMONTH(DATE(EINSTELLUNG!$C$35,$A$1,1),0))*F72,2),"")</f>
        <v/>
      </c>
      <c r="I72" s="43"/>
      <c r="J72" s="44"/>
      <c r="K72" s="281" t="str">
        <f t="shared" si="3"/>
        <v/>
      </c>
      <c r="L72" s="283"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45"/>
      <c r="N72" s="65"/>
    </row>
    <row r="73" spans="1:14" ht="22" customHeight="1">
      <c r="A73" s="280" t="s">
        <v>144</v>
      </c>
      <c r="B73" s="92"/>
      <c r="C73" s="46"/>
      <c r="D73" s="50"/>
      <c r="E73" s="48"/>
      <c r="F73" s="49"/>
      <c r="G73" s="281" t="str">
        <f>IF(OR(E73="",F73=""),"",PID_KVLohnLookup($A$1,E73,F73,LOHNTABELLE!$H$4))</f>
        <v/>
      </c>
      <c r="H73" s="282" t="str">
        <f>IF(AND(ISNUMBER(D73),ISNUMBER(F73)),ROUNDDOWN(MIN(IF(OR(ISBLANK(I73),I73=""),EOMONTH(DATE(EINSTELLUNG!$C$35,$A$1,1),0),I73)-MAX(D73,DATE(EINSTELLUNG!$C$35,$A$1,1))+1)/DAY(EOMONTH(DATE(EINSTELLUNG!$C$35,$A$1,1),0))*F73,2),"")</f>
        <v/>
      </c>
      <c r="I73" s="50"/>
      <c r="J73" s="51"/>
      <c r="K73" s="281" t="str">
        <f t="shared" si="3"/>
        <v/>
      </c>
      <c r="L73" s="283"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52"/>
      <c r="N73" s="66"/>
    </row>
    <row r="74" spans="1:14" ht="22" customHeight="1">
      <c r="A74" s="280" t="s">
        <v>145</v>
      </c>
      <c r="B74" s="91"/>
      <c r="C74" s="39"/>
      <c r="D74" s="43"/>
      <c r="E74" s="41"/>
      <c r="F74" s="42"/>
      <c r="G74" s="281" t="str">
        <f>IF(OR(E74="",F74=""),"",PID_KVLohnLookup($A$1,E74,F74,LOHNTABELLE!$H$4))</f>
        <v/>
      </c>
      <c r="H74" s="282" t="str">
        <f>IF(AND(ISNUMBER(D74),ISNUMBER(F74)),ROUNDDOWN(MIN(IF(OR(ISBLANK(I74),I74=""),EOMONTH(DATE(EINSTELLUNG!$C$35,$A$1,1),0),I74)-MAX(D74,DATE(EINSTELLUNG!$C$35,$A$1,1))+1)/DAY(EOMONTH(DATE(EINSTELLUNG!$C$35,$A$1,1),0))*F74,2),"")</f>
        <v/>
      </c>
      <c r="I74" s="43"/>
      <c r="J74" s="44"/>
      <c r="K74" s="281" t="str">
        <f t="shared" si="3"/>
        <v/>
      </c>
      <c r="L74" s="283"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45"/>
      <c r="N74" s="65"/>
    </row>
    <row r="75" spans="1:14" ht="22" customHeight="1">
      <c r="A75" s="280" t="s">
        <v>146</v>
      </c>
      <c r="B75" s="92"/>
      <c r="C75" s="46"/>
      <c r="D75" s="50"/>
      <c r="E75" s="48"/>
      <c r="F75" s="49"/>
      <c r="G75" s="281" t="str">
        <f>IF(OR(E75="",F75=""),"",PID_KVLohnLookup($A$1,E75,F75,LOHNTABELLE!$H$4))</f>
        <v/>
      </c>
      <c r="H75" s="282" t="str">
        <f>IF(AND(ISNUMBER(D75),ISNUMBER(F75)),ROUNDDOWN(MIN(IF(OR(ISBLANK(I75),I75=""),EOMONTH(DATE(EINSTELLUNG!$C$35,$A$1,1),0),I75)-MAX(D75,DATE(EINSTELLUNG!$C$35,$A$1,1))+1)/DAY(EOMONTH(DATE(EINSTELLUNG!$C$35,$A$1,1),0))*F75,2),"")</f>
        <v/>
      </c>
      <c r="I75" s="50"/>
      <c r="J75" s="51"/>
      <c r="K75" s="281" t="str">
        <f t="shared" si="3"/>
        <v/>
      </c>
      <c r="L75" s="283"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52"/>
      <c r="N75" s="66"/>
    </row>
    <row r="76" spans="1:14" ht="22" customHeight="1">
      <c r="A76" s="280" t="s">
        <v>147</v>
      </c>
      <c r="B76" s="91"/>
      <c r="C76" s="39"/>
      <c r="D76" s="43"/>
      <c r="E76" s="41"/>
      <c r="F76" s="42"/>
      <c r="G76" s="281" t="str">
        <f>IF(OR(E76="",F76=""),"",PID_KVLohnLookup($A$1,E76,F76,LOHNTABELLE!$H$4))</f>
        <v/>
      </c>
      <c r="H76" s="282" t="str">
        <f>IF(AND(ISNUMBER(D76),ISNUMBER(F76)),ROUNDDOWN(MIN(IF(OR(ISBLANK(I76),I76=""),EOMONTH(DATE(EINSTELLUNG!$C$35,$A$1,1),0),I76)-MAX(D76,DATE(EINSTELLUNG!$C$35,$A$1,1))+1)/DAY(EOMONTH(DATE(EINSTELLUNG!$C$35,$A$1,1),0))*F76,2),"")</f>
        <v/>
      </c>
      <c r="I76" s="43"/>
      <c r="J76" s="44"/>
      <c r="K76" s="281" t="str">
        <f t="shared" si="3"/>
        <v/>
      </c>
      <c r="L76" s="283"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45"/>
      <c r="N76" s="65"/>
    </row>
    <row r="77" spans="1:14" ht="22" customHeight="1">
      <c r="A77" s="280" t="s">
        <v>148</v>
      </c>
      <c r="B77" s="92"/>
      <c r="C77" s="46"/>
      <c r="D77" s="50"/>
      <c r="E77" s="48"/>
      <c r="F77" s="49"/>
      <c r="G77" s="281" t="str">
        <f>IF(OR(E77="",F77=""),"",PID_KVLohnLookup($A$1,E77,F77,LOHNTABELLE!$H$4))</f>
        <v/>
      </c>
      <c r="H77" s="282" t="str">
        <f>IF(AND(ISNUMBER(D77),ISNUMBER(F77)),ROUNDDOWN(MIN(IF(OR(ISBLANK(I77),I77=""),EOMONTH(DATE(EINSTELLUNG!$C$35,$A$1,1),0),I77)-MAX(D77,DATE(EINSTELLUNG!$C$35,$A$1,1))+1)/DAY(EOMONTH(DATE(EINSTELLUNG!$C$35,$A$1,1),0))*F77,2),"")</f>
        <v/>
      </c>
      <c r="I77" s="50"/>
      <c r="J77" s="51"/>
      <c r="K77" s="281" t="str">
        <f t="shared" si="3"/>
        <v/>
      </c>
      <c r="L77" s="283"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52"/>
      <c r="N77" s="66"/>
    </row>
    <row r="78" spans="1:14" ht="22" customHeight="1">
      <c r="A78" s="280" t="s">
        <v>149</v>
      </c>
      <c r="B78" s="91"/>
      <c r="C78" s="39"/>
      <c r="D78" s="43"/>
      <c r="E78" s="41"/>
      <c r="F78" s="42"/>
      <c r="G78" s="281" t="str">
        <f>IF(OR(E78="",F78=""),"",PID_KVLohnLookup($A$1,E78,F78,LOHNTABELLE!$H$4))</f>
        <v/>
      </c>
      <c r="H78" s="282" t="str">
        <f>IF(AND(ISNUMBER(D78),ISNUMBER(F78)),ROUNDDOWN(MIN(IF(OR(ISBLANK(I78),I78=""),EOMONTH(DATE(EINSTELLUNG!$C$35,$A$1,1),0),I78)-MAX(D78,DATE(EINSTELLUNG!$C$35,$A$1,1))+1)/DAY(EOMONTH(DATE(EINSTELLUNG!$C$35,$A$1,1),0))*F78,2),"")</f>
        <v/>
      </c>
      <c r="I78" s="43"/>
      <c r="J78" s="44"/>
      <c r="K78" s="281" t="str">
        <f t="shared" si="3"/>
        <v/>
      </c>
      <c r="L78" s="283"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45"/>
      <c r="N78" s="65"/>
    </row>
    <row r="79" spans="1:14" ht="22" customHeight="1">
      <c r="A79" s="280" t="s">
        <v>150</v>
      </c>
      <c r="B79" s="92"/>
      <c r="C79" s="46"/>
      <c r="D79" s="50"/>
      <c r="E79" s="48"/>
      <c r="F79" s="49"/>
      <c r="G79" s="281" t="str">
        <f>IF(OR(E79="",F79=""),"",PID_KVLohnLookup($A$1,E79,F79,LOHNTABELLE!$H$4))</f>
        <v/>
      </c>
      <c r="H79" s="282" t="str">
        <f>IF(AND(ISNUMBER(D79),ISNUMBER(F79)),ROUNDDOWN(MIN(IF(OR(ISBLANK(I79),I79=""),EOMONTH(DATE(EINSTELLUNG!$C$35,$A$1,1),0),I79)-MAX(D79,DATE(EINSTELLUNG!$C$35,$A$1,1))+1)/DAY(EOMONTH(DATE(EINSTELLUNG!$C$35,$A$1,1),0))*F79,2),"")</f>
        <v/>
      </c>
      <c r="I79" s="50"/>
      <c r="J79" s="51"/>
      <c r="K79" s="281" t="str">
        <f t="shared" si="3"/>
        <v/>
      </c>
      <c r="L79" s="283"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52"/>
      <c r="N79" s="66"/>
    </row>
    <row r="80" spans="1:14" ht="22" customHeight="1">
      <c r="A80" s="280" t="s">
        <v>151</v>
      </c>
      <c r="B80" s="91"/>
      <c r="C80" s="39"/>
      <c r="D80" s="43"/>
      <c r="E80" s="41"/>
      <c r="F80" s="42"/>
      <c r="G80" s="281" t="str">
        <f>IF(OR(E80="",F80=""),"",PID_KVLohnLookup($A$1,E80,F80,LOHNTABELLE!$H$4))</f>
        <v/>
      </c>
      <c r="H80" s="282" t="str">
        <f>IF(AND(ISNUMBER(D80),ISNUMBER(F80)),ROUNDDOWN(MIN(IF(OR(ISBLANK(I80),I80=""),EOMONTH(DATE(EINSTELLUNG!$C$35,$A$1,1),0),I80)-MAX(D80,DATE(EINSTELLUNG!$C$35,$A$1,1))+1)/DAY(EOMONTH(DATE(EINSTELLUNG!$C$35,$A$1,1),0))*F80,2),"")</f>
        <v/>
      </c>
      <c r="I80" s="43"/>
      <c r="J80" s="44"/>
      <c r="K80" s="281" t="str">
        <f t="shared" si="3"/>
        <v/>
      </c>
      <c r="L80" s="283"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45"/>
      <c r="N80" s="65"/>
    </row>
    <row r="81" spans="1:14" ht="22" customHeight="1">
      <c r="A81" s="280" t="s">
        <v>152</v>
      </c>
      <c r="B81" s="92"/>
      <c r="C81" s="46"/>
      <c r="D81" s="50"/>
      <c r="E81" s="48"/>
      <c r="F81" s="49"/>
      <c r="G81" s="281" t="str">
        <f>IF(OR(E81="",F81=""),"",PID_KVLohnLookup($A$1,E81,F81,LOHNTABELLE!$H$4))</f>
        <v/>
      </c>
      <c r="H81" s="282" t="str">
        <f>IF(AND(ISNUMBER(D81),ISNUMBER(F81)),ROUNDDOWN(MIN(IF(OR(ISBLANK(I81),I81=""),EOMONTH(DATE(EINSTELLUNG!$C$35,$A$1,1),0),I81)-MAX(D81,DATE(EINSTELLUNG!$C$35,$A$1,1))+1)/DAY(EOMONTH(DATE(EINSTELLUNG!$C$35,$A$1,1),0))*F81,2),"")</f>
        <v/>
      </c>
      <c r="I81" s="50"/>
      <c r="J81" s="51"/>
      <c r="K81" s="281" t="str">
        <f t="shared" si="3"/>
        <v/>
      </c>
      <c r="L81" s="283"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52"/>
      <c r="N81" s="66"/>
    </row>
    <row r="82" spans="1:14" ht="22" customHeight="1" thickBot="1">
      <c r="A82" s="343" t="s">
        <v>153</v>
      </c>
      <c r="B82" s="93"/>
      <c r="C82" s="54"/>
      <c r="D82" s="55"/>
      <c r="E82" s="56"/>
      <c r="F82" s="57"/>
      <c r="G82" s="344" t="str">
        <f>IF(OR(E82="",F82=""),"",PID_KVLohnLookup($A$1,E82,F82,LOHNTABELLE!$H$4))</f>
        <v/>
      </c>
      <c r="H82" s="345" t="str">
        <f>IF(AND(ISNUMBER(D82),ISNUMBER(F82)),ROUNDDOWN(MIN(IF(OR(ISBLANK(I82),I82=""),EOMONTH(DATE(EINSTELLUNG!$C$35,$A$1,1),0),I82)-MAX(D82,DATE(EINSTELLUNG!$C$35,$A$1,1))+1)/DAY(EOMONTH(DATE(EINSTELLUNG!$C$35,$A$1,1),0))*F82,2),"")</f>
        <v/>
      </c>
      <c r="I82" s="55"/>
      <c r="J82" s="58"/>
      <c r="K82" s="344" t="str">
        <f t="shared" si="3"/>
        <v/>
      </c>
      <c r="L82" s="346"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59"/>
      <c r="N82" s="69"/>
    </row>
    <row r="100" spans="26:26" ht="16" customHeight="1">
      <c r="Z100" s="259"/>
    </row>
  </sheetData>
  <sheetProtection algorithmName="SHA-512" hashValue="sN5X3OL6291AJJNnG1NFIPzt0x8EgVjBYYzkEXsbC6b/CcGpPXE2GnkQa5E0EbpuGIqVVdYSlY5PjkgUym4RQg==" saltValue="E2sFGhWPZGflO7TiNNIyNg==" spinCount="100000" sheet="1" objects="1" scenarios="1" autoFilter="0"/>
  <sortState xmlns:xlrd2="http://schemas.microsoft.com/office/spreadsheetml/2017/richdata2" ref="B3:N82">
    <sortCondition ref="B3:B82"/>
    <sortCondition ref="C3:C82"/>
  </sortState>
  <mergeCells count="102">
    <mergeCell ref="N1:N2"/>
    <mergeCell ref="A1:A2"/>
    <mergeCell ref="E1:E2"/>
    <mergeCell ref="F1:F2"/>
    <mergeCell ref="G1:G2"/>
    <mergeCell ref="H1:H2"/>
    <mergeCell ref="M1:M2"/>
    <mergeCell ref="S2:V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Q28:R28"/>
    <mergeCell ref="U36:V36"/>
    <mergeCell ref="O29:P29"/>
    <mergeCell ref="Q29:R29"/>
    <mergeCell ref="O31:P31"/>
    <mergeCell ref="Q31:R31"/>
    <mergeCell ref="O33:P34"/>
    <mergeCell ref="Q33:R34"/>
    <mergeCell ref="S33:T34"/>
    <mergeCell ref="U33:V34"/>
    <mergeCell ref="Q35:R35"/>
    <mergeCell ref="S35:T35"/>
    <mergeCell ref="U35:V35"/>
    <mergeCell ref="Q26:R26"/>
    <mergeCell ref="Q27:R27"/>
    <mergeCell ref="O22:P22"/>
    <mergeCell ref="O14:P14"/>
    <mergeCell ref="Q14:R14"/>
    <mergeCell ref="O17:P17"/>
    <mergeCell ref="Q17:R17"/>
    <mergeCell ref="O18:P18"/>
    <mergeCell ref="Q18:R18"/>
    <mergeCell ref="O25:P25"/>
    <mergeCell ref="Q25:R25"/>
    <mergeCell ref="Q19:R19"/>
    <mergeCell ref="Q22:R22"/>
    <mergeCell ref="O23:P23"/>
    <mergeCell ref="Q20:R20"/>
    <mergeCell ref="O21:P21"/>
    <mergeCell ref="Q21:R21"/>
    <mergeCell ref="C1:C2"/>
    <mergeCell ref="D1:D2"/>
    <mergeCell ref="O44:V44"/>
    <mergeCell ref="O38:P38"/>
    <mergeCell ref="Q38:R38"/>
    <mergeCell ref="S38:T38"/>
    <mergeCell ref="O37:P37"/>
    <mergeCell ref="O35:P35"/>
    <mergeCell ref="O36:P36"/>
    <mergeCell ref="Q36:R36"/>
    <mergeCell ref="S36:T36"/>
    <mergeCell ref="O3:O4"/>
    <mergeCell ref="P3:P4"/>
    <mergeCell ref="O9:P9"/>
    <mergeCell ref="O20:P20"/>
    <mergeCell ref="O19:P19"/>
    <mergeCell ref="O28:P28"/>
    <mergeCell ref="O11:P11"/>
    <mergeCell ref="Q11:R11"/>
    <mergeCell ref="O12:P12"/>
    <mergeCell ref="Q12:R12"/>
    <mergeCell ref="O13:P13"/>
    <mergeCell ref="Q13:R13"/>
    <mergeCell ref="O26:P26"/>
    <mergeCell ref="O45:U45"/>
    <mergeCell ref="B1:B2"/>
    <mergeCell ref="O16:R16"/>
    <mergeCell ref="Q9:R9"/>
    <mergeCell ref="O10:P10"/>
    <mergeCell ref="Q10:R10"/>
    <mergeCell ref="O15:P15"/>
    <mergeCell ref="Q3:Q4"/>
    <mergeCell ref="R3:R4"/>
    <mergeCell ref="O6:R6"/>
    <mergeCell ref="O8:P8"/>
    <mergeCell ref="Q8:R8"/>
    <mergeCell ref="Q15:R15"/>
    <mergeCell ref="O42:P42"/>
    <mergeCell ref="I1:I2"/>
    <mergeCell ref="J1:J2"/>
    <mergeCell ref="K1:K2"/>
    <mergeCell ref="L1:L2"/>
    <mergeCell ref="O39:P39"/>
    <mergeCell ref="O40:P40"/>
    <mergeCell ref="O41:P41"/>
    <mergeCell ref="Q23:R23"/>
    <mergeCell ref="O24:P24"/>
    <mergeCell ref="Q24:R24"/>
  </mergeCells>
  <dataValidations count="2">
    <dataValidation type="list" allowBlank="1" showInputMessage="1" showErrorMessage="1" errorTitle="Ungültiger Austrittsgrund" error="Bitte nur einen Wert aus der Liste auswählen." promptTitle="Austrittsgrund" prompt="Bitte den passenden Austrittsgrund auswählen." sqref="N3:N82" xr:uid="{59081476-6B17-2E4B-BADC-2CC983EC6F17}">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E803A541-355D-B449-880A-F8D87E82E3C4}">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AD2F8287-E373-6042-B4C7-85C1387C6BE4}">
          <x14:formula1>
            <xm:f>KV_DROPDOWN_HELPER!$IH$1:$IH$13</xm:f>
          </x14:formula1>
          <xm:sqref>F4 F5 F8 F15</xm:sqref>
        </x14:dataValidation>
        <x14:dataValidation type="list" allowBlank="1" showInputMessage="1" showErrorMessage="1" xr:uid="{A0BF0DCA-9C1C-4F43-A51F-1BEE52B913B3}">
          <x14:formula1>
            <xm:f>KV_DROPDOWN_HELPER!$II$1:$II$13</xm:f>
          </x14:formula1>
          <xm:sqref>F7 F9 F10 F11 F14 F21 F61</xm:sqref>
        </x14:dataValidation>
        <x14:dataValidation type="list" allowBlank="1" showInputMessage="1" showErrorMessage="1" xr:uid="{3D6D7DA4-1C07-B445-B2C1-8A4E446B4553}">
          <x14:formula1>
            <xm:f>KV_DROPDOWN_HELPER!$IJ$1:$IJ$13</xm:f>
          </x14:formula1>
          <xm:sqref>F17 F25 F28 F30</xm:sqref>
        </x14:dataValidation>
        <x14:dataValidation type="list" allowBlank="1" showInputMessage="1" showErrorMessage="1" xr:uid="{5B28749A-1BFE-AA4A-87EF-3AD26F95B36B}">
          <x14:formula1>
            <xm:f>KV_DROPDOWN_HELPER!$IL$1:$IL$13</xm:f>
          </x14:formula1>
          <xm:sqref>F24</xm:sqref>
        </x14:dataValidation>
        <x14:dataValidation type="list" allowBlank="1" showInputMessage="1" showErrorMessage="1" xr:uid="{7B6A023D-0317-D347-8425-05E6C1BFD6B2}">
          <x14:formula1>
            <xm:f>KV_DROPDOWN_HELPER!$IM$1:$IM$13</xm:f>
          </x14:formula1>
          <xm:sqref>F66 F67 F68 F69 F70 F71 F72 F73 F74 F75 F76 F77 F78 F79 F80 F81 F82</xm:sqref>
        </x14:dataValidation>
        <x14:dataValidation type="list" allowBlank="1" showInputMessage="1" showErrorMessage="1" xr:uid="{F071DC93-D0EC-4A04-A71C-BF05ADD55F44}">
          <x14:formula1>
            <xm:f>KV_DROPDOWN_HELPER!$IK$1:$IK$13</xm:f>
          </x14:formula1>
          <xm:sqref>F20</xm:sqref>
        </x14:dataValidation>
        <x14:dataValidation type="list" allowBlank="1" showInputMessage="1" showErrorMessage="1" xr:uid="{8C749A44-F098-48F9-97B9-55BB2F08DFA7}">
          <x14:formula1>
            <xm:f>KV_DROPDOWN_HELPER!$IG$1:$IG$16</xm:f>
          </x14:formula1>
          <xm:sqref>F3 F6 F12 F13 F16 F18 F19 F22 F23 F26 F27 F29 F31 F32 F33 F34 F35 F36 F37 F38 F39 F40 F41 F42 F43 F44 F45 F46 F47 F48 F49 F50 F51 F52 F53 F54 F55 F56 F57 F58 F59 F60 F62 F63 F64 F65</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911FEA-CA19-4495-BE72-F4093B55D9A0}">
  <sheetPr codeName="Tabelle7"/>
  <dimension ref="A1:AC100"/>
  <sheetViews>
    <sheetView showGridLines="0" showRowColHeaders="0" zoomScaleNormal="100" workbookViewId="0">
      <pane ySplit="2" topLeftCell="A3" activePane="bottomLeft" state="frozen"/>
      <selection activeCell="T24" sqref="T24"/>
      <selection pane="bottomLeft" activeCell="W3" sqref="W3:Y50"/>
    </sheetView>
  </sheetViews>
  <sheetFormatPr baseColWidth="10" defaultColWidth="9.1796875" defaultRowHeight="16" customHeight="1"/>
  <cols>
    <col min="1" max="1" width="4.453125" style="347" customWidth="1"/>
    <col min="2" max="2" width="9.1796875" style="347" customWidth="1"/>
    <col min="3" max="3" width="35.6328125" style="179" customWidth="1"/>
    <col min="4" max="4" width="13.6328125" style="179" customWidth="1"/>
    <col min="5" max="5" width="9.6328125" style="179" customWidth="1"/>
    <col min="6" max="6" width="10.6328125" style="179" customWidth="1"/>
    <col min="7" max="7" width="13.6328125" style="179" customWidth="1"/>
    <col min="8" max="8" width="11.6328125" style="179" customWidth="1"/>
    <col min="9" max="10" width="13.6328125" style="179" customWidth="1"/>
    <col min="11" max="11" width="14.6328125" style="179" customWidth="1"/>
    <col min="12" max="12" width="14.6328125" style="306" customWidth="1"/>
    <col min="13" max="13" width="17.81640625" style="179" customWidth="1"/>
    <col min="14" max="14" width="34.6328125" style="179" customWidth="1"/>
    <col min="15" max="15" width="12.6328125" style="179" customWidth="1"/>
    <col min="16" max="16" width="16.6328125" style="179" customWidth="1"/>
    <col min="17" max="17" width="14.6328125" style="179" customWidth="1"/>
    <col min="18" max="18" width="13.6328125" style="179" customWidth="1"/>
    <col min="19" max="19" width="9.6328125" style="179" customWidth="1"/>
    <col min="20" max="20" width="10.6328125" style="179" customWidth="1"/>
    <col min="21" max="21" width="7.6328125" style="179" customWidth="1"/>
    <col min="22" max="27" width="9.1796875" style="179"/>
    <col min="28" max="28" width="10.6328125" style="179" bestFit="1" customWidth="1"/>
    <col min="29" max="16384" width="9.1796875" style="179"/>
  </cols>
  <sheetData>
    <row r="1" spans="1:28" ht="18" customHeight="1">
      <c r="A1" s="261">
        <v>5</v>
      </c>
      <c r="B1" s="262" t="s">
        <v>180</v>
      </c>
      <c r="C1" s="263" t="s">
        <v>39</v>
      </c>
      <c r="D1" s="263" t="s">
        <v>181</v>
      </c>
      <c r="E1" s="263" t="s">
        <v>0</v>
      </c>
      <c r="F1" s="263" t="s">
        <v>40</v>
      </c>
      <c r="G1" s="263" t="s">
        <v>41</v>
      </c>
      <c r="H1" s="263" t="s">
        <v>42</v>
      </c>
      <c r="I1" s="263" t="s">
        <v>182</v>
      </c>
      <c r="J1" s="263" t="s">
        <v>43</v>
      </c>
      <c r="K1" s="263" t="s">
        <v>44</v>
      </c>
      <c r="L1" s="263" t="s">
        <v>45</v>
      </c>
      <c r="M1" s="263" t="s">
        <v>46</v>
      </c>
      <c r="N1" s="264" t="s">
        <v>183</v>
      </c>
      <c r="AB1" s="265">
        <f>DATE(EINSTELLUNG!$C$35,$A$1,1)</f>
        <v>46143</v>
      </c>
    </row>
    <row r="2" spans="1:28" ht="18" customHeight="1" thickBot="1">
      <c r="A2" s="266"/>
      <c r="B2" s="267"/>
      <c r="C2" s="268"/>
      <c r="D2" s="268"/>
      <c r="E2" s="268"/>
      <c r="F2" s="268"/>
      <c r="G2" s="268"/>
      <c r="H2" s="268"/>
      <c r="I2" s="268"/>
      <c r="J2" s="268"/>
      <c r="K2" s="268"/>
      <c r="L2" s="268"/>
      <c r="M2" s="268"/>
      <c r="N2" s="269"/>
      <c r="O2" s="270"/>
      <c r="P2" s="270"/>
      <c r="Q2" s="270"/>
      <c r="S2" s="271" t="s">
        <v>378</v>
      </c>
      <c r="T2" s="271"/>
      <c r="U2" s="271"/>
      <c r="V2" s="271"/>
      <c r="AB2" s="265">
        <f>EOMONTH(DATE(EINSTELLUNG!$C$35,$A$1,1),0)</f>
        <v>46173</v>
      </c>
    </row>
    <row r="3" spans="1:28" ht="22" customHeight="1">
      <c r="A3" s="272" t="s">
        <v>383</v>
      </c>
      <c r="B3" s="90">
        <v>401010</v>
      </c>
      <c r="C3" s="32" t="s">
        <v>223</v>
      </c>
      <c r="D3" s="33">
        <v>39388</v>
      </c>
      <c r="E3" s="34" t="s">
        <v>2</v>
      </c>
      <c r="F3" s="60">
        <v>173</v>
      </c>
      <c r="G3" s="273">
        <f>IF(OR(E3="",F3=""),"",PID_KVLohnLookup($A$1,E3,F3,LOHNTABELLE!$H$4))</f>
        <v>2021</v>
      </c>
      <c r="H3" s="274">
        <f>IF(AND(ISNUMBER(D3),ISNUMBER(F3)),ROUNDDOWN(MIN(IF(OR(ISBLANK(I3),I3=""),EOMONTH(DATE(EINSTELLUNG!$C$35,$A$1,1),0),I3)-MAX(D3,DATE(EINSTELLUNG!$C$35,$A$1,1))+1)/DAY(EOMONTH(DATE(EINSTELLUNG!$C$35,$A$1,1),0))*F3,2),"")</f>
        <v>173</v>
      </c>
      <c r="I3" s="36"/>
      <c r="J3" s="37"/>
      <c r="K3" s="273">
        <f t="shared" ref="K3:K34" si="0">IF(OR(B3="",C3=""),"",IFERROR(IF(OR(MONTH(D3)=1,MONTH(D3)=3,MONTH(D3)=5,MONTH(D3)=7,MONTH(D3)=8,MONTH(D3)=10,MONTH(D3)=12),(G3/31)*J3,IF(OR(MONTH(D3)=4,MONTH(D3)=6,MONTH(D3)=9,MONTH(D3)=11),(G3/30)*J3,(G3/DAY(EOMONTH(D3,0)))*J3)),0))</f>
        <v>0</v>
      </c>
      <c r="L3" s="275">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2021</v>
      </c>
      <c r="M3" s="38"/>
      <c r="N3" s="64"/>
      <c r="O3" s="276" t="s">
        <v>47</v>
      </c>
      <c r="P3" s="276" t="s">
        <v>48</v>
      </c>
      <c r="Q3" s="276" t="s">
        <v>49</v>
      </c>
      <c r="R3" s="277" t="s">
        <v>50</v>
      </c>
      <c r="S3" s="278"/>
      <c r="T3" s="278"/>
      <c r="U3" s="278"/>
      <c r="V3" s="278"/>
      <c r="AB3" s="279"/>
    </row>
    <row r="4" spans="1:28" ht="22" customHeight="1">
      <c r="A4" s="280" t="s">
        <v>51</v>
      </c>
      <c r="B4" s="91">
        <v>401047</v>
      </c>
      <c r="C4" s="39" t="s">
        <v>225</v>
      </c>
      <c r="D4" s="40">
        <v>41154</v>
      </c>
      <c r="E4" s="41" t="s">
        <v>4</v>
      </c>
      <c r="F4" s="42">
        <v>173</v>
      </c>
      <c r="G4" s="281">
        <f>IF(OR(E4="",F4=""),"",PID_KVLohnLookup($A$1,E4,F4,LOHNTABELLE!$H$4))</f>
        <v>2123</v>
      </c>
      <c r="H4" s="282">
        <f>IF(AND(ISNUMBER(D4),ISNUMBER(F4)),ROUNDDOWN(MIN(IF(OR(ISBLANK(I4),I4=""),EOMONTH(DATE(EINSTELLUNG!$C$35,$A$1,1),0),I4)-MAX(D4,DATE(EINSTELLUNG!$C$35,$A$1,1))+1)/DAY(EOMONTH(DATE(EINSTELLUNG!$C$35,$A$1,1),0))*F4,2),"")</f>
        <v>173</v>
      </c>
      <c r="I4" s="43"/>
      <c r="J4" s="44"/>
      <c r="K4" s="281">
        <f t="shared" si="0"/>
        <v>0</v>
      </c>
      <c r="L4" s="283">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45"/>
      <c r="N4" s="65"/>
      <c r="O4" s="284"/>
      <c r="P4" s="284"/>
      <c r="Q4" s="284"/>
      <c r="R4" s="285"/>
      <c r="S4" s="278"/>
      <c r="T4" s="278"/>
      <c r="U4" s="278"/>
      <c r="V4" s="278"/>
    </row>
    <row r="5" spans="1:28" ht="22" customHeight="1">
      <c r="A5" s="280" t="s">
        <v>52</v>
      </c>
      <c r="B5" s="92">
        <v>401049</v>
      </c>
      <c r="C5" s="46" t="s">
        <v>224</v>
      </c>
      <c r="D5" s="47">
        <v>41130</v>
      </c>
      <c r="E5" s="48" t="s">
        <v>4</v>
      </c>
      <c r="F5" s="95">
        <v>129.75</v>
      </c>
      <c r="G5" s="281">
        <f>IF(OR(E5="",F5=""),"",PID_KVLohnLookup($A$1,E5,F5,LOHNTABELLE!$H$4))</f>
        <v>1592.25</v>
      </c>
      <c r="H5" s="282">
        <f>IF(AND(ISNUMBER(D5),ISNUMBER(F5)),ROUNDDOWN(MIN(IF(OR(ISBLANK(I5),I5=""),EOMONTH(DATE(EINSTELLUNG!$C$35,$A$1,1),0),I5)-MAX(D5,DATE(EINSTELLUNG!$C$35,$A$1,1))+1)/DAY(EOMONTH(DATE(EINSTELLUNG!$C$35,$A$1,1),0))*F5,2),"")</f>
        <v>129.75</v>
      </c>
      <c r="I5" s="50"/>
      <c r="J5" s="51"/>
      <c r="K5" s="281">
        <f t="shared" si="0"/>
        <v>0</v>
      </c>
      <c r="L5" s="283">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1592.25</v>
      </c>
      <c r="M5" s="52"/>
      <c r="N5" s="66"/>
      <c r="O5" s="286" cm="1">
        <f t="array" ref="O5">SUMPRODUCT((F3:F82/4.310808)/5*2.08)</f>
        <v>834.95333589433824</v>
      </c>
      <c r="P5" s="287">
        <f>EINSTELLUNG!I10</f>
        <v>600</v>
      </c>
      <c r="Q5" s="287">
        <f>P5-O5</f>
        <v>-234.95333589433824</v>
      </c>
      <c r="R5" s="288">
        <f>IFERROR(Q5*Q42, 0)</f>
        <v>-2762.066642336732</v>
      </c>
      <c r="S5" s="278"/>
      <c r="T5" s="278"/>
      <c r="U5" s="278"/>
      <c r="V5" s="278"/>
    </row>
    <row r="6" spans="1:28" ht="22" customHeight="1">
      <c r="A6" s="280" t="s">
        <v>53</v>
      </c>
      <c r="B6" s="91">
        <v>401051</v>
      </c>
      <c r="C6" s="39" t="s">
        <v>226</v>
      </c>
      <c r="D6" s="40">
        <v>41176</v>
      </c>
      <c r="E6" s="41" t="s">
        <v>2</v>
      </c>
      <c r="F6" s="42">
        <v>173</v>
      </c>
      <c r="G6" s="281">
        <f>IF(OR(E6="",F6=""),"",PID_KVLohnLookup($A$1,E6,F6,LOHNTABELLE!$H$4))</f>
        <v>2021</v>
      </c>
      <c r="H6" s="282">
        <f>IF(AND(ISNUMBER(D6),ISNUMBER(F6)),ROUNDDOWN(MIN(IF(OR(ISBLANK(I6),I6=""),EOMONTH(DATE(EINSTELLUNG!$C$35,$A$1,1),0),I6)-MAX(D6,DATE(EINSTELLUNG!$C$35,$A$1,1))+1)/DAY(EOMONTH(DATE(EINSTELLUNG!$C$35,$A$1,1),0))*F6,2),"")</f>
        <v>173</v>
      </c>
      <c r="I6" s="43"/>
      <c r="J6" s="44"/>
      <c r="K6" s="281">
        <f t="shared" si="0"/>
        <v>0</v>
      </c>
      <c r="L6" s="283">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2021</v>
      </c>
      <c r="M6" s="45"/>
      <c r="N6" s="65"/>
      <c r="O6" s="289" t="str">
        <f>IF(Q5&lt;0, "Schlecht! Zu wenig Urlaub abgebaut.", IF(Q5&gt;0, "Gut! Mehr Urlaub abgebaut als aufgebaut.", ""))</f>
        <v>Schlecht! Zu wenig Urlaub abgebaut.</v>
      </c>
      <c r="P6" s="290"/>
      <c r="Q6" s="290"/>
      <c r="R6" s="291"/>
      <c r="S6" s="278"/>
      <c r="T6" s="278"/>
      <c r="U6" s="278"/>
      <c r="V6" s="278"/>
    </row>
    <row r="7" spans="1:28" ht="22" customHeight="1" thickBot="1">
      <c r="A7" s="280" t="s">
        <v>54</v>
      </c>
      <c r="B7" s="92">
        <v>401089</v>
      </c>
      <c r="C7" s="46" t="s">
        <v>240</v>
      </c>
      <c r="D7" s="47">
        <v>44868</v>
      </c>
      <c r="E7" s="48" t="s">
        <v>3</v>
      </c>
      <c r="F7" s="49">
        <v>173</v>
      </c>
      <c r="G7" s="281">
        <f>IF(OR(E7="",F7=""),"",PID_KVLohnLookup($A$1,E7,F7,LOHNTABELLE!$H$4))</f>
        <v>2082</v>
      </c>
      <c r="H7" s="282">
        <f>IF(AND(ISNUMBER(D7),ISNUMBER(F7)),ROUNDDOWN(MIN(IF(OR(ISBLANK(I7),I7=""),EOMONTH(DATE(EINSTELLUNG!$C$35,$A$1,1),0),I7)-MAX(D7,DATE(EINSTELLUNG!$C$35,$A$1,1))+1)/DAY(EOMONTH(DATE(EINSTELLUNG!$C$35,$A$1,1),0))*F7,2),"")</f>
        <v>173</v>
      </c>
      <c r="I7" s="50"/>
      <c r="J7" s="51"/>
      <c r="K7" s="281">
        <f t="shared" si="0"/>
        <v>0</v>
      </c>
      <c r="L7" s="283">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2082</v>
      </c>
      <c r="M7" s="52"/>
      <c r="N7" s="66"/>
      <c r="O7" s="278"/>
      <c r="P7" s="278"/>
      <c r="Q7" s="278"/>
      <c r="R7" s="278"/>
      <c r="S7" s="278"/>
      <c r="T7" s="278"/>
      <c r="U7" s="278"/>
      <c r="V7" s="278"/>
    </row>
    <row r="8" spans="1:28" ht="22" customHeight="1">
      <c r="A8" s="280" t="s">
        <v>55</v>
      </c>
      <c r="B8" s="91">
        <v>401138</v>
      </c>
      <c r="C8" s="39" t="s">
        <v>227</v>
      </c>
      <c r="D8" s="40">
        <v>42006</v>
      </c>
      <c r="E8" s="41" t="s">
        <v>4</v>
      </c>
      <c r="F8" s="42">
        <v>173</v>
      </c>
      <c r="G8" s="281">
        <f>IF(OR(E8="",F8=""),"",PID_KVLohnLookup($A$1,E8,F8,LOHNTABELLE!$H$4))</f>
        <v>2123</v>
      </c>
      <c r="H8" s="282">
        <f>IF(AND(ISNUMBER(D8),ISNUMBER(F8)),ROUNDDOWN(MIN(IF(OR(ISBLANK(I8),I8=""),EOMONTH(DATE(EINSTELLUNG!$C$35,$A$1,1),0),I8)-MAX(D8,DATE(EINSTELLUNG!$C$35,$A$1,1))+1)/DAY(EOMONTH(DATE(EINSTELLUNG!$C$35,$A$1,1),0))*F8,2),"")</f>
        <v>173</v>
      </c>
      <c r="I8" s="43"/>
      <c r="J8" s="44"/>
      <c r="K8" s="281">
        <f t="shared" si="0"/>
        <v>0</v>
      </c>
      <c r="L8" s="283">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2123</v>
      </c>
      <c r="M8" s="45"/>
      <c r="N8" s="65"/>
      <c r="O8" s="357" t="s">
        <v>56</v>
      </c>
      <c r="P8" s="293"/>
      <c r="Q8" s="294">
        <f>SUM(H3:H82)</f>
        <v>8451.2999999999993</v>
      </c>
      <c r="R8" s="295"/>
      <c r="S8" s="278"/>
      <c r="T8" s="278"/>
      <c r="U8" s="278"/>
      <c r="V8" s="278"/>
    </row>
    <row r="9" spans="1:28" ht="22" customHeight="1">
      <c r="A9" s="280" t="s">
        <v>57</v>
      </c>
      <c r="B9" s="92">
        <v>401197</v>
      </c>
      <c r="C9" s="46" t="s">
        <v>228</v>
      </c>
      <c r="D9" s="47">
        <v>42644</v>
      </c>
      <c r="E9" s="48" t="s">
        <v>3</v>
      </c>
      <c r="F9" s="49">
        <v>173</v>
      </c>
      <c r="G9" s="281">
        <f>IF(OR(E9="",F9=""),"",PID_KVLohnLookup($A$1,E9,F9,LOHNTABELLE!$H$4))</f>
        <v>2082</v>
      </c>
      <c r="H9" s="282">
        <f>IF(AND(ISNUMBER(D9),ISNUMBER(F9)),ROUNDDOWN(MIN(IF(OR(ISBLANK(I9),I9=""),EOMONTH(DATE(EINSTELLUNG!$C$35,$A$1,1),0),I9)-MAX(D9,DATE(EINSTELLUNG!$C$35,$A$1,1))+1)/DAY(EOMONTH(DATE(EINSTELLUNG!$C$35,$A$1,1),0))*F9,2),"")</f>
        <v>173</v>
      </c>
      <c r="I9" s="50"/>
      <c r="J9" s="51"/>
      <c r="K9" s="281">
        <f t="shared" si="0"/>
        <v>0</v>
      </c>
      <c r="L9" s="283">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52"/>
      <c r="N9" s="66"/>
      <c r="O9" s="358" t="s">
        <v>58</v>
      </c>
      <c r="P9" s="297"/>
      <c r="Q9" s="298">
        <f>EINSTELLUNG!L26</f>
        <v>5</v>
      </c>
      <c r="R9" s="299"/>
      <c r="S9" s="300">
        <f>IFERROR(Q9/Q8, 0)</f>
        <v>5.9162495710719061E-4</v>
      </c>
      <c r="T9" s="278"/>
      <c r="U9" s="278"/>
      <c r="V9" s="278"/>
    </row>
    <row r="10" spans="1:28" ht="22" customHeight="1">
      <c r="A10" s="280" t="s">
        <v>59</v>
      </c>
      <c r="B10" s="91">
        <v>401214</v>
      </c>
      <c r="C10" s="39" t="s">
        <v>254</v>
      </c>
      <c r="D10" s="40">
        <v>45636</v>
      </c>
      <c r="E10" s="41" t="s">
        <v>3</v>
      </c>
      <c r="F10" s="42">
        <v>173</v>
      </c>
      <c r="G10" s="281">
        <f>IF(OR(E10="",F10=""),"",PID_KVLohnLookup($A$1,E10,F10,LOHNTABELLE!$H$4))</f>
        <v>2082</v>
      </c>
      <c r="H10" s="282">
        <f>IF(AND(ISNUMBER(D10),ISNUMBER(F10)),ROUNDDOWN(MIN(IF(OR(ISBLANK(I10),I10=""),EOMONTH(DATE(EINSTELLUNG!$C$35,$A$1,1),0),I10)-MAX(D10,DATE(EINSTELLUNG!$C$35,$A$1,1))+1)/DAY(EOMONTH(DATE(EINSTELLUNG!$C$35,$A$1,1),0))*F10,2),"")</f>
        <v>173</v>
      </c>
      <c r="I10" s="43"/>
      <c r="J10" s="44"/>
      <c r="K10" s="281">
        <f t="shared" si="0"/>
        <v>0</v>
      </c>
      <c r="L10" s="283">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45"/>
      <c r="N10" s="65"/>
      <c r="O10" s="358" t="s">
        <v>60</v>
      </c>
      <c r="P10" s="297"/>
      <c r="Q10" s="298">
        <f>EINSTELLUNG!I26</f>
        <v>450</v>
      </c>
      <c r="R10" s="299"/>
      <c r="S10" s="278"/>
      <c r="T10" s="278"/>
      <c r="U10" s="278"/>
      <c r="V10" s="278"/>
    </row>
    <row r="11" spans="1:28" ht="22" customHeight="1">
      <c r="A11" s="280" t="s">
        <v>61</v>
      </c>
      <c r="B11" s="92">
        <v>401276</v>
      </c>
      <c r="C11" s="46" t="s">
        <v>229</v>
      </c>
      <c r="D11" s="47">
        <v>43252</v>
      </c>
      <c r="E11" s="48" t="s">
        <v>3</v>
      </c>
      <c r="F11" s="49">
        <v>173</v>
      </c>
      <c r="G11" s="281">
        <f>IF(OR(E11="",F11=""),"",PID_KVLohnLookup($A$1,E11,F11,LOHNTABELLE!$H$4))</f>
        <v>2082</v>
      </c>
      <c r="H11" s="282">
        <f>IF(AND(ISNUMBER(D11),ISNUMBER(F11)),ROUNDDOWN(MIN(IF(OR(ISBLANK(I11),I11=""),EOMONTH(DATE(EINSTELLUNG!$C$35,$A$1,1),0),I11)-MAX(D11,DATE(EINSTELLUNG!$C$35,$A$1,1))+1)/DAY(EOMONTH(DATE(EINSTELLUNG!$C$35,$A$1,1),0))*F11,2),"")</f>
        <v>173</v>
      </c>
      <c r="I11" s="50"/>
      <c r="J11" s="51"/>
      <c r="K11" s="281">
        <f t="shared" si="0"/>
        <v>0</v>
      </c>
      <c r="L11" s="283">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2082</v>
      </c>
      <c r="M11" s="52"/>
      <c r="N11" s="66"/>
      <c r="O11" s="358" t="s">
        <v>62</v>
      </c>
      <c r="P11" s="297"/>
      <c r="Q11" s="298">
        <f>P5</f>
        <v>600</v>
      </c>
      <c r="R11" s="299"/>
      <c r="S11" s="278"/>
      <c r="T11" s="278"/>
      <c r="U11" s="278"/>
      <c r="V11" s="278"/>
    </row>
    <row r="12" spans="1:28" ht="22" customHeight="1">
      <c r="A12" s="280" t="s">
        <v>63</v>
      </c>
      <c r="B12" s="91">
        <v>401276</v>
      </c>
      <c r="C12" s="39" t="s">
        <v>386</v>
      </c>
      <c r="D12" s="40">
        <v>38899</v>
      </c>
      <c r="E12" s="41" t="s">
        <v>2</v>
      </c>
      <c r="F12" s="42">
        <v>55</v>
      </c>
      <c r="G12" s="281" t="str">
        <f>IF(OR(E12="",F12=""),"",PID_KVLohnLookup($A$1,E12,F12,LOHNTABELLE!$H$4))</f>
        <v>Nicht gefunden</v>
      </c>
      <c r="H12" s="282">
        <f>IF(AND(ISNUMBER(D12),ISNUMBER(F12)),ROUNDDOWN(MIN(IF(OR(ISBLANK(I12),I12=""),EOMONTH(DATE(EINSTELLUNG!$C$35,$A$1,1),0),I12)-MAX(D12,DATE(EINSTELLUNG!$C$35,$A$1,1))+1)/DAY(EOMONTH(DATE(EINSTELLUNG!$C$35,$A$1,1),0))*F12,2),"")</f>
        <v>55</v>
      </c>
      <c r="I12" s="43"/>
      <c r="J12" s="44"/>
      <c r="K12" s="281">
        <f t="shared" si="0"/>
        <v>0</v>
      </c>
      <c r="L12" s="283" t="str">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
      </c>
      <c r="M12" s="45"/>
      <c r="N12" s="65"/>
      <c r="O12" s="358" t="s">
        <v>66</v>
      </c>
      <c r="P12" s="297"/>
      <c r="Q12" s="298">
        <f>Q8-Q9-Q10-Q11</f>
        <v>7396.2999999999993</v>
      </c>
      <c r="R12" s="299"/>
      <c r="S12" s="278"/>
      <c r="T12" s="278"/>
      <c r="U12" s="278"/>
      <c r="V12" s="278"/>
    </row>
    <row r="13" spans="1:28" ht="22" customHeight="1">
      <c r="A13" s="280" t="s">
        <v>65</v>
      </c>
      <c r="B13" s="92">
        <v>401307</v>
      </c>
      <c r="C13" s="46" t="s">
        <v>230</v>
      </c>
      <c r="D13" s="47">
        <v>43571</v>
      </c>
      <c r="E13" s="48" t="s">
        <v>2</v>
      </c>
      <c r="F13" s="49">
        <v>55</v>
      </c>
      <c r="G13" s="281" t="str">
        <f>IF(OR(E13="",F13=""),"",PID_KVLohnLookup($A$1,E13,F13,LOHNTABELLE!$H$4))</f>
        <v>Nicht gefunden</v>
      </c>
      <c r="H13" s="282">
        <f>IF(AND(ISNUMBER(D13),ISNUMBER(F13)),ROUNDDOWN(MIN(IF(OR(ISBLANK(I13),I13=""),EOMONTH(DATE(EINSTELLUNG!$C$35,$A$1,1),0),I13)-MAX(D13,DATE(EINSTELLUNG!$C$35,$A$1,1))+1)/DAY(EOMONTH(DATE(EINSTELLUNG!$C$35,$A$1,1),0))*F13,2),"")</f>
        <v>55</v>
      </c>
      <c r="I13" s="50"/>
      <c r="J13" s="51"/>
      <c r="K13" s="281">
        <f t="shared" si="0"/>
        <v>0</v>
      </c>
      <c r="L13" s="283" t="str">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
      </c>
      <c r="M13" s="52"/>
      <c r="N13" s="66"/>
      <c r="O13" s="358" t="s">
        <v>68</v>
      </c>
      <c r="P13" s="297"/>
      <c r="Q13" s="298">
        <f>EINSTELLUNG!L10</f>
        <v>9300</v>
      </c>
      <c r="R13" s="299"/>
      <c r="S13" s="278"/>
      <c r="T13" s="278"/>
      <c r="U13" s="278"/>
      <c r="V13" s="278"/>
    </row>
    <row r="14" spans="1:28" ht="22" customHeight="1">
      <c r="A14" s="280" t="s">
        <v>67</v>
      </c>
      <c r="B14" s="91">
        <v>401308</v>
      </c>
      <c r="C14" s="39" t="s">
        <v>231</v>
      </c>
      <c r="D14" s="40">
        <v>43579</v>
      </c>
      <c r="E14" s="41" t="s">
        <v>3</v>
      </c>
      <c r="F14" s="42">
        <v>173</v>
      </c>
      <c r="G14" s="281">
        <f>IF(OR(E14="",F14=""),"",PID_KVLohnLookup($A$1,E14,F14,LOHNTABELLE!$H$4))</f>
        <v>2082</v>
      </c>
      <c r="H14" s="282">
        <f>IF(AND(ISNUMBER(D14),ISNUMBER(F14)),ROUNDDOWN(MIN(IF(OR(ISBLANK(I14),I14=""),EOMONTH(DATE(EINSTELLUNG!$C$35,$A$1,1),0),I14)-MAX(D14,DATE(EINSTELLUNG!$C$35,$A$1,1))+1)/DAY(EOMONTH(DATE(EINSTELLUNG!$C$35,$A$1,1),0))*F14,2),"")</f>
        <v>173</v>
      </c>
      <c r="I14" s="43"/>
      <c r="J14" s="44"/>
      <c r="K14" s="281">
        <f t="shared" si="0"/>
        <v>0</v>
      </c>
      <c r="L14" s="283">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2082</v>
      </c>
      <c r="M14" s="45"/>
      <c r="N14" s="65"/>
      <c r="O14" s="358" t="s">
        <v>70</v>
      </c>
      <c r="P14" s="297"/>
      <c r="Q14" s="298">
        <f>Q12-Q13</f>
        <v>-1903.7000000000007</v>
      </c>
      <c r="R14" s="299"/>
      <c r="S14" s="278"/>
      <c r="T14" s="278"/>
      <c r="U14" s="278"/>
      <c r="V14" s="278"/>
    </row>
    <row r="15" spans="1:28" ht="22" customHeight="1">
      <c r="A15" s="280" t="s">
        <v>69</v>
      </c>
      <c r="B15" s="92">
        <v>401394</v>
      </c>
      <c r="C15" s="46" t="s">
        <v>232</v>
      </c>
      <c r="D15" s="47">
        <v>44379</v>
      </c>
      <c r="E15" s="48" t="s">
        <v>2</v>
      </c>
      <c r="F15" s="49">
        <v>173</v>
      </c>
      <c r="G15" s="281">
        <f>IF(OR(E15="",F15=""),"",PID_KVLohnLookup($A$1,E15,F15,LOHNTABELLE!$H$4))</f>
        <v>2021</v>
      </c>
      <c r="H15" s="282">
        <f>IF(AND(ISNUMBER(D15),ISNUMBER(F15)),ROUNDDOWN(MIN(IF(OR(ISBLANK(I15),I15=""),EOMONTH(DATE(EINSTELLUNG!$C$35,$A$1,1),0),I15)-MAX(D15,DATE(EINSTELLUNG!$C$35,$A$1,1))+1)/DAY(EOMONTH(DATE(EINSTELLUNG!$C$35,$A$1,1),0))*F15,2),"")</f>
        <v>173</v>
      </c>
      <c r="I15" s="50"/>
      <c r="J15" s="51"/>
      <c r="K15" s="281">
        <f t="shared" si="0"/>
        <v>0</v>
      </c>
      <c r="L15" s="283">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2021</v>
      </c>
      <c r="M15" s="52"/>
      <c r="N15" s="66"/>
      <c r="O15" s="360" t="str">
        <f>IF(Q14&lt;0, "Schlecht! Zu wenig Stunden für Dienstplan.", IF(Q14&gt;0, "Du hast mehr als genug Stunden für Dienstplan.", ""))</f>
        <v>Schlecht! Zu wenig Stunden für Dienstplan.</v>
      </c>
      <c r="P15" s="361"/>
      <c r="Q15" s="361"/>
      <c r="R15" s="362"/>
      <c r="S15" s="301"/>
      <c r="T15" s="301"/>
      <c r="U15" s="301"/>
      <c r="V15" s="278"/>
    </row>
    <row r="16" spans="1:28" ht="22" customHeight="1" thickBot="1">
      <c r="A16" s="280" t="s">
        <v>71</v>
      </c>
      <c r="B16" s="91">
        <v>401479</v>
      </c>
      <c r="C16" s="39" t="s">
        <v>237</v>
      </c>
      <c r="D16" s="40">
        <v>44511</v>
      </c>
      <c r="E16" s="41" t="s">
        <v>6</v>
      </c>
      <c r="F16" s="42">
        <v>173</v>
      </c>
      <c r="G16" s="281">
        <f>IF(OR(E16="",F16=""),"",PID_KVLohnLookup($A$1,E16,F16,LOHNTABELLE!$H$4))</f>
        <v>2160</v>
      </c>
      <c r="H16" s="282">
        <f>IF(AND(ISNUMBER(D16),ISNUMBER(F16)),ROUNDDOWN(MIN(IF(OR(ISBLANK(I16),I16=""),EOMONTH(DATE(EINSTELLUNG!$C$35,$A$1,1),0),I16)-MAX(D16,DATE(EINSTELLUNG!$C$35,$A$1,1))+1)/DAY(EOMONTH(DATE(EINSTELLUNG!$C$35,$A$1,1),0))*F16,2),"")</f>
        <v>173</v>
      </c>
      <c r="I16" s="43"/>
      <c r="J16" s="44"/>
      <c r="K16" s="281">
        <f t="shared" si="0"/>
        <v>0</v>
      </c>
      <c r="L16" s="283">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2160</v>
      </c>
      <c r="M16" s="45"/>
      <c r="N16" s="65"/>
      <c r="O16" s="363"/>
      <c r="P16" s="364"/>
      <c r="Q16" s="364"/>
      <c r="R16" s="365"/>
      <c r="S16" s="305"/>
      <c r="T16" s="305"/>
      <c r="U16" s="305"/>
      <c r="V16" s="305"/>
      <c r="W16" s="306"/>
    </row>
    <row r="17" spans="1:29" ht="22" customHeight="1">
      <c r="A17" s="280" t="s">
        <v>72</v>
      </c>
      <c r="B17" s="92">
        <v>401558</v>
      </c>
      <c r="C17" s="46" t="s">
        <v>235</v>
      </c>
      <c r="D17" s="47">
        <v>44460</v>
      </c>
      <c r="E17" s="48" t="s">
        <v>2</v>
      </c>
      <c r="F17" s="49">
        <v>173</v>
      </c>
      <c r="G17" s="281">
        <f>IF(OR(E17="",F17=""),"",PID_KVLohnLookup($A$1,E17,F17,LOHNTABELLE!$H$4))</f>
        <v>2021</v>
      </c>
      <c r="H17" s="282">
        <f>IF(AND(ISNUMBER(D17),ISNUMBER(F17)),ROUNDDOWN(MIN(IF(OR(ISBLANK(I17),I17=""),EOMONTH(DATE(EINSTELLUNG!$C$35,$A$1,1),0),I17)-MAX(D17,DATE(EINSTELLUNG!$C$35,$A$1,1))+1)/DAY(EOMONTH(DATE(EINSTELLUNG!$C$35,$A$1,1),0))*F17,2),"")</f>
        <v>173</v>
      </c>
      <c r="I17" s="50"/>
      <c r="J17" s="51"/>
      <c r="K17" s="281">
        <f t="shared" si="0"/>
        <v>0</v>
      </c>
      <c r="L17" s="283">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2021</v>
      </c>
      <c r="M17" s="52"/>
      <c r="N17" s="66"/>
      <c r="O17" s="357" t="s">
        <v>73</v>
      </c>
      <c r="P17" s="293"/>
      <c r="Q17" s="307">
        <f>SUM(L3:L82)</f>
        <v>99351.872258064541</v>
      </c>
      <c r="R17" s="308"/>
      <c r="S17" s="278"/>
      <c r="T17" s="278"/>
      <c r="U17" s="278"/>
      <c r="V17" s="278"/>
      <c r="W17" s="306"/>
    </row>
    <row r="18" spans="1:29" ht="22" customHeight="1">
      <c r="A18" s="280" t="s">
        <v>74</v>
      </c>
      <c r="B18" s="91">
        <v>401564</v>
      </c>
      <c r="C18" s="39" t="s">
        <v>239</v>
      </c>
      <c r="D18" s="40">
        <v>44824</v>
      </c>
      <c r="E18" s="41" t="s">
        <v>2</v>
      </c>
      <c r="F18" s="42">
        <v>151.38</v>
      </c>
      <c r="G18" s="281">
        <f>IF(OR(E18="",F18=""),"",PID_KVLohnLookup($A$1,E18,F18,LOHNTABELLE!$H$4))</f>
        <v>1768.38</v>
      </c>
      <c r="H18" s="282">
        <f>IF(AND(ISNUMBER(D18),ISNUMBER(F18)),ROUNDDOWN(MIN(IF(OR(ISBLANK(I18),I18=""),EOMONTH(DATE(EINSTELLUNG!$C$35,$A$1,1),0),I18)-MAX(D18,DATE(EINSTELLUNG!$C$35,$A$1,1))+1)/DAY(EOMONTH(DATE(EINSTELLUNG!$C$35,$A$1,1),0))*F18,2),"")</f>
        <v>151.38</v>
      </c>
      <c r="I18" s="43"/>
      <c r="J18" s="44"/>
      <c r="K18" s="281">
        <f t="shared" si="0"/>
        <v>0</v>
      </c>
      <c r="L18" s="283">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1768.38</v>
      </c>
      <c r="M18" s="45"/>
      <c r="N18" s="65"/>
      <c r="O18" s="366" t="s">
        <v>371</v>
      </c>
      <c r="P18" s="310"/>
      <c r="Q18" s="311">
        <v>20</v>
      </c>
      <c r="R18" s="312"/>
      <c r="S18" s="278"/>
      <c r="T18" s="278"/>
      <c r="U18" s="278"/>
      <c r="V18" s="278"/>
    </row>
    <row r="19" spans="1:29" ht="22" customHeight="1">
      <c r="A19" s="280" t="s">
        <v>75</v>
      </c>
      <c r="B19" s="92">
        <v>401583</v>
      </c>
      <c r="C19" s="46" t="s">
        <v>241</v>
      </c>
      <c r="D19" s="47">
        <v>44900</v>
      </c>
      <c r="E19" s="48" t="s">
        <v>13</v>
      </c>
      <c r="F19" s="49">
        <v>173</v>
      </c>
      <c r="G19" s="281">
        <f>IF(OR(E19="",F19=""),"",PID_KVLohnLookup($A$1,E19,F19,LOHNTABELLE!$H$4))</f>
        <v>2328</v>
      </c>
      <c r="H19" s="282">
        <f>IF(AND(ISNUMBER(D19),ISNUMBER(F19)),ROUNDDOWN(MIN(IF(OR(ISBLANK(I19),I19=""),EOMONTH(DATE(EINSTELLUNG!$C$35,$A$1,1),0),I19)-MAX(D19,DATE(EINSTELLUNG!$C$35,$A$1,1))+1)/DAY(EOMONTH(DATE(EINSTELLUNG!$C$35,$A$1,1),0))*F19,2),"")</f>
        <v>173</v>
      </c>
      <c r="I19" s="50"/>
      <c r="J19" s="51"/>
      <c r="K19" s="281">
        <f t="shared" si="0"/>
        <v>0</v>
      </c>
      <c r="L19" s="283">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2328</v>
      </c>
      <c r="M19" s="52"/>
      <c r="N19" s="66"/>
      <c r="O19" s="366" t="s">
        <v>293</v>
      </c>
      <c r="P19" s="310"/>
      <c r="Q19" s="311">
        <v>333</v>
      </c>
      <c r="R19" s="312"/>
      <c r="S19" s="278"/>
      <c r="T19" s="278"/>
      <c r="U19" s="278"/>
      <c r="V19" s="278"/>
    </row>
    <row r="20" spans="1:29" ht="22" customHeight="1">
      <c r="A20" s="280" t="s">
        <v>76</v>
      </c>
      <c r="B20" s="91">
        <v>401589</v>
      </c>
      <c r="C20" s="39" t="s">
        <v>242</v>
      </c>
      <c r="D20" s="40">
        <v>44926</v>
      </c>
      <c r="E20" s="41" t="s">
        <v>10</v>
      </c>
      <c r="F20" s="42">
        <v>173</v>
      </c>
      <c r="G20" s="281">
        <f>IF(OR(E20="",F20=""),"",PID_KVLohnLookup($A$1,E20,F20,LOHNTABELLE!$H$4))</f>
        <v>2300</v>
      </c>
      <c r="H20" s="282">
        <f>IF(AND(ISNUMBER(D20),ISNUMBER(F20)),ROUNDDOWN(MIN(IF(OR(ISBLANK(I20),I20=""),EOMONTH(DATE(EINSTELLUNG!$C$35,$A$1,1),0),I20)-MAX(D20,DATE(EINSTELLUNG!$C$35,$A$1,1))+1)/DAY(EOMONTH(DATE(EINSTELLUNG!$C$35,$A$1,1),0))*F20,2),"")</f>
        <v>173</v>
      </c>
      <c r="I20" s="43"/>
      <c r="J20" s="44"/>
      <c r="K20" s="281">
        <f t="shared" si="0"/>
        <v>0</v>
      </c>
      <c r="L20" s="283">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2300</v>
      </c>
      <c r="M20" s="45"/>
      <c r="N20" s="65"/>
      <c r="O20" s="366" t="s">
        <v>293</v>
      </c>
      <c r="P20" s="310"/>
      <c r="Q20" s="311">
        <v>35</v>
      </c>
      <c r="R20" s="312"/>
      <c r="S20" s="278"/>
      <c r="T20" s="278"/>
      <c r="U20" s="278"/>
      <c r="V20" s="278"/>
    </row>
    <row r="21" spans="1:29" ht="22" customHeight="1">
      <c r="A21" s="280" t="s">
        <v>77</v>
      </c>
      <c r="B21" s="92">
        <v>401602</v>
      </c>
      <c r="C21" s="46" t="s">
        <v>243</v>
      </c>
      <c r="D21" s="47">
        <v>45975</v>
      </c>
      <c r="E21" s="48" t="s">
        <v>2</v>
      </c>
      <c r="F21" s="49">
        <v>169</v>
      </c>
      <c r="G21" s="281">
        <f>IF(OR(E21="",F21=""),"",PID_KVLohnLookup($A$1,E21,F21,LOHNTABELLE!$H$4))</f>
        <v>2000</v>
      </c>
      <c r="H21" s="282">
        <f>IF(AND(ISNUMBER(D21),ISNUMBER(F21)),ROUNDDOWN(MIN(IF(OR(ISBLANK(I21),I21=""),EOMONTH(DATE(EINSTELLUNG!$C$35,$A$1,1),0),I21)-MAX(D21,DATE(EINSTELLUNG!$C$35,$A$1,1))+1)/DAY(EOMONTH(DATE(EINSTELLUNG!$C$35,$A$1,1),0))*F21,2),"")</f>
        <v>169</v>
      </c>
      <c r="I21" s="50"/>
      <c r="J21" s="51"/>
      <c r="K21" s="281">
        <f t="shared" si="0"/>
        <v>0</v>
      </c>
      <c r="L21" s="283">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2000</v>
      </c>
      <c r="M21" s="52"/>
      <c r="N21" s="66"/>
      <c r="O21" s="366" t="s">
        <v>293</v>
      </c>
      <c r="P21" s="310"/>
      <c r="Q21" s="311">
        <v>100</v>
      </c>
      <c r="R21" s="312"/>
      <c r="S21" s="278"/>
      <c r="T21" s="278"/>
      <c r="U21" s="278"/>
      <c r="V21" s="278"/>
    </row>
    <row r="22" spans="1:29" ht="22" customHeight="1">
      <c r="A22" s="280" t="s">
        <v>78</v>
      </c>
      <c r="B22" s="91">
        <v>401605</v>
      </c>
      <c r="C22" s="39" t="s">
        <v>244</v>
      </c>
      <c r="D22" s="40">
        <v>44986</v>
      </c>
      <c r="E22" s="41" t="s">
        <v>2</v>
      </c>
      <c r="F22" s="42">
        <v>173</v>
      </c>
      <c r="G22" s="281">
        <f>IF(OR(E22="",F22=""),"",PID_KVLohnLookup($A$1,E22,F22,LOHNTABELLE!$H$4))</f>
        <v>2021</v>
      </c>
      <c r="H22" s="282">
        <f>IF(AND(ISNUMBER(D22),ISNUMBER(F22)),ROUNDDOWN(MIN(IF(OR(ISBLANK(I22),I22=""),EOMONTH(DATE(EINSTELLUNG!$C$35,$A$1,1),0),I22)-MAX(D22,DATE(EINSTELLUNG!$C$35,$A$1,1))+1)/DAY(EOMONTH(DATE(EINSTELLUNG!$C$35,$A$1,1),0))*F22,2),"")</f>
        <v>173</v>
      </c>
      <c r="I22" s="43"/>
      <c r="J22" s="44"/>
      <c r="K22" s="281">
        <f t="shared" si="0"/>
        <v>0</v>
      </c>
      <c r="L22" s="283">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2021</v>
      </c>
      <c r="M22" s="45"/>
      <c r="N22" s="65"/>
      <c r="O22" s="366" t="s">
        <v>293</v>
      </c>
      <c r="P22" s="310"/>
      <c r="Q22" s="311"/>
      <c r="R22" s="312"/>
      <c r="S22" s="278"/>
      <c r="T22" s="278"/>
      <c r="U22" s="278"/>
      <c r="V22" s="278"/>
    </row>
    <row r="23" spans="1:29" ht="22" customHeight="1">
      <c r="A23" s="280" t="s">
        <v>79</v>
      </c>
      <c r="B23" s="92">
        <v>401605</v>
      </c>
      <c r="C23" s="46" t="s">
        <v>387</v>
      </c>
      <c r="D23" s="47">
        <v>36850</v>
      </c>
      <c r="E23" s="48" t="s">
        <v>10</v>
      </c>
      <c r="F23" s="49">
        <v>151.38</v>
      </c>
      <c r="G23" s="281">
        <f>IF(OR(E23="",F23=""),"",PID_KVLohnLookup($A$1,E23,F23,LOHNTABELLE!$H$4))</f>
        <v>2012.5</v>
      </c>
      <c r="H23" s="282">
        <f>IF(AND(ISNUMBER(D23),ISNUMBER(F23)),ROUNDDOWN(MIN(IF(OR(ISBLANK(I23),I23=""),EOMONTH(DATE(EINSTELLUNG!$C$35,$A$1,1),0),I23)-MAX(D23,DATE(EINSTELLUNG!$C$35,$A$1,1))+1)/DAY(EOMONTH(DATE(EINSTELLUNG!$C$35,$A$1,1),0))*F23,2),"")</f>
        <v>151.38</v>
      </c>
      <c r="I23" s="50"/>
      <c r="J23" s="51"/>
      <c r="K23" s="281">
        <f t="shared" si="0"/>
        <v>0</v>
      </c>
      <c r="L23" s="283">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2012.5</v>
      </c>
      <c r="M23" s="52"/>
      <c r="N23" s="66"/>
      <c r="O23" s="366" t="s">
        <v>293</v>
      </c>
      <c r="P23" s="310"/>
      <c r="Q23" s="311">
        <v>5000</v>
      </c>
      <c r="R23" s="312"/>
      <c r="S23" s="278"/>
      <c r="T23" s="278"/>
      <c r="U23" s="278"/>
      <c r="V23" s="278"/>
      <c r="W23" s="306"/>
    </row>
    <row r="24" spans="1:29" ht="22" customHeight="1">
      <c r="A24" s="280" t="s">
        <v>80</v>
      </c>
      <c r="B24" s="91">
        <v>401626</v>
      </c>
      <c r="C24" s="39" t="s">
        <v>245</v>
      </c>
      <c r="D24" s="40">
        <v>45063</v>
      </c>
      <c r="E24" s="41" t="s">
        <v>2</v>
      </c>
      <c r="F24" s="42">
        <v>173</v>
      </c>
      <c r="G24" s="281">
        <f>IF(OR(E24="",F24=""),"",PID_KVLohnLookup($A$1,E24,F24,LOHNTABELLE!$H$4))</f>
        <v>2021</v>
      </c>
      <c r="H24" s="282">
        <f>IF(AND(ISNUMBER(D24),ISNUMBER(F24)),ROUNDDOWN(MIN(IF(OR(ISBLANK(I24),I24=""),EOMONTH(DATE(EINSTELLUNG!$C$35,$A$1,1),0),I24)-MAX(D24,DATE(EINSTELLUNG!$C$35,$A$1,1))+1)/DAY(EOMONTH(DATE(EINSTELLUNG!$C$35,$A$1,1),0))*F24,2),"")</f>
        <v>173</v>
      </c>
      <c r="I24" s="43"/>
      <c r="J24" s="44"/>
      <c r="K24" s="281">
        <f t="shared" si="0"/>
        <v>0</v>
      </c>
      <c r="L24" s="283">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2021</v>
      </c>
      <c r="M24" s="45"/>
      <c r="N24" s="65"/>
      <c r="O24" s="366"/>
      <c r="P24" s="310"/>
      <c r="Q24" s="311"/>
      <c r="R24" s="312"/>
      <c r="S24" s="278"/>
      <c r="T24" s="278"/>
      <c r="U24" s="278"/>
      <c r="V24" s="278"/>
      <c r="W24" s="306"/>
    </row>
    <row r="25" spans="1:29" ht="22" customHeight="1">
      <c r="A25" s="280" t="s">
        <v>81</v>
      </c>
      <c r="B25" s="92">
        <v>401633</v>
      </c>
      <c r="C25" s="46" t="s">
        <v>246</v>
      </c>
      <c r="D25" s="47">
        <v>45089</v>
      </c>
      <c r="E25" s="48" t="s">
        <v>10</v>
      </c>
      <c r="F25" s="49">
        <v>173</v>
      </c>
      <c r="G25" s="281">
        <f>IF(OR(E25="",F25=""),"",PID_KVLohnLookup($A$1,E25,F25,LOHNTABELLE!$H$4))</f>
        <v>2300</v>
      </c>
      <c r="H25" s="282">
        <f>IF(AND(ISNUMBER(D25),ISNUMBER(F25)),ROUNDDOWN(MIN(IF(OR(ISBLANK(I25),I25=""),EOMONTH(DATE(EINSTELLUNG!$C$35,$A$1,1),0),I25)-MAX(D25,DATE(EINSTELLUNG!$C$35,$A$1,1))+1)/DAY(EOMONTH(DATE(EINSTELLUNG!$C$35,$A$1,1),0))*F25,2),"")</f>
        <v>173</v>
      </c>
      <c r="I25" s="50"/>
      <c r="J25" s="51"/>
      <c r="K25" s="281">
        <f t="shared" si="0"/>
        <v>0</v>
      </c>
      <c r="L25" s="283">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2300</v>
      </c>
      <c r="M25" s="52"/>
      <c r="N25" s="66"/>
      <c r="O25" s="366"/>
      <c r="P25" s="310"/>
      <c r="Q25" s="311"/>
      <c r="R25" s="312"/>
      <c r="S25" s="278"/>
      <c r="T25" s="278"/>
      <c r="U25" s="278"/>
      <c r="V25" s="278"/>
    </row>
    <row r="26" spans="1:29" ht="22" customHeight="1">
      <c r="A26" s="280" t="s">
        <v>82</v>
      </c>
      <c r="B26" s="91">
        <v>401647</v>
      </c>
      <c r="C26" s="39" t="s">
        <v>247</v>
      </c>
      <c r="D26" s="40">
        <v>45182</v>
      </c>
      <c r="E26" s="41" t="s">
        <v>2</v>
      </c>
      <c r="F26" s="42">
        <v>173</v>
      </c>
      <c r="G26" s="281">
        <f>IF(OR(E26="",F26=""),"",PID_KVLohnLookup($A$1,E26,F26,LOHNTABELLE!$H$4))</f>
        <v>2021</v>
      </c>
      <c r="H26" s="282">
        <f>IF(AND(ISNUMBER(D26),ISNUMBER(F26)),ROUNDDOWN(MIN(IF(OR(ISBLANK(I26),I26=""),EOMONTH(DATE(EINSTELLUNG!$C$35,$A$1,1),0),I26)-MAX(D26,DATE(EINSTELLUNG!$C$35,$A$1,1))+1)/DAY(EOMONTH(DATE(EINSTELLUNG!$C$35,$A$1,1),0))*F26,2),"")</f>
        <v>173</v>
      </c>
      <c r="I26" s="43"/>
      <c r="J26" s="44"/>
      <c r="K26" s="281">
        <f t="shared" si="0"/>
        <v>0</v>
      </c>
      <c r="L26" s="283">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2021</v>
      </c>
      <c r="M26" s="45"/>
      <c r="N26" s="65"/>
      <c r="O26" s="366"/>
      <c r="P26" s="310"/>
      <c r="Q26" s="311"/>
      <c r="R26" s="312"/>
      <c r="S26" s="278"/>
      <c r="T26" s="278"/>
      <c r="U26" s="278"/>
      <c r="V26" s="278"/>
    </row>
    <row r="27" spans="1:29" ht="22" customHeight="1">
      <c r="A27" s="280" t="s">
        <v>83</v>
      </c>
      <c r="B27" s="92">
        <v>401661</v>
      </c>
      <c r="C27" s="46" t="s">
        <v>248</v>
      </c>
      <c r="D27" s="47">
        <v>45261</v>
      </c>
      <c r="E27" s="48" t="s">
        <v>2</v>
      </c>
      <c r="F27" s="49">
        <v>173</v>
      </c>
      <c r="G27" s="281">
        <f>IF(OR(E27="",F27=""),"",PID_KVLohnLookup($A$1,E27,F27,LOHNTABELLE!$H$4))</f>
        <v>2021</v>
      </c>
      <c r="H27" s="282">
        <f>IF(AND(ISNUMBER(D27),ISNUMBER(F27)),ROUNDDOWN(MIN(IF(OR(ISBLANK(I27),I27=""),EOMONTH(DATE(EINSTELLUNG!$C$35,$A$1,1),0),I27)-MAX(D27,DATE(EINSTELLUNG!$C$35,$A$1,1))+1)/DAY(EOMONTH(DATE(EINSTELLUNG!$C$35,$A$1,1),0))*F27,2),"")</f>
        <v>173</v>
      </c>
      <c r="I27" s="50"/>
      <c r="J27" s="51"/>
      <c r="K27" s="281">
        <f t="shared" si="0"/>
        <v>0</v>
      </c>
      <c r="L27" s="283">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2021</v>
      </c>
      <c r="M27" s="52"/>
      <c r="N27" s="66"/>
      <c r="O27" s="366"/>
      <c r="P27" s="310"/>
      <c r="Q27" s="311"/>
      <c r="R27" s="312"/>
      <c r="S27" s="313" t="s">
        <v>84</v>
      </c>
      <c r="T27" s="313"/>
      <c r="U27" s="313"/>
      <c r="V27" s="313"/>
    </row>
    <row r="28" spans="1:29" ht="22" customHeight="1">
      <c r="A28" s="280" t="s">
        <v>85</v>
      </c>
      <c r="B28" s="91">
        <v>401670</v>
      </c>
      <c r="C28" s="39" t="s">
        <v>249</v>
      </c>
      <c r="D28" s="40">
        <v>45358</v>
      </c>
      <c r="E28" s="41" t="s">
        <v>2</v>
      </c>
      <c r="F28" s="42">
        <v>173</v>
      </c>
      <c r="G28" s="281">
        <f>IF(OR(E28="",F28=""),"",PID_KVLohnLookup($A$1,E28,F28,LOHNTABELLE!$H$4))</f>
        <v>2021</v>
      </c>
      <c r="H28" s="282">
        <f>IF(AND(ISNUMBER(D28),ISNUMBER(F28)),ROUNDDOWN(MIN(IF(OR(ISBLANK(I28),I28=""),EOMONTH(DATE(EINSTELLUNG!$C$35,$A$1,1),0),I28)-MAX(D28,DATE(EINSTELLUNG!$C$35,$A$1,1))+1)/DAY(EOMONTH(DATE(EINSTELLUNG!$C$35,$A$1,1),0))*F28,2),"")</f>
        <v>173</v>
      </c>
      <c r="I28" s="43"/>
      <c r="J28" s="44"/>
      <c r="K28" s="281">
        <f t="shared" si="0"/>
        <v>0</v>
      </c>
      <c r="L28" s="283">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2021</v>
      </c>
      <c r="M28" s="45"/>
      <c r="N28" s="65"/>
      <c r="O28" s="366"/>
      <c r="P28" s="310"/>
      <c r="Q28" s="311"/>
      <c r="R28" s="312"/>
      <c r="S28" s="278"/>
      <c r="T28" s="278"/>
      <c r="U28" s="278"/>
      <c r="V28" s="278"/>
    </row>
    <row r="29" spans="1:29" ht="22" customHeight="1" thickBot="1">
      <c r="A29" s="280" t="s">
        <v>86</v>
      </c>
      <c r="B29" s="92">
        <v>401678</v>
      </c>
      <c r="C29" s="46" t="s">
        <v>250</v>
      </c>
      <c r="D29" s="47">
        <v>45414</v>
      </c>
      <c r="E29" s="48" t="s">
        <v>2</v>
      </c>
      <c r="F29" s="49">
        <v>173</v>
      </c>
      <c r="G29" s="281">
        <f>IF(OR(E29="",F29=""),"",PID_KVLohnLookup($A$1,E29,F29,LOHNTABELLE!$H$4))</f>
        <v>2021</v>
      </c>
      <c r="H29" s="282">
        <f>IF(AND(ISNUMBER(D29),ISNUMBER(F29)),ROUNDDOWN(MIN(IF(OR(ISBLANK(I29),I29=""),EOMONTH(DATE(EINSTELLUNG!$C$35,$A$1,1),0),I29)-MAX(D29,DATE(EINSTELLUNG!$C$35,$A$1,1))+1)/DAY(EOMONTH(DATE(EINSTELLUNG!$C$35,$A$1,1),0))*F29,2),"")</f>
        <v>173</v>
      </c>
      <c r="I29" s="50"/>
      <c r="J29" s="51"/>
      <c r="K29" s="281">
        <f t="shared" si="0"/>
        <v>0</v>
      </c>
      <c r="L29" s="283">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2021</v>
      </c>
      <c r="M29" s="52"/>
      <c r="N29" s="66"/>
      <c r="O29" s="367" t="s">
        <v>87</v>
      </c>
      <c r="P29" s="315"/>
      <c r="Q29" s="316">
        <f>EINSTELLUNG!O10</f>
        <v>1250</v>
      </c>
      <c r="R29" s="317"/>
      <c r="S29" s="278"/>
      <c r="T29" s="278"/>
      <c r="U29" s="278"/>
      <c r="V29" s="278"/>
    </row>
    <row r="30" spans="1:29" ht="22" customHeight="1" thickBot="1">
      <c r="A30" s="280" t="s">
        <v>88</v>
      </c>
      <c r="B30" s="91">
        <v>401690</v>
      </c>
      <c r="C30" s="39" t="s">
        <v>252</v>
      </c>
      <c r="D30" s="40">
        <v>45536</v>
      </c>
      <c r="E30" s="41" t="s">
        <v>2</v>
      </c>
      <c r="F30" s="42">
        <v>151.38</v>
      </c>
      <c r="G30" s="281">
        <f>IF(OR(E30="",F30=""),"",PID_KVLohnLookup($A$1,E30,F30,LOHNTABELLE!$H$4))</f>
        <v>1768.38</v>
      </c>
      <c r="H30" s="282">
        <f>IF(AND(ISNUMBER(D30),ISNUMBER(F30)),ROUNDDOWN(MIN(IF(OR(ISBLANK(I30),I30=""),EOMONTH(DATE(EINSTELLUNG!$C$35,$A$1,1),0),I30)-MAX(D30,DATE(EINSTELLUNG!$C$35,$A$1,1))+1)/DAY(EOMONTH(DATE(EINSTELLUNG!$C$35,$A$1,1),0))*F30,2),"")</f>
        <v>151.38</v>
      </c>
      <c r="I30" s="43"/>
      <c r="J30" s="44"/>
      <c r="K30" s="281">
        <f t="shared" si="0"/>
        <v>0</v>
      </c>
      <c r="L30" s="283">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1768.38</v>
      </c>
      <c r="M30" s="45"/>
      <c r="N30" s="65"/>
      <c r="O30" s="278"/>
      <c r="P30" s="278"/>
      <c r="Q30" s="278"/>
      <c r="R30" s="278"/>
      <c r="S30" s="278"/>
      <c r="T30" s="278"/>
      <c r="U30" s="278"/>
      <c r="V30" s="278"/>
      <c r="W30" s="318"/>
      <c r="X30" s="318"/>
      <c r="Y30" s="318"/>
      <c r="Z30" s="318"/>
      <c r="AA30" s="318"/>
      <c r="AB30" s="318"/>
      <c r="AC30" s="318"/>
    </row>
    <row r="31" spans="1:29" ht="18" customHeight="1" thickBot="1">
      <c r="A31" s="280" t="s">
        <v>89</v>
      </c>
      <c r="B31" s="92">
        <v>401703</v>
      </c>
      <c r="C31" s="46" t="s">
        <v>253</v>
      </c>
      <c r="D31" s="47">
        <v>45616</v>
      </c>
      <c r="E31" s="48" t="s">
        <v>2</v>
      </c>
      <c r="F31" s="49">
        <v>173</v>
      </c>
      <c r="G31" s="281">
        <f>IF(OR(E31="",F31=""),"",PID_KVLohnLookup($A$1,E31,F31,LOHNTABELLE!$H$4))</f>
        <v>2021</v>
      </c>
      <c r="H31" s="282">
        <f>IF(AND(ISNUMBER(D31),ISNUMBER(F31)),ROUNDDOWN(MIN(IF(OR(ISBLANK(I31),I31=""),EOMONTH(DATE(EINSTELLUNG!$C$35,$A$1,1),0),I31)-MAX(D31,DATE(EINSTELLUNG!$C$35,$A$1,1))+1)/DAY(EOMONTH(DATE(EINSTELLUNG!$C$35,$A$1,1),0))*F31,2),"")</f>
        <v>11.16</v>
      </c>
      <c r="I31" s="50">
        <v>46144</v>
      </c>
      <c r="J31" s="51"/>
      <c r="K31" s="281">
        <f t="shared" si="0"/>
        <v>0</v>
      </c>
      <c r="L31" s="283">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130.38709677419354</v>
      </c>
      <c r="M31" s="52"/>
      <c r="N31" s="66" t="s">
        <v>185</v>
      </c>
      <c r="O31" s="368" t="s">
        <v>415</v>
      </c>
      <c r="P31" s="320"/>
      <c r="Q31" s="321">
        <v>1.7094017094017096E-2</v>
      </c>
      <c r="R31" s="322"/>
      <c r="S31" s="278"/>
      <c r="T31" s="278"/>
      <c r="U31" s="278"/>
      <c r="V31" s="278"/>
    </row>
    <row r="32" spans="1:29" ht="22" customHeight="1" thickBot="1">
      <c r="A32" s="280" t="s">
        <v>91</v>
      </c>
      <c r="B32" s="91">
        <v>401715</v>
      </c>
      <c r="C32" s="39" t="s">
        <v>255</v>
      </c>
      <c r="D32" s="40">
        <v>45755</v>
      </c>
      <c r="E32" s="41" t="s">
        <v>2</v>
      </c>
      <c r="F32" s="42">
        <v>173</v>
      </c>
      <c r="G32" s="281">
        <f>IF(OR(E32="",F32=""),"",PID_KVLohnLookup($A$1,E32,F32,LOHNTABELLE!$H$4))</f>
        <v>2021</v>
      </c>
      <c r="H32" s="282">
        <f>IF(AND(ISNUMBER(D32),ISNUMBER(F32)),ROUNDDOWN(MIN(IF(OR(ISBLANK(I32),I32=""),EOMONTH(DATE(EINSTELLUNG!$C$35,$A$1,1),0),I32)-MAX(D32,DATE(EINSTELLUNG!$C$35,$A$1,1))+1)/DAY(EOMONTH(DATE(EINSTELLUNG!$C$35,$A$1,1),0))*F32,2),"")</f>
        <v>173</v>
      </c>
      <c r="I32" s="43"/>
      <c r="J32" s="44"/>
      <c r="K32" s="281">
        <f t="shared" si="0"/>
        <v>0</v>
      </c>
      <c r="L32" s="283">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2021</v>
      </c>
      <c r="M32" s="45"/>
      <c r="N32" s="65"/>
      <c r="O32" s="278"/>
      <c r="P32" s="278"/>
      <c r="Q32" s="278"/>
      <c r="R32" s="278"/>
      <c r="S32" s="278"/>
      <c r="T32" s="278"/>
      <c r="U32" s="278"/>
      <c r="V32" s="278"/>
    </row>
    <row r="33" spans="1:22" ht="22" customHeight="1">
      <c r="A33" s="280" t="s">
        <v>92</v>
      </c>
      <c r="B33" s="92">
        <v>401716</v>
      </c>
      <c r="C33" s="46" t="s">
        <v>256</v>
      </c>
      <c r="D33" s="47">
        <v>45800</v>
      </c>
      <c r="E33" s="48" t="s">
        <v>2</v>
      </c>
      <c r="F33" s="49">
        <v>173</v>
      </c>
      <c r="G33" s="281">
        <f>IF(OR(E33="",F33=""),"",PID_KVLohnLookup($A$1,E33,F33,LOHNTABELLE!$H$4))</f>
        <v>2021</v>
      </c>
      <c r="H33" s="282">
        <f>IF(AND(ISNUMBER(D33),ISNUMBER(F33)),ROUNDDOWN(MIN(IF(OR(ISBLANK(I33),I33=""),EOMONTH(DATE(EINSTELLUNG!$C$35,$A$1,1),0),I33)-MAX(D33,DATE(EINSTELLUNG!$C$35,$A$1,1))+1)/DAY(EOMONTH(DATE(EINSTELLUNG!$C$35,$A$1,1),0))*F33,2),"")</f>
        <v>173</v>
      </c>
      <c r="I33" s="50"/>
      <c r="J33" s="51"/>
      <c r="K33" s="281">
        <f t="shared" si="0"/>
        <v>0</v>
      </c>
      <c r="L33" s="283">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2021</v>
      </c>
      <c r="M33" s="52"/>
      <c r="N33" s="66"/>
      <c r="O33" s="369"/>
      <c r="P33" s="324"/>
      <c r="Q33" s="263" t="str">
        <f>EINSTELLUNG!B3</f>
        <v>Budget</v>
      </c>
      <c r="R33" s="263"/>
      <c r="S33" s="263" t="str">
        <f>EINSTELLUNG!B19</f>
        <v>Projection/Aktuell Zahlen</v>
      </c>
      <c r="T33" s="263"/>
      <c r="U33" s="263" t="s">
        <v>95</v>
      </c>
      <c r="V33" s="264"/>
    </row>
    <row r="34" spans="1:22" ht="22" customHeight="1">
      <c r="A34" s="280" t="s">
        <v>96</v>
      </c>
      <c r="B34" s="91">
        <v>401717</v>
      </c>
      <c r="C34" s="39" t="s">
        <v>257</v>
      </c>
      <c r="D34" s="40">
        <v>45814</v>
      </c>
      <c r="E34" s="41" t="s">
        <v>2</v>
      </c>
      <c r="F34" s="42">
        <v>86.5</v>
      </c>
      <c r="G34" s="281">
        <f>IF(OR(E34="",F34=""),"",PID_KVLohnLookup($A$1,E34,F34,LOHNTABELLE!$H$4))</f>
        <v>1010.5</v>
      </c>
      <c r="H34" s="282">
        <f>IF(AND(ISNUMBER(D34),ISNUMBER(F34)),ROUNDDOWN(MIN(IF(OR(ISBLANK(I34),I34=""),EOMONTH(DATE(EINSTELLUNG!$C$35,$A$1,1),0),I34)-MAX(D34,DATE(EINSTELLUNG!$C$35,$A$1,1))+1)/DAY(EOMONTH(DATE(EINSTELLUNG!$C$35,$A$1,1),0))*F34,2),"")</f>
        <v>86.5</v>
      </c>
      <c r="I34" s="43"/>
      <c r="J34" s="44"/>
      <c r="K34" s="281">
        <f t="shared" si="0"/>
        <v>0</v>
      </c>
      <c r="L34" s="283">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1010.5</v>
      </c>
      <c r="M34" s="45"/>
      <c r="N34" s="65"/>
      <c r="O34" s="370"/>
      <c r="P34" s="326"/>
      <c r="Q34" s="327"/>
      <c r="R34" s="327"/>
      <c r="S34" s="327"/>
      <c r="T34" s="327"/>
      <c r="U34" s="327"/>
      <c r="V34" s="328"/>
    </row>
    <row r="35" spans="1:22" ht="22" customHeight="1">
      <c r="A35" s="280" t="s">
        <v>97</v>
      </c>
      <c r="B35" s="92">
        <v>401722</v>
      </c>
      <c r="C35" s="46" t="s">
        <v>258</v>
      </c>
      <c r="D35" s="47">
        <v>45848</v>
      </c>
      <c r="E35" s="48" t="s">
        <v>2</v>
      </c>
      <c r="F35" s="49">
        <v>86.5</v>
      </c>
      <c r="G35" s="281">
        <f>IF(OR(E35="",F35=""),"",PID_KVLohnLookup($A$1,E35,F35,LOHNTABELLE!$H$4))</f>
        <v>1010.5</v>
      </c>
      <c r="H35" s="282">
        <f>IF(AND(ISNUMBER(D35),ISNUMBER(F35)),ROUNDDOWN(MIN(IF(OR(ISBLANK(I35),I35=""),EOMONTH(DATE(EINSTELLUNG!$C$35,$A$1,1),0),I35)-MAX(D35,DATE(EINSTELLUNG!$C$35,$A$1,1))+1)/DAY(EOMONTH(DATE(EINSTELLUNG!$C$35,$A$1,1),0))*F35,2),"")</f>
        <v>86.5</v>
      </c>
      <c r="I35" s="50"/>
      <c r="J35" s="51"/>
      <c r="K35" s="281">
        <f t="shared" ref="K35:K66" si="1">IF(OR(B35="",C35=""),"",IFERROR(IF(OR(MONTH(D35)=1,MONTH(D35)=3,MONTH(D35)=5,MONTH(D35)=7,MONTH(D35)=8,MONTH(D35)=10,MONTH(D35)=12),(G35/31)*J35,IF(OR(MONTH(D35)=4,MONTH(D35)=6,MONTH(D35)=9,MONTH(D35)=11),(G35/30)*J35,(G35/DAY(EOMONTH(D35,0)))*J35)),0))</f>
        <v>0</v>
      </c>
      <c r="L35" s="283">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1010.5</v>
      </c>
      <c r="M35" s="52"/>
      <c r="N35" s="66"/>
      <c r="O35" s="358" t="s">
        <v>98</v>
      </c>
      <c r="P35" s="297"/>
      <c r="Q35" s="329">
        <f>EINSTELLUNG!C10</f>
        <v>400000</v>
      </c>
      <c r="R35" s="329"/>
      <c r="S35" s="329">
        <f>EINSTELLUNG!C26</f>
        <v>420000</v>
      </c>
      <c r="T35" s="329"/>
      <c r="U35" s="329">
        <f>S35-Q35</f>
        <v>20000</v>
      </c>
      <c r="V35" s="330"/>
    </row>
    <row r="36" spans="1:22" ht="22" customHeight="1">
      <c r="A36" s="280" t="s">
        <v>99</v>
      </c>
      <c r="B36" s="91">
        <v>401723</v>
      </c>
      <c r="C36" s="39" t="s">
        <v>259</v>
      </c>
      <c r="D36" s="40">
        <v>45852</v>
      </c>
      <c r="E36" s="41" t="s">
        <v>2</v>
      </c>
      <c r="F36" s="42">
        <v>86.5</v>
      </c>
      <c r="G36" s="281">
        <f>IF(OR(E36="",F36=""),"",PID_KVLohnLookup($A$1,E36,F36,LOHNTABELLE!$H$4))</f>
        <v>1010.5</v>
      </c>
      <c r="H36" s="282">
        <f>IF(AND(ISNUMBER(D36),ISNUMBER(F36)),ROUNDDOWN(MIN(IF(OR(ISBLANK(I36),I36=""),EOMONTH(DATE(EINSTELLUNG!$C$35,$A$1,1),0),I36)-MAX(D36,DATE(EINSTELLUNG!$C$35,$A$1,1))+1)/DAY(EOMONTH(DATE(EINSTELLUNG!$C$35,$A$1,1),0))*F36,2),"")</f>
        <v>86.5</v>
      </c>
      <c r="I36" s="43"/>
      <c r="J36" s="44"/>
      <c r="K36" s="281">
        <f t="shared" si="1"/>
        <v>0</v>
      </c>
      <c r="L36" s="283">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1010.5</v>
      </c>
      <c r="M36" s="45"/>
      <c r="N36" s="65"/>
      <c r="O36" s="358" t="s">
        <v>100</v>
      </c>
      <c r="P36" s="297"/>
      <c r="Q36" s="329">
        <f>EINSTELLUNG!D10</f>
        <v>100000</v>
      </c>
      <c r="R36" s="329"/>
      <c r="S36" s="329">
        <f ca="1">SumMergedCells(Q17:R29)</f>
        <v>106089.8723</v>
      </c>
      <c r="T36" s="329"/>
      <c r="U36" s="329">
        <f t="shared" ref="U36:U41" ca="1" si="2">S36-Q36</f>
        <v>6089.8723000000027</v>
      </c>
      <c r="V36" s="330"/>
    </row>
    <row r="37" spans="1:22" ht="22" customHeight="1">
      <c r="A37" s="280" t="s">
        <v>101</v>
      </c>
      <c r="B37" s="92">
        <v>401726</v>
      </c>
      <c r="C37" s="46" t="s">
        <v>260</v>
      </c>
      <c r="D37" s="47">
        <v>45870</v>
      </c>
      <c r="E37" s="48" t="s">
        <v>2</v>
      </c>
      <c r="F37" s="49">
        <v>86.5</v>
      </c>
      <c r="G37" s="281">
        <f>IF(OR(E37="",F37=""),"",PID_KVLohnLookup($A$1,E37,F37,LOHNTABELLE!$H$4))</f>
        <v>1010.5</v>
      </c>
      <c r="H37" s="282">
        <f>IF(AND(ISNUMBER(D37),ISNUMBER(F37)),ROUNDDOWN(MIN(IF(OR(ISBLANK(I37),I37=""),EOMONTH(DATE(EINSTELLUNG!$C$35,$A$1,1),0),I37)-MAX(D37,DATE(EINSTELLUNG!$C$35,$A$1,1))+1)/DAY(EOMONTH(DATE(EINSTELLUNG!$C$35,$A$1,1),0))*F37,2),"")</f>
        <v>86.5</v>
      </c>
      <c r="I37" s="50"/>
      <c r="J37" s="51"/>
      <c r="K37" s="281">
        <f t="shared" si="1"/>
        <v>0</v>
      </c>
      <c r="L37" s="283">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1010.5</v>
      </c>
      <c r="M37" s="52"/>
      <c r="N37" s="66"/>
      <c r="O37" s="358" t="s">
        <v>102</v>
      </c>
      <c r="P37" s="297"/>
      <c r="Q37" s="331">
        <f>IF(ISERROR(Q36/Q35), 0, Q36/Q35)</f>
        <v>0.25</v>
      </c>
      <c r="R37" s="331"/>
      <c r="S37" s="331">
        <f ca="1">IF(ISERROR(S36/S35), 0, S36/S35)</f>
        <v>0.25259493404761907</v>
      </c>
      <c r="T37" s="331"/>
      <c r="U37" s="331">
        <f t="shared" ca="1" si="2"/>
        <v>2.5949340476190685E-3</v>
      </c>
      <c r="V37" s="332"/>
    </row>
    <row r="38" spans="1:22" ht="22" customHeight="1">
      <c r="A38" s="280" t="s">
        <v>103</v>
      </c>
      <c r="B38" s="91">
        <v>401730</v>
      </c>
      <c r="C38" s="39" t="s">
        <v>262</v>
      </c>
      <c r="D38" s="40">
        <v>45895</v>
      </c>
      <c r="E38" s="41" t="s">
        <v>2</v>
      </c>
      <c r="F38" s="42">
        <v>86.5</v>
      </c>
      <c r="G38" s="281">
        <f>IF(OR(E38="",F38=""),"",PID_KVLohnLookup($A$1,E38,F38,LOHNTABELLE!$H$4))</f>
        <v>1010.5</v>
      </c>
      <c r="H38" s="282">
        <f>IF(AND(ISNUMBER(D38),ISNUMBER(F38)),ROUNDDOWN(MIN(IF(OR(ISBLANK(I38),I38=""),EOMONTH(DATE(EINSTELLUNG!$C$35,$A$1,1),0),I38)-MAX(D38,DATE(EINSTELLUNG!$C$35,$A$1,1))+1)/DAY(EOMONTH(DATE(EINSTELLUNG!$C$35,$A$1,1),0))*F38,2),"")</f>
        <v>86.5</v>
      </c>
      <c r="I38" s="43"/>
      <c r="J38" s="44"/>
      <c r="K38" s="281">
        <f t="shared" si="1"/>
        <v>0</v>
      </c>
      <c r="L38" s="283">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1010.5</v>
      </c>
      <c r="M38" s="45"/>
      <c r="N38" s="65"/>
      <c r="O38" s="358" t="s">
        <v>104</v>
      </c>
      <c r="P38" s="297"/>
      <c r="Q38" s="298">
        <f>EINSTELLUNG!F10</f>
        <v>30000</v>
      </c>
      <c r="R38" s="298"/>
      <c r="S38" s="298">
        <f>EINSTELLUNG!F26</f>
        <v>31000</v>
      </c>
      <c r="T38" s="298"/>
      <c r="U38" s="298">
        <f t="shared" si="2"/>
        <v>1000</v>
      </c>
      <c r="V38" s="299"/>
    </row>
    <row r="39" spans="1:22" ht="22" customHeight="1">
      <c r="A39" s="280" t="s">
        <v>105</v>
      </c>
      <c r="B39" s="92">
        <v>401731</v>
      </c>
      <c r="C39" s="46" t="s">
        <v>261</v>
      </c>
      <c r="D39" s="47">
        <v>45899</v>
      </c>
      <c r="E39" s="48" t="s">
        <v>2</v>
      </c>
      <c r="F39" s="49">
        <v>86.5</v>
      </c>
      <c r="G39" s="281">
        <f>IF(OR(E39="",F39=""),"",PID_KVLohnLookup($A$1,E39,F39,LOHNTABELLE!$H$4))</f>
        <v>1010.5</v>
      </c>
      <c r="H39" s="282">
        <f>IF(AND(ISNUMBER(D39),ISNUMBER(F39)),ROUNDDOWN(MIN(IF(OR(ISBLANK(I39),I39=""),EOMONTH(DATE(EINSTELLUNG!$C$35,$A$1,1),0),I39)-MAX(D39,DATE(EINSTELLUNG!$C$35,$A$1,1))+1)/DAY(EOMONTH(DATE(EINSTELLUNG!$C$35,$A$1,1),0))*F39,2),"")</f>
        <v>86.5</v>
      </c>
      <c r="I39" s="50"/>
      <c r="J39" s="51"/>
      <c r="K39" s="281">
        <f t="shared" si="1"/>
        <v>0</v>
      </c>
      <c r="L39" s="283">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52"/>
      <c r="N39" s="66"/>
      <c r="O39" s="358" t="s">
        <v>106</v>
      </c>
      <c r="P39" s="297"/>
      <c r="Q39" s="329">
        <f>IF(Q38=0, 0, Q35/Q38)</f>
        <v>13.333333333333334</v>
      </c>
      <c r="R39" s="329"/>
      <c r="S39" s="329">
        <f>IF(S38=0, 0, S35/S38)</f>
        <v>13.548387096774194</v>
      </c>
      <c r="T39" s="329"/>
      <c r="U39" s="329">
        <f t="shared" si="2"/>
        <v>0.21505376344086002</v>
      </c>
      <c r="V39" s="330"/>
    </row>
    <row r="40" spans="1:22" ht="22" customHeight="1">
      <c r="A40" s="280" t="s">
        <v>107</v>
      </c>
      <c r="B40" s="91">
        <v>401734</v>
      </c>
      <c r="C40" s="39" t="s">
        <v>263</v>
      </c>
      <c r="D40" s="40">
        <v>45904</v>
      </c>
      <c r="E40" s="41" t="s">
        <v>2</v>
      </c>
      <c r="F40" s="42">
        <v>86.5</v>
      </c>
      <c r="G40" s="281">
        <f>IF(OR(E40="",F40=""),"",PID_KVLohnLookup($A$1,E40,F40,LOHNTABELLE!$H$4))</f>
        <v>1010.5</v>
      </c>
      <c r="H40" s="282">
        <f>IF(AND(ISNUMBER(D40),ISNUMBER(F40)),ROUNDDOWN(MIN(IF(OR(ISBLANK(I40),I40=""),EOMONTH(DATE(EINSTELLUNG!$C$35,$A$1,1),0),I40)-MAX(D40,DATE(EINSTELLUNG!$C$35,$A$1,1))+1)/DAY(EOMONTH(DATE(EINSTELLUNG!$C$35,$A$1,1),0))*F40,2),"")</f>
        <v>86.5</v>
      </c>
      <c r="I40" s="43"/>
      <c r="J40" s="44"/>
      <c r="K40" s="281">
        <f t="shared" si="1"/>
        <v>0</v>
      </c>
      <c r="L40" s="283">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45"/>
      <c r="N40" s="65"/>
      <c r="O40" s="358" t="s">
        <v>108</v>
      </c>
      <c r="P40" s="297"/>
      <c r="Q40" s="329">
        <f>IF(Q12=0, 0, Q35/Q12)</f>
        <v>54.081094601354735</v>
      </c>
      <c r="R40" s="329"/>
      <c r="S40" s="329">
        <f>IF(Q12=0, 0, S35/Q12)</f>
        <v>56.785149331422474</v>
      </c>
      <c r="T40" s="329"/>
      <c r="U40" s="329">
        <f t="shared" si="2"/>
        <v>2.7040547300677389</v>
      </c>
      <c r="V40" s="330"/>
    </row>
    <row r="41" spans="1:22" ht="18" customHeight="1">
      <c r="A41" s="280" t="s">
        <v>109</v>
      </c>
      <c r="B41" s="92">
        <v>401736</v>
      </c>
      <c r="C41" s="46" t="s">
        <v>264</v>
      </c>
      <c r="D41" s="47">
        <v>45906</v>
      </c>
      <c r="E41" s="48" t="s">
        <v>2</v>
      </c>
      <c r="F41" s="49">
        <v>86.5</v>
      </c>
      <c r="G41" s="281">
        <f>IF(OR(E41="",F41=""),"",PID_KVLohnLookup($A$1,E41,F41,LOHNTABELLE!$H$4))</f>
        <v>1010.5</v>
      </c>
      <c r="H41" s="282">
        <f>IF(AND(ISNUMBER(D41),ISNUMBER(F41)),ROUNDDOWN(MIN(IF(OR(ISBLANK(I41),I41=""),EOMONTH(DATE(EINSTELLUNG!$C$35,$A$1,1),0),I41)-MAX(D41,DATE(EINSTELLUNG!$C$35,$A$1,1))+1)/DAY(EOMONTH(DATE(EINSTELLUNG!$C$35,$A$1,1),0))*F41,2),"")</f>
        <v>69.75</v>
      </c>
      <c r="I41" s="50">
        <v>46167</v>
      </c>
      <c r="J41" s="51"/>
      <c r="K41" s="281">
        <f t="shared" si="1"/>
        <v>0</v>
      </c>
      <c r="L41" s="283">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814.91935483870964</v>
      </c>
      <c r="M41" s="52"/>
      <c r="N41" s="66" t="s">
        <v>186</v>
      </c>
      <c r="O41" s="371" t="s">
        <v>110</v>
      </c>
      <c r="P41" s="334"/>
      <c r="Q41" s="335">
        <f>IF(Q12=0, 0, Q38/Q12)</f>
        <v>4.0560820951016057</v>
      </c>
      <c r="R41" s="335"/>
      <c r="S41" s="335">
        <f>IF(Q12=0, 0, S38/Q12)</f>
        <v>4.1912848316049924</v>
      </c>
      <c r="T41" s="335"/>
      <c r="U41" s="335">
        <f t="shared" si="2"/>
        <v>0.13520273650338677</v>
      </c>
      <c r="V41" s="336"/>
    </row>
    <row r="42" spans="1:22" ht="22" customHeight="1" thickBot="1">
      <c r="A42" s="280" t="s">
        <v>111</v>
      </c>
      <c r="B42" s="91">
        <v>401737</v>
      </c>
      <c r="C42" s="39" t="s">
        <v>265</v>
      </c>
      <c r="D42" s="40">
        <v>45906</v>
      </c>
      <c r="E42" s="41" t="s">
        <v>2</v>
      </c>
      <c r="F42" s="42">
        <v>86.5</v>
      </c>
      <c r="G42" s="281">
        <f>IF(OR(E42="",F42=""),"",PID_KVLohnLookup($A$1,E42,F42,LOHNTABELLE!$H$4))</f>
        <v>1010.5</v>
      </c>
      <c r="H42" s="282">
        <f>IF(AND(ISNUMBER(D42),ISNUMBER(F42)),ROUNDDOWN(MIN(IF(OR(ISBLANK(I42),I42=""),EOMONTH(DATE(EINSTELLUNG!$C$35,$A$1,1),0),I42)-MAX(D42,DATE(EINSTELLUNG!$C$35,$A$1,1))+1)/DAY(EOMONTH(DATE(EINSTELLUNG!$C$35,$A$1,1),0))*F42,2),"")</f>
        <v>86.5</v>
      </c>
      <c r="I42" s="43"/>
      <c r="J42" s="44"/>
      <c r="K42" s="281">
        <f t="shared" si="1"/>
        <v>0</v>
      </c>
      <c r="L42" s="283">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45"/>
      <c r="N42" s="130"/>
      <c r="O42" s="314" t="s">
        <v>112</v>
      </c>
      <c r="P42" s="315"/>
      <c r="Q42" s="337">
        <f>IFERROR(Q17/Q8, 0)</f>
        <v>11.755809432639303</v>
      </c>
      <c r="R42" s="338"/>
      <c r="S42" s="337"/>
      <c r="T42" s="337"/>
      <c r="U42" s="337"/>
      <c r="V42" s="317"/>
    </row>
    <row r="43" spans="1:22" ht="22" customHeight="1">
      <c r="A43" s="280" t="s">
        <v>113</v>
      </c>
      <c r="B43" s="92">
        <v>401738</v>
      </c>
      <c r="C43" s="46" t="s">
        <v>266</v>
      </c>
      <c r="D43" s="47">
        <v>45909</v>
      </c>
      <c r="E43" s="48" t="s">
        <v>2</v>
      </c>
      <c r="F43" s="49">
        <v>86.5</v>
      </c>
      <c r="G43" s="281">
        <f>IF(OR(E43="",F43=""),"",PID_KVLohnLookup($A$1,E43,F43,LOHNTABELLE!$H$4))</f>
        <v>1010.5</v>
      </c>
      <c r="H43" s="282">
        <f>IF(AND(ISNUMBER(D43),ISNUMBER(F43)),ROUNDDOWN(MIN(IF(OR(ISBLANK(I43),I43=""),EOMONTH(DATE(EINSTELLUNG!$C$35,$A$1,1),0),I43)-MAX(D43,DATE(EINSTELLUNG!$C$35,$A$1,1))+1)/DAY(EOMONTH(DATE(EINSTELLUNG!$C$35,$A$1,1),0))*F43,2),"")</f>
        <v>86.5</v>
      </c>
      <c r="I43" s="50"/>
      <c r="J43" s="51"/>
      <c r="K43" s="281">
        <f t="shared" si="1"/>
        <v>0</v>
      </c>
      <c r="L43" s="283">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1010.5</v>
      </c>
      <c r="M43" s="128"/>
      <c r="N43" s="66"/>
      <c r="O43" s="339"/>
      <c r="P43" s="339"/>
      <c r="Q43" s="339"/>
      <c r="R43" s="278"/>
      <c r="S43" s="278"/>
      <c r="T43" s="278"/>
      <c r="U43" s="278"/>
      <c r="V43" s="278"/>
    </row>
    <row r="44" spans="1:22" ht="22" customHeight="1">
      <c r="A44" s="280" t="s">
        <v>114</v>
      </c>
      <c r="B44" s="91">
        <v>401745</v>
      </c>
      <c r="C44" s="39" t="s">
        <v>270</v>
      </c>
      <c r="D44" s="40">
        <v>45934</v>
      </c>
      <c r="E44" s="41" t="s">
        <v>2</v>
      </c>
      <c r="F44" s="42">
        <v>86.5</v>
      </c>
      <c r="G44" s="281">
        <f>IF(OR(E44="",F44=""),"",PID_KVLohnLookup($A$1,E44,F44,LOHNTABELLE!$H$4))</f>
        <v>1010.5</v>
      </c>
      <c r="H44" s="282">
        <f>IF(AND(ISNUMBER(D44),ISNUMBER(F44)),ROUNDDOWN(MIN(IF(OR(ISBLANK(I44),I44=""),EOMONTH(DATE(EINSTELLUNG!$C$35,$A$1,1),0),I44)-MAX(D44,DATE(EINSTELLUNG!$C$35,$A$1,1))+1)/DAY(EOMONTH(DATE(EINSTELLUNG!$C$35,$A$1,1),0))*F44,2),"")</f>
        <v>86.5</v>
      </c>
      <c r="I44" s="43"/>
      <c r="J44" s="44"/>
      <c r="K44" s="281">
        <f t="shared" si="1"/>
        <v>0</v>
      </c>
      <c r="L44" s="283">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1010.5</v>
      </c>
      <c r="M44" s="129"/>
      <c r="N44" s="65"/>
      <c r="O44" s="340" t="s">
        <v>115</v>
      </c>
      <c r="P44" s="340"/>
      <c r="Q44" s="340"/>
      <c r="R44" s="340"/>
      <c r="S44" s="340"/>
      <c r="T44" s="340"/>
      <c r="U44" s="340"/>
      <c r="V44" s="340"/>
    </row>
    <row r="45" spans="1:22" ht="22" customHeight="1">
      <c r="A45" s="280" t="s">
        <v>116</v>
      </c>
      <c r="B45" s="92">
        <v>401746</v>
      </c>
      <c r="C45" s="46" t="s">
        <v>269</v>
      </c>
      <c r="D45" s="47">
        <v>45941</v>
      </c>
      <c r="E45" s="48" t="s">
        <v>2</v>
      </c>
      <c r="F45" s="49">
        <v>86.5</v>
      </c>
      <c r="G45" s="281">
        <f>IF(OR(E45="",F45=""),"",PID_KVLohnLookup($A$1,E45,F45,LOHNTABELLE!$H$4))</f>
        <v>1010.5</v>
      </c>
      <c r="H45" s="282">
        <f>IF(AND(ISNUMBER(D45),ISNUMBER(F45)),ROUNDDOWN(MIN(IF(OR(ISBLANK(I45),I45=""),EOMONTH(DATE(EINSTELLUNG!$C$35,$A$1,1),0),I45)-MAX(D45,DATE(EINSTELLUNG!$C$35,$A$1,1))+1)/DAY(EOMONTH(DATE(EINSTELLUNG!$C$35,$A$1,1),0))*F45,2),"")</f>
        <v>86.5</v>
      </c>
      <c r="I45" s="50"/>
      <c r="J45" s="51"/>
      <c r="K45" s="281">
        <f t="shared" si="1"/>
        <v>0</v>
      </c>
      <c r="L45" s="283">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1010.5</v>
      </c>
      <c r="M45" s="128"/>
      <c r="N45" s="66"/>
      <c r="O45" s="341"/>
      <c r="P45" s="341"/>
      <c r="Q45" s="341"/>
      <c r="R45" s="342"/>
      <c r="S45" s="342"/>
      <c r="T45" s="342"/>
      <c r="U45" s="342"/>
      <c r="V45" s="278"/>
    </row>
    <row r="46" spans="1:22" ht="22" customHeight="1">
      <c r="A46" s="280" t="s">
        <v>117</v>
      </c>
      <c r="B46" s="91">
        <v>401747</v>
      </c>
      <c r="C46" s="39" t="s">
        <v>267</v>
      </c>
      <c r="D46" s="40">
        <v>45941</v>
      </c>
      <c r="E46" s="41" t="s">
        <v>2</v>
      </c>
      <c r="F46" s="42">
        <v>86.5</v>
      </c>
      <c r="G46" s="281">
        <f>IF(OR(E46="",F46=""),"",PID_KVLohnLookup($A$1,E46,F46,LOHNTABELLE!$H$4))</f>
        <v>1010.5</v>
      </c>
      <c r="H46" s="282">
        <f>IF(AND(ISNUMBER(D46),ISNUMBER(F46)),ROUNDDOWN(MIN(IF(OR(ISBLANK(I46),I46=""),EOMONTH(DATE(EINSTELLUNG!$C$35,$A$1,1),0),I46)-MAX(D46,DATE(EINSTELLUNG!$C$35,$A$1,1))+1)/DAY(EOMONTH(DATE(EINSTELLUNG!$C$35,$A$1,1),0))*F46,2),"")</f>
        <v>86.5</v>
      </c>
      <c r="I46" s="43"/>
      <c r="J46" s="44"/>
      <c r="K46" s="281">
        <f t="shared" si="1"/>
        <v>0</v>
      </c>
      <c r="L46" s="283">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1010.5</v>
      </c>
      <c r="M46" s="129"/>
      <c r="N46" s="65"/>
      <c r="O46" s="278"/>
      <c r="P46" s="278"/>
      <c r="Q46" s="278"/>
      <c r="R46" s="278"/>
      <c r="S46" s="278"/>
      <c r="T46" s="278"/>
      <c r="U46" s="278"/>
      <c r="V46" s="278"/>
    </row>
    <row r="47" spans="1:22" ht="22" customHeight="1">
      <c r="A47" s="280" t="s">
        <v>118</v>
      </c>
      <c r="B47" s="92">
        <v>401748</v>
      </c>
      <c r="C47" s="46" t="s">
        <v>268</v>
      </c>
      <c r="D47" s="47">
        <v>45941</v>
      </c>
      <c r="E47" s="48" t="s">
        <v>2</v>
      </c>
      <c r="F47" s="49">
        <v>138.4</v>
      </c>
      <c r="G47" s="281">
        <f>IF(OR(E47="",F47=""),"",PID_KVLohnLookup($A$1,E47,F47,LOHNTABELLE!$H$4))</f>
        <v>1616.8</v>
      </c>
      <c r="H47" s="282">
        <f>IF(AND(ISNUMBER(D47),ISNUMBER(F47)),ROUNDDOWN(MIN(IF(OR(ISBLANK(I47),I47=""),EOMONTH(DATE(EINSTELLUNG!$C$35,$A$1,1),0),I47)-MAX(D47,DATE(EINSTELLUNG!$C$35,$A$1,1))+1)/DAY(EOMONTH(DATE(EINSTELLUNG!$C$35,$A$1,1),0))*F47,2),"")</f>
        <v>138.4</v>
      </c>
      <c r="I47" s="50"/>
      <c r="J47" s="51"/>
      <c r="K47" s="281">
        <f t="shared" si="1"/>
        <v>0</v>
      </c>
      <c r="L47" s="283">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1616.8</v>
      </c>
      <c r="M47" s="128"/>
      <c r="N47" s="66"/>
      <c r="O47" s="278"/>
      <c r="P47" s="278"/>
      <c r="Q47" s="278"/>
      <c r="R47" s="278"/>
      <c r="S47" s="278"/>
      <c r="T47" s="278"/>
      <c r="U47" s="278"/>
      <c r="V47" s="278"/>
    </row>
    <row r="48" spans="1:22" ht="22" customHeight="1">
      <c r="A48" s="280" t="s">
        <v>119</v>
      </c>
      <c r="B48" s="91">
        <v>401751</v>
      </c>
      <c r="C48" s="39" t="s">
        <v>271</v>
      </c>
      <c r="D48" s="43">
        <v>45961</v>
      </c>
      <c r="E48" s="41" t="s">
        <v>2</v>
      </c>
      <c r="F48" s="42">
        <v>86.5</v>
      </c>
      <c r="G48" s="281">
        <f>IF(OR(E48="",F48=""),"",PID_KVLohnLookup($A$1,E48,F48,LOHNTABELLE!$H$4))</f>
        <v>1010.5</v>
      </c>
      <c r="H48" s="282">
        <f>IF(AND(ISNUMBER(D48),ISNUMBER(F48)),ROUNDDOWN(MIN(IF(OR(ISBLANK(I48),I48=""),EOMONTH(DATE(EINSTELLUNG!$C$35,$A$1,1),0),I48)-MAX(D48,DATE(EINSTELLUNG!$C$35,$A$1,1))+1)/DAY(EOMONTH(DATE(EINSTELLUNG!$C$35,$A$1,1),0))*F48,2),"")</f>
        <v>86.5</v>
      </c>
      <c r="I48" s="43"/>
      <c r="J48" s="44"/>
      <c r="K48" s="281">
        <f t="shared" si="1"/>
        <v>0</v>
      </c>
      <c r="L48" s="283">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1010.5</v>
      </c>
      <c r="M48" s="129"/>
      <c r="N48" s="65"/>
      <c r="O48" s="278"/>
      <c r="P48" s="278"/>
      <c r="Q48" s="278"/>
      <c r="R48" s="278"/>
      <c r="S48" s="278"/>
      <c r="T48" s="278"/>
      <c r="U48" s="278"/>
      <c r="V48" s="278"/>
    </row>
    <row r="49" spans="1:22" ht="22" customHeight="1">
      <c r="A49" s="280" t="s">
        <v>120</v>
      </c>
      <c r="B49" s="92">
        <v>401752</v>
      </c>
      <c r="C49" s="46" t="s">
        <v>272</v>
      </c>
      <c r="D49" s="50">
        <v>45986</v>
      </c>
      <c r="E49" s="48" t="s">
        <v>2</v>
      </c>
      <c r="F49" s="49">
        <v>173</v>
      </c>
      <c r="G49" s="281">
        <f>IF(OR(E49="",F49=""),"",PID_KVLohnLookup($A$1,E49,F49,LOHNTABELLE!$H$4))</f>
        <v>2021</v>
      </c>
      <c r="H49" s="282">
        <f>IF(AND(ISNUMBER(D49),ISNUMBER(F49)),ROUNDDOWN(MIN(IF(OR(ISBLANK(I49),I49=""),EOMONTH(DATE(EINSTELLUNG!$C$35,$A$1,1),0),I49)-MAX(D49,DATE(EINSTELLUNG!$C$35,$A$1,1))+1)/DAY(EOMONTH(DATE(EINSTELLUNG!$C$35,$A$1,1),0))*F49,2),"")</f>
        <v>173</v>
      </c>
      <c r="I49" s="50"/>
      <c r="J49" s="51"/>
      <c r="K49" s="281">
        <f t="shared" si="1"/>
        <v>0</v>
      </c>
      <c r="L49" s="283">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2021</v>
      </c>
      <c r="M49" s="128"/>
      <c r="N49" s="66"/>
      <c r="O49" s="278"/>
      <c r="P49" s="278"/>
      <c r="Q49" s="278"/>
      <c r="R49" s="278"/>
      <c r="S49" s="278"/>
      <c r="T49" s="278"/>
      <c r="U49" s="278"/>
      <c r="V49" s="278"/>
    </row>
    <row r="50" spans="1:22" ht="22" customHeight="1">
      <c r="A50" s="280" t="s">
        <v>121</v>
      </c>
      <c r="B50" s="91">
        <v>401999</v>
      </c>
      <c r="C50" s="53" t="s">
        <v>354</v>
      </c>
      <c r="D50" s="43">
        <v>46041</v>
      </c>
      <c r="E50" s="41" t="s">
        <v>2</v>
      </c>
      <c r="F50" s="42">
        <v>151.38</v>
      </c>
      <c r="G50" s="281">
        <f>IF(OR(E50="",F50=""),"",PID_KVLohnLookup($A$1,E50,F50,LOHNTABELLE!$H$4))</f>
        <v>1768.38</v>
      </c>
      <c r="H50" s="282">
        <f>IF(AND(ISNUMBER(D50),ISNUMBER(F50)),ROUNDDOWN(MIN(IF(OR(ISBLANK(I50),I50=""),EOMONTH(DATE(EINSTELLUNG!$C$35,$A$1,1),0),I50)-MAX(D50,DATE(EINSTELLUNG!$C$35,$A$1,1))+1)/DAY(EOMONTH(DATE(EINSTELLUNG!$C$35,$A$1,1),0))*F50,2),"")</f>
        <v>151.38</v>
      </c>
      <c r="I50" s="43"/>
      <c r="J50" s="44"/>
      <c r="K50" s="281">
        <f t="shared" si="1"/>
        <v>0</v>
      </c>
      <c r="L50" s="283">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1768.38</v>
      </c>
      <c r="M50" s="129"/>
      <c r="N50" s="65"/>
      <c r="O50" s="278"/>
      <c r="P50" s="278"/>
      <c r="Q50" s="278"/>
      <c r="R50" s="278"/>
      <c r="S50" s="278"/>
      <c r="T50" s="278"/>
      <c r="U50" s="278"/>
      <c r="V50" s="278"/>
    </row>
    <row r="51" spans="1:22" ht="22" customHeight="1">
      <c r="A51" s="280" t="s">
        <v>122</v>
      </c>
      <c r="B51" s="92">
        <v>401999</v>
      </c>
      <c r="C51" s="46" t="s">
        <v>292</v>
      </c>
      <c r="D51" s="50">
        <v>46082</v>
      </c>
      <c r="E51" s="48" t="s">
        <v>2</v>
      </c>
      <c r="F51" s="49">
        <v>173</v>
      </c>
      <c r="G51" s="281">
        <f>IF(OR(E51="",F51=""),"",PID_KVLohnLookup($A$1,E51,F51,LOHNTABELLE!$H$4))</f>
        <v>2021</v>
      </c>
      <c r="H51" s="282">
        <f>IF(AND(ISNUMBER(D51),ISNUMBER(F51)),ROUNDDOWN(MIN(IF(OR(ISBLANK(I51),I51=""),EOMONTH(DATE(EINSTELLUNG!$C$35,$A$1,1),0),I51)-MAX(D51,DATE(EINSTELLUNG!$C$35,$A$1,1))+1)/DAY(EOMONTH(DATE(EINSTELLUNG!$C$35,$A$1,1),0))*F51,2),"")</f>
        <v>173</v>
      </c>
      <c r="I51" s="50"/>
      <c r="J51" s="51"/>
      <c r="K51" s="281">
        <f t="shared" si="1"/>
        <v>0</v>
      </c>
      <c r="L51" s="283">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2021</v>
      </c>
      <c r="M51" s="52"/>
      <c r="N51" s="127"/>
    </row>
    <row r="52" spans="1:22" ht="22" customHeight="1">
      <c r="A52" s="280" t="s">
        <v>123</v>
      </c>
      <c r="B52" s="91">
        <v>402000</v>
      </c>
      <c r="C52" s="39" t="s">
        <v>294</v>
      </c>
      <c r="D52" s="43">
        <v>46143</v>
      </c>
      <c r="E52" s="41" t="s">
        <v>2</v>
      </c>
      <c r="F52" s="42">
        <v>173</v>
      </c>
      <c r="G52" s="281">
        <f>IF(OR(E52="",F52=""),"",PID_KVLohnLookup($A$1,E52,F52,LOHNTABELLE!$H$4))</f>
        <v>2021</v>
      </c>
      <c r="H52" s="282">
        <f>IF(AND(ISNUMBER(D52),ISNUMBER(F52)),ROUNDDOWN(MIN(IF(OR(ISBLANK(I52),I52=""),EOMONTH(DATE(EINSTELLUNG!$C$35,$A$1,1),0),I52)-MAX(D52,DATE(EINSTELLUNG!$C$35,$A$1,1))+1)/DAY(EOMONTH(DATE(EINSTELLUNG!$C$35,$A$1,1),0))*F52,2),"")</f>
        <v>173</v>
      </c>
      <c r="I52" s="43"/>
      <c r="J52" s="44"/>
      <c r="K52" s="281">
        <f t="shared" si="1"/>
        <v>0</v>
      </c>
      <c r="L52" s="283">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2020.9999999999998</v>
      </c>
      <c r="M52" s="45"/>
      <c r="N52" s="65"/>
    </row>
    <row r="53" spans="1:22" ht="22" customHeight="1">
      <c r="A53" s="280" t="s">
        <v>124</v>
      </c>
      <c r="B53" s="92">
        <v>402004</v>
      </c>
      <c r="C53" s="46" t="s">
        <v>295</v>
      </c>
      <c r="D53" s="50">
        <v>46122</v>
      </c>
      <c r="E53" s="48" t="s">
        <v>2</v>
      </c>
      <c r="F53" s="49">
        <v>173</v>
      </c>
      <c r="G53" s="281">
        <f>IF(OR(E53="",F53=""),"",PID_KVLohnLookup($A$1,E53,F53,LOHNTABELLE!$H$4))</f>
        <v>2021</v>
      </c>
      <c r="H53" s="282">
        <f>IF(AND(ISNUMBER(D53),ISNUMBER(F53)),ROUNDDOWN(MIN(IF(OR(ISBLANK(I53),I53=""),EOMONTH(DATE(EINSTELLUNG!$C$35,$A$1,1),0),I53)-MAX(D53,DATE(EINSTELLUNG!$C$35,$A$1,1))+1)/DAY(EOMONTH(DATE(EINSTELLUNG!$C$35,$A$1,1),0))*F53,2),"")</f>
        <v>173</v>
      </c>
      <c r="I53" s="50"/>
      <c r="J53" s="51"/>
      <c r="K53" s="281">
        <f t="shared" si="1"/>
        <v>0</v>
      </c>
      <c r="L53" s="283">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2021</v>
      </c>
      <c r="M53" s="52"/>
      <c r="N53" s="66"/>
    </row>
    <row r="54" spans="1:22" ht="22" customHeight="1">
      <c r="A54" s="280" t="s">
        <v>125</v>
      </c>
      <c r="B54" s="91">
        <v>402405</v>
      </c>
      <c r="C54" s="39" t="s">
        <v>297</v>
      </c>
      <c r="D54" s="43">
        <v>46054</v>
      </c>
      <c r="E54" s="41" t="s">
        <v>2</v>
      </c>
      <c r="F54" s="42">
        <v>173</v>
      </c>
      <c r="G54" s="281">
        <f>IF(OR(E54="",F54=""),"",PID_KVLohnLookup($A$1,E54,F54,LOHNTABELLE!$H$4))</f>
        <v>2021</v>
      </c>
      <c r="H54" s="282">
        <f>IF(AND(ISNUMBER(D54),ISNUMBER(F54)),ROUNDDOWN(MIN(IF(OR(ISBLANK(I54),I54=""),EOMONTH(DATE(EINSTELLUNG!$C$35,$A$1,1),0),I54)-MAX(D54,DATE(EINSTELLUNG!$C$35,$A$1,1))+1)/DAY(EOMONTH(DATE(EINSTELLUNG!$C$35,$A$1,1),0))*F54,2),"")</f>
        <v>173</v>
      </c>
      <c r="I54" s="43"/>
      <c r="J54" s="44"/>
      <c r="K54" s="281">
        <f t="shared" si="1"/>
        <v>0</v>
      </c>
      <c r="L54" s="283">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2021</v>
      </c>
      <c r="M54" s="45"/>
      <c r="N54" s="65"/>
    </row>
    <row r="55" spans="1:22" ht="22" customHeight="1">
      <c r="A55" s="280" t="s">
        <v>126</v>
      </c>
      <c r="B55" s="92">
        <v>500600</v>
      </c>
      <c r="C55" s="46" t="s">
        <v>301</v>
      </c>
      <c r="D55" s="50">
        <v>46054</v>
      </c>
      <c r="E55" s="48" t="s">
        <v>2</v>
      </c>
      <c r="F55" s="49">
        <v>173</v>
      </c>
      <c r="G55" s="281">
        <f>IF(OR(E55="",F55=""),"",PID_KVLohnLookup($A$1,E55,F55,LOHNTABELLE!$H$4))</f>
        <v>2021</v>
      </c>
      <c r="H55" s="282">
        <f>IF(AND(ISNUMBER(D55),ISNUMBER(F55)),ROUNDDOWN(MIN(IF(OR(ISBLANK(I55),I55=""),EOMONTH(DATE(EINSTELLUNG!$C$35,$A$1,1),0),I55)-MAX(D55,DATE(EINSTELLUNG!$C$35,$A$1,1))+1)/DAY(EOMONTH(DATE(EINSTELLUNG!$C$35,$A$1,1),0))*F55,2),"")</f>
        <v>173</v>
      </c>
      <c r="I55" s="50"/>
      <c r="J55" s="51"/>
      <c r="K55" s="281">
        <f t="shared" si="1"/>
        <v>0</v>
      </c>
      <c r="L55" s="283">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2021</v>
      </c>
      <c r="M55" s="52"/>
      <c r="N55" s="66"/>
    </row>
    <row r="56" spans="1:22" ht="22" customHeight="1">
      <c r="A56" s="280" t="s">
        <v>127</v>
      </c>
      <c r="B56" s="91">
        <v>502000</v>
      </c>
      <c r="C56" s="39" t="s">
        <v>296</v>
      </c>
      <c r="D56" s="43">
        <v>46147</v>
      </c>
      <c r="E56" s="41" t="s">
        <v>2</v>
      </c>
      <c r="F56" s="42">
        <v>173</v>
      </c>
      <c r="G56" s="281">
        <f>IF(OR(E56="",F56=""),"",PID_KVLohnLookup($A$1,E56,F56,LOHNTABELLE!$H$4))</f>
        <v>2021</v>
      </c>
      <c r="H56" s="282">
        <f>IF(AND(ISNUMBER(D56),ISNUMBER(F56)),ROUNDDOWN(MIN(IF(OR(ISBLANK(I56),I56=""),EOMONTH(DATE(EINSTELLUNG!$C$35,$A$1,1),0),I56)-MAX(D56,DATE(EINSTELLUNG!$C$35,$A$1,1))+1)/DAY(EOMONTH(DATE(EINSTELLUNG!$C$35,$A$1,1),0))*F56,2),"")</f>
        <v>150.66999999999999</v>
      </c>
      <c r="I56" s="43"/>
      <c r="J56" s="44"/>
      <c r="K56" s="281">
        <f t="shared" si="1"/>
        <v>0</v>
      </c>
      <c r="L56" s="283">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1760.2258064516127</v>
      </c>
      <c r="M56" s="45"/>
      <c r="N56" s="65"/>
    </row>
    <row r="57" spans="1:22" ht="22" customHeight="1">
      <c r="A57" s="280" t="s">
        <v>128</v>
      </c>
      <c r="B57" s="92">
        <v>503000</v>
      </c>
      <c r="C57" s="46" t="s">
        <v>298</v>
      </c>
      <c r="D57" s="50">
        <v>42401</v>
      </c>
      <c r="E57" s="48" t="s">
        <v>2</v>
      </c>
      <c r="F57" s="49">
        <v>173</v>
      </c>
      <c r="G57" s="281">
        <f>IF(OR(E57="",F57=""),"",PID_KVLohnLookup($A$1,E57,F57,LOHNTABELLE!$H$4))</f>
        <v>2021</v>
      </c>
      <c r="H57" s="282">
        <f>IF(AND(ISNUMBER(D57),ISNUMBER(F57)),ROUNDDOWN(MIN(IF(OR(ISBLANK(I57),I57=""),EOMONTH(DATE(EINSTELLUNG!$C$35,$A$1,1),0),I57)-MAX(D57,DATE(EINSTELLUNG!$C$35,$A$1,1))+1)/DAY(EOMONTH(DATE(EINSTELLUNG!$C$35,$A$1,1),0))*F57,2),"")</f>
        <v>173</v>
      </c>
      <c r="I57" s="50"/>
      <c r="J57" s="51"/>
      <c r="K57" s="281">
        <f t="shared" si="1"/>
        <v>0</v>
      </c>
      <c r="L57" s="283">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2021</v>
      </c>
      <c r="M57" s="52"/>
      <c r="N57" s="66"/>
    </row>
    <row r="58" spans="1:22" ht="22" customHeight="1">
      <c r="A58" s="280" t="s">
        <v>129</v>
      </c>
      <c r="B58" s="91">
        <v>504000</v>
      </c>
      <c r="C58" s="39" t="s">
        <v>299</v>
      </c>
      <c r="D58" s="43">
        <v>46054</v>
      </c>
      <c r="E58" s="41" t="s">
        <v>3</v>
      </c>
      <c r="F58" s="42">
        <v>138.4</v>
      </c>
      <c r="G58" s="281">
        <f>IF(OR(E58="",F58=""),"",PID_KVLohnLookup($A$1,E58,F58,LOHNTABELLE!$H$4))</f>
        <v>1665.6</v>
      </c>
      <c r="H58" s="282">
        <f>IF(AND(ISNUMBER(D58),ISNUMBER(F58)),ROUNDDOWN(MIN(IF(OR(ISBLANK(I58),I58=""),EOMONTH(DATE(EINSTELLUNG!$C$35,$A$1,1),0),I58)-MAX(D58,DATE(EINSTELLUNG!$C$35,$A$1,1))+1)/DAY(EOMONTH(DATE(EINSTELLUNG!$C$35,$A$1,1),0))*F58,2),"")</f>
        <v>138.4</v>
      </c>
      <c r="I58" s="43"/>
      <c r="J58" s="44"/>
      <c r="K58" s="281">
        <f t="shared" si="1"/>
        <v>0</v>
      </c>
      <c r="L58" s="283">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1665.6</v>
      </c>
      <c r="M58" s="45"/>
      <c r="N58" s="65"/>
    </row>
    <row r="59" spans="1:22" ht="22" customHeight="1">
      <c r="A59" s="280" t="s">
        <v>130</v>
      </c>
      <c r="B59" s="92">
        <v>505000</v>
      </c>
      <c r="C59" s="46" t="s">
        <v>300</v>
      </c>
      <c r="D59" s="50">
        <v>46054</v>
      </c>
      <c r="E59" s="48" t="s">
        <v>2</v>
      </c>
      <c r="F59" s="49">
        <v>138.4</v>
      </c>
      <c r="G59" s="281">
        <f>IF(OR(E59="",F59=""),"",PID_KVLohnLookup($A$1,E59,F59,LOHNTABELLE!$H$4))</f>
        <v>1616.8</v>
      </c>
      <c r="H59" s="282">
        <f>IF(AND(ISNUMBER(D59),ISNUMBER(F59)),ROUNDDOWN(MIN(IF(OR(ISBLANK(I59),I59=""),EOMONTH(DATE(EINSTELLUNG!$C$35,$A$1,1),0),I59)-MAX(D59,DATE(EINSTELLUNG!$C$35,$A$1,1))+1)/DAY(EOMONTH(DATE(EINSTELLUNG!$C$35,$A$1,1),0))*F59,2),"")</f>
        <v>138.4</v>
      </c>
      <c r="I59" s="50"/>
      <c r="J59" s="51"/>
      <c r="K59" s="281">
        <f t="shared" si="1"/>
        <v>0</v>
      </c>
      <c r="L59" s="283">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1616.8</v>
      </c>
      <c r="M59" s="52"/>
      <c r="N59" s="66"/>
    </row>
    <row r="60" spans="1:22" ht="22" customHeight="1">
      <c r="A60" s="280" t="s">
        <v>131</v>
      </c>
      <c r="B60" s="91">
        <v>525025</v>
      </c>
      <c r="C60" s="39" t="s">
        <v>355</v>
      </c>
      <c r="D60" s="43">
        <v>46040</v>
      </c>
      <c r="E60" s="41" t="s">
        <v>2</v>
      </c>
      <c r="F60" s="42">
        <v>129.75</v>
      </c>
      <c r="G60" s="281">
        <f>IF(OR(E60="",F60=""),"",PID_KVLohnLookup($A$1,E60,F60,LOHNTABELLE!$H$4))</f>
        <v>1515.75</v>
      </c>
      <c r="H60" s="282">
        <f>IF(AND(ISNUMBER(D60),ISNUMBER(F60)),ROUNDDOWN(MIN(IF(OR(ISBLANK(I60),I60=""),EOMONTH(DATE(EINSTELLUNG!$C$35,$A$1,1),0),I60)-MAX(D60,DATE(EINSTELLUNG!$C$35,$A$1,1))+1)/DAY(EOMONTH(DATE(EINSTELLUNG!$C$35,$A$1,1),0))*F60,2),"")</f>
        <v>129.75</v>
      </c>
      <c r="I60" s="43"/>
      <c r="J60" s="44"/>
      <c r="K60" s="281">
        <f t="shared" si="1"/>
        <v>0</v>
      </c>
      <c r="L60" s="283">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1515.75</v>
      </c>
      <c r="M60" s="45"/>
      <c r="N60" s="65"/>
    </row>
    <row r="61" spans="1:22" ht="22" customHeight="1">
      <c r="A61" s="280" t="s">
        <v>132</v>
      </c>
      <c r="B61" s="92">
        <v>700000</v>
      </c>
      <c r="C61" s="46" t="s">
        <v>308</v>
      </c>
      <c r="D61" s="50">
        <v>46054</v>
      </c>
      <c r="E61" s="48" t="s">
        <v>2</v>
      </c>
      <c r="F61" s="49">
        <v>173</v>
      </c>
      <c r="G61" s="281">
        <f>IF(OR(E61="",F61=""),"",PID_KVLohnLookup($A$1,E61,F61,LOHNTABELLE!$H$4))</f>
        <v>2021</v>
      </c>
      <c r="H61" s="282">
        <f>IF(AND(ISNUMBER(D61),ISNUMBER(F61)),ROUNDDOWN(MIN(IF(OR(ISBLANK(I61),I61=""),EOMONTH(DATE(EINSTELLUNG!$C$35,$A$1,1),0),I61)-MAX(D61,DATE(EINSTELLUNG!$C$35,$A$1,1))+1)/DAY(EOMONTH(DATE(EINSTELLUNG!$C$35,$A$1,1),0))*F61,2),"")</f>
        <v>173</v>
      </c>
      <c r="I61" s="50"/>
      <c r="J61" s="51"/>
      <c r="K61" s="281">
        <f t="shared" si="1"/>
        <v>0</v>
      </c>
      <c r="L61" s="283">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2021</v>
      </c>
      <c r="M61" s="52"/>
      <c r="N61" s="66"/>
    </row>
    <row r="62" spans="1:22" ht="22" customHeight="1">
      <c r="A62" s="280" t="s">
        <v>133</v>
      </c>
      <c r="B62" s="91">
        <v>800000</v>
      </c>
      <c r="C62" s="39" t="s">
        <v>309</v>
      </c>
      <c r="D62" s="43">
        <v>46096</v>
      </c>
      <c r="E62" s="41" t="s">
        <v>2</v>
      </c>
      <c r="F62" s="42">
        <v>173</v>
      </c>
      <c r="G62" s="281">
        <f>IF(OR(E62="",F62=""),"",PID_KVLohnLookup($A$1,E62,F62,LOHNTABELLE!$H$4))</f>
        <v>2021</v>
      </c>
      <c r="H62" s="282">
        <f>IF(AND(ISNUMBER(D62),ISNUMBER(F62)),ROUNDDOWN(MIN(IF(OR(ISBLANK(I62),I62=""),EOMONTH(DATE(EINSTELLUNG!$C$35,$A$1,1),0),I62)-MAX(D62,DATE(EINSTELLUNG!$C$35,$A$1,1))+1)/DAY(EOMONTH(DATE(EINSTELLUNG!$C$35,$A$1,1),0))*F62,2),"")</f>
        <v>173</v>
      </c>
      <c r="I62" s="43"/>
      <c r="J62" s="44"/>
      <c r="K62" s="281">
        <f t="shared" si="1"/>
        <v>0</v>
      </c>
      <c r="L62" s="283">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2021</v>
      </c>
      <c r="M62" s="45"/>
      <c r="N62" s="65"/>
    </row>
    <row r="63" spans="1:22" ht="22" customHeight="1">
      <c r="A63" s="280" t="s">
        <v>134</v>
      </c>
      <c r="B63" s="92"/>
      <c r="C63" s="46"/>
      <c r="D63" s="50"/>
      <c r="E63" s="48"/>
      <c r="F63" s="49"/>
      <c r="G63" s="281" t="str">
        <f>IF(OR(E63="",F63=""),"",PID_KVLohnLookup($A$1,E63,F63,LOHNTABELLE!$H$4))</f>
        <v/>
      </c>
      <c r="H63" s="282" t="str">
        <f>IF(AND(ISNUMBER(D63),ISNUMBER(F63)),ROUNDDOWN(MIN(IF(OR(ISBLANK(I63),I63=""),EOMONTH(DATE(EINSTELLUNG!$C$35,$A$1,1),0),I63)-MAX(D63,DATE(EINSTELLUNG!$C$35,$A$1,1))+1)/DAY(EOMONTH(DATE(EINSTELLUNG!$C$35,$A$1,1),0))*F63,2),"")</f>
        <v/>
      </c>
      <c r="I63" s="50"/>
      <c r="J63" s="51"/>
      <c r="K63" s="281" t="str">
        <f t="shared" si="1"/>
        <v/>
      </c>
      <c r="L63" s="283"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52"/>
      <c r="N63" s="66"/>
    </row>
    <row r="64" spans="1:22" ht="22" customHeight="1">
      <c r="A64" s="280" t="s">
        <v>135</v>
      </c>
      <c r="B64" s="91"/>
      <c r="C64" s="39"/>
      <c r="D64" s="43"/>
      <c r="E64" s="41"/>
      <c r="F64" s="42"/>
      <c r="G64" s="281" t="str">
        <f>IF(OR(E64="",F64=""),"",PID_KVLohnLookup($A$1,E64,F64,LOHNTABELLE!$H$4))</f>
        <v/>
      </c>
      <c r="H64" s="282" t="str">
        <f>IF(AND(ISNUMBER(D64),ISNUMBER(F64)),ROUNDDOWN(MIN(IF(OR(ISBLANK(I64),I64=""),EOMONTH(DATE(EINSTELLUNG!$C$35,$A$1,1),0),I64)-MAX(D64,DATE(EINSTELLUNG!$C$35,$A$1,1))+1)/DAY(EOMONTH(DATE(EINSTELLUNG!$C$35,$A$1,1),0))*F64,2),"")</f>
        <v/>
      </c>
      <c r="I64" s="43"/>
      <c r="J64" s="44"/>
      <c r="K64" s="281" t="str">
        <f t="shared" si="1"/>
        <v/>
      </c>
      <c r="L64" s="283"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45"/>
      <c r="N64" s="65"/>
    </row>
    <row r="65" spans="1:14" ht="22" customHeight="1">
      <c r="A65" s="280" t="s">
        <v>136</v>
      </c>
      <c r="B65" s="92"/>
      <c r="C65" s="46"/>
      <c r="D65" s="50"/>
      <c r="E65" s="48"/>
      <c r="F65" s="49"/>
      <c r="G65" s="281" t="str">
        <f>IF(OR(E65="",F65=""),"",PID_KVLohnLookup($A$1,E65,F65,LOHNTABELLE!$H$4))</f>
        <v/>
      </c>
      <c r="H65" s="282" t="str">
        <f>IF(AND(ISNUMBER(D65),ISNUMBER(F65)),ROUNDDOWN(MIN(IF(OR(ISBLANK(I65),I65=""),EOMONTH(DATE(EINSTELLUNG!$C$35,$A$1,1),0),I65)-MAX(D65,DATE(EINSTELLUNG!$C$35,$A$1,1))+1)/DAY(EOMONTH(DATE(EINSTELLUNG!$C$35,$A$1,1),0))*F65,2),"")</f>
        <v/>
      </c>
      <c r="I65" s="50"/>
      <c r="J65" s="51"/>
      <c r="K65" s="281" t="str">
        <f t="shared" si="1"/>
        <v/>
      </c>
      <c r="L65" s="283"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52"/>
      <c r="N65" s="66"/>
    </row>
    <row r="66" spans="1:14" ht="22" customHeight="1">
      <c r="A66" s="280" t="s">
        <v>137</v>
      </c>
      <c r="B66" s="91"/>
      <c r="C66" s="39"/>
      <c r="D66" s="43"/>
      <c r="E66" s="41"/>
      <c r="F66" s="42"/>
      <c r="G66" s="281" t="str">
        <f>IF(OR(E66="",F66=""),"",PID_KVLohnLookup($A$1,E66,F66,LOHNTABELLE!$H$4))</f>
        <v/>
      </c>
      <c r="H66" s="282" t="str">
        <f>IF(AND(ISNUMBER(D66),ISNUMBER(F66)),ROUNDDOWN(MIN(IF(OR(ISBLANK(I66),I66=""),EOMONTH(DATE(EINSTELLUNG!$C$35,$A$1,1),0),I66)-MAX(D66,DATE(EINSTELLUNG!$C$35,$A$1,1))+1)/DAY(EOMONTH(DATE(EINSTELLUNG!$C$35,$A$1,1),0))*F66,2),"")</f>
        <v/>
      </c>
      <c r="I66" s="43"/>
      <c r="J66" s="44"/>
      <c r="K66" s="281" t="str">
        <f t="shared" si="1"/>
        <v/>
      </c>
      <c r="L66" s="283"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45"/>
      <c r="N66" s="65"/>
    </row>
    <row r="67" spans="1:14" ht="22" customHeight="1">
      <c r="A67" s="280" t="s">
        <v>138</v>
      </c>
      <c r="B67" s="92"/>
      <c r="C67" s="46"/>
      <c r="D67" s="50"/>
      <c r="E67" s="48"/>
      <c r="F67" s="49"/>
      <c r="G67" s="281" t="str">
        <f>IF(OR(E67="",F67=""),"",PID_KVLohnLookup($A$1,E67,F67,LOHNTABELLE!$H$4))</f>
        <v/>
      </c>
      <c r="H67" s="282" t="str">
        <f>IF(AND(ISNUMBER(D67),ISNUMBER(F67)),ROUNDDOWN(MIN(IF(OR(ISBLANK(I67),I67=""),EOMONTH(DATE(EINSTELLUNG!$C$35,$A$1,1),0),I67)-MAX(D67,DATE(EINSTELLUNG!$C$35,$A$1,1))+1)/DAY(EOMONTH(DATE(EINSTELLUNG!$C$35,$A$1,1),0))*F67,2),"")</f>
        <v/>
      </c>
      <c r="I67" s="50"/>
      <c r="J67" s="51"/>
      <c r="K67" s="281" t="str">
        <f t="shared" ref="K67:K82" si="3">IF(OR(B67="",C67=""),"",IFERROR(IF(OR(MONTH(D67)=1,MONTH(D67)=3,MONTH(D67)=5,MONTH(D67)=7,MONTH(D67)=8,MONTH(D67)=10,MONTH(D67)=12),(G67/31)*J67,IF(OR(MONTH(D67)=4,MONTH(D67)=6,MONTH(D67)=9,MONTH(D67)=11),(G67/30)*J67,(G67/DAY(EOMONTH(D67,0)))*J67)),0))</f>
        <v/>
      </c>
      <c r="L67" s="283"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52"/>
      <c r="N67" s="66"/>
    </row>
    <row r="68" spans="1:14" ht="22" customHeight="1">
      <c r="A68" s="280" t="s">
        <v>139</v>
      </c>
      <c r="B68" s="91"/>
      <c r="C68" s="39"/>
      <c r="D68" s="43"/>
      <c r="E68" s="41"/>
      <c r="F68" s="42"/>
      <c r="G68" s="281" t="str">
        <f>IF(OR(E68="",F68=""),"",PID_KVLohnLookup($A$1,E68,F68,LOHNTABELLE!$H$4))</f>
        <v/>
      </c>
      <c r="H68" s="282" t="str">
        <f>IF(AND(ISNUMBER(D68),ISNUMBER(F68)),ROUNDDOWN(MIN(IF(OR(ISBLANK(I68),I68=""),EOMONTH(DATE(EINSTELLUNG!$C$35,$A$1,1),0),I68)-MAX(D68,DATE(EINSTELLUNG!$C$35,$A$1,1))+1)/DAY(EOMONTH(DATE(EINSTELLUNG!$C$35,$A$1,1),0))*F68,2),"")</f>
        <v/>
      </c>
      <c r="I68" s="43"/>
      <c r="J68" s="44"/>
      <c r="K68" s="281" t="str">
        <f t="shared" si="3"/>
        <v/>
      </c>
      <c r="L68" s="283"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45"/>
      <c r="N68" s="65"/>
    </row>
    <row r="69" spans="1:14" ht="22" customHeight="1">
      <c r="A69" s="280" t="s">
        <v>140</v>
      </c>
      <c r="B69" s="92"/>
      <c r="C69" s="46"/>
      <c r="D69" s="50"/>
      <c r="E69" s="48"/>
      <c r="F69" s="49"/>
      <c r="G69" s="281" t="str">
        <f>IF(OR(E69="",F69=""),"",PID_KVLohnLookup($A$1,E69,F69,LOHNTABELLE!$H$4))</f>
        <v/>
      </c>
      <c r="H69" s="282" t="str">
        <f>IF(AND(ISNUMBER(D69),ISNUMBER(F69)),ROUNDDOWN(MIN(IF(OR(ISBLANK(I69),I69=""),EOMONTH(DATE(EINSTELLUNG!$C$35,$A$1,1),0),I69)-MAX(D69,DATE(EINSTELLUNG!$C$35,$A$1,1))+1)/DAY(EOMONTH(DATE(EINSTELLUNG!$C$35,$A$1,1),0))*F69,2),"")</f>
        <v/>
      </c>
      <c r="I69" s="50"/>
      <c r="J69" s="51"/>
      <c r="K69" s="281" t="str">
        <f t="shared" si="3"/>
        <v/>
      </c>
      <c r="L69" s="283"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52"/>
      <c r="N69" s="66"/>
    </row>
    <row r="70" spans="1:14" ht="22" customHeight="1">
      <c r="A70" s="280" t="s">
        <v>141</v>
      </c>
      <c r="B70" s="91"/>
      <c r="C70" s="39"/>
      <c r="D70" s="43"/>
      <c r="E70" s="41"/>
      <c r="F70" s="42"/>
      <c r="G70" s="281" t="str">
        <f>IF(OR(E70="",F70=""),"",PID_KVLohnLookup($A$1,E70,F70,LOHNTABELLE!$H$4))</f>
        <v/>
      </c>
      <c r="H70" s="282" t="str">
        <f>IF(AND(ISNUMBER(D70),ISNUMBER(F70)),ROUNDDOWN(MIN(IF(OR(ISBLANK(I70),I70=""),EOMONTH(DATE(EINSTELLUNG!$C$35,$A$1,1),0),I70)-MAX(D70,DATE(EINSTELLUNG!$C$35,$A$1,1))+1)/DAY(EOMONTH(DATE(EINSTELLUNG!$C$35,$A$1,1),0))*F70,2),"")</f>
        <v/>
      </c>
      <c r="I70" s="43"/>
      <c r="J70" s="44"/>
      <c r="K70" s="281" t="str">
        <f t="shared" si="3"/>
        <v/>
      </c>
      <c r="L70" s="283"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45"/>
      <c r="N70" s="65"/>
    </row>
    <row r="71" spans="1:14" ht="22" customHeight="1">
      <c r="A71" s="280" t="s">
        <v>142</v>
      </c>
      <c r="B71" s="92"/>
      <c r="C71" s="46"/>
      <c r="D71" s="50"/>
      <c r="E71" s="48"/>
      <c r="F71" s="49"/>
      <c r="G71" s="281" t="str">
        <f>IF(OR(E71="",F71=""),"",PID_KVLohnLookup($A$1,E71,F71,LOHNTABELLE!$H$4))</f>
        <v/>
      </c>
      <c r="H71" s="282" t="str">
        <f>IF(AND(ISNUMBER(D71),ISNUMBER(F71)),ROUNDDOWN(MIN(IF(OR(ISBLANK(I71),I71=""),EOMONTH(DATE(EINSTELLUNG!$C$35,$A$1,1),0),I71)-MAX(D71,DATE(EINSTELLUNG!$C$35,$A$1,1))+1)/DAY(EOMONTH(DATE(EINSTELLUNG!$C$35,$A$1,1),0))*F71,2),"")</f>
        <v/>
      </c>
      <c r="I71" s="50"/>
      <c r="J71" s="51"/>
      <c r="K71" s="281" t="str">
        <f t="shared" si="3"/>
        <v/>
      </c>
      <c r="L71" s="283"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52"/>
      <c r="N71" s="66"/>
    </row>
    <row r="72" spans="1:14" ht="22" customHeight="1">
      <c r="A72" s="280" t="s">
        <v>143</v>
      </c>
      <c r="B72" s="91"/>
      <c r="C72" s="39"/>
      <c r="D72" s="43"/>
      <c r="E72" s="41"/>
      <c r="F72" s="42"/>
      <c r="G72" s="281" t="str">
        <f>IF(OR(E72="",F72=""),"",PID_KVLohnLookup($A$1,E72,F72,LOHNTABELLE!$H$4))</f>
        <v/>
      </c>
      <c r="H72" s="282" t="str">
        <f>IF(AND(ISNUMBER(D72),ISNUMBER(F72)),ROUNDDOWN(MIN(IF(OR(ISBLANK(I72),I72=""),EOMONTH(DATE(EINSTELLUNG!$C$35,$A$1,1),0),I72)-MAX(D72,DATE(EINSTELLUNG!$C$35,$A$1,1))+1)/DAY(EOMONTH(DATE(EINSTELLUNG!$C$35,$A$1,1),0))*F72,2),"")</f>
        <v/>
      </c>
      <c r="I72" s="43"/>
      <c r="J72" s="44"/>
      <c r="K72" s="281" t="str">
        <f t="shared" si="3"/>
        <v/>
      </c>
      <c r="L72" s="283"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45"/>
      <c r="N72" s="65"/>
    </row>
    <row r="73" spans="1:14" ht="22" customHeight="1">
      <c r="A73" s="280" t="s">
        <v>144</v>
      </c>
      <c r="B73" s="92"/>
      <c r="C73" s="46"/>
      <c r="D73" s="50"/>
      <c r="E73" s="48"/>
      <c r="F73" s="49"/>
      <c r="G73" s="281" t="str">
        <f>IF(OR(E73="",F73=""),"",PID_KVLohnLookup($A$1,E73,F73,LOHNTABELLE!$H$4))</f>
        <v/>
      </c>
      <c r="H73" s="282" t="str">
        <f>IF(AND(ISNUMBER(D73),ISNUMBER(F73)),ROUNDDOWN(MIN(IF(OR(ISBLANK(I73),I73=""),EOMONTH(DATE(EINSTELLUNG!$C$35,$A$1,1),0),I73)-MAX(D73,DATE(EINSTELLUNG!$C$35,$A$1,1))+1)/DAY(EOMONTH(DATE(EINSTELLUNG!$C$35,$A$1,1),0))*F73,2),"")</f>
        <v/>
      </c>
      <c r="I73" s="50"/>
      <c r="J73" s="51"/>
      <c r="K73" s="281" t="str">
        <f t="shared" si="3"/>
        <v/>
      </c>
      <c r="L73" s="283"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52"/>
      <c r="N73" s="66"/>
    </row>
    <row r="74" spans="1:14" ht="22" customHeight="1">
      <c r="A74" s="280" t="s">
        <v>145</v>
      </c>
      <c r="B74" s="91"/>
      <c r="C74" s="39"/>
      <c r="D74" s="43"/>
      <c r="E74" s="41"/>
      <c r="F74" s="42"/>
      <c r="G74" s="281" t="str">
        <f>IF(OR(E74="",F74=""),"",PID_KVLohnLookup($A$1,E74,F74,LOHNTABELLE!$H$4))</f>
        <v/>
      </c>
      <c r="H74" s="282" t="str">
        <f>IF(AND(ISNUMBER(D74),ISNUMBER(F74)),ROUNDDOWN(MIN(IF(OR(ISBLANK(I74),I74=""),EOMONTH(DATE(EINSTELLUNG!$C$35,$A$1,1),0),I74)-MAX(D74,DATE(EINSTELLUNG!$C$35,$A$1,1))+1)/DAY(EOMONTH(DATE(EINSTELLUNG!$C$35,$A$1,1),0))*F74,2),"")</f>
        <v/>
      </c>
      <c r="I74" s="43"/>
      <c r="J74" s="44"/>
      <c r="K74" s="281" t="str">
        <f t="shared" si="3"/>
        <v/>
      </c>
      <c r="L74" s="283"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45"/>
      <c r="N74" s="65"/>
    </row>
    <row r="75" spans="1:14" ht="22" customHeight="1">
      <c r="A75" s="280" t="s">
        <v>146</v>
      </c>
      <c r="B75" s="92"/>
      <c r="C75" s="46"/>
      <c r="D75" s="50"/>
      <c r="E75" s="48"/>
      <c r="F75" s="49"/>
      <c r="G75" s="281" t="str">
        <f>IF(OR(E75="",F75=""),"",PID_KVLohnLookup($A$1,E75,F75,LOHNTABELLE!$H$4))</f>
        <v/>
      </c>
      <c r="H75" s="282" t="str">
        <f>IF(AND(ISNUMBER(D75),ISNUMBER(F75)),ROUNDDOWN(MIN(IF(OR(ISBLANK(I75),I75=""),EOMONTH(DATE(EINSTELLUNG!$C$35,$A$1,1),0),I75)-MAX(D75,DATE(EINSTELLUNG!$C$35,$A$1,1))+1)/DAY(EOMONTH(DATE(EINSTELLUNG!$C$35,$A$1,1),0))*F75,2),"")</f>
        <v/>
      </c>
      <c r="I75" s="50"/>
      <c r="J75" s="51"/>
      <c r="K75" s="281" t="str">
        <f t="shared" si="3"/>
        <v/>
      </c>
      <c r="L75" s="283"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52"/>
      <c r="N75" s="66"/>
    </row>
    <row r="76" spans="1:14" ht="22" customHeight="1">
      <c r="A76" s="280" t="s">
        <v>147</v>
      </c>
      <c r="B76" s="91"/>
      <c r="C76" s="39"/>
      <c r="D76" s="43"/>
      <c r="E76" s="41"/>
      <c r="F76" s="42"/>
      <c r="G76" s="281" t="str">
        <f>IF(OR(E76="",F76=""),"",PID_KVLohnLookup($A$1,E76,F76,LOHNTABELLE!$H$4))</f>
        <v/>
      </c>
      <c r="H76" s="282" t="str">
        <f>IF(AND(ISNUMBER(D76),ISNUMBER(F76)),ROUNDDOWN(MIN(IF(OR(ISBLANK(I76),I76=""),EOMONTH(DATE(EINSTELLUNG!$C$35,$A$1,1),0),I76)-MAX(D76,DATE(EINSTELLUNG!$C$35,$A$1,1))+1)/DAY(EOMONTH(DATE(EINSTELLUNG!$C$35,$A$1,1),0))*F76,2),"")</f>
        <v/>
      </c>
      <c r="I76" s="43"/>
      <c r="J76" s="44"/>
      <c r="K76" s="281" t="str">
        <f t="shared" si="3"/>
        <v/>
      </c>
      <c r="L76" s="283"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45"/>
      <c r="N76" s="65"/>
    </row>
    <row r="77" spans="1:14" ht="22" customHeight="1">
      <c r="A77" s="280" t="s">
        <v>148</v>
      </c>
      <c r="B77" s="92"/>
      <c r="C77" s="46"/>
      <c r="D77" s="50"/>
      <c r="E77" s="48"/>
      <c r="F77" s="49"/>
      <c r="G77" s="281" t="str">
        <f>IF(OR(E77="",F77=""),"",PID_KVLohnLookup($A$1,E77,F77,LOHNTABELLE!$H$4))</f>
        <v/>
      </c>
      <c r="H77" s="282" t="str">
        <f>IF(AND(ISNUMBER(D77),ISNUMBER(F77)),ROUNDDOWN(MIN(IF(OR(ISBLANK(I77),I77=""),EOMONTH(DATE(EINSTELLUNG!$C$35,$A$1,1),0),I77)-MAX(D77,DATE(EINSTELLUNG!$C$35,$A$1,1))+1)/DAY(EOMONTH(DATE(EINSTELLUNG!$C$35,$A$1,1),0))*F77,2),"")</f>
        <v/>
      </c>
      <c r="I77" s="50"/>
      <c r="J77" s="51"/>
      <c r="K77" s="281" t="str">
        <f t="shared" si="3"/>
        <v/>
      </c>
      <c r="L77" s="283"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52"/>
      <c r="N77" s="66"/>
    </row>
    <row r="78" spans="1:14" ht="22" customHeight="1">
      <c r="A78" s="280" t="s">
        <v>149</v>
      </c>
      <c r="B78" s="91"/>
      <c r="C78" s="39"/>
      <c r="D78" s="43"/>
      <c r="E78" s="41"/>
      <c r="F78" s="42"/>
      <c r="G78" s="281" t="str">
        <f>IF(OR(E78="",F78=""),"",PID_KVLohnLookup($A$1,E78,F78,LOHNTABELLE!$H$4))</f>
        <v/>
      </c>
      <c r="H78" s="282" t="str">
        <f>IF(AND(ISNUMBER(D78),ISNUMBER(F78)),ROUNDDOWN(MIN(IF(OR(ISBLANK(I78),I78=""),EOMONTH(DATE(EINSTELLUNG!$C$35,$A$1,1),0),I78)-MAX(D78,DATE(EINSTELLUNG!$C$35,$A$1,1))+1)/DAY(EOMONTH(DATE(EINSTELLUNG!$C$35,$A$1,1),0))*F78,2),"")</f>
        <v/>
      </c>
      <c r="I78" s="43"/>
      <c r="J78" s="44"/>
      <c r="K78" s="281" t="str">
        <f t="shared" si="3"/>
        <v/>
      </c>
      <c r="L78" s="283"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45"/>
      <c r="N78" s="65"/>
    </row>
    <row r="79" spans="1:14" ht="22" customHeight="1">
      <c r="A79" s="280" t="s">
        <v>150</v>
      </c>
      <c r="B79" s="92"/>
      <c r="C79" s="46"/>
      <c r="D79" s="50"/>
      <c r="E79" s="48"/>
      <c r="F79" s="49"/>
      <c r="G79" s="281" t="str">
        <f>IF(OR(E79="",F79=""),"",PID_KVLohnLookup($A$1,E79,F79,LOHNTABELLE!$H$4))</f>
        <v/>
      </c>
      <c r="H79" s="282" t="str">
        <f>IF(AND(ISNUMBER(D79),ISNUMBER(F79)),ROUNDDOWN(MIN(IF(OR(ISBLANK(I79),I79=""),EOMONTH(DATE(EINSTELLUNG!$C$35,$A$1,1),0),I79)-MAX(D79,DATE(EINSTELLUNG!$C$35,$A$1,1))+1)/DAY(EOMONTH(DATE(EINSTELLUNG!$C$35,$A$1,1),0))*F79,2),"")</f>
        <v/>
      </c>
      <c r="I79" s="50"/>
      <c r="J79" s="51"/>
      <c r="K79" s="281" t="str">
        <f t="shared" si="3"/>
        <v/>
      </c>
      <c r="L79" s="283"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52"/>
      <c r="N79" s="66"/>
    </row>
    <row r="80" spans="1:14" ht="22" customHeight="1">
      <c r="A80" s="280" t="s">
        <v>151</v>
      </c>
      <c r="B80" s="91"/>
      <c r="C80" s="39"/>
      <c r="D80" s="43"/>
      <c r="E80" s="41"/>
      <c r="F80" s="42"/>
      <c r="G80" s="281" t="str">
        <f>IF(OR(E80="",F80=""),"",PID_KVLohnLookup($A$1,E80,F80,LOHNTABELLE!$H$4))</f>
        <v/>
      </c>
      <c r="H80" s="282" t="str">
        <f>IF(AND(ISNUMBER(D80),ISNUMBER(F80)),ROUNDDOWN(MIN(IF(OR(ISBLANK(I80),I80=""),EOMONTH(DATE(EINSTELLUNG!$C$35,$A$1,1),0),I80)-MAX(D80,DATE(EINSTELLUNG!$C$35,$A$1,1))+1)/DAY(EOMONTH(DATE(EINSTELLUNG!$C$35,$A$1,1),0))*F80,2),"")</f>
        <v/>
      </c>
      <c r="I80" s="43"/>
      <c r="J80" s="44"/>
      <c r="K80" s="281" t="str">
        <f t="shared" si="3"/>
        <v/>
      </c>
      <c r="L80" s="283"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45"/>
      <c r="N80" s="65"/>
    </row>
    <row r="81" spans="1:14" ht="22" customHeight="1">
      <c r="A81" s="280" t="s">
        <v>152</v>
      </c>
      <c r="B81" s="92"/>
      <c r="C81" s="46"/>
      <c r="D81" s="50"/>
      <c r="E81" s="48"/>
      <c r="F81" s="49"/>
      <c r="G81" s="281" t="str">
        <f>IF(OR(E81="",F81=""),"",PID_KVLohnLookup($A$1,E81,F81,LOHNTABELLE!$H$4))</f>
        <v/>
      </c>
      <c r="H81" s="282" t="str">
        <f>IF(AND(ISNUMBER(D81),ISNUMBER(F81)),ROUNDDOWN(MIN(IF(OR(ISBLANK(I81),I81=""),EOMONTH(DATE(EINSTELLUNG!$C$35,$A$1,1),0),I81)-MAX(D81,DATE(EINSTELLUNG!$C$35,$A$1,1))+1)/DAY(EOMONTH(DATE(EINSTELLUNG!$C$35,$A$1,1),0))*F81,2),"")</f>
        <v/>
      </c>
      <c r="I81" s="50"/>
      <c r="J81" s="51"/>
      <c r="K81" s="281" t="str">
        <f t="shared" si="3"/>
        <v/>
      </c>
      <c r="L81" s="283"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52"/>
      <c r="N81" s="66"/>
    </row>
    <row r="82" spans="1:14" ht="22" customHeight="1" thickBot="1">
      <c r="A82" s="343" t="s">
        <v>153</v>
      </c>
      <c r="B82" s="93"/>
      <c r="C82" s="54"/>
      <c r="D82" s="55"/>
      <c r="E82" s="56"/>
      <c r="F82" s="57"/>
      <c r="G82" s="344" t="str">
        <f>IF(OR(E82="",F82=""),"",PID_KVLohnLookup($A$1,E82,F82,LOHNTABELLE!$H$4))</f>
        <v/>
      </c>
      <c r="H82" s="345" t="str">
        <f>IF(AND(ISNUMBER(D82),ISNUMBER(F82)),ROUNDDOWN(MIN(IF(OR(ISBLANK(I82),I82=""),EOMONTH(DATE(EINSTELLUNG!$C$35,$A$1,1),0),I82)-MAX(D82,DATE(EINSTELLUNG!$C$35,$A$1,1))+1)/DAY(EOMONTH(DATE(EINSTELLUNG!$C$35,$A$1,1),0))*F82,2),"")</f>
        <v/>
      </c>
      <c r="I82" s="55"/>
      <c r="J82" s="58"/>
      <c r="K82" s="344" t="str">
        <f t="shared" si="3"/>
        <v/>
      </c>
      <c r="L82" s="346"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59"/>
      <c r="N82" s="69"/>
    </row>
    <row r="100" spans="26:26" ht="16" customHeight="1">
      <c r="Z100" s="259"/>
    </row>
  </sheetData>
  <sheetProtection algorithmName="SHA-512" hashValue="S59xGiAeNkwnfpd21MRNI9YURiouIGFE9iki6IvhAJ8yIdlmDKJNfjv2NdNwFxszJvc3vYphFNJg/gNbUo2F1g==" saltValue="1w20NwbwlDn+0z4f5/Wo+w==" spinCount="100000" sheet="1" objects="1" scenarios="1" autoFilter="0"/>
  <sortState xmlns:xlrd2="http://schemas.microsoft.com/office/spreadsheetml/2017/richdata2" ref="B3:N82">
    <sortCondition ref="B3:B82"/>
    <sortCondition ref="C3:C82"/>
  </sortState>
  <mergeCells count="101">
    <mergeCell ref="N1:N2"/>
    <mergeCell ref="A1:A2"/>
    <mergeCell ref="O15:R15"/>
    <mergeCell ref="E1:E2"/>
    <mergeCell ref="F1:F2"/>
    <mergeCell ref="G1:G2"/>
    <mergeCell ref="H1:H2"/>
    <mergeCell ref="M1:M2"/>
    <mergeCell ref="S2:V2"/>
    <mergeCell ref="P3:P4"/>
    <mergeCell ref="O9:P9"/>
    <mergeCell ref="B1:B2"/>
    <mergeCell ref="Q9:R9"/>
    <mergeCell ref="O10:P10"/>
    <mergeCell ref="Q10:R10"/>
    <mergeCell ref="C1:C2"/>
    <mergeCell ref="D1:D2"/>
    <mergeCell ref="Q3:Q4"/>
    <mergeCell ref="O6:R6"/>
    <mergeCell ref="O8:P8"/>
    <mergeCell ref="Q8:R8"/>
    <mergeCell ref="I1:I2"/>
    <mergeCell ref="J1:J2"/>
    <mergeCell ref="K1:K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U36:V36"/>
    <mergeCell ref="O29:P29"/>
    <mergeCell ref="Q29:R29"/>
    <mergeCell ref="O31:P31"/>
    <mergeCell ref="Q31:R31"/>
    <mergeCell ref="O33:P34"/>
    <mergeCell ref="Q33:R34"/>
    <mergeCell ref="S33:T34"/>
    <mergeCell ref="U33:V34"/>
    <mergeCell ref="Q35:R35"/>
    <mergeCell ref="S35:T35"/>
    <mergeCell ref="U35:V35"/>
    <mergeCell ref="O38:P38"/>
    <mergeCell ref="Q38:R38"/>
    <mergeCell ref="S38:T38"/>
    <mergeCell ref="O37:P37"/>
    <mergeCell ref="O35:P35"/>
    <mergeCell ref="O36:P36"/>
    <mergeCell ref="Q36:R36"/>
    <mergeCell ref="S36:T36"/>
    <mergeCell ref="O13:P13"/>
    <mergeCell ref="Q13:R13"/>
    <mergeCell ref="O14:P14"/>
    <mergeCell ref="Q14:R14"/>
    <mergeCell ref="O17:P17"/>
    <mergeCell ref="O28:P28"/>
    <mergeCell ref="O25:P25"/>
    <mergeCell ref="Q25:R25"/>
    <mergeCell ref="O26:P26"/>
    <mergeCell ref="Q26:R26"/>
    <mergeCell ref="Q27:R27"/>
    <mergeCell ref="O22:P22"/>
    <mergeCell ref="Q22:R22"/>
    <mergeCell ref="O23:P23"/>
    <mergeCell ref="Q23:R23"/>
    <mergeCell ref="O24:P24"/>
    <mergeCell ref="Q24:R24"/>
    <mergeCell ref="L1:L2"/>
    <mergeCell ref="R3:R4"/>
    <mergeCell ref="O3:O4"/>
    <mergeCell ref="O44:V44"/>
    <mergeCell ref="O45:U45"/>
    <mergeCell ref="O42:P42"/>
    <mergeCell ref="O39:P39"/>
    <mergeCell ref="O40:P40"/>
    <mergeCell ref="O41:P41"/>
    <mergeCell ref="Q20:R20"/>
    <mergeCell ref="O16:R16"/>
    <mergeCell ref="Q17:R17"/>
    <mergeCell ref="O18:P18"/>
    <mergeCell ref="Q18:R18"/>
    <mergeCell ref="Q19:R19"/>
    <mergeCell ref="O20:P20"/>
    <mergeCell ref="O19:P19"/>
    <mergeCell ref="Q28:R28"/>
    <mergeCell ref="O21:P21"/>
    <mergeCell ref="Q21:R21"/>
    <mergeCell ref="O11:P11"/>
    <mergeCell ref="Q11:R11"/>
    <mergeCell ref="O12:P12"/>
    <mergeCell ref="Q12:R12"/>
  </mergeCells>
  <dataValidations count="2">
    <dataValidation type="list" allowBlank="1" showInputMessage="1" showErrorMessage="1" errorTitle="Ungültiger Austrittsgrund" error="Bitte nur einen Wert aus der Liste auswählen." promptTitle="Austrittsgrund" prompt="Bitte den passenden Austrittsgrund auswählen." sqref="N3:N82" xr:uid="{EA01B69C-9C55-B341-B293-EDB77CCB546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DBCEE0E7-419E-654C-883B-DDDE42977206}">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C454DD67-CE9B-E14E-9031-788DAAEFAA23}">
          <x14:formula1>
            <xm:f>KV_DROPDOWN_HELPER!$LL$1:$LL$13</xm:f>
          </x14:formula1>
          <xm:sqref>F16</xm:sqref>
        </x14:dataValidation>
        <x14:dataValidation type="list" allowBlank="1" showInputMessage="1" showErrorMessage="1" xr:uid="{5ED60DB1-219C-A745-B302-58C4BAE4CF95}">
          <x14:formula1>
            <xm:f>KV_DROPDOWN_HELPER!$LM$1:$LM$13</xm:f>
          </x14:formula1>
          <xm:sqref>F19</xm:sqref>
        </x14:dataValidation>
        <x14:dataValidation type="list" allowBlank="1" showInputMessage="1" showErrorMessage="1" xr:uid="{D6F40077-0E9A-C348-8729-FC9AE8CC5963}">
          <x14:formula1>
            <xm:f>KV_DROPDOWN_HELPER!$LN$1:$LN$13</xm:f>
          </x14:formula1>
          <xm:sqref>F20 F23 F25</xm:sqref>
        </x14:dataValidation>
        <x14:dataValidation type="list" allowBlank="1" showInputMessage="1" showErrorMessage="1" xr:uid="{D7CCFA66-49BD-4D43-B055-2BEC903C7CA0}">
          <x14:formula1>
            <xm:f>KV_DROPDOWN_HELPER!$LJ$1:$LJ$13</xm:f>
          </x14:formula1>
          <xm:sqref>F4 F5 F8</xm:sqref>
        </x14:dataValidation>
        <x14:dataValidation type="list" allowBlank="1" showInputMessage="1" showErrorMessage="1" xr:uid="{B2C9CF0F-3A0B-B244-B487-998B8B6954CE}">
          <x14:formula1>
            <xm:f>KV_DROPDOWN_HELPER!$LK$1:$LK$13</xm:f>
          </x14:formula1>
          <xm:sqref>F7 F9 F10 F11 F14 F58</xm:sqref>
        </x14:dataValidation>
        <x14:dataValidation type="list" allowBlank="1" showInputMessage="1" showErrorMessage="1" xr:uid="{0A835573-4702-4870-BF88-FC7A996A4332}">
          <x14:formula1>
            <xm:f>KV_DROPDOWN_HELPER!$LO$1:$LO$13</xm:f>
          </x14:formula1>
          <xm:sqref>F63 F64 F65 F66 F67 F68 F69 F70 F71 F72 F73 F74 F75 F76 F77 F78 F79 F80 F81 F82</xm:sqref>
        </x14:dataValidation>
        <x14:dataValidation type="list" allowBlank="1" showInputMessage="1" showErrorMessage="1" xr:uid="{3720765C-5C98-47BF-8AE2-B0A3D2B90F7F}">
          <x14:formula1>
            <xm:f>KV_DROPDOWN_HELPER!$LI$1:$LI$16</xm:f>
          </x14:formula1>
          <xm:sqref>F3 F6 F12 F13 F15 F17 F18 F21 F22 F24 F26 F27 F28 F29 F30 F31 F32 F33 F34 F35 F36 F37 F38 F39 F40 F41 F42 F43 F44 F45 F46 F47 F48 F49 F50 F51 F52 F53 F54 F55 F56 F57 F59 F60 F61 F62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1F051E-963B-254F-8AE7-161E8976A58D}">
  <sheetPr codeName="Tabelle8"/>
  <dimension ref="A1:AC100"/>
  <sheetViews>
    <sheetView showGridLines="0" showRowColHeaders="0" zoomScaleNormal="100" workbookViewId="0">
      <pane ySplit="2" topLeftCell="A3" activePane="bottomLeft" state="frozen"/>
      <selection activeCell="T24" sqref="T24"/>
      <selection pane="bottomLeft" activeCell="W3" sqref="W3:Y50"/>
    </sheetView>
  </sheetViews>
  <sheetFormatPr baseColWidth="10" defaultColWidth="9.1796875" defaultRowHeight="16" customHeight="1"/>
  <cols>
    <col min="1" max="1" width="4.453125" style="347" customWidth="1"/>
    <col min="2" max="2" width="9.1796875" style="347" customWidth="1"/>
    <col min="3" max="3" width="35.6328125" style="179" customWidth="1"/>
    <col min="4" max="4" width="13.6328125" style="179" customWidth="1"/>
    <col min="5" max="5" width="9.6328125" style="179" customWidth="1"/>
    <col min="6" max="6" width="10.6328125" style="179" customWidth="1"/>
    <col min="7" max="7" width="13.6328125" style="179" customWidth="1"/>
    <col min="8" max="8" width="11.6328125" style="179" customWidth="1"/>
    <col min="9" max="10" width="13.6328125" style="179" customWidth="1"/>
    <col min="11" max="11" width="14.6328125" style="179" customWidth="1"/>
    <col min="12" max="12" width="14.6328125" style="306" customWidth="1"/>
    <col min="13" max="13" width="17.81640625" style="179" customWidth="1"/>
    <col min="14" max="14" width="34.6328125" style="179" customWidth="1"/>
    <col min="15" max="15" width="12.6328125" style="179" customWidth="1"/>
    <col min="16" max="16" width="16.6328125" style="179" customWidth="1"/>
    <col min="17" max="17" width="14.6328125" style="179" customWidth="1"/>
    <col min="18" max="18" width="13.6328125" style="179" customWidth="1"/>
    <col min="19" max="19" width="9.6328125" style="179" customWidth="1"/>
    <col min="20" max="20" width="10.6328125" style="179" customWidth="1"/>
    <col min="21" max="21" width="7.6328125" style="179" customWidth="1"/>
    <col min="22" max="27" width="9.1796875" style="179"/>
    <col min="28" max="28" width="10.6328125" style="179" bestFit="1" customWidth="1"/>
    <col min="29" max="16384" width="9.1796875" style="179"/>
  </cols>
  <sheetData>
    <row r="1" spans="1:28" ht="18" customHeight="1">
      <c r="A1" s="261">
        <v>6</v>
      </c>
      <c r="B1" s="262" t="s">
        <v>180</v>
      </c>
      <c r="C1" s="263" t="s">
        <v>39</v>
      </c>
      <c r="D1" s="263" t="s">
        <v>181</v>
      </c>
      <c r="E1" s="263" t="s">
        <v>0</v>
      </c>
      <c r="F1" s="263" t="s">
        <v>40</v>
      </c>
      <c r="G1" s="263" t="s">
        <v>41</v>
      </c>
      <c r="H1" s="263" t="s">
        <v>42</v>
      </c>
      <c r="I1" s="263" t="s">
        <v>182</v>
      </c>
      <c r="J1" s="263" t="s">
        <v>43</v>
      </c>
      <c r="K1" s="263" t="s">
        <v>44</v>
      </c>
      <c r="L1" s="263" t="s">
        <v>45</v>
      </c>
      <c r="M1" s="263" t="s">
        <v>46</v>
      </c>
      <c r="N1" s="264" t="s">
        <v>183</v>
      </c>
      <c r="AB1" s="265">
        <f>DATE(EINSTELLUNG!$C$35,$A$1,1)</f>
        <v>46174</v>
      </c>
    </row>
    <row r="2" spans="1:28" ht="18" customHeight="1" thickBot="1">
      <c r="A2" s="266"/>
      <c r="B2" s="267"/>
      <c r="C2" s="268"/>
      <c r="D2" s="268"/>
      <c r="E2" s="268"/>
      <c r="F2" s="268"/>
      <c r="G2" s="268"/>
      <c r="H2" s="268"/>
      <c r="I2" s="268"/>
      <c r="J2" s="268"/>
      <c r="K2" s="268"/>
      <c r="L2" s="268"/>
      <c r="M2" s="268"/>
      <c r="N2" s="269"/>
      <c r="O2" s="270"/>
      <c r="P2" s="270"/>
      <c r="Q2" s="270"/>
      <c r="S2" s="271" t="s">
        <v>378</v>
      </c>
      <c r="T2" s="271"/>
      <c r="U2" s="271"/>
      <c r="V2" s="271"/>
      <c r="AB2" s="265">
        <f>EOMONTH(DATE(EINSTELLUNG!$C$35,$A$1,1),0)</f>
        <v>46203</v>
      </c>
    </row>
    <row r="3" spans="1:28" ht="22" customHeight="1">
      <c r="A3" s="272" t="s">
        <v>383</v>
      </c>
      <c r="B3" s="90">
        <v>401010</v>
      </c>
      <c r="C3" s="32" t="s">
        <v>223</v>
      </c>
      <c r="D3" s="33">
        <v>39388</v>
      </c>
      <c r="E3" s="34" t="s">
        <v>2</v>
      </c>
      <c r="F3" s="60">
        <v>173</v>
      </c>
      <c r="G3" s="273">
        <f>IF(OR(E3="",F3=""),"",PID_KVLohnLookup($A$1,E3,F3,LOHNTABELLE!$H$4))</f>
        <v>2021</v>
      </c>
      <c r="H3" s="274">
        <f>IF(AND(ISNUMBER(D3),ISNUMBER(F3)),ROUNDDOWN(MIN(IF(OR(ISBLANK(I3),I3=""),EOMONTH(DATE(EINSTELLUNG!$C$35,$A$1,1),0),I3)-MAX(D3,DATE(EINSTELLUNG!$C$35,$A$1,1))+1)/DAY(EOMONTH(DATE(EINSTELLUNG!$C$35,$A$1,1),0))*F3,2),"")</f>
        <v>173</v>
      </c>
      <c r="I3" s="36"/>
      <c r="J3" s="37"/>
      <c r="K3" s="273">
        <f t="shared" ref="K3:K34" si="0">IF(OR(B3="",C3=""),"",IFERROR(IF(OR(MONTH(D3)=1,MONTH(D3)=3,MONTH(D3)=5,MONTH(D3)=7,MONTH(D3)=8,MONTH(D3)=10,MONTH(D3)=12),(G3/31)*J3,IF(OR(MONTH(D3)=4,MONTH(D3)=6,MONTH(D3)=9,MONTH(D3)=11),(G3/30)*J3,(G3/DAY(EOMONTH(D3,0)))*J3)),0))</f>
        <v>0</v>
      </c>
      <c r="L3" s="275">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2021</v>
      </c>
      <c r="M3" s="38"/>
      <c r="N3" s="64"/>
      <c r="O3" s="276" t="s">
        <v>47</v>
      </c>
      <c r="P3" s="276" t="s">
        <v>48</v>
      </c>
      <c r="Q3" s="276" t="s">
        <v>49</v>
      </c>
      <c r="R3" s="277" t="s">
        <v>50</v>
      </c>
      <c r="S3" s="278"/>
      <c r="T3" s="278"/>
      <c r="U3" s="278"/>
      <c r="V3" s="278"/>
      <c r="AB3" s="279"/>
    </row>
    <row r="4" spans="1:28" ht="18" customHeight="1">
      <c r="A4" s="280" t="s">
        <v>51</v>
      </c>
      <c r="B4" s="91">
        <v>401047</v>
      </c>
      <c r="C4" s="39" t="s">
        <v>225</v>
      </c>
      <c r="D4" s="40">
        <v>41154</v>
      </c>
      <c r="E4" s="41" t="s">
        <v>4</v>
      </c>
      <c r="F4" s="42">
        <v>173</v>
      </c>
      <c r="G4" s="281">
        <f>IF(OR(E4="",F4=""),"",PID_KVLohnLookup($A$1,E4,F4,LOHNTABELLE!$H$4))</f>
        <v>2123</v>
      </c>
      <c r="H4" s="282">
        <f>IF(AND(ISNUMBER(D4),ISNUMBER(F4)),ROUNDDOWN(MIN(IF(OR(ISBLANK(I4),I4=""),EOMONTH(DATE(EINSTELLUNG!$C$35,$A$1,1),0),I4)-MAX(D4,DATE(EINSTELLUNG!$C$35,$A$1,1))+1)/DAY(EOMONTH(DATE(EINSTELLUNG!$C$35,$A$1,1),0))*F4,2),"")</f>
        <v>115.33</v>
      </c>
      <c r="I4" s="43">
        <v>46193</v>
      </c>
      <c r="J4" s="44">
        <v>5</v>
      </c>
      <c r="K4" s="281">
        <f t="shared" si="0"/>
        <v>353.83333333333331</v>
      </c>
      <c r="L4" s="283">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1769.1666666666665</v>
      </c>
      <c r="M4" s="45"/>
      <c r="N4" s="65" t="s">
        <v>185</v>
      </c>
      <c r="O4" s="284"/>
      <c r="P4" s="284"/>
      <c r="Q4" s="284"/>
      <c r="R4" s="285"/>
      <c r="S4" s="278"/>
      <c r="T4" s="278"/>
      <c r="U4" s="278"/>
      <c r="V4" s="278"/>
    </row>
    <row r="5" spans="1:28" ht="22" customHeight="1">
      <c r="A5" s="280" t="s">
        <v>52</v>
      </c>
      <c r="B5" s="92">
        <v>401049</v>
      </c>
      <c r="C5" s="46" t="s">
        <v>224</v>
      </c>
      <c r="D5" s="47">
        <v>41130</v>
      </c>
      <c r="E5" s="48" t="s">
        <v>4</v>
      </c>
      <c r="F5" s="95">
        <v>129.75</v>
      </c>
      <c r="G5" s="281">
        <f>IF(OR(E5="",F5=""),"",PID_KVLohnLookup($A$1,E5,F5,LOHNTABELLE!$H$4))</f>
        <v>1592.25</v>
      </c>
      <c r="H5" s="282">
        <f>IF(AND(ISNUMBER(D5),ISNUMBER(F5)),ROUNDDOWN(MIN(IF(OR(ISBLANK(I5),I5=""),EOMONTH(DATE(EINSTELLUNG!$C$35,$A$1,1),0),I5)-MAX(D5,DATE(EINSTELLUNG!$C$35,$A$1,1))+1)/DAY(EOMONTH(DATE(EINSTELLUNG!$C$35,$A$1,1),0))*F5,2),"")</f>
        <v>129.75</v>
      </c>
      <c r="I5" s="50"/>
      <c r="J5" s="51"/>
      <c r="K5" s="281">
        <f t="shared" si="0"/>
        <v>0</v>
      </c>
      <c r="L5" s="283">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1592.25</v>
      </c>
      <c r="M5" s="52"/>
      <c r="N5" s="66"/>
      <c r="O5" s="286" cm="1">
        <f t="array" ref="O5">SUMPRODUCT((F3:F82/4.310808)/5*2.08)</f>
        <v>809.91116282608766</v>
      </c>
      <c r="P5" s="287">
        <f>EINSTELLUNG!I11</f>
        <v>600</v>
      </c>
      <c r="Q5" s="287">
        <f>P5-O5</f>
        <v>-209.91116282608766</v>
      </c>
      <c r="R5" s="288">
        <f>IFERROR(Q5*Q42, 0)</f>
        <v>-2475.9422566043791</v>
      </c>
      <c r="S5" s="278"/>
      <c r="T5" s="278"/>
      <c r="U5" s="278"/>
      <c r="V5" s="278"/>
    </row>
    <row r="6" spans="1:28" ht="22" customHeight="1">
      <c r="A6" s="280" t="s">
        <v>53</v>
      </c>
      <c r="B6" s="91">
        <v>401051</v>
      </c>
      <c r="C6" s="39" t="s">
        <v>226</v>
      </c>
      <c r="D6" s="40">
        <v>41176</v>
      </c>
      <c r="E6" s="41" t="s">
        <v>2</v>
      </c>
      <c r="F6" s="42">
        <v>173</v>
      </c>
      <c r="G6" s="281">
        <f>IF(OR(E6="",F6=""),"",PID_KVLohnLookup($A$1,E6,F6,LOHNTABELLE!$H$4))</f>
        <v>2021</v>
      </c>
      <c r="H6" s="282">
        <f>IF(AND(ISNUMBER(D6),ISNUMBER(F6)),ROUNDDOWN(MIN(IF(OR(ISBLANK(I6),I6=""),EOMONTH(DATE(EINSTELLUNG!$C$35,$A$1,1),0),I6)-MAX(D6,DATE(EINSTELLUNG!$C$35,$A$1,1))+1)/DAY(EOMONTH(DATE(EINSTELLUNG!$C$35,$A$1,1),0))*F6,2),"")</f>
        <v>173</v>
      </c>
      <c r="I6" s="43"/>
      <c r="J6" s="44"/>
      <c r="K6" s="281">
        <f t="shared" si="0"/>
        <v>0</v>
      </c>
      <c r="L6" s="283">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2021</v>
      </c>
      <c r="M6" s="45"/>
      <c r="N6" s="65"/>
      <c r="O6" s="289" t="str">
        <f>IF(Q5&lt;0, "Schlecht! Zu wenig Urlaub abgebaut.", IF(Q5&gt;0, "Gut! Mehr Urlaub abgebaut als aufgebaut.", ""))</f>
        <v>Schlecht! Zu wenig Urlaub abgebaut.</v>
      </c>
      <c r="P6" s="290"/>
      <c r="Q6" s="290"/>
      <c r="R6" s="291"/>
      <c r="S6" s="278"/>
      <c r="T6" s="278"/>
      <c r="U6" s="278"/>
      <c r="V6" s="278"/>
    </row>
    <row r="7" spans="1:28" ht="22" customHeight="1" thickBot="1">
      <c r="A7" s="280" t="s">
        <v>54</v>
      </c>
      <c r="B7" s="92">
        <v>401089</v>
      </c>
      <c r="C7" s="46" t="s">
        <v>240</v>
      </c>
      <c r="D7" s="47">
        <v>44868</v>
      </c>
      <c r="E7" s="48" t="s">
        <v>3</v>
      </c>
      <c r="F7" s="49">
        <v>173</v>
      </c>
      <c r="G7" s="281">
        <f>IF(OR(E7="",F7=""),"",PID_KVLohnLookup($A$1,E7,F7,LOHNTABELLE!$H$4))</f>
        <v>2082</v>
      </c>
      <c r="H7" s="282">
        <f>IF(AND(ISNUMBER(D7),ISNUMBER(F7)),ROUNDDOWN(MIN(IF(OR(ISBLANK(I7),I7=""),EOMONTH(DATE(EINSTELLUNG!$C$35,$A$1,1),0),I7)-MAX(D7,DATE(EINSTELLUNG!$C$35,$A$1,1))+1)/DAY(EOMONTH(DATE(EINSTELLUNG!$C$35,$A$1,1),0))*F7,2),"")</f>
        <v>173</v>
      </c>
      <c r="I7" s="50"/>
      <c r="J7" s="51"/>
      <c r="K7" s="281">
        <f t="shared" si="0"/>
        <v>0</v>
      </c>
      <c r="L7" s="283">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2082</v>
      </c>
      <c r="M7" s="52"/>
      <c r="N7" s="66"/>
      <c r="O7" s="278"/>
      <c r="P7" s="278"/>
      <c r="Q7" s="278"/>
      <c r="R7" s="278"/>
      <c r="S7" s="278"/>
      <c r="T7" s="278"/>
      <c r="U7" s="278"/>
      <c r="V7" s="278"/>
    </row>
    <row r="8" spans="1:28" ht="22" customHeight="1">
      <c r="A8" s="280" t="s">
        <v>55</v>
      </c>
      <c r="B8" s="91">
        <v>401138</v>
      </c>
      <c r="C8" s="39" t="s">
        <v>227</v>
      </c>
      <c r="D8" s="40">
        <v>42006</v>
      </c>
      <c r="E8" s="41" t="s">
        <v>4</v>
      </c>
      <c r="F8" s="42">
        <v>173</v>
      </c>
      <c r="G8" s="281">
        <f>IF(OR(E8="",F8=""),"",PID_KVLohnLookup($A$1,E8,F8,LOHNTABELLE!$H$4))</f>
        <v>2123</v>
      </c>
      <c r="H8" s="282">
        <f>IF(AND(ISNUMBER(D8),ISNUMBER(F8)),ROUNDDOWN(MIN(IF(OR(ISBLANK(I8),I8=""),EOMONTH(DATE(EINSTELLUNG!$C$35,$A$1,1),0),I8)-MAX(D8,DATE(EINSTELLUNG!$C$35,$A$1,1))+1)/DAY(EOMONTH(DATE(EINSTELLUNG!$C$35,$A$1,1),0))*F8,2),"")</f>
        <v>173</v>
      </c>
      <c r="I8" s="43"/>
      <c r="J8" s="44"/>
      <c r="K8" s="281">
        <f t="shared" si="0"/>
        <v>0</v>
      </c>
      <c r="L8" s="283">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2123</v>
      </c>
      <c r="M8" s="45"/>
      <c r="N8" s="65"/>
      <c r="O8" s="357" t="s">
        <v>56</v>
      </c>
      <c r="P8" s="293"/>
      <c r="Q8" s="294">
        <f>SUM(H3:H82)</f>
        <v>8335.0499999999993</v>
      </c>
      <c r="R8" s="295"/>
      <c r="S8" s="278"/>
      <c r="T8" s="278"/>
      <c r="U8" s="278"/>
      <c r="V8" s="278"/>
    </row>
    <row r="9" spans="1:28" ht="22" customHeight="1">
      <c r="A9" s="280" t="s">
        <v>57</v>
      </c>
      <c r="B9" s="92">
        <v>401197</v>
      </c>
      <c r="C9" s="46" t="s">
        <v>228</v>
      </c>
      <c r="D9" s="47">
        <v>42644</v>
      </c>
      <c r="E9" s="48" t="s">
        <v>3</v>
      </c>
      <c r="F9" s="49">
        <v>173</v>
      </c>
      <c r="G9" s="281">
        <f>IF(OR(E9="",F9=""),"",PID_KVLohnLookup($A$1,E9,F9,LOHNTABELLE!$H$4))</f>
        <v>2082</v>
      </c>
      <c r="H9" s="282">
        <f>IF(AND(ISNUMBER(D9),ISNUMBER(F9)),ROUNDDOWN(MIN(IF(OR(ISBLANK(I9),I9=""),EOMONTH(DATE(EINSTELLUNG!$C$35,$A$1,1),0),I9)-MAX(D9,DATE(EINSTELLUNG!$C$35,$A$1,1))+1)/DAY(EOMONTH(DATE(EINSTELLUNG!$C$35,$A$1,1),0))*F9,2),"")</f>
        <v>173</v>
      </c>
      <c r="I9" s="50"/>
      <c r="J9" s="51"/>
      <c r="K9" s="281">
        <f t="shared" si="0"/>
        <v>0</v>
      </c>
      <c r="L9" s="283">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52"/>
      <c r="N9" s="66"/>
      <c r="O9" s="358" t="s">
        <v>58</v>
      </c>
      <c r="P9" s="297"/>
      <c r="Q9" s="298">
        <f>EINSTELLUNG!L27</f>
        <v>6</v>
      </c>
      <c r="R9" s="299"/>
      <c r="S9" s="300">
        <f>IFERROR(Q9/Q8, 0)</f>
        <v>7.1985171054762722E-4</v>
      </c>
      <c r="T9" s="278"/>
      <c r="U9" s="278"/>
      <c r="V9" s="278"/>
    </row>
    <row r="10" spans="1:28" ht="22" customHeight="1">
      <c r="A10" s="280" t="s">
        <v>59</v>
      </c>
      <c r="B10" s="91">
        <v>401214</v>
      </c>
      <c r="C10" s="39" t="s">
        <v>254</v>
      </c>
      <c r="D10" s="40">
        <v>45636</v>
      </c>
      <c r="E10" s="41" t="s">
        <v>3</v>
      </c>
      <c r="F10" s="42">
        <v>173</v>
      </c>
      <c r="G10" s="281">
        <f>IF(OR(E10="",F10=""),"",PID_KVLohnLookup($A$1,E10,F10,LOHNTABELLE!$H$4))</f>
        <v>2082</v>
      </c>
      <c r="H10" s="282">
        <f>IF(AND(ISNUMBER(D10),ISNUMBER(F10)),ROUNDDOWN(MIN(IF(OR(ISBLANK(I10),I10=""),EOMONTH(DATE(EINSTELLUNG!$C$35,$A$1,1),0),I10)-MAX(D10,DATE(EINSTELLUNG!$C$35,$A$1,1))+1)/DAY(EOMONTH(DATE(EINSTELLUNG!$C$35,$A$1,1),0))*F10,2),"")</f>
        <v>173</v>
      </c>
      <c r="I10" s="43"/>
      <c r="J10" s="44"/>
      <c r="K10" s="281">
        <f t="shared" si="0"/>
        <v>0</v>
      </c>
      <c r="L10" s="283">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45"/>
      <c r="N10" s="65"/>
      <c r="O10" s="358" t="s">
        <v>60</v>
      </c>
      <c r="P10" s="297"/>
      <c r="Q10" s="298">
        <f>EINSTELLUNG!I27</f>
        <v>150</v>
      </c>
      <c r="R10" s="299"/>
      <c r="S10" s="278"/>
      <c r="T10" s="278"/>
      <c r="U10" s="278"/>
      <c r="V10" s="278"/>
    </row>
    <row r="11" spans="1:28" ht="22" customHeight="1">
      <c r="A11" s="280" t="s">
        <v>61</v>
      </c>
      <c r="B11" s="92">
        <v>401276</v>
      </c>
      <c r="C11" s="46" t="s">
        <v>229</v>
      </c>
      <c r="D11" s="47">
        <v>43252</v>
      </c>
      <c r="E11" s="48" t="s">
        <v>3</v>
      </c>
      <c r="F11" s="49">
        <v>173</v>
      </c>
      <c r="G11" s="281">
        <f>IF(OR(E11="",F11=""),"",PID_KVLohnLookup($A$1,E11,F11,LOHNTABELLE!$H$4))</f>
        <v>2082</v>
      </c>
      <c r="H11" s="282">
        <f>IF(AND(ISNUMBER(D11),ISNUMBER(F11)),ROUNDDOWN(MIN(IF(OR(ISBLANK(I11),I11=""),EOMONTH(DATE(EINSTELLUNG!$C$35,$A$1,1),0),I11)-MAX(D11,DATE(EINSTELLUNG!$C$35,$A$1,1))+1)/DAY(EOMONTH(DATE(EINSTELLUNG!$C$35,$A$1,1),0))*F11,2),"")</f>
        <v>173</v>
      </c>
      <c r="I11" s="50"/>
      <c r="J11" s="51"/>
      <c r="K11" s="281">
        <f t="shared" si="0"/>
        <v>0</v>
      </c>
      <c r="L11" s="283">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2082</v>
      </c>
      <c r="M11" s="52"/>
      <c r="N11" s="66"/>
      <c r="O11" s="358" t="s">
        <v>62</v>
      </c>
      <c r="P11" s="297"/>
      <c r="Q11" s="298">
        <f>P5</f>
        <v>600</v>
      </c>
      <c r="R11" s="299"/>
      <c r="S11" s="278"/>
      <c r="T11" s="278"/>
      <c r="U11" s="278"/>
      <c r="V11" s="278"/>
    </row>
    <row r="12" spans="1:28" ht="22" customHeight="1">
      <c r="A12" s="280" t="s">
        <v>63</v>
      </c>
      <c r="B12" s="91">
        <v>401276</v>
      </c>
      <c r="C12" s="39" t="s">
        <v>386</v>
      </c>
      <c r="D12" s="40">
        <v>38899</v>
      </c>
      <c r="E12" s="41" t="s">
        <v>2</v>
      </c>
      <c r="F12" s="42">
        <v>55</v>
      </c>
      <c r="G12" s="281" t="str">
        <f>IF(OR(E12="",F12=""),"",PID_KVLohnLookup($A$1,E12,F12,LOHNTABELLE!$H$4))</f>
        <v>Nicht gefunden</v>
      </c>
      <c r="H12" s="282">
        <f>IF(AND(ISNUMBER(D12),ISNUMBER(F12)),ROUNDDOWN(MIN(IF(OR(ISBLANK(I12),I12=""),EOMONTH(DATE(EINSTELLUNG!$C$35,$A$1,1),0),I12)-MAX(D12,DATE(EINSTELLUNG!$C$35,$A$1,1))+1)/DAY(EOMONTH(DATE(EINSTELLUNG!$C$35,$A$1,1),0))*F12,2),"")</f>
        <v>55</v>
      </c>
      <c r="I12" s="43"/>
      <c r="J12" s="44"/>
      <c r="K12" s="281">
        <f t="shared" si="0"/>
        <v>0</v>
      </c>
      <c r="L12" s="283" t="str">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
      </c>
      <c r="M12" s="45"/>
      <c r="N12" s="65"/>
      <c r="O12" s="358" t="s">
        <v>64</v>
      </c>
      <c r="P12" s="297"/>
      <c r="Q12" s="172">
        <v>100</v>
      </c>
      <c r="R12" s="173"/>
      <c r="S12" s="278"/>
      <c r="T12" s="278"/>
      <c r="U12" s="278"/>
      <c r="V12" s="278"/>
    </row>
    <row r="13" spans="1:28" ht="22" customHeight="1">
      <c r="A13" s="280" t="s">
        <v>65</v>
      </c>
      <c r="B13" s="92">
        <v>401307</v>
      </c>
      <c r="C13" s="46" t="s">
        <v>230</v>
      </c>
      <c r="D13" s="47">
        <v>43571</v>
      </c>
      <c r="E13" s="48" t="s">
        <v>2</v>
      </c>
      <c r="F13" s="49">
        <v>55</v>
      </c>
      <c r="G13" s="281" t="str">
        <f>IF(OR(E13="",F13=""),"",PID_KVLohnLookup($A$1,E13,F13,LOHNTABELLE!$H$4))</f>
        <v>Nicht gefunden</v>
      </c>
      <c r="H13" s="282">
        <f>IF(AND(ISNUMBER(D13),ISNUMBER(F13)),ROUNDDOWN(MIN(IF(OR(ISBLANK(I13),I13=""),EOMONTH(DATE(EINSTELLUNG!$C$35,$A$1,1),0),I13)-MAX(D13,DATE(EINSTELLUNG!$C$35,$A$1,1))+1)/DAY(EOMONTH(DATE(EINSTELLUNG!$C$35,$A$1,1),0))*F13,2),"")</f>
        <v>55</v>
      </c>
      <c r="I13" s="50"/>
      <c r="J13" s="51"/>
      <c r="K13" s="281">
        <f t="shared" si="0"/>
        <v>0</v>
      </c>
      <c r="L13" s="283" t="str">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
      </c>
      <c r="M13" s="52"/>
      <c r="N13" s="66"/>
      <c r="O13" s="358" t="s">
        <v>66</v>
      </c>
      <c r="P13" s="297"/>
      <c r="Q13" s="298">
        <f>Q8-Q9-Q10-Q11-Q12</f>
        <v>7479.0499999999993</v>
      </c>
      <c r="R13" s="299"/>
      <c r="S13" s="278"/>
      <c r="T13" s="278"/>
      <c r="U13" s="278"/>
      <c r="V13" s="278"/>
    </row>
    <row r="14" spans="1:28" ht="22" customHeight="1">
      <c r="A14" s="280" t="s">
        <v>67</v>
      </c>
      <c r="B14" s="91">
        <v>401308</v>
      </c>
      <c r="C14" s="39" t="s">
        <v>231</v>
      </c>
      <c r="D14" s="40">
        <v>43579</v>
      </c>
      <c r="E14" s="41" t="s">
        <v>3</v>
      </c>
      <c r="F14" s="42">
        <v>173</v>
      </c>
      <c r="G14" s="281">
        <f>IF(OR(E14="",F14=""),"",PID_KVLohnLookup($A$1,E14,F14,LOHNTABELLE!$H$4))</f>
        <v>2082</v>
      </c>
      <c r="H14" s="282">
        <f>IF(AND(ISNUMBER(D14),ISNUMBER(F14)),ROUNDDOWN(MIN(IF(OR(ISBLANK(I14),I14=""),EOMONTH(DATE(EINSTELLUNG!$C$35,$A$1,1),0),I14)-MAX(D14,DATE(EINSTELLUNG!$C$35,$A$1,1))+1)/DAY(EOMONTH(DATE(EINSTELLUNG!$C$35,$A$1,1),0))*F14,2),"")</f>
        <v>173</v>
      </c>
      <c r="I14" s="43"/>
      <c r="J14" s="44"/>
      <c r="K14" s="281">
        <f t="shared" si="0"/>
        <v>0</v>
      </c>
      <c r="L14" s="283">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2082</v>
      </c>
      <c r="M14" s="45"/>
      <c r="N14" s="65"/>
      <c r="O14" s="358" t="s">
        <v>68</v>
      </c>
      <c r="P14" s="297"/>
      <c r="Q14" s="298">
        <f>EINSTELLUNG!L11</f>
        <v>9300</v>
      </c>
      <c r="R14" s="299"/>
      <c r="S14" s="278"/>
      <c r="T14" s="278"/>
      <c r="U14" s="278"/>
      <c r="V14" s="278"/>
    </row>
    <row r="15" spans="1:28" ht="22" customHeight="1">
      <c r="A15" s="280" t="s">
        <v>69</v>
      </c>
      <c r="B15" s="92">
        <v>401394</v>
      </c>
      <c r="C15" s="46" t="s">
        <v>232</v>
      </c>
      <c r="D15" s="47">
        <v>44379</v>
      </c>
      <c r="E15" s="48" t="s">
        <v>2</v>
      </c>
      <c r="F15" s="49">
        <v>173</v>
      </c>
      <c r="G15" s="281">
        <f>IF(OR(E15="",F15=""),"",PID_KVLohnLookup($A$1,E15,F15,LOHNTABELLE!$H$4))</f>
        <v>2021</v>
      </c>
      <c r="H15" s="282">
        <f>IF(AND(ISNUMBER(D15),ISNUMBER(F15)),ROUNDDOWN(MIN(IF(OR(ISBLANK(I15),I15=""),EOMONTH(DATE(EINSTELLUNG!$C$35,$A$1,1),0),I15)-MAX(D15,DATE(EINSTELLUNG!$C$35,$A$1,1))+1)/DAY(EOMONTH(DATE(EINSTELLUNG!$C$35,$A$1,1),0))*F15,2),"")</f>
        <v>173</v>
      </c>
      <c r="I15" s="50"/>
      <c r="J15" s="51"/>
      <c r="K15" s="281">
        <f t="shared" si="0"/>
        <v>0</v>
      </c>
      <c r="L15" s="283">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2021</v>
      </c>
      <c r="M15" s="52"/>
      <c r="N15" s="66"/>
      <c r="O15" s="358" t="s">
        <v>70</v>
      </c>
      <c r="P15" s="297"/>
      <c r="Q15" s="298">
        <f>Q13-Q14</f>
        <v>-1820.9500000000007</v>
      </c>
      <c r="R15" s="299"/>
      <c r="S15" s="301"/>
      <c r="T15" s="301"/>
      <c r="U15" s="301"/>
      <c r="V15" s="278"/>
    </row>
    <row r="16" spans="1:28" ht="22" customHeight="1" thickBot="1">
      <c r="A16" s="280" t="s">
        <v>71</v>
      </c>
      <c r="B16" s="91">
        <v>401479</v>
      </c>
      <c r="C16" s="39" t="s">
        <v>237</v>
      </c>
      <c r="D16" s="40">
        <v>44511</v>
      </c>
      <c r="E16" s="41" t="s">
        <v>6</v>
      </c>
      <c r="F16" s="42">
        <v>173</v>
      </c>
      <c r="G16" s="281">
        <f>IF(OR(E16="",F16=""),"",PID_KVLohnLookup($A$1,E16,F16,LOHNTABELLE!$H$4))</f>
        <v>2160</v>
      </c>
      <c r="H16" s="282">
        <f>IF(AND(ISNUMBER(D16),ISNUMBER(F16)),ROUNDDOWN(MIN(IF(OR(ISBLANK(I16),I16=""),EOMONTH(DATE(EINSTELLUNG!$C$35,$A$1,1),0),I16)-MAX(D16,DATE(EINSTELLUNG!$C$35,$A$1,1))+1)/DAY(EOMONTH(DATE(EINSTELLUNG!$C$35,$A$1,1),0))*F16,2),"")</f>
        <v>173</v>
      </c>
      <c r="I16" s="43"/>
      <c r="J16" s="44"/>
      <c r="K16" s="281">
        <f t="shared" si="0"/>
        <v>0</v>
      </c>
      <c r="L16" s="283">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2160</v>
      </c>
      <c r="M16" s="45"/>
      <c r="N16" s="65"/>
      <c r="O16" s="373" t="str">
        <f>IF(Q15&lt;0, "Schlecht! Zu wenig Stunden für Dienstplan.", IF(Q15&gt;0, "Du hast mehr als genug Stunden für Dienstplan.", ""))</f>
        <v>Schlecht! Zu wenig Stunden für Dienstplan.</v>
      </c>
      <c r="P16" s="303"/>
      <c r="Q16" s="303"/>
      <c r="R16" s="304"/>
      <c r="S16" s="305"/>
      <c r="T16" s="305"/>
      <c r="U16" s="305"/>
      <c r="V16" s="305"/>
      <c r="W16" s="306"/>
    </row>
    <row r="17" spans="1:29" ht="22" customHeight="1">
      <c r="A17" s="280" t="s">
        <v>72</v>
      </c>
      <c r="B17" s="92">
        <v>401558</v>
      </c>
      <c r="C17" s="46" t="s">
        <v>235</v>
      </c>
      <c r="D17" s="47">
        <v>44460</v>
      </c>
      <c r="E17" s="48" t="s">
        <v>2</v>
      </c>
      <c r="F17" s="49">
        <v>173</v>
      </c>
      <c r="G17" s="281">
        <f>IF(OR(E17="",F17=""),"",PID_KVLohnLookup($A$1,E17,F17,LOHNTABELLE!$H$4))</f>
        <v>2021</v>
      </c>
      <c r="H17" s="282">
        <f>IF(AND(ISNUMBER(D17),ISNUMBER(F17)),ROUNDDOWN(MIN(IF(OR(ISBLANK(I17),I17=""),EOMONTH(DATE(EINSTELLUNG!$C$35,$A$1,1),0),I17)-MAX(D17,DATE(EINSTELLUNG!$C$35,$A$1,1))+1)/DAY(EOMONTH(DATE(EINSTELLUNG!$C$35,$A$1,1),0))*F17,2),"")</f>
        <v>173</v>
      </c>
      <c r="I17" s="50"/>
      <c r="J17" s="51"/>
      <c r="K17" s="281">
        <f t="shared" si="0"/>
        <v>0</v>
      </c>
      <c r="L17" s="283">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2021</v>
      </c>
      <c r="M17" s="52"/>
      <c r="N17" s="66"/>
      <c r="O17" s="357" t="s">
        <v>73</v>
      </c>
      <c r="P17" s="293"/>
      <c r="Q17" s="307">
        <f>SUM(L3:L82)</f>
        <v>98313.506666666683</v>
      </c>
      <c r="R17" s="308"/>
      <c r="S17" s="278"/>
      <c r="T17" s="278"/>
      <c r="U17" s="278"/>
      <c r="V17" s="278"/>
      <c r="W17" s="306"/>
    </row>
    <row r="18" spans="1:29" ht="22" customHeight="1">
      <c r="A18" s="280" t="s">
        <v>74</v>
      </c>
      <c r="B18" s="91">
        <v>401564</v>
      </c>
      <c r="C18" s="39" t="s">
        <v>239</v>
      </c>
      <c r="D18" s="40">
        <v>44824</v>
      </c>
      <c r="E18" s="41" t="s">
        <v>2</v>
      </c>
      <c r="F18" s="42">
        <v>151.38</v>
      </c>
      <c r="G18" s="281">
        <f>IF(OR(E18="",F18=""),"",PID_KVLohnLookup($A$1,E18,F18,LOHNTABELLE!$H$4))</f>
        <v>1768.38</v>
      </c>
      <c r="H18" s="282">
        <f>IF(AND(ISNUMBER(D18),ISNUMBER(F18)),ROUNDDOWN(MIN(IF(OR(ISBLANK(I18),I18=""),EOMONTH(DATE(EINSTELLUNG!$C$35,$A$1,1),0),I18)-MAX(D18,DATE(EINSTELLUNG!$C$35,$A$1,1))+1)/DAY(EOMONTH(DATE(EINSTELLUNG!$C$35,$A$1,1),0))*F18,2),"")</f>
        <v>151.38</v>
      </c>
      <c r="I18" s="43"/>
      <c r="J18" s="44"/>
      <c r="K18" s="281">
        <f t="shared" si="0"/>
        <v>0</v>
      </c>
      <c r="L18" s="283">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1768.38</v>
      </c>
      <c r="M18" s="45"/>
      <c r="N18" s="65"/>
      <c r="O18" s="366" t="s">
        <v>371</v>
      </c>
      <c r="P18" s="310"/>
      <c r="Q18" s="311">
        <v>20</v>
      </c>
      <c r="R18" s="312"/>
      <c r="S18" s="278"/>
      <c r="T18" s="278"/>
      <c r="U18" s="278"/>
      <c r="V18" s="278"/>
    </row>
    <row r="19" spans="1:29" ht="22" customHeight="1">
      <c r="A19" s="280" t="s">
        <v>75</v>
      </c>
      <c r="B19" s="92">
        <v>401583</v>
      </c>
      <c r="C19" s="46" t="s">
        <v>241</v>
      </c>
      <c r="D19" s="47">
        <v>44900</v>
      </c>
      <c r="E19" s="48" t="s">
        <v>13</v>
      </c>
      <c r="F19" s="49">
        <v>173</v>
      </c>
      <c r="G19" s="281">
        <f>IF(OR(E19="",F19=""),"",PID_KVLohnLookup($A$1,E19,F19,LOHNTABELLE!$H$4))</f>
        <v>2328</v>
      </c>
      <c r="H19" s="282">
        <f>IF(AND(ISNUMBER(D19),ISNUMBER(F19)),ROUNDDOWN(MIN(IF(OR(ISBLANK(I19),I19=""),EOMONTH(DATE(EINSTELLUNG!$C$35,$A$1,1),0),I19)-MAX(D19,DATE(EINSTELLUNG!$C$35,$A$1,1))+1)/DAY(EOMONTH(DATE(EINSTELLUNG!$C$35,$A$1,1),0))*F19,2),"")</f>
        <v>173</v>
      </c>
      <c r="I19" s="50"/>
      <c r="J19" s="51"/>
      <c r="K19" s="281">
        <f t="shared" si="0"/>
        <v>0</v>
      </c>
      <c r="L19" s="283">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2328</v>
      </c>
      <c r="M19" s="52"/>
      <c r="N19" s="66"/>
      <c r="O19" s="366" t="s">
        <v>293</v>
      </c>
      <c r="P19" s="310"/>
      <c r="Q19" s="311">
        <v>333</v>
      </c>
      <c r="R19" s="312"/>
      <c r="S19" s="278"/>
      <c r="T19" s="278"/>
      <c r="U19" s="278"/>
      <c r="V19" s="278"/>
    </row>
    <row r="20" spans="1:29" ht="22" customHeight="1">
      <c r="A20" s="280" t="s">
        <v>76</v>
      </c>
      <c r="B20" s="91">
        <v>401589</v>
      </c>
      <c r="C20" s="39" t="s">
        <v>242</v>
      </c>
      <c r="D20" s="40">
        <v>44926</v>
      </c>
      <c r="E20" s="41" t="s">
        <v>10</v>
      </c>
      <c r="F20" s="42">
        <v>173</v>
      </c>
      <c r="G20" s="281">
        <f>IF(OR(E20="",F20=""),"",PID_KVLohnLookup($A$1,E20,F20,LOHNTABELLE!$H$4))</f>
        <v>2300</v>
      </c>
      <c r="H20" s="282">
        <f>IF(AND(ISNUMBER(D20),ISNUMBER(F20)),ROUNDDOWN(MIN(IF(OR(ISBLANK(I20),I20=""),EOMONTH(DATE(EINSTELLUNG!$C$35,$A$1,1),0),I20)-MAX(D20,DATE(EINSTELLUNG!$C$35,$A$1,1))+1)/DAY(EOMONTH(DATE(EINSTELLUNG!$C$35,$A$1,1),0))*F20,2),"")</f>
        <v>173</v>
      </c>
      <c r="I20" s="43"/>
      <c r="J20" s="44"/>
      <c r="K20" s="281">
        <f t="shared" si="0"/>
        <v>0</v>
      </c>
      <c r="L20" s="283">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2300</v>
      </c>
      <c r="M20" s="45"/>
      <c r="N20" s="65"/>
      <c r="O20" s="366" t="s">
        <v>293</v>
      </c>
      <c r="P20" s="310"/>
      <c r="Q20" s="311">
        <v>35</v>
      </c>
      <c r="R20" s="312"/>
      <c r="S20" s="278"/>
      <c r="T20" s="278"/>
      <c r="U20" s="278"/>
      <c r="V20" s="278"/>
    </row>
    <row r="21" spans="1:29" ht="22" customHeight="1">
      <c r="A21" s="280" t="s">
        <v>77</v>
      </c>
      <c r="B21" s="92">
        <v>401602</v>
      </c>
      <c r="C21" s="46" t="s">
        <v>243</v>
      </c>
      <c r="D21" s="47">
        <v>45975</v>
      </c>
      <c r="E21" s="48" t="s">
        <v>2</v>
      </c>
      <c r="F21" s="49">
        <v>169</v>
      </c>
      <c r="G21" s="281">
        <f>IF(OR(E21="",F21=""),"",PID_KVLohnLookup($A$1,E21,F21,LOHNTABELLE!$H$4))</f>
        <v>2000</v>
      </c>
      <c r="H21" s="282">
        <f>IF(AND(ISNUMBER(D21),ISNUMBER(F21)),ROUNDDOWN(MIN(IF(OR(ISBLANK(I21),I21=""),EOMONTH(DATE(EINSTELLUNG!$C$35,$A$1,1),0),I21)-MAX(D21,DATE(EINSTELLUNG!$C$35,$A$1,1))+1)/DAY(EOMONTH(DATE(EINSTELLUNG!$C$35,$A$1,1),0))*F21,2),"")</f>
        <v>169</v>
      </c>
      <c r="I21" s="50"/>
      <c r="J21" s="51"/>
      <c r="K21" s="281">
        <f t="shared" si="0"/>
        <v>0</v>
      </c>
      <c r="L21" s="283">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2000</v>
      </c>
      <c r="M21" s="52"/>
      <c r="N21" s="66"/>
      <c r="O21" s="366" t="s">
        <v>293</v>
      </c>
      <c r="P21" s="310"/>
      <c r="Q21" s="311">
        <v>100</v>
      </c>
      <c r="R21" s="312"/>
      <c r="S21" s="278"/>
      <c r="T21" s="278"/>
      <c r="U21" s="278"/>
      <c r="V21" s="278"/>
    </row>
    <row r="22" spans="1:29" ht="22" customHeight="1">
      <c r="A22" s="280" t="s">
        <v>78</v>
      </c>
      <c r="B22" s="91">
        <v>401605</v>
      </c>
      <c r="C22" s="39" t="s">
        <v>244</v>
      </c>
      <c r="D22" s="40">
        <v>44986</v>
      </c>
      <c r="E22" s="41" t="s">
        <v>2</v>
      </c>
      <c r="F22" s="42">
        <v>173</v>
      </c>
      <c r="G22" s="281">
        <f>IF(OR(E22="",F22=""),"",PID_KVLohnLookup($A$1,E22,F22,LOHNTABELLE!$H$4))</f>
        <v>2021</v>
      </c>
      <c r="H22" s="282">
        <f>IF(AND(ISNUMBER(D22),ISNUMBER(F22)),ROUNDDOWN(MIN(IF(OR(ISBLANK(I22),I22=""),EOMONTH(DATE(EINSTELLUNG!$C$35,$A$1,1),0),I22)-MAX(D22,DATE(EINSTELLUNG!$C$35,$A$1,1))+1)/DAY(EOMONTH(DATE(EINSTELLUNG!$C$35,$A$1,1),0))*F22,2),"")</f>
        <v>173</v>
      </c>
      <c r="I22" s="43"/>
      <c r="J22" s="44"/>
      <c r="K22" s="281">
        <f t="shared" si="0"/>
        <v>0</v>
      </c>
      <c r="L22" s="283">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2021</v>
      </c>
      <c r="M22" s="45"/>
      <c r="N22" s="65"/>
      <c r="O22" s="366" t="s">
        <v>293</v>
      </c>
      <c r="P22" s="310"/>
      <c r="Q22" s="311"/>
      <c r="R22" s="312"/>
      <c r="S22" s="278"/>
      <c r="T22" s="278"/>
      <c r="U22" s="278"/>
      <c r="V22" s="278"/>
    </row>
    <row r="23" spans="1:29" ht="22" customHeight="1">
      <c r="A23" s="280" t="s">
        <v>79</v>
      </c>
      <c r="B23" s="92">
        <v>401605</v>
      </c>
      <c r="C23" s="46" t="s">
        <v>387</v>
      </c>
      <c r="D23" s="47">
        <v>36850</v>
      </c>
      <c r="E23" s="48" t="s">
        <v>10</v>
      </c>
      <c r="F23" s="49">
        <v>151.38</v>
      </c>
      <c r="G23" s="281">
        <f>IF(OR(E23="",F23=""),"",PID_KVLohnLookup($A$1,E23,F23,LOHNTABELLE!$H$4))</f>
        <v>2012.5</v>
      </c>
      <c r="H23" s="282">
        <f>IF(AND(ISNUMBER(D23),ISNUMBER(F23)),ROUNDDOWN(MIN(IF(OR(ISBLANK(I23),I23=""),EOMONTH(DATE(EINSTELLUNG!$C$35,$A$1,1),0),I23)-MAX(D23,DATE(EINSTELLUNG!$C$35,$A$1,1))+1)/DAY(EOMONTH(DATE(EINSTELLUNG!$C$35,$A$1,1),0))*F23,2),"")</f>
        <v>151.38</v>
      </c>
      <c r="I23" s="50"/>
      <c r="J23" s="51"/>
      <c r="K23" s="281">
        <f t="shared" si="0"/>
        <v>0</v>
      </c>
      <c r="L23" s="283">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2012.5</v>
      </c>
      <c r="M23" s="52"/>
      <c r="N23" s="66"/>
      <c r="O23" s="366" t="s">
        <v>293</v>
      </c>
      <c r="P23" s="310"/>
      <c r="Q23" s="311">
        <v>5000</v>
      </c>
      <c r="R23" s="312"/>
      <c r="S23" s="278"/>
      <c r="T23" s="278"/>
      <c r="U23" s="278"/>
      <c r="V23" s="278"/>
      <c r="W23" s="306"/>
    </row>
    <row r="24" spans="1:29" ht="22" customHeight="1">
      <c r="A24" s="280" t="s">
        <v>80</v>
      </c>
      <c r="B24" s="91">
        <v>401626</v>
      </c>
      <c r="C24" s="39" t="s">
        <v>245</v>
      </c>
      <c r="D24" s="40">
        <v>45063</v>
      </c>
      <c r="E24" s="41" t="s">
        <v>2</v>
      </c>
      <c r="F24" s="42">
        <v>173</v>
      </c>
      <c r="G24" s="281">
        <f>IF(OR(E24="",F24=""),"",PID_KVLohnLookup($A$1,E24,F24,LOHNTABELLE!$H$4))</f>
        <v>2021</v>
      </c>
      <c r="H24" s="282">
        <f>IF(AND(ISNUMBER(D24),ISNUMBER(F24)),ROUNDDOWN(MIN(IF(OR(ISBLANK(I24),I24=""),EOMONTH(DATE(EINSTELLUNG!$C$35,$A$1,1),0),I24)-MAX(D24,DATE(EINSTELLUNG!$C$35,$A$1,1))+1)/DAY(EOMONTH(DATE(EINSTELLUNG!$C$35,$A$1,1),0))*F24,2),"")</f>
        <v>173</v>
      </c>
      <c r="I24" s="43"/>
      <c r="J24" s="44"/>
      <c r="K24" s="281">
        <f t="shared" si="0"/>
        <v>0</v>
      </c>
      <c r="L24" s="283">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2021</v>
      </c>
      <c r="M24" s="45"/>
      <c r="N24" s="65"/>
      <c r="O24" s="366"/>
      <c r="P24" s="310"/>
      <c r="Q24" s="311"/>
      <c r="R24" s="312"/>
      <c r="S24" s="278"/>
      <c r="T24" s="278"/>
      <c r="U24" s="278"/>
      <c r="V24" s="278"/>
      <c r="W24" s="306"/>
    </row>
    <row r="25" spans="1:29" ht="22" customHeight="1">
      <c r="A25" s="280" t="s">
        <v>81</v>
      </c>
      <c r="B25" s="92">
        <v>401633</v>
      </c>
      <c r="C25" s="46" t="s">
        <v>246</v>
      </c>
      <c r="D25" s="47">
        <v>45089</v>
      </c>
      <c r="E25" s="48" t="s">
        <v>10</v>
      </c>
      <c r="F25" s="49">
        <v>173</v>
      </c>
      <c r="G25" s="281">
        <f>IF(OR(E25="",F25=""),"",PID_KVLohnLookup($A$1,E25,F25,LOHNTABELLE!$H$4))</f>
        <v>2300</v>
      </c>
      <c r="H25" s="282">
        <f>IF(AND(ISNUMBER(D25),ISNUMBER(F25)),ROUNDDOWN(MIN(IF(OR(ISBLANK(I25),I25=""),EOMONTH(DATE(EINSTELLUNG!$C$35,$A$1,1),0),I25)-MAX(D25,DATE(EINSTELLUNG!$C$35,$A$1,1))+1)/DAY(EOMONTH(DATE(EINSTELLUNG!$C$35,$A$1,1),0))*F25,2),"")</f>
        <v>173</v>
      </c>
      <c r="I25" s="50"/>
      <c r="J25" s="51"/>
      <c r="K25" s="281">
        <f t="shared" si="0"/>
        <v>0</v>
      </c>
      <c r="L25" s="283">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2300</v>
      </c>
      <c r="M25" s="52"/>
      <c r="N25" s="66"/>
      <c r="O25" s="366"/>
      <c r="P25" s="310"/>
      <c r="Q25" s="311"/>
      <c r="R25" s="312"/>
      <c r="S25" s="278"/>
      <c r="T25" s="278"/>
      <c r="U25" s="278"/>
      <c r="V25" s="278"/>
    </row>
    <row r="26" spans="1:29" ht="22" customHeight="1">
      <c r="A26" s="280" t="s">
        <v>82</v>
      </c>
      <c r="B26" s="91">
        <v>401647</v>
      </c>
      <c r="C26" s="39" t="s">
        <v>247</v>
      </c>
      <c r="D26" s="40">
        <v>45182</v>
      </c>
      <c r="E26" s="41" t="s">
        <v>2</v>
      </c>
      <c r="F26" s="42">
        <v>173</v>
      </c>
      <c r="G26" s="281">
        <f>IF(OR(E26="",F26=""),"",PID_KVLohnLookup($A$1,E26,F26,LOHNTABELLE!$H$4))</f>
        <v>2021</v>
      </c>
      <c r="H26" s="282">
        <f>IF(AND(ISNUMBER(D26),ISNUMBER(F26)),ROUNDDOWN(MIN(IF(OR(ISBLANK(I26),I26=""),EOMONTH(DATE(EINSTELLUNG!$C$35,$A$1,1),0),I26)-MAX(D26,DATE(EINSTELLUNG!$C$35,$A$1,1))+1)/DAY(EOMONTH(DATE(EINSTELLUNG!$C$35,$A$1,1),0))*F26,2),"")</f>
        <v>173</v>
      </c>
      <c r="I26" s="43"/>
      <c r="J26" s="44"/>
      <c r="K26" s="281">
        <f t="shared" si="0"/>
        <v>0</v>
      </c>
      <c r="L26" s="283">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2021</v>
      </c>
      <c r="M26" s="45"/>
      <c r="N26" s="65"/>
      <c r="O26" s="366"/>
      <c r="P26" s="310"/>
      <c r="Q26" s="311"/>
      <c r="R26" s="312"/>
      <c r="S26" s="278"/>
      <c r="T26" s="278"/>
      <c r="U26" s="278"/>
      <c r="V26" s="278"/>
    </row>
    <row r="27" spans="1:29" ht="22" customHeight="1">
      <c r="A27" s="280" t="s">
        <v>83</v>
      </c>
      <c r="B27" s="92">
        <v>401661</v>
      </c>
      <c r="C27" s="46" t="s">
        <v>248</v>
      </c>
      <c r="D27" s="47">
        <v>45261</v>
      </c>
      <c r="E27" s="48" t="s">
        <v>2</v>
      </c>
      <c r="F27" s="49">
        <v>173</v>
      </c>
      <c r="G27" s="281">
        <f>IF(OR(E27="",F27=""),"",PID_KVLohnLookup($A$1,E27,F27,LOHNTABELLE!$H$4))</f>
        <v>2021</v>
      </c>
      <c r="H27" s="282">
        <f>IF(AND(ISNUMBER(D27),ISNUMBER(F27)),ROUNDDOWN(MIN(IF(OR(ISBLANK(I27),I27=""),EOMONTH(DATE(EINSTELLUNG!$C$35,$A$1,1),0),I27)-MAX(D27,DATE(EINSTELLUNG!$C$35,$A$1,1))+1)/DAY(EOMONTH(DATE(EINSTELLUNG!$C$35,$A$1,1),0))*F27,2),"")</f>
        <v>173</v>
      </c>
      <c r="I27" s="50"/>
      <c r="J27" s="51"/>
      <c r="K27" s="281">
        <f t="shared" si="0"/>
        <v>0</v>
      </c>
      <c r="L27" s="283">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2021</v>
      </c>
      <c r="M27" s="52"/>
      <c r="N27" s="66"/>
      <c r="O27" s="366"/>
      <c r="P27" s="310"/>
      <c r="Q27" s="311"/>
      <c r="R27" s="312"/>
      <c r="S27" s="313" t="s">
        <v>84</v>
      </c>
      <c r="T27" s="313"/>
      <c r="U27" s="313"/>
      <c r="V27" s="313"/>
    </row>
    <row r="28" spans="1:29" ht="22" customHeight="1">
      <c r="A28" s="280" t="s">
        <v>85</v>
      </c>
      <c r="B28" s="91">
        <v>401670</v>
      </c>
      <c r="C28" s="39" t="s">
        <v>249</v>
      </c>
      <c r="D28" s="40">
        <v>45358</v>
      </c>
      <c r="E28" s="41" t="s">
        <v>2</v>
      </c>
      <c r="F28" s="42">
        <v>173</v>
      </c>
      <c r="G28" s="281">
        <f>IF(OR(E28="",F28=""),"",PID_KVLohnLookup($A$1,E28,F28,LOHNTABELLE!$H$4))</f>
        <v>2021</v>
      </c>
      <c r="H28" s="282">
        <f>IF(AND(ISNUMBER(D28),ISNUMBER(F28)),ROUNDDOWN(MIN(IF(OR(ISBLANK(I28),I28=""),EOMONTH(DATE(EINSTELLUNG!$C$35,$A$1,1),0),I28)-MAX(D28,DATE(EINSTELLUNG!$C$35,$A$1,1))+1)/DAY(EOMONTH(DATE(EINSTELLUNG!$C$35,$A$1,1),0))*F28,2),"")</f>
        <v>173</v>
      </c>
      <c r="I28" s="43"/>
      <c r="J28" s="44"/>
      <c r="K28" s="281">
        <f t="shared" si="0"/>
        <v>0</v>
      </c>
      <c r="L28" s="283">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2021</v>
      </c>
      <c r="M28" s="45"/>
      <c r="N28" s="65"/>
      <c r="O28" s="366"/>
      <c r="P28" s="310"/>
      <c r="Q28" s="311"/>
      <c r="R28" s="312"/>
      <c r="S28" s="278"/>
      <c r="T28" s="278"/>
      <c r="U28" s="278"/>
      <c r="V28" s="278"/>
    </row>
    <row r="29" spans="1:29" ht="22" customHeight="1" thickBot="1">
      <c r="A29" s="280" t="s">
        <v>86</v>
      </c>
      <c r="B29" s="92">
        <v>401678</v>
      </c>
      <c r="C29" s="46" t="s">
        <v>250</v>
      </c>
      <c r="D29" s="47">
        <v>45414</v>
      </c>
      <c r="E29" s="48" t="s">
        <v>2</v>
      </c>
      <c r="F29" s="49">
        <v>173</v>
      </c>
      <c r="G29" s="281">
        <f>IF(OR(E29="",F29=""),"",PID_KVLohnLookup($A$1,E29,F29,LOHNTABELLE!$H$4))</f>
        <v>2021</v>
      </c>
      <c r="H29" s="282">
        <f>IF(AND(ISNUMBER(D29),ISNUMBER(F29)),ROUNDDOWN(MIN(IF(OR(ISBLANK(I29),I29=""),EOMONTH(DATE(EINSTELLUNG!$C$35,$A$1,1),0),I29)-MAX(D29,DATE(EINSTELLUNG!$C$35,$A$1,1))+1)/DAY(EOMONTH(DATE(EINSTELLUNG!$C$35,$A$1,1),0))*F29,2),"")</f>
        <v>173</v>
      </c>
      <c r="I29" s="50"/>
      <c r="J29" s="51"/>
      <c r="K29" s="281">
        <f t="shared" si="0"/>
        <v>0</v>
      </c>
      <c r="L29" s="283">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2021</v>
      </c>
      <c r="M29" s="52"/>
      <c r="N29" s="66"/>
      <c r="O29" s="367" t="s">
        <v>87</v>
      </c>
      <c r="P29" s="315"/>
      <c r="Q29" s="316">
        <f>EINSTELLUNG!O11</f>
        <v>1250</v>
      </c>
      <c r="R29" s="317"/>
      <c r="S29" s="278"/>
      <c r="T29" s="278"/>
      <c r="U29" s="278"/>
      <c r="V29" s="278"/>
    </row>
    <row r="30" spans="1:29" ht="22" customHeight="1" thickBot="1">
      <c r="A30" s="280" t="s">
        <v>88</v>
      </c>
      <c r="B30" s="91">
        <v>401690</v>
      </c>
      <c r="C30" s="39" t="s">
        <v>252</v>
      </c>
      <c r="D30" s="40">
        <v>45536</v>
      </c>
      <c r="E30" s="41" t="s">
        <v>2</v>
      </c>
      <c r="F30" s="42">
        <v>151.38</v>
      </c>
      <c r="G30" s="281">
        <f>IF(OR(E30="",F30=""),"",PID_KVLohnLookup($A$1,E30,F30,LOHNTABELLE!$H$4))</f>
        <v>1768.38</v>
      </c>
      <c r="H30" s="282">
        <f>IF(AND(ISNUMBER(D30),ISNUMBER(F30)),ROUNDDOWN(MIN(IF(OR(ISBLANK(I30),I30=""),EOMONTH(DATE(EINSTELLUNG!$C$35,$A$1,1),0),I30)-MAX(D30,DATE(EINSTELLUNG!$C$35,$A$1,1))+1)/DAY(EOMONTH(DATE(EINSTELLUNG!$C$35,$A$1,1),0))*F30,2),"")</f>
        <v>151.38</v>
      </c>
      <c r="I30" s="43"/>
      <c r="J30" s="44"/>
      <c r="K30" s="281">
        <f t="shared" si="0"/>
        <v>0</v>
      </c>
      <c r="L30" s="283">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1768.38</v>
      </c>
      <c r="M30" s="45"/>
      <c r="N30" s="65"/>
      <c r="O30" s="278"/>
      <c r="P30" s="278"/>
      <c r="Q30" s="278"/>
      <c r="R30" s="278"/>
      <c r="S30" s="278"/>
      <c r="T30" s="278"/>
      <c r="U30" s="278"/>
      <c r="V30" s="278"/>
      <c r="W30" s="318"/>
      <c r="X30" s="318"/>
      <c r="Y30" s="318"/>
      <c r="Z30" s="318"/>
      <c r="AA30" s="318"/>
      <c r="AB30" s="318"/>
      <c r="AC30" s="318"/>
    </row>
    <row r="31" spans="1:29" ht="22" customHeight="1" thickBot="1">
      <c r="A31" s="280" t="s">
        <v>89</v>
      </c>
      <c r="B31" s="92">
        <v>401715</v>
      </c>
      <c r="C31" s="46" t="s">
        <v>255</v>
      </c>
      <c r="D31" s="47">
        <v>45755</v>
      </c>
      <c r="E31" s="48" t="s">
        <v>2</v>
      </c>
      <c r="F31" s="49">
        <v>173</v>
      </c>
      <c r="G31" s="281">
        <f>IF(OR(E31="",F31=""),"",PID_KVLohnLookup($A$1,E31,F31,LOHNTABELLE!$H$4))</f>
        <v>2021</v>
      </c>
      <c r="H31" s="282">
        <f>IF(AND(ISNUMBER(D31),ISNUMBER(F31)),ROUNDDOWN(MIN(IF(OR(ISBLANK(I31),I31=""),EOMONTH(DATE(EINSTELLUNG!$C$35,$A$1,1),0),I31)-MAX(D31,DATE(EINSTELLUNG!$C$35,$A$1,1))+1)/DAY(EOMONTH(DATE(EINSTELLUNG!$C$35,$A$1,1),0))*F31,2),"")</f>
        <v>173</v>
      </c>
      <c r="I31" s="50"/>
      <c r="J31" s="51"/>
      <c r="K31" s="281">
        <f t="shared" si="0"/>
        <v>0</v>
      </c>
      <c r="L31" s="283">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2021</v>
      </c>
      <c r="M31" s="52"/>
      <c r="N31" s="66"/>
      <c r="O31" s="368" t="s">
        <v>415</v>
      </c>
      <c r="P31" s="320"/>
      <c r="Q31" s="321">
        <v>0</v>
      </c>
      <c r="R31" s="322"/>
      <c r="S31" s="278"/>
      <c r="T31" s="278"/>
      <c r="U31" s="278"/>
      <c r="V31" s="278"/>
    </row>
    <row r="32" spans="1:29" ht="22" customHeight="1" thickBot="1">
      <c r="A32" s="280" t="s">
        <v>91</v>
      </c>
      <c r="B32" s="91">
        <v>401716</v>
      </c>
      <c r="C32" s="39" t="s">
        <v>256</v>
      </c>
      <c r="D32" s="40">
        <v>45800</v>
      </c>
      <c r="E32" s="41" t="s">
        <v>2</v>
      </c>
      <c r="F32" s="42">
        <v>173</v>
      </c>
      <c r="G32" s="281">
        <f>IF(OR(E32="",F32=""),"",PID_KVLohnLookup($A$1,E32,F32,LOHNTABELLE!$H$4))</f>
        <v>2021</v>
      </c>
      <c r="H32" s="282">
        <f>IF(AND(ISNUMBER(D32),ISNUMBER(F32)),ROUNDDOWN(MIN(IF(OR(ISBLANK(I32),I32=""),EOMONTH(DATE(EINSTELLUNG!$C$35,$A$1,1),0),I32)-MAX(D32,DATE(EINSTELLUNG!$C$35,$A$1,1))+1)/DAY(EOMONTH(DATE(EINSTELLUNG!$C$35,$A$1,1),0))*F32,2),"")</f>
        <v>173</v>
      </c>
      <c r="I32" s="43"/>
      <c r="J32" s="44"/>
      <c r="K32" s="281">
        <f t="shared" si="0"/>
        <v>0</v>
      </c>
      <c r="L32" s="283">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2021</v>
      </c>
      <c r="M32" s="45"/>
      <c r="N32" s="65"/>
      <c r="O32" s="278"/>
      <c r="P32" s="278"/>
      <c r="Q32" s="278"/>
      <c r="R32" s="278"/>
      <c r="S32" s="278"/>
      <c r="T32" s="278"/>
      <c r="U32" s="278"/>
      <c r="V32" s="278"/>
    </row>
    <row r="33" spans="1:22" ht="22" customHeight="1">
      <c r="A33" s="280" t="s">
        <v>92</v>
      </c>
      <c r="B33" s="92">
        <v>401717</v>
      </c>
      <c r="C33" s="46" t="s">
        <v>257</v>
      </c>
      <c r="D33" s="47">
        <v>45814</v>
      </c>
      <c r="E33" s="48" t="s">
        <v>2</v>
      </c>
      <c r="F33" s="49">
        <v>86.5</v>
      </c>
      <c r="G33" s="281">
        <f>IF(OR(E33="",F33=""),"",PID_KVLohnLookup($A$1,E33,F33,LOHNTABELLE!$H$4))</f>
        <v>1010.5</v>
      </c>
      <c r="H33" s="282">
        <f>IF(AND(ISNUMBER(D33),ISNUMBER(F33)),ROUNDDOWN(MIN(IF(OR(ISBLANK(I33),I33=""),EOMONTH(DATE(EINSTELLUNG!$C$35,$A$1,1),0),I33)-MAX(D33,DATE(EINSTELLUNG!$C$35,$A$1,1))+1)/DAY(EOMONTH(DATE(EINSTELLUNG!$C$35,$A$1,1),0))*F33,2),"")</f>
        <v>86.5</v>
      </c>
      <c r="I33" s="50"/>
      <c r="J33" s="51"/>
      <c r="K33" s="281">
        <f t="shared" si="0"/>
        <v>0</v>
      </c>
      <c r="L33" s="283">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1010.5</v>
      </c>
      <c r="M33" s="52"/>
      <c r="N33" s="66"/>
      <c r="O33" s="369"/>
      <c r="P33" s="324"/>
      <c r="Q33" s="263" t="str">
        <f>EINSTELLUNG!B3</f>
        <v>Budget</v>
      </c>
      <c r="R33" s="263"/>
      <c r="S33" s="263" t="str">
        <f>EINSTELLUNG!B19</f>
        <v>Projection/Aktuell Zahlen</v>
      </c>
      <c r="T33" s="263"/>
      <c r="U33" s="263" t="s">
        <v>95</v>
      </c>
      <c r="V33" s="264"/>
    </row>
    <row r="34" spans="1:22" ht="22" customHeight="1">
      <c r="A34" s="280" t="s">
        <v>96</v>
      </c>
      <c r="B34" s="91">
        <v>401722</v>
      </c>
      <c r="C34" s="39" t="s">
        <v>258</v>
      </c>
      <c r="D34" s="40">
        <v>45848</v>
      </c>
      <c r="E34" s="41" t="s">
        <v>2</v>
      </c>
      <c r="F34" s="42">
        <v>86.5</v>
      </c>
      <c r="G34" s="281">
        <f>IF(OR(E34="",F34=""),"",PID_KVLohnLookup($A$1,E34,F34,LOHNTABELLE!$H$4))</f>
        <v>1010.5</v>
      </c>
      <c r="H34" s="282">
        <f>IF(AND(ISNUMBER(D34),ISNUMBER(F34)),ROUNDDOWN(MIN(IF(OR(ISBLANK(I34),I34=""),EOMONTH(DATE(EINSTELLUNG!$C$35,$A$1,1),0),I34)-MAX(D34,DATE(EINSTELLUNG!$C$35,$A$1,1))+1)/DAY(EOMONTH(DATE(EINSTELLUNG!$C$35,$A$1,1),0))*F34,2),"")</f>
        <v>86.5</v>
      </c>
      <c r="I34" s="43"/>
      <c r="J34" s="44"/>
      <c r="K34" s="281">
        <f t="shared" si="0"/>
        <v>0</v>
      </c>
      <c r="L34" s="283">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1010.5</v>
      </c>
      <c r="M34" s="45"/>
      <c r="N34" s="65"/>
      <c r="O34" s="370"/>
      <c r="P34" s="326"/>
      <c r="Q34" s="327"/>
      <c r="R34" s="327"/>
      <c r="S34" s="327"/>
      <c r="T34" s="327"/>
      <c r="U34" s="327"/>
      <c r="V34" s="328"/>
    </row>
    <row r="35" spans="1:22" ht="22" customHeight="1">
      <c r="A35" s="280" t="s">
        <v>97</v>
      </c>
      <c r="B35" s="92">
        <v>401723</v>
      </c>
      <c r="C35" s="46" t="s">
        <v>259</v>
      </c>
      <c r="D35" s="47">
        <v>45852</v>
      </c>
      <c r="E35" s="48" t="s">
        <v>2</v>
      </c>
      <c r="F35" s="49">
        <v>86.5</v>
      </c>
      <c r="G35" s="281">
        <f>IF(OR(E35="",F35=""),"",PID_KVLohnLookup($A$1,E35,F35,LOHNTABELLE!$H$4))</f>
        <v>1010.5</v>
      </c>
      <c r="H35" s="282">
        <f>IF(AND(ISNUMBER(D35),ISNUMBER(F35)),ROUNDDOWN(MIN(IF(OR(ISBLANK(I35),I35=""),EOMONTH(DATE(EINSTELLUNG!$C$35,$A$1,1),0),I35)-MAX(D35,DATE(EINSTELLUNG!$C$35,$A$1,1))+1)/DAY(EOMONTH(DATE(EINSTELLUNG!$C$35,$A$1,1),0))*F35,2),"")</f>
        <v>86.5</v>
      </c>
      <c r="I35" s="50"/>
      <c r="J35" s="51"/>
      <c r="K35" s="281">
        <f t="shared" ref="K35:K66" si="1">IF(OR(B35="",C35=""),"",IFERROR(IF(OR(MONTH(D35)=1,MONTH(D35)=3,MONTH(D35)=5,MONTH(D35)=7,MONTH(D35)=8,MONTH(D35)=10,MONTH(D35)=12),(G35/31)*J35,IF(OR(MONTH(D35)=4,MONTH(D35)=6,MONTH(D35)=9,MONTH(D35)=11),(G35/30)*J35,(G35/DAY(EOMONTH(D35,0)))*J35)),0))</f>
        <v>0</v>
      </c>
      <c r="L35" s="283">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1010.5</v>
      </c>
      <c r="M35" s="52"/>
      <c r="N35" s="66"/>
      <c r="O35" s="358" t="s">
        <v>98</v>
      </c>
      <c r="P35" s="297"/>
      <c r="Q35" s="329">
        <f>EINSTELLUNG!C11</f>
        <v>400000</v>
      </c>
      <c r="R35" s="329"/>
      <c r="S35" s="329">
        <f>EINSTELLUNG!C27</f>
        <v>435000</v>
      </c>
      <c r="T35" s="329"/>
      <c r="U35" s="329">
        <f>S35-Q35</f>
        <v>35000</v>
      </c>
      <c r="V35" s="330"/>
    </row>
    <row r="36" spans="1:22" ht="22" customHeight="1">
      <c r="A36" s="280" t="s">
        <v>99</v>
      </c>
      <c r="B36" s="91">
        <v>401726</v>
      </c>
      <c r="C36" s="39" t="s">
        <v>260</v>
      </c>
      <c r="D36" s="40">
        <v>45870</v>
      </c>
      <c r="E36" s="41" t="s">
        <v>2</v>
      </c>
      <c r="F36" s="42">
        <v>86.5</v>
      </c>
      <c r="G36" s="281">
        <f>IF(OR(E36="",F36=""),"",PID_KVLohnLookup($A$1,E36,F36,LOHNTABELLE!$H$4))</f>
        <v>1010.5</v>
      </c>
      <c r="H36" s="282">
        <f>IF(AND(ISNUMBER(D36),ISNUMBER(F36)),ROUNDDOWN(MIN(IF(OR(ISBLANK(I36),I36=""),EOMONTH(DATE(EINSTELLUNG!$C$35,$A$1,1),0),I36)-MAX(D36,DATE(EINSTELLUNG!$C$35,$A$1,1))+1)/DAY(EOMONTH(DATE(EINSTELLUNG!$C$35,$A$1,1),0))*F36,2),"")</f>
        <v>86.5</v>
      </c>
      <c r="I36" s="43"/>
      <c r="J36" s="44"/>
      <c r="K36" s="281">
        <f t="shared" si="1"/>
        <v>0</v>
      </c>
      <c r="L36" s="283">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1010.5</v>
      </c>
      <c r="M36" s="45"/>
      <c r="N36" s="65"/>
      <c r="O36" s="358" t="s">
        <v>100</v>
      </c>
      <c r="P36" s="297"/>
      <c r="Q36" s="329">
        <f>EINSTELLUNG!D11</f>
        <v>100000</v>
      </c>
      <c r="R36" s="329"/>
      <c r="S36" s="329">
        <f ca="1">SumMergedCells(Q17:R29)</f>
        <v>105051.5067</v>
      </c>
      <c r="T36" s="329"/>
      <c r="U36" s="329">
        <f t="shared" ref="U36:U41" ca="1" si="2">S36-Q36</f>
        <v>5051.5066999999981</v>
      </c>
      <c r="V36" s="330"/>
    </row>
    <row r="37" spans="1:22" ht="22" customHeight="1">
      <c r="A37" s="280" t="s">
        <v>101</v>
      </c>
      <c r="B37" s="92">
        <v>401730</v>
      </c>
      <c r="C37" s="46" t="s">
        <v>262</v>
      </c>
      <c r="D37" s="47">
        <v>45895</v>
      </c>
      <c r="E37" s="48" t="s">
        <v>2</v>
      </c>
      <c r="F37" s="49">
        <v>86.5</v>
      </c>
      <c r="G37" s="281">
        <f>IF(OR(E37="",F37=""),"",PID_KVLohnLookup($A$1,E37,F37,LOHNTABELLE!$H$4))</f>
        <v>1010.5</v>
      </c>
      <c r="H37" s="282">
        <f>IF(AND(ISNUMBER(D37),ISNUMBER(F37)),ROUNDDOWN(MIN(IF(OR(ISBLANK(I37),I37=""),EOMONTH(DATE(EINSTELLUNG!$C$35,$A$1,1),0),I37)-MAX(D37,DATE(EINSTELLUNG!$C$35,$A$1,1))+1)/DAY(EOMONTH(DATE(EINSTELLUNG!$C$35,$A$1,1),0))*F37,2),"")</f>
        <v>86.5</v>
      </c>
      <c r="I37" s="50"/>
      <c r="J37" s="51"/>
      <c r="K37" s="281">
        <f t="shared" si="1"/>
        <v>0</v>
      </c>
      <c r="L37" s="283">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1010.5</v>
      </c>
      <c r="M37" s="52"/>
      <c r="N37" s="66"/>
      <c r="O37" s="358" t="s">
        <v>102</v>
      </c>
      <c r="P37" s="297"/>
      <c r="Q37" s="331">
        <f>IF(ISERROR(Q36/Q35), 0, Q36/Q35)</f>
        <v>0.25</v>
      </c>
      <c r="R37" s="331"/>
      <c r="S37" s="331">
        <f ca="1">IF(ISERROR(S36/S35), 0, S36/S35)</f>
        <v>0.24149771655172414</v>
      </c>
      <c r="T37" s="331"/>
      <c r="U37" s="331">
        <f t="shared" ca="1" si="2"/>
        <v>-8.5022834482758602E-3</v>
      </c>
      <c r="V37" s="332"/>
    </row>
    <row r="38" spans="1:22" ht="22" customHeight="1">
      <c r="A38" s="280" t="s">
        <v>103</v>
      </c>
      <c r="B38" s="91">
        <v>401731</v>
      </c>
      <c r="C38" s="39" t="s">
        <v>261</v>
      </c>
      <c r="D38" s="40">
        <v>45899</v>
      </c>
      <c r="E38" s="41" t="s">
        <v>2</v>
      </c>
      <c r="F38" s="42">
        <v>86.5</v>
      </c>
      <c r="G38" s="281">
        <f>IF(OR(E38="",F38=""),"",PID_KVLohnLookup($A$1,E38,F38,LOHNTABELLE!$H$4))</f>
        <v>1010.5</v>
      </c>
      <c r="H38" s="282">
        <f>IF(AND(ISNUMBER(D38),ISNUMBER(F38)),ROUNDDOWN(MIN(IF(OR(ISBLANK(I38),I38=""),EOMONTH(DATE(EINSTELLUNG!$C$35,$A$1,1),0),I38)-MAX(D38,DATE(EINSTELLUNG!$C$35,$A$1,1))+1)/DAY(EOMONTH(DATE(EINSTELLUNG!$C$35,$A$1,1),0))*F38,2),"")</f>
        <v>86.5</v>
      </c>
      <c r="I38" s="43"/>
      <c r="J38" s="44"/>
      <c r="K38" s="281">
        <f t="shared" si="1"/>
        <v>0</v>
      </c>
      <c r="L38" s="283">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1010.5</v>
      </c>
      <c r="M38" s="45"/>
      <c r="N38" s="65"/>
      <c r="O38" s="358" t="s">
        <v>104</v>
      </c>
      <c r="P38" s="297"/>
      <c r="Q38" s="298">
        <f>EINSTELLUNG!F11</f>
        <v>30000</v>
      </c>
      <c r="R38" s="298"/>
      <c r="S38" s="298">
        <f>EINSTELLUNG!F27</f>
        <v>31000</v>
      </c>
      <c r="T38" s="298"/>
      <c r="U38" s="298">
        <f t="shared" si="2"/>
        <v>1000</v>
      </c>
      <c r="V38" s="299"/>
    </row>
    <row r="39" spans="1:22" ht="22" customHeight="1">
      <c r="A39" s="280" t="s">
        <v>105</v>
      </c>
      <c r="B39" s="92">
        <v>401734</v>
      </c>
      <c r="C39" s="46" t="s">
        <v>263</v>
      </c>
      <c r="D39" s="47">
        <v>45904</v>
      </c>
      <c r="E39" s="48" t="s">
        <v>2</v>
      </c>
      <c r="F39" s="49">
        <v>86.5</v>
      </c>
      <c r="G39" s="281">
        <f>IF(OR(E39="",F39=""),"",PID_KVLohnLookup($A$1,E39,F39,LOHNTABELLE!$H$4))</f>
        <v>1010.5</v>
      </c>
      <c r="H39" s="282">
        <f>IF(AND(ISNUMBER(D39),ISNUMBER(F39)),ROUNDDOWN(MIN(IF(OR(ISBLANK(I39),I39=""),EOMONTH(DATE(EINSTELLUNG!$C$35,$A$1,1),0),I39)-MAX(D39,DATE(EINSTELLUNG!$C$35,$A$1,1))+1)/DAY(EOMONTH(DATE(EINSTELLUNG!$C$35,$A$1,1),0))*F39,2),"")</f>
        <v>86.5</v>
      </c>
      <c r="I39" s="50"/>
      <c r="J39" s="51"/>
      <c r="K39" s="281">
        <f t="shared" si="1"/>
        <v>0</v>
      </c>
      <c r="L39" s="283">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52"/>
      <c r="N39" s="66"/>
      <c r="O39" s="358" t="s">
        <v>106</v>
      </c>
      <c r="P39" s="297"/>
      <c r="Q39" s="329">
        <f>IF(Q38=0, 0, Q35/Q38)</f>
        <v>13.333333333333334</v>
      </c>
      <c r="R39" s="329"/>
      <c r="S39" s="329">
        <f>IF(S38=0, 0, S35/S38)</f>
        <v>14.03225806451613</v>
      </c>
      <c r="T39" s="329"/>
      <c r="U39" s="329">
        <f t="shared" si="2"/>
        <v>0.69892473118279597</v>
      </c>
      <c r="V39" s="330"/>
    </row>
    <row r="40" spans="1:22" ht="22" customHeight="1">
      <c r="A40" s="280" t="s">
        <v>107</v>
      </c>
      <c r="B40" s="91">
        <v>401737</v>
      </c>
      <c r="C40" s="39" t="s">
        <v>265</v>
      </c>
      <c r="D40" s="40">
        <v>45906</v>
      </c>
      <c r="E40" s="41" t="s">
        <v>2</v>
      </c>
      <c r="F40" s="42">
        <v>86.5</v>
      </c>
      <c r="G40" s="281">
        <f>IF(OR(E40="",F40=""),"",PID_KVLohnLookup($A$1,E40,F40,LOHNTABELLE!$H$4))</f>
        <v>1010.5</v>
      </c>
      <c r="H40" s="282">
        <f>IF(AND(ISNUMBER(D40),ISNUMBER(F40)),ROUNDDOWN(MIN(IF(OR(ISBLANK(I40),I40=""),EOMONTH(DATE(EINSTELLUNG!$C$35,$A$1,1),0),I40)-MAX(D40,DATE(EINSTELLUNG!$C$35,$A$1,1))+1)/DAY(EOMONTH(DATE(EINSTELLUNG!$C$35,$A$1,1),0))*F40,2),"")</f>
        <v>86.5</v>
      </c>
      <c r="I40" s="43"/>
      <c r="J40" s="44"/>
      <c r="K40" s="281">
        <f t="shared" si="1"/>
        <v>0</v>
      </c>
      <c r="L40" s="283">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45"/>
      <c r="N40" s="65"/>
      <c r="O40" s="358" t="s">
        <v>108</v>
      </c>
      <c r="P40" s="297"/>
      <c r="Q40" s="329">
        <f>IF(Q12=0, 0, Q35/Q12)</f>
        <v>4000</v>
      </c>
      <c r="R40" s="329"/>
      <c r="S40" s="329">
        <f>IF(Q12=0, 0, S35/Q12)</f>
        <v>4350</v>
      </c>
      <c r="T40" s="329"/>
      <c r="U40" s="329">
        <f t="shared" si="2"/>
        <v>350</v>
      </c>
      <c r="V40" s="330"/>
    </row>
    <row r="41" spans="1:22" ht="22" customHeight="1">
      <c r="A41" s="280" t="s">
        <v>109</v>
      </c>
      <c r="B41" s="92">
        <v>401738</v>
      </c>
      <c r="C41" s="46" t="s">
        <v>266</v>
      </c>
      <c r="D41" s="47">
        <v>45909</v>
      </c>
      <c r="E41" s="48" t="s">
        <v>2</v>
      </c>
      <c r="F41" s="49">
        <v>86.5</v>
      </c>
      <c r="G41" s="281">
        <f>IF(OR(E41="",F41=""),"",PID_KVLohnLookup($A$1,E41,F41,LOHNTABELLE!$H$4))</f>
        <v>1010.5</v>
      </c>
      <c r="H41" s="282">
        <f>IF(AND(ISNUMBER(D41),ISNUMBER(F41)),ROUNDDOWN(MIN(IF(OR(ISBLANK(I41),I41=""),EOMONTH(DATE(EINSTELLUNG!$C$35,$A$1,1),0),I41)-MAX(D41,DATE(EINSTELLUNG!$C$35,$A$1,1))+1)/DAY(EOMONTH(DATE(EINSTELLUNG!$C$35,$A$1,1),0))*F41,2),"")</f>
        <v>86.5</v>
      </c>
      <c r="I41" s="50"/>
      <c r="J41" s="51"/>
      <c r="K41" s="281">
        <f t="shared" si="1"/>
        <v>0</v>
      </c>
      <c r="L41" s="283">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52"/>
      <c r="N41" s="66"/>
      <c r="O41" s="371" t="s">
        <v>110</v>
      </c>
      <c r="P41" s="334"/>
      <c r="Q41" s="335">
        <f>IF(Q12=0, 0, Q38/Q12)</f>
        <v>300</v>
      </c>
      <c r="R41" s="335"/>
      <c r="S41" s="335">
        <f>IF(Q12=0, 0, S38/Q12)</f>
        <v>310</v>
      </c>
      <c r="T41" s="335"/>
      <c r="U41" s="335">
        <f t="shared" si="2"/>
        <v>10</v>
      </c>
      <c r="V41" s="336"/>
    </row>
    <row r="42" spans="1:22" ht="22" customHeight="1" thickBot="1">
      <c r="A42" s="280" t="s">
        <v>111</v>
      </c>
      <c r="B42" s="91">
        <v>401745</v>
      </c>
      <c r="C42" s="39" t="s">
        <v>270</v>
      </c>
      <c r="D42" s="40">
        <v>45934</v>
      </c>
      <c r="E42" s="41" t="s">
        <v>2</v>
      </c>
      <c r="F42" s="42">
        <v>86.5</v>
      </c>
      <c r="G42" s="281">
        <f>IF(OR(E42="",F42=""),"",PID_KVLohnLookup($A$1,E42,F42,LOHNTABELLE!$H$4))</f>
        <v>1010.5</v>
      </c>
      <c r="H42" s="282">
        <f>IF(AND(ISNUMBER(D42),ISNUMBER(F42)),ROUNDDOWN(MIN(IF(OR(ISBLANK(I42),I42=""),EOMONTH(DATE(EINSTELLUNG!$C$35,$A$1,1),0),I42)-MAX(D42,DATE(EINSTELLUNG!$C$35,$A$1,1))+1)/DAY(EOMONTH(DATE(EINSTELLUNG!$C$35,$A$1,1),0))*F42,2),"")</f>
        <v>86.5</v>
      </c>
      <c r="I42" s="43"/>
      <c r="J42" s="44"/>
      <c r="K42" s="281">
        <f t="shared" si="1"/>
        <v>0</v>
      </c>
      <c r="L42" s="283">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45"/>
      <c r="N42" s="130"/>
      <c r="O42" s="314" t="s">
        <v>112</v>
      </c>
      <c r="P42" s="315"/>
      <c r="Q42" s="337">
        <f>IFERROR(Q17/Q8, 0)</f>
        <v>11.795190990655929</v>
      </c>
      <c r="R42" s="338"/>
      <c r="S42" s="337"/>
      <c r="T42" s="337"/>
      <c r="U42" s="337"/>
      <c r="V42" s="317"/>
    </row>
    <row r="43" spans="1:22" ht="22" customHeight="1">
      <c r="A43" s="280" t="s">
        <v>113</v>
      </c>
      <c r="B43" s="92">
        <v>401746</v>
      </c>
      <c r="C43" s="46" t="s">
        <v>269</v>
      </c>
      <c r="D43" s="47">
        <v>45941</v>
      </c>
      <c r="E43" s="48" t="s">
        <v>2</v>
      </c>
      <c r="F43" s="49">
        <v>86.5</v>
      </c>
      <c r="G43" s="281">
        <f>IF(OR(E43="",F43=""),"",PID_KVLohnLookup($A$1,E43,F43,LOHNTABELLE!$H$4))</f>
        <v>1010.5</v>
      </c>
      <c r="H43" s="282">
        <f>IF(AND(ISNUMBER(D43),ISNUMBER(F43)),ROUNDDOWN(MIN(IF(OR(ISBLANK(I43),I43=""),EOMONTH(DATE(EINSTELLUNG!$C$35,$A$1,1),0),I43)-MAX(D43,DATE(EINSTELLUNG!$C$35,$A$1,1))+1)/DAY(EOMONTH(DATE(EINSTELLUNG!$C$35,$A$1,1),0))*F43,2),"")</f>
        <v>86.5</v>
      </c>
      <c r="I43" s="50"/>
      <c r="J43" s="51"/>
      <c r="K43" s="281">
        <f t="shared" si="1"/>
        <v>0</v>
      </c>
      <c r="L43" s="283">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1010.5</v>
      </c>
      <c r="M43" s="128"/>
      <c r="N43" s="66"/>
      <c r="O43" s="339"/>
      <c r="P43" s="339"/>
      <c r="Q43" s="339"/>
      <c r="R43" s="278"/>
      <c r="S43" s="278"/>
      <c r="T43" s="278"/>
      <c r="U43" s="278"/>
      <c r="V43" s="278"/>
    </row>
    <row r="44" spans="1:22" ht="22" customHeight="1">
      <c r="A44" s="280" t="s">
        <v>114</v>
      </c>
      <c r="B44" s="91">
        <v>401747</v>
      </c>
      <c r="C44" s="39" t="s">
        <v>267</v>
      </c>
      <c r="D44" s="40">
        <v>45941</v>
      </c>
      <c r="E44" s="41" t="s">
        <v>2</v>
      </c>
      <c r="F44" s="42">
        <v>86.5</v>
      </c>
      <c r="G44" s="281">
        <f>IF(OR(E44="",F44=""),"",PID_KVLohnLookup($A$1,E44,F44,LOHNTABELLE!$H$4))</f>
        <v>1010.5</v>
      </c>
      <c r="H44" s="282">
        <f>IF(AND(ISNUMBER(D44),ISNUMBER(F44)),ROUNDDOWN(MIN(IF(OR(ISBLANK(I44),I44=""),EOMONTH(DATE(EINSTELLUNG!$C$35,$A$1,1),0),I44)-MAX(D44,DATE(EINSTELLUNG!$C$35,$A$1,1))+1)/DAY(EOMONTH(DATE(EINSTELLUNG!$C$35,$A$1,1),0))*F44,2),"")</f>
        <v>86.5</v>
      </c>
      <c r="I44" s="43"/>
      <c r="J44" s="44"/>
      <c r="K44" s="281">
        <f t="shared" si="1"/>
        <v>0</v>
      </c>
      <c r="L44" s="283">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1010.5</v>
      </c>
      <c r="M44" s="129"/>
      <c r="N44" s="65"/>
      <c r="O44" s="340" t="s">
        <v>115</v>
      </c>
      <c r="P44" s="340"/>
      <c r="Q44" s="340"/>
      <c r="R44" s="340"/>
      <c r="S44" s="340"/>
      <c r="T44" s="340"/>
      <c r="U44" s="340"/>
      <c r="V44" s="340"/>
    </row>
    <row r="45" spans="1:22" ht="22" customHeight="1">
      <c r="A45" s="280" t="s">
        <v>116</v>
      </c>
      <c r="B45" s="92">
        <v>401748</v>
      </c>
      <c r="C45" s="46" t="s">
        <v>268</v>
      </c>
      <c r="D45" s="47">
        <v>45941</v>
      </c>
      <c r="E45" s="48" t="s">
        <v>2</v>
      </c>
      <c r="F45" s="49">
        <v>138.4</v>
      </c>
      <c r="G45" s="281">
        <f>IF(OR(E45="",F45=""),"",PID_KVLohnLookup($A$1,E45,F45,LOHNTABELLE!$H$4))</f>
        <v>1616.8</v>
      </c>
      <c r="H45" s="282">
        <f>IF(AND(ISNUMBER(D45),ISNUMBER(F45)),ROUNDDOWN(MIN(IF(OR(ISBLANK(I45),I45=""),EOMONTH(DATE(EINSTELLUNG!$C$35,$A$1,1),0),I45)-MAX(D45,DATE(EINSTELLUNG!$C$35,$A$1,1))+1)/DAY(EOMONTH(DATE(EINSTELLUNG!$C$35,$A$1,1),0))*F45,2),"")</f>
        <v>138.4</v>
      </c>
      <c r="I45" s="50"/>
      <c r="J45" s="51"/>
      <c r="K45" s="281">
        <f t="shared" si="1"/>
        <v>0</v>
      </c>
      <c r="L45" s="283">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1616.8</v>
      </c>
      <c r="M45" s="128"/>
      <c r="N45" s="66"/>
      <c r="O45" s="341"/>
      <c r="P45" s="341"/>
      <c r="Q45" s="341"/>
      <c r="R45" s="342"/>
      <c r="S45" s="342"/>
      <c r="T45" s="342"/>
      <c r="U45" s="342"/>
      <c r="V45" s="278"/>
    </row>
    <row r="46" spans="1:22" ht="22" customHeight="1">
      <c r="A46" s="280" t="s">
        <v>117</v>
      </c>
      <c r="B46" s="91">
        <v>401751</v>
      </c>
      <c r="C46" s="39" t="s">
        <v>271</v>
      </c>
      <c r="D46" s="40">
        <v>45961</v>
      </c>
      <c r="E46" s="41" t="s">
        <v>2</v>
      </c>
      <c r="F46" s="42">
        <v>86.5</v>
      </c>
      <c r="G46" s="281">
        <f>IF(OR(E46="",F46=""),"",PID_KVLohnLookup($A$1,E46,F46,LOHNTABELLE!$H$4))</f>
        <v>1010.5</v>
      </c>
      <c r="H46" s="282">
        <f>IF(AND(ISNUMBER(D46),ISNUMBER(F46)),ROUNDDOWN(MIN(IF(OR(ISBLANK(I46),I46=""),EOMONTH(DATE(EINSTELLUNG!$C$35,$A$1,1),0),I46)-MAX(D46,DATE(EINSTELLUNG!$C$35,$A$1,1))+1)/DAY(EOMONTH(DATE(EINSTELLUNG!$C$35,$A$1,1),0))*F46,2),"")</f>
        <v>86.5</v>
      </c>
      <c r="I46" s="43"/>
      <c r="J46" s="44"/>
      <c r="K46" s="281">
        <f t="shared" si="1"/>
        <v>0</v>
      </c>
      <c r="L46" s="283">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1010.5</v>
      </c>
      <c r="M46" s="129"/>
      <c r="N46" s="65"/>
      <c r="O46" s="278"/>
      <c r="P46" s="278"/>
      <c r="Q46" s="278"/>
      <c r="R46" s="278"/>
      <c r="S46" s="278"/>
      <c r="T46" s="278"/>
      <c r="U46" s="278"/>
      <c r="V46" s="278"/>
    </row>
    <row r="47" spans="1:22" ht="22" customHeight="1">
      <c r="A47" s="280" t="s">
        <v>118</v>
      </c>
      <c r="B47" s="92">
        <v>401752</v>
      </c>
      <c r="C47" s="46" t="s">
        <v>272</v>
      </c>
      <c r="D47" s="47">
        <v>45986</v>
      </c>
      <c r="E47" s="48" t="s">
        <v>2</v>
      </c>
      <c r="F47" s="49">
        <v>173</v>
      </c>
      <c r="G47" s="281">
        <f>IF(OR(E47="",F47=""),"",PID_KVLohnLookup($A$1,E47,F47,LOHNTABELLE!$H$4))</f>
        <v>2021</v>
      </c>
      <c r="H47" s="282">
        <f>IF(AND(ISNUMBER(D47),ISNUMBER(F47)),ROUNDDOWN(MIN(IF(OR(ISBLANK(I47),I47=""),EOMONTH(DATE(EINSTELLUNG!$C$35,$A$1,1),0),I47)-MAX(D47,DATE(EINSTELLUNG!$C$35,$A$1,1))+1)/DAY(EOMONTH(DATE(EINSTELLUNG!$C$35,$A$1,1),0))*F47,2),"")</f>
        <v>173</v>
      </c>
      <c r="I47" s="50"/>
      <c r="J47" s="51"/>
      <c r="K47" s="281">
        <f t="shared" si="1"/>
        <v>0</v>
      </c>
      <c r="L47" s="283">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2021</v>
      </c>
      <c r="M47" s="128"/>
      <c r="N47" s="66"/>
      <c r="O47" s="278"/>
      <c r="P47" s="278"/>
      <c r="Q47" s="278"/>
      <c r="R47" s="278"/>
      <c r="S47" s="278"/>
      <c r="T47" s="278"/>
      <c r="U47" s="278"/>
      <c r="V47" s="278"/>
    </row>
    <row r="48" spans="1:22" ht="22" customHeight="1">
      <c r="A48" s="280" t="s">
        <v>119</v>
      </c>
      <c r="B48" s="91">
        <v>401999</v>
      </c>
      <c r="C48" s="39" t="s">
        <v>354</v>
      </c>
      <c r="D48" s="43">
        <v>46041</v>
      </c>
      <c r="E48" s="41" t="s">
        <v>2</v>
      </c>
      <c r="F48" s="42">
        <v>151.38</v>
      </c>
      <c r="G48" s="281">
        <f>IF(OR(E48="",F48=""),"",PID_KVLohnLookup($A$1,E48,F48,LOHNTABELLE!$H$4))</f>
        <v>1768.38</v>
      </c>
      <c r="H48" s="282">
        <f>IF(AND(ISNUMBER(D48),ISNUMBER(F48)),ROUNDDOWN(MIN(IF(OR(ISBLANK(I48),I48=""),EOMONTH(DATE(EINSTELLUNG!$C$35,$A$1,1),0),I48)-MAX(D48,DATE(EINSTELLUNG!$C$35,$A$1,1))+1)/DAY(EOMONTH(DATE(EINSTELLUNG!$C$35,$A$1,1),0))*F48,2),"")</f>
        <v>151.38</v>
      </c>
      <c r="I48" s="43"/>
      <c r="J48" s="44"/>
      <c r="K48" s="281">
        <f t="shared" si="1"/>
        <v>0</v>
      </c>
      <c r="L48" s="283">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1768.38</v>
      </c>
      <c r="M48" s="129"/>
      <c r="N48" s="65"/>
      <c r="O48" s="278"/>
      <c r="P48" s="278"/>
      <c r="Q48" s="278"/>
      <c r="R48" s="278"/>
      <c r="S48" s="278"/>
      <c r="T48" s="278"/>
      <c r="U48" s="278"/>
      <c r="V48" s="278"/>
    </row>
    <row r="49" spans="1:22" ht="22" customHeight="1">
      <c r="A49" s="280" t="s">
        <v>120</v>
      </c>
      <c r="B49" s="92">
        <v>401999</v>
      </c>
      <c r="C49" s="46" t="s">
        <v>292</v>
      </c>
      <c r="D49" s="50">
        <v>46082</v>
      </c>
      <c r="E49" s="48" t="s">
        <v>2</v>
      </c>
      <c r="F49" s="49">
        <v>173</v>
      </c>
      <c r="G49" s="281">
        <f>IF(OR(E49="",F49=""),"",PID_KVLohnLookup($A$1,E49,F49,LOHNTABELLE!$H$4))</f>
        <v>2021</v>
      </c>
      <c r="H49" s="282">
        <f>IF(AND(ISNUMBER(D49),ISNUMBER(F49)),ROUNDDOWN(MIN(IF(OR(ISBLANK(I49),I49=""),EOMONTH(DATE(EINSTELLUNG!$C$35,$A$1,1),0),I49)-MAX(D49,DATE(EINSTELLUNG!$C$35,$A$1,1))+1)/DAY(EOMONTH(DATE(EINSTELLUNG!$C$35,$A$1,1),0))*F49,2),"")</f>
        <v>173</v>
      </c>
      <c r="I49" s="50"/>
      <c r="J49" s="51"/>
      <c r="K49" s="281">
        <f t="shared" si="1"/>
        <v>0</v>
      </c>
      <c r="L49" s="283">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2021</v>
      </c>
      <c r="M49" s="128"/>
      <c r="N49" s="66"/>
      <c r="O49" s="278"/>
      <c r="P49" s="278"/>
      <c r="Q49" s="278"/>
      <c r="R49" s="278"/>
      <c r="S49" s="278"/>
      <c r="T49" s="278"/>
      <c r="U49" s="278"/>
      <c r="V49" s="278"/>
    </row>
    <row r="50" spans="1:22" ht="22" customHeight="1">
      <c r="A50" s="280" t="s">
        <v>121</v>
      </c>
      <c r="B50" s="91">
        <v>402000</v>
      </c>
      <c r="C50" s="53" t="s">
        <v>294</v>
      </c>
      <c r="D50" s="43">
        <v>46143</v>
      </c>
      <c r="E50" s="41" t="s">
        <v>2</v>
      </c>
      <c r="F50" s="42">
        <v>173</v>
      </c>
      <c r="G50" s="281">
        <f>IF(OR(E50="",F50=""),"",PID_KVLohnLookup($A$1,E50,F50,LOHNTABELLE!$H$4))</f>
        <v>2021</v>
      </c>
      <c r="H50" s="282">
        <f>IF(AND(ISNUMBER(D50),ISNUMBER(F50)),ROUNDDOWN(MIN(IF(OR(ISBLANK(I50),I50=""),EOMONTH(DATE(EINSTELLUNG!$C$35,$A$1,1),0),I50)-MAX(D50,DATE(EINSTELLUNG!$C$35,$A$1,1))+1)/DAY(EOMONTH(DATE(EINSTELLUNG!$C$35,$A$1,1),0))*F50,2),"")</f>
        <v>173</v>
      </c>
      <c r="I50" s="43"/>
      <c r="J50" s="44"/>
      <c r="K50" s="281">
        <f t="shared" si="1"/>
        <v>0</v>
      </c>
      <c r="L50" s="283">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2021</v>
      </c>
      <c r="M50" s="129"/>
      <c r="N50" s="65"/>
      <c r="O50" s="278"/>
      <c r="P50" s="278"/>
      <c r="Q50" s="278"/>
      <c r="R50" s="278"/>
      <c r="S50" s="278"/>
      <c r="T50" s="278"/>
      <c r="U50" s="278"/>
      <c r="V50" s="278"/>
    </row>
    <row r="51" spans="1:22" ht="22" customHeight="1">
      <c r="A51" s="280" t="s">
        <v>122</v>
      </c>
      <c r="B51" s="92">
        <v>402004</v>
      </c>
      <c r="C51" s="46" t="s">
        <v>295</v>
      </c>
      <c r="D51" s="50">
        <v>46122</v>
      </c>
      <c r="E51" s="48" t="s">
        <v>2</v>
      </c>
      <c r="F51" s="49">
        <v>173</v>
      </c>
      <c r="G51" s="281">
        <f>IF(OR(E51="",F51=""),"",PID_KVLohnLookup($A$1,E51,F51,LOHNTABELLE!$H$4))</f>
        <v>2021</v>
      </c>
      <c r="H51" s="282">
        <f>IF(AND(ISNUMBER(D51),ISNUMBER(F51)),ROUNDDOWN(MIN(IF(OR(ISBLANK(I51),I51=""),EOMONTH(DATE(EINSTELLUNG!$C$35,$A$1,1),0),I51)-MAX(D51,DATE(EINSTELLUNG!$C$35,$A$1,1))+1)/DAY(EOMONTH(DATE(EINSTELLUNG!$C$35,$A$1,1),0))*F51,2),"")</f>
        <v>173</v>
      </c>
      <c r="I51" s="50"/>
      <c r="J51" s="51"/>
      <c r="K51" s="281">
        <f t="shared" si="1"/>
        <v>0</v>
      </c>
      <c r="L51" s="283">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2021</v>
      </c>
      <c r="M51" s="52"/>
      <c r="N51" s="127"/>
    </row>
    <row r="52" spans="1:22" ht="22" customHeight="1">
      <c r="A52" s="280" t="s">
        <v>123</v>
      </c>
      <c r="B52" s="91">
        <v>402405</v>
      </c>
      <c r="C52" s="39" t="s">
        <v>297</v>
      </c>
      <c r="D52" s="43">
        <v>46054</v>
      </c>
      <c r="E52" s="41" t="s">
        <v>2</v>
      </c>
      <c r="F52" s="42">
        <v>173</v>
      </c>
      <c r="G52" s="281">
        <f>IF(OR(E52="",F52=""),"",PID_KVLohnLookup($A$1,E52,F52,LOHNTABELLE!$H$4))</f>
        <v>2021</v>
      </c>
      <c r="H52" s="282">
        <f>IF(AND(ISNUMBER(D52),ISNUMBER(F52)),ROUNDDOWN(MIN(IF(OR(ISBLANK(I52),I52=""),EOMONTH(DATE(EINSTELLUNG!$C$35,$A$1,1),0),I52)-MAX(D52,DATE(EINSTELLUNG!$C$35,$A$1,1))+1)/DAY(EOMONTH(DATE(EINSTELLUNG!$C$35,$A$1,1),0))*F52,2),"")</f>
        <v>173</v>
      </c>
      <c r="I52" s="43"/>
      <c r="J52" s="44"/>
      <c r="K52" s="281">
        <f t="shared" si="1"/>
        <v>0</v>
      </c>
      <c r="L52" s="283">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2021</v>
      </c>
      <c r="M52" s="45"/>
      <c r="N52" s="65"/>
    </row>
    <row r="53" spans="1:22" ht="22" customHeight="1">
      <c r="A53" s="280" t="s">
        <v>124</v>
      </c>
      <c r="B53" s="92">
        <v>500600</v>
      </c>
      <c r="C53" s="46" t="s">
        <v>301</v>
      </c>
      <c r="D53" s="50">
        <v>46054</v>
      </c>
      <c r="E53" s="48" t="s">
        <v>2</v>
      </c>
      <c r="F53" s="49">
        <v>173</v>
      </c>
      <c r="G53" s="281">
        <f>IF(OR(E53="",F53=""),"",PID_KVLohnLookup($A$1,E53,F53,LOHNTABELLE!$H$4))</f>
        <v>2021</v>
      </c>
      <c r="H53" s="282">
        <f>IF(AND(ISNUMBER(D53),ISNUMBER(F53)),ROUNDDOWN(MIN(IF(OR(ISBLANK(I53),I53=""),EOMONTH(DATE(EINSTELLUNG!$C$35,$A$1,1),0),I53)-MAX(D53,DATE(EINSTELLUNG!$C$35,$A$1,1))+1)/DAY(EOMONTH(DATE(EINSTELLUNG!$C$35,$A$1,1),0))*F53,2),"")</f>
        <v>173</v>
      </c>
      <c r="I53" s="50"/>
      <c r="J53" s="51"/>
      <c r="K53" s="281">
        <f t="shared" si="1"/>
        <v>0</v>
      </c>
      <c r="L53" s="283">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2021</v>
      </c>
      <c r="M53" s="52"/>
      <c r="N53" s="66"/>
    </row>
    <row r="54" spans="1:22" ht="22" customHeight="1">
      <c r="A54" s="280" t="s">
        <v>125</v>
      </c>
      <c r="B54" s="91">
        <v>502000</v>
      </c>
      <c r="C54" s="39" t="s">
        <v>296</v>
      </c>
      <c r="D54" s="43">
        <v>46147</v>
      </c>
      <c r="E54" s="41" t="s">
        <v>2</v>
      </c>
      <c r="F54" s="42">
        <v>173</v>
      </c>
      <c r="G54" s="281">
        <f>IF(OR(E54="",F54=""),"",PID_KVLohnLookup($A$1,E54,F54,LOHNTABELLE!$H$4))</f>
        <v>2021</v>
      </c>
      <c r="H54" s="282">
        <f>IF(AND(ISNUMBER(D54),ISNUMBER(F54)),ROUNDDOWN(MIN(IF(OR(ISBLANK(I54),I54=""),EOMONTH(DATE(EINSTELLUNG!$C$35,$A$1,1),0),I54)-MAX(D54,DATE(EINSTELLUNG!$C$35,$A$1,1))+1)/DAY(EOMONTH(DATE(EINSTELLUNG!$C$35,$A$1,1),0))*F54,2),"")</f>
        <v>173</v>
      </c>
      <c r="I54" s="43"/>
      <c r="J54" s="44"/>
      <c r="K54" s="281">
        <f t="shared" si="1"/>
        <v>0</v>
      </c>
      <c r="L54" s="283">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2021</v>
      </c>
      <c r="M54" s="45"/>
      <c r="N54" s="65"/>
    </row>
    <row r="55" spans="1:22" ht="22" customHeight="1">
      <c r="A55" s="280" t="s">
        <v>126</v>
      </c>
      <c r="B55" s="92">
        <v>503000</v>
      </c>
      <c r="C55" s="46" t="s">
        <v>298</v>
      </c>
      <c r="D55" s="50">
        <v>42401</v>
      </c>
      <c r="E55" s="48" t="s">
        <v>2</v>
      </c>
      <c r="F55" s="49">
        <v>173</v>
      </c>
      <c r="G55" s="281">
        <f>IF(OR(E55="",F55=""),"",PID_KVLohnLookup($A$1,E55,F55,LOHNTABELLE!$H$4))</f>
        <v>2021</v>
      </c>
      <c r="H55" s="282">
        <f>IF(AND(ISNUMBER(D55),ISNUMBER(F55)),ROUNDDOWN(MIN(IF(OR(ISBLANK(I55),I55=""),EOMONTH(DATE(EINSTELLUNG!$C$35,$A$1,1),0),I55)-MAX(D55,DATE(EINSTELLUNG!$C$35,$A$1,1))+1)/DAY(EOMONTH(DATE(EINSTELLUNG!$C$35,$A$1,1),0))*F55,2),"")</f>
        <v>173</v>
      </c>
      <c r="I55" s="50"/>
      <c r="J55" s="51"/>
      <c r="K55" s="281">
        <f t="shared" si="1"/>
        <v>0</v>
      </c>
      <c r="L55" s="283">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2021</v>
      </c>
      <c r="M55" s="52"/>
      <c r="N55" s="66"/>
    </row>
    <row r="56" spans="1:22" ht="22" customHeight="1">
      <c r="A56" s="280" t="s">
        <v>127</v>
      </c>
      <c r="B56" s="91">
        <v>504000</v>
      </c>
      <c r="C56" s="39" t="s">
        <v>299</v>
      </c>
      <c r="D56" s="43">
        <v>46054</v>
      </c>
      <c r="E56" s="41" t="s">
        <v>3</v>
      </c>
      <c r="F56" s="42">
        <v>138.4</v>
      </c>
      <c r="G56" s="281">
        <f>IF(OR(E56="",F56=""),"",PID_KVLohnLookup($A$1,E56,F56,LOHNTABELLE!$H$4))</f>
        <v>1665.6</v>
      </c>
      <c r="H56" s="282">
        <f>IF(AND(ISNUMBER(D56),ISNUMBER(F56)),ROUNDDOWN(MIN(IF(OR(ISBLANK(I56),I56=""),EOMONTH(DATE(EINSTELLUNG!$C$35,$A$1,1),0),I56)-MAX(D56,DATE(EINSTELLUNG!$C$35,$A$1,1))+1)/DAY(EOMONTH(DATE(EINSTELLUNG!$C$35,$A$1,1),0))*F56,2),"")</f>
        <v>138.4</v>
      </c>
      <c r="I56" s="43"/>
      <c r="J56" s="44"/>
      <c r="K56" s="281">
        <f t="shared" si="1"/>
        <v>0</v>
      </c>
      <c r="L56" s="283">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1665.6</v>
      </c>
      <c r="M56" s="45"/>
      <c r="N56" s="65"/>
    </row>
    <row r="57" spans="1:22" ht="22" customHeight="1">
      <c r="A57" s="280" t="s">
        <v>128</v>
      </c>
      <c r="B57" s="92">
        <v>505000</v>
      </c>
      <c r="C57" s="46" t="s">
        <v>300</v>
      </c>
      <c r="D57" s="50">
        <v>46054</v>
      </c>
      <c r="E57" s="48" t="s">
        <v>2</v>
      </c>
      <c r="F57" s="49">
        <v>138.4</v>
      </c>
      <c r="G57" s="281">
        <f>IF(OR(E57="",F57=""),"",PID_KVLohnLookup($A$1,E57,F57,LOHNTABELLE!$H$4))</f>
        <v>1616.8</v>
      </c>
      <c r="H57" s="282">
        <f>IF(AND(ISNUMBER(D57),ISNUMBER(F57)),ROUNDDOWN(MIN(IF(OR(ISBLANK(I57),I57=""),EOMONTH(DATE(EINSTELLUNG!$C$35,$A$1,1),0),I57)-MAX(D57,DATE(EINSTELLUNG!$C$35,$A$1,1))+1)/DAY(EOMONTH(DATE(EINSTELLUNG!$C$35,$A$1,1),0))*F57,2),"")</f>
        <v>138.4</v>
      </c>
      <c r="I57" s="50"/>
      <c r="J57" s="51"/>
      <c r="K57" s="281">
        <f t="shared" si="1"/>
        <v>0</v>
      </c>
      <c r="L57" s="283">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1616.8</v>
      </c>
      <c r="M57" s="52"/>
      <c r="N57" s="66"/>
    </row>
    <row r="58" spans="1:22" ht="22" customHeight="1">
      <c r="A58" s="280" t="s">
        <v>129</v>
      </c>
      <c r="B58" s="91">
        <v>525025</v>
      </c>
      <c r="C58" s="39" t="s">
        <v>355</v>
      </c>
      <c r="D58" s="43">
        <v>46040</v>
      </c>
      <c r="E58" s="41" t="s">
        <v>2</v>
      </c>
      <c r="F58" s="42">
        <v>129.75</v>
      </c>
      <c r="G58" s="281">
        <f>IF(OR(E58="",F58=""),"",PID_KVLohnLookup($A$1,E58,F58,LOHNTABELLE!$H$4))</f>
        <v>1515.75</v>
      </c>
      <c r="H58" s="282">
        <f>IF(AND(ISNUMBER(D58),ISNUMBER(F58)),ROUNDDOWN(MIN(IF(OR(ISBLANK(I58),I58=""),EOMONTH(DATE(EINSTELLUNG!$C$35,$A$1,1),0),I58)-MAX(D58,DATE(EINSTELLUNG!$C$35,$A$1,1))+1)/DAY(EOMONTH(DATE(EINSTELLUNG!$C$35,$A$1,1),0))*F58,2),"")</f>
        <v>129.75</v>
      </c>
      <c r="I58" s="43"/>
      <c r="J58" s="44"/>
      <c r="K58" s="281">
        <f t="shared" si="1"/>
        <v>0</v>
      </c>
      <c r="L58" s="283">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1515.75</v>
      </c>
      <c r="M58" s="45"/>
      <c r="N58" s="65"/>
    </row>
    <row r="59" spans="1:22" ht="22" customHeight="1">
      <c r="A59" s="280" t="s">
        <v>130</v>
      </c>
      <c r="B59" s="92">
        <v>700000</v>
      </c>
      <c r="C59" s="46" t="s">
        <v>308</v>
      </c>
      <c r="D59" s="50">
        <v>46054</v>
      </c>
      <c r="E59" s="48" t="s">
        <v>2</v>
      </c>
      <c r="F59" s="49">
        <v>173</v>
      </c>
      <c r="G59" s="281">
        <f>IF(OR(E59="",F59=""),"",PID_KVLohnLookup($A$1,E59,F59,LOHNTABELLE!$H$4))</f>
        <v>2021</v>
      </c>
      <c r="H59" s="282">
        <f>IF(AND(ISNUMBER(D59),ISNUMBER(F59)),ROUNDDOWN(MIN(IF(OR(ISBLANK(I59),I59=""),EOMONTH(DATE(EINSTELLUNG!$C$35,$A$1,1),0),I59)-MAX(D59,DATE(EINSTELLUNG!$C$35,$A$1,1))+1)/DAY(EOMONTH(DATE(EINSTELLUNG!$C$35,$A$1,1),0))*F59,2),"")</f>
        <v>173</v>
      </c>
      <c r="I59" s="50"/>
      <c r="J59" s="51"/>
      <c r="K59" s="281">
        <f t="shared" si="1"/>
        <v>0</v>
      </c>
      <c r="L59" s="283">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2021</v>
      </c>
      <c r="M59" s="52"/>
      <c r="N59" s="66"/>
    </row>
    <row r="60" spans="1:22" ht="22" customHeight="1">
      <c r="A60" s="280" t="s">
        <v>131</v>
      </c>
      <c r="B60" s="91">
        <v>800000</v>
      </c>
      <c r="C60" s="39" t="s">
        <v>309</v>
      </c>
      <c r="D60" s="43">
        <v>46096</v>
      </c>
      <c r="E60" s="41" t="s">
        <v>2</v>
      </c>
      <c r="F60" s="42">
        <v>173</v>
      </c>
      <c r="G60" s="281">
        <f>IF(OR(E60="",F60=""),"",PID_KVLohnLookup($A$1,E60,F60,LOHNTABELLE!$H$4))</f>
        <v>2021</v>
      </c>
      <c r="H60" s="282">
        <f>IF(AND(ISNUMBER(D60),ISNUMBER(F60)),ROUNDDOWN(MIN(IF(OR(ISBLANK(I60),I60=""),EOMONTH(DATE(EINSTELLUNG!$C$35,$A$1,1),0),I60)-MAX(D60,DATE(EINSTELLUNG!$C$35,$A$1,1))+1)/DAY(EOMONTH(DATE(EINSTELLUNG!$C$35,$A$1,1),0))*F60,2),"")</f>
        <v>173</v>
      </c>
      <c r="I60" s="43"/>
      <c r="J60" s="44"/>
      <c r="K60" s="281">
        <f t="shared" si="1"/>
        <v>0</v>
      </c>
      <c r="L60" s="283">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2021</v>
      </c>
      <c r="M60" s="45"/>
      <c r="N60" s="65"/>
    </row>
    <row r="61" spans="1:22" ht="22" customHeight="1">
      <c r="A61" s="280" t="s">
        <v>132</v>
      </c>
      <c r="B61" s="92"/>
      <c r="C61" s="46"/>
      <c r="D61" s="50"/>
      <c r="E61" s="48"/>
      <c r="F61" s="49"/>
      <c r="G61" s="281" t="str">
        <f>IF(OR(E61="",F61=""),"",PID_KVLohnLookup($A$1,E61,F61,LOHNTABELLE!$H$4))</f>
        <v/>
      </c>
      <c r="H61" s="282" t="str">
        <f>IF(AND(ISNUMBER(D61),ISNUMBER(F61)),ROUNDDOWN(MIN(IF(OR(ISBLANK(I61),I61=""),EOMONTH(DATE(EINSTELLUNG!$C$35,$A$1,1),0),I61)-MAX(D61,DATE(EINSTELLUNG!$C$35,$A$1,1))+1)/DAY(EOMONTH(DATE(EINSTELLUNG!$C$35,$A$1,1),0))*F61,2),"")</f>
        <v/>
      </c>
      <c r="I61" s="50"/>
      <c r="J61" s="51"/>
      <c r="K61" s="281" t="str">
        <f t="shared" si="1"/>
        <v/>
      </c>
      <c r="L61" s="283" t="str">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52"/>
      <c r="N61" s="66"/>
    </row>
    <row r="62" spans="1:22" ht="22" customHeight="1">
      <c r="A62" s="280" t="s">
        <v>133</v>
      </c>
      <c r="B62" s="91"/>
      <c r="C62" s="39"/>
      <c r="D62" s="43"/>
      <c r="E62" s="41"/>
      <c r="F62" s="42"/>
      <c r="G62" s="281" t="str">
        <f>IF(OR(E62="",F62=""),"",PID_KVLohnLookup($A$1,E62,F62,LOHNTABELLE!$H$4))</f>
        <v/>
      </c>
      <c r="H62" s="282" t="str">
        <f>IF(AND(ISNUMBER(D62),ISNUMBER(F62)),ROUNDDOWN(MIN(IF(OR(ISBLANK(I62),I62=""),EOMONTH(DATE(EINSTELLUNG!$C$35,$A$1,1),0),I62)-MAX(D62,DATE(EINSTELLUNG!$C$35,$A$1,1))+1)/DAY(EOMONTH(DATE(EINSTELLUNG!$C$35,$A$1,1),0))*F62,2),"")</f>
        <v/>
      </c>
      <c r="I62" s="43"/>
      <c r="J62" s="44"/>
      <c r="K62" s="281" t="str">
        <f t="shared" si="1"/>
        <v/>
      </c>
      <c r="L62" s="283"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45"/>
      <c r="N62" s="65"/>
    </row>
    <row r="63" spans="1:22" ht="22" customHeight="1">
      <c r="A63" s="280" t="s">
        <v>134</v>
      </c>
      <c r="B63" s="92"/>
      <c r="C63" s="46"/>
      <c r="D63" s="50"/>
      <c r="E63" s="48"/>
      <c r="F63" s="49"/>
      <c r="G63" s="281" t="str">
        <f>IF(OR(E63="",F63=""),"",PID_KVLohnLookup($A$1,E63,F63,LOHNTABELLE!$H$4))</f>
        <v/>
      </c>
      <c r="H63" s="282" t="str">
        <f>IF(AND(ISNUMBER(D63),ISNUMBER(F63)),ROUNDDOWN(MIN(IF(OR(ISBLANK(I63),I63=""),EOMONTH(DATE(EINSTELLUNG!$C$35,$A$1,1),0),I63)-MAX(D63,DATE(EINSTELLUNG!$C$35,$A$1,1))+1)/DAY(EOMONTH(DATE(EINSTELLUNG!$C$35,$A$1,1),0))*F63,2),"")</f>
        <v/>
      </c>
      <c r="I63" s="50"/>
      <c r="J63" s="51"/>
      <c r="K63" s="281" t="str">
        <f t="shared" si="1"/>
        <v/>
      </c>
      <c r="L63" s="283"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52"/>
      <c r="N63" s="66"/>
    </row>
    <row r="64" spans="1:22" ht="22" customHeight="1">
      <c r="A64" s="280" t="s">
        <v>135</v>
      </c>
      <c r="B64" s="91"/>
      <c r="C64" s="39"/>
      <c r="D64" s="43"/>
      <c r="E64" s="41"/>
      <c r="F64" s="42"/>
      <c r="G64" s="281" t="str">
        <f>IF(OR(E64="",F64=""),"",PID_KVLohnLookup($A$1,E64,F64,LOHNTABELLE!$H$4))</f>
        <v/>
      </c>
      <c r="H64" s="282" t="str">
        <f>IF(AND(ISNUMBER(D64),ISNUMBER(F64)),ROUNDDOWN(MIN(IF(OR(ISBLANK(I64),I64=""),EOMONTH(DATE(EINSTELLUNG!$C$35,$A$1,1),0),I64)-MAX(D64,DATE(EINSTELLUNG!$C$35,$A$1,1))+1)/DAY(EOMONTH(DATE(EINSTELLUNG!$C$35,$A$1,1),0))*F64,2),"")</f>
        <v/>
      </c>
      <c r="I64" s="43"/>
      <c r="J64" s="44"/>
      <c r="K64" s="281" t="str">
        <f t="shared" si="1"/>
        <v/>
      </c>
      <c r="L64" s="283"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45"/>
      <c r="N64" s="65"/>
    </row>
    <row r="65" spans="1:14" ht="22" customHeight="1">
      <c r="A65" s="280" t="s">
        <v>136</v>
      </c>
      <c r="B65" s="92"/>
      <c r="C65" s="46"/>
      <c r="D65" s="50"/>
      <c r="E65" s="48"/>
      <c r="F65" s="49"/>
      <c r="G65" s="281" t="str">
        <f>IF(OR(E65="",F65=""),"",PID_KVLohnLookup($A$1,E65,F65,LOHNTABELLE!$H$4))</f>
        <v/>
      </c>
      <c r="H65" s="282" t="str">
        <f>IF(AND(ISNUMBER(D65),ISNUMBER(F65)),ROUNDDOWN(MIN(IF(OR(ISBLANK(I65),I65=""),EOMONTH(DATE(EINSTELLUNG!$C$35,$A$1,1),0),I65)-MAX(D65,DATE(EINSTELLUNG!$C$35,$A$1,1))+1)/DAY(EOMONTH(DATE(EINSTELLUNG!$C$35,$A$1,1),0))*F65,2),"")</f>
        <v/>
      </c>
      <c r="I65" s="50"/>
      <c r="J65" s="51"/>
      <c r="K65" s="281" t="str">
        <f t="shared" si="1"/>
        <v/>
      </c>
      <c r="L65" s="283"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52"/>
      <c r="N65" s="66"/>
    </row>
    <row r="66" spans="1:14" ht="22" customHeight="1">
      <c r="A66" s="280" t="s">
        <v>137</v>
      </c>
      <c r="B66" s="91"/>
      <c r="C66" s="39"/>
      <c r="D66" s="43"/>
      <c r="E66" s="41"/>
      <c r="F66" s="42"/>
      <c r="G66" s="281" t="str">
        <f>IF(OR(E66="",F66=""),"",PID_KVLohnLookup($A$1,E66,F66,LOHNTABELLE!$H$4))</f>
        <v/>
      </c>
      <c r="H66" s="282" t="str">
        <f>IF(AND(ISNUMBER(D66),ISNUMBER(F66)),ROUNDDOWN(MIN(IF(OR(ISBLANK(I66),I66=""),EOMONTH(DATE(EINSTELLUNG!$C$35,$A$1,1),0),I66)-MAX(D66,DATE(EINSTELLUNG!$C$35,$A$1,1))+1)/DAY(EOMONTH(DATE(EINSTELLUNG!$C$35,$A$1,1),0))*F66,2),"")</f>
        <v/>
      </c>
      <c r="I66" s="43"/>
      <c r="J66" s="44"/>
      <c r="K66" s="281" t="str">
        <f t="shared" si="1"/>
        <v/>
      </c>
      <c r="L66" s="283"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45"/>
      <c r="N66" s="65"/>
    </row>
    <row r="67" spans="1:14" ht="22" customHeight="1">
      <c r="A67" s="280" t="s">
        <v>138</v>
      </c>
      <c r="B67" s="92"/>
      <c r="C67" s="46"/>
      <c r="D67" s="50"/>
      <c r="E67" s="48"/>
      <c r="F67" s="49"/>
      <c r="G67" s="281" t="str">
        <f>IF(OR(E67="",F67=""),"",PID_KVLohnLookup($A$1,E67,F67,LOHNTABELLE!$H$4))</f>
        <v/>
      </c>
      <c r="H67" s="282" t="str">
        <f>IF(AND(ISNUMBER(D67),ISNUMBER(F67)),ROUNDDOWN(MIN(IF(OR(ISBLANK(I67),I67=""),EOMONTH(DATE(EINSTELLUNG!$C$35,$A$1,1),0),I67)-MAX(D67,DATE(EINSTELLUNG!$C$35,$A$1,1))+1)/DAY(EOMONTH(DATE(EINSTELLUNG!$C$35,$A$1,1),0))*F67,2),"")</f>
        <v/>
      </c>
      <c r="I67" s="50"/>
      <c r="J67" s="51"/>
      <c r="K67" s="281" t="str">
        <f t="shared" ref="K67:K82" si="3">IF(OR(B67="",C67=""),"",IFERROR(IF(OR(MONTH(D67)=1,MONTH(D67)=3,MONTH(D67)=5,MONTH(D67)=7,MONTH(D67)=8,MONTH(D67)=10,MONTH(D67)=12),(G67/31)*J67,IF(OR(MONTH(D67)=4,MONTH(D67)=6,MONTH(D67)=9,MONTH(D67)=11),(G67/30)*J67,(G67/DAY(EOMONTH(D67,0)))*J67)),0))</f>
        <v/>
      </c>
      <c r="L67" s="283"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52"/>
      <c r="N67" s="66"/>
    </row>
    <row r="68" spans="1:14" ht="22" customHeight="1">
      <c r="A68" s="280" t="s">
        <v>139</v>
      </c>
      <c r="B68" s="91"/>
      <c r="C68" s="39"/>
      <c r="D68" s="43"/>
      <c r="E68" s="41"/>
      <c r="F68" s="42"/>
      <c r="G68" s="281" t="str">
        <f>IF(OR(E68="",F68=""),"",PID_KVLohnLookup($A$1,E68,F68,LOHNTABELLE!$H$4))</f>
        <v/>
      </c>
      <c r="H68" s="282" t="str">
        <f>IF(AND(ISNUMBER(D68),ISNUMBER(F68)),ROUNDDOWN(MIN(IF(OR(ISBLANK(I68),I68=""),EOMONTH(DATE(EINSTELLUNG!$C$35,$A$1,1),0),I68)-MAX(D68,DATE(EINSTELLUNG!$C$35,$A$1,1))+1)/DAY(EOMONTH(DATE(EINSTELLUNG!$C$35,$A$1,1),0))*F68,2),"")</f>
        <v/>
      </c>
      <c r="I68" s="43"/>
      <c r="J68" s="44"/>
      <c r="K68" s="281" t="str">
        <f t="shared" si="3"/>
        <v/>
      </c>
      <c r="L68" s="283"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45"/>
      <c r="N68" s="65"/>
    </row>
    <row r="69" spans="1:14" ht="22" customHeight="1">
      <c r="A69" s="280" t="s">
        <v>140</v>
      </c>
      <c r="B69" s="92"/>
      <c r="C69" s="46"/>
      <c r="D69" s="50"/>
      <c r="E69" s="48"/>
      <c r="F69" s="49"/>
      <c r="G69" s="281" t="str">
        <f>IF(OR(E69="",F69=""),"",PID_KVLohnLookup($A$1,E69,F69,LOHNTABELLE!$H$4))</f>
        <v/>
      </c>
      <c r="H69" s="282" t="str">
        <f>IF(AND(ISNUMBER(D69),ISNUMBER(F69)),ROUNDDOWN(MIN(IF(OR(ISBLANK(I69),I69=""),EOMONTH(DATE(EINSTELLUNG!$C$35,$A$1,1),0),I69)-MAX(D69,DATE(EINSTELLUNG!$C$35,$A$1,1))+1)/DAY(EOMONTH(DATE(EINSTELLUNG!$C$35,$A$1,1),0))*F69,2),"")</f>
        <v/>
      </c>
      <c r="I69" s="50"/>
      <c r="J69" s="51"/>
      <c r="K69" s="281" t="str">
        <f t="shared" si="3"/>
        <v/>
      </c>
      <c r="L69" s="283"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52"/>
      <c r="N69" s="66"/>
    </row>
    <row r="70" spans="1:14" ht="22" customHeight="1">
      <c r="A70" s="280" t="s">
        <v>141</v>
      </c>
      <c r="B70" s="91"/>
      <c r="C70" s="39"/>
      <c r="D70" s="43"/>
      <c r="E70" s="41"/>
      <c r="F70" s="42"/>
      <c r="G70" s="281" t="str">
        <f>IF(OR(E70="",F70=""),"",PID_KVLohnLookup($A$1,E70,F70,LOHNTABELLE!$H$4))</f>
        <v/>
      </c>
      <c r="H70" s="282" t="str">
        <f>IF(AND(ISNUMBER(D70),ISNUMBER(F70)),ROUNDDOWN(MIN(IF(OR(ISBLANK(I70),I70=""),EOMONTH(DATE(EINSTELLUNG!$C$35,$A$1,1),0),I70)-MAX(D70,DATE(EINSTELLUNG!$C$35,$A$1,1))+1)/DAY(EOMONTH(DATE(EINSTELLUNG!$C$35,$A$1,1),0))*F70,2),"")</f>
        <v/>
      </c>
      <c r="I70" s="43"/>
      <c r="J70" s="44"/>
      <c r="K70" s="281" t="str">
        <f t="shared" si="3"/>
        <v/>
      </c>
      <c r="L70" s="283"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45"/>
      <c r="N70" s="65"/>
    </row>
    <row r="71" spans="1:14" ht="22" customHeight="1">
      <c r="A71" s="280" t="s">
        <v>142</v>
      </c>
      <c r="B71" s="92"/>
      <c r="C71" s="46"/>
      <c r="D71" s="50"/>
      <c r="E71" s="48"/>
      <c r="F71" s="49"/>
      <c r="G71" s="281" t="str">
        <f>IF(OR(E71="",F71=""),"",PID_KVLohnLookup($A$1,E71,F71,LOHNTABELLE!$H$4))</f>
        <v/>
      </c>
      <c r="H71" s="282" t="str">
        <f>IF(AND(ISNUMBER(D71),ISNUMBER(F71)),ROUNDDOWN(MIN(IF(OR(ISBLANK(I71),I71=""),EOMONTH(DATE(EINSTELLUNG!$C$35,$A$1,1),0),I71)-MAX(D71,DATE(EINSTELLUNG!$C$35,$A$1,1))+1)/DAY(EOMONTH(DATE(EINSTELLUNG!$C$35,$A$1,1),0))*F71,2),"")</f>
        <v/>
      </c>
      <c r="I71" s="50"/>
      <c r="J71" s="51"/>
      <c r="K71" s="281" t="str">
        <f t="shared" si="3"/>
        <v/>
      </c>
      <c r="L71" s="283"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52"/>
      <c r="N71" s="66"/>
    </row>
    <row r="72" spans="1:14" ht="22" customHeight="1">
      <c r="A72" s="280" t="s">
        <v>143</v>
      </c>
      <c r="B72" s="91"/>
      <c r="C72" s="39"/>
      <c r="D72" s="43"/>
      <c r="E72" s="41"/>
      <c r="F72" s="42"/>
      <c r="G72" s="281" t="str">
        <f>IF(OR(E72="",F72=""),"",PID_KVLohnLookup($A$1,E72,F72,LOHNTABELLE!$H$4))</f>
        <v/>
      </c>
      <c r="H72" s="282" t="str">
        <f>IF(AND(ISNUMBER(D72),ISNUMBER(F72)),ROUNDDOWN(MIN(IF(OR(ISBLANK(I72),I72=""),EOMONTH(DATE(EINSTELLUNG!$C$35,$A$1,1),0),I72)-MAX(D72,DATE(EINSTELLUNG!$C$35,$A$1,1))+1)/DAY(EOMONTH(DATE(EINSTELLUNG!$C$35,$A$1,1),0))*F72,2),"")</f>
        <v/>
      </c>
      <c r="I72" s="43"/>
      <c r="J72" s="44"/>
      <c r="K72" s="281" t="str">
        <f t="shared" si="3"/>
        <v/>
      </c>
      <c r="L72" s="283"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45"/>
      <c r="N72" s="65"/>
    </row>
    <row r="73" spans="1:14" ht="22" customHeight="1">
      <c r="A73" s="280" t="s">
        <v>144</v>
      </c>
      <c r="B73" s="92"/>
      <c r="C73" s="46"/>
      <c r="D73" s="50"/>
      <c r="E73" s="48"/>
      <c r="F73" s="49"/>
      <c r="G73" s="281" t="str">
        <f>IF(OR(E73="",F73=""),"",PID_KVLohnLookup($A$1,E73,F73,LOHNTABELLE!$H$4))</f>
        <v/>
      </c>
      <c r="H73" s="282" t="str">
        <f>IF(AND(ISNUMBER(D73),ISNUMBER(F73)),ROUNDDOWN(MIN(IF(OR(ISBLANK(I73),I73=""),EOMONTH(DATE(EINSTELLUNG!$C$35,$A$1,1),0),I73)-MAX(D73,DATE(EINSTELLUNG!$C$35,$A$1,1))+1)/DAY(EOMONTH(DATE(EINSTELLUNG!$C$35,$A$1,1),0))*F73,2),"")</f>
        <v/>
      </c>
      <c r="I73" s="50"/>
      <c r="J73" s="51"/>
      <c r="K73" s="281" t="str">
        <f t="shared" si="3"/>
        <v/>
      </c>
      <c r="L73" s="283"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52"/>
      <c r="N73" s="66"/>
    </row>
    <row r="74" spans="1:14" ht="22" customHeight="1">
      <c r="A74" s="280" t="s">
        <v>145</v>
      </c>
      <c r="B74" s="91"/>
      <c r="C74" s="39"/>
      <c r="D74" s="43"/>
      <c r="E74" s="41"/>
      <c r="F74" s="42"/>
      <c r="G74" s="281" t="str">
        <f>IF(OR(E74="",F74=""),"",PID_KVLohnLookup($A$1,E74,F74,LOHNTABELLE!$H$4))</f>
        <v/>
      </c>
      <c r="H74" s="282" t="str">
        <f>IF(AND(ISNUMBER(D74),ISNUMBER(F74)),ROUNDDOWN(MIN(IF(OR(ISBLANK(I74),I74=""),EOMONTH(DATE(EINSTELLUNG!$C$35,$A$1,1),0),I74)-MAX(D74,DATE(EINSTELLUNG!$C$35,$A$1,1))+1)/DAY(EOMONTH(DATE(EINSTELLUNG!$C$35,$A$1,1),0))*F74,2),"")</f>
        <v/>
      </c>
      <c r="I74" s="43"/>
      <c r="J74" s="44"/>
      <c r="K74" s="281" t="str">
        <f t="shared" si="3"/>
        <v/>
      </c>
      <c r="L74" s="283"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45"/>
      <c r="N74" s="65"/>
    </row>
    <row r="75" spans="1:14" ht="22" customHeight="1">
      <c r="A75" s="280" t="s">
        <v>146</v>
      </c>
      <c r="B75" s="92"/>
      <c r="C75" s="46"/>
      <c r="D75" s="50"/>
      <c r="E75" s="48"/>
      <c r="F75" s="49"/>
      <c r="G75" s="281" t="str">
        <f>IF(OR(E75="",F75=""),"",PID_KVLohnLookup($A$1,E75,F75,LOHNTABELLE!$H$4))</f>
        <v/>
      </c>
      <c r="H75" s="282" t="str">
        <f>IF(AND(ISNUMBER(D75),ISNUMBER(F75)),ROUNDDOWN(MIN(IF(OR(ISBLANK(I75),I75=""),EOMONTH(DATE(EINSTELLUNG!$C$35,$A$1,1),0),I75)-MAX(D75,DATE(EINSTELLUNG!$C$35,$A$1,1))+1)/DAY(EOMONTH(DATE(EINSTELLUNG!$C$35,$A$1,1),0))*F75,2),"")</f>
        <v/>
      </c>
      <c r="I75" s="50"/>
      <c r="J75" s="51"/>
      <c r="K75" s="281" t="str">
        <f t="shared" si="3"/>
        <v/>
      </c>
      <c r="L75" s="283"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52"/>
      <c r="N75" s="66"/>
    </row>
    <row r="76" spans="1:14" ht="22" customHeight="1">
      <c r="A76" s="280" t="s">
        <v>147</v>
      </c>
      <c r="B76" s="91"/>
      <c r="C76" s="39"/>
      <c r="D76" s="43"/>
      <c r="E76" s="41"/>
      <c r="F76" s="42"/>
      <c r="G76" s="281" t="str">
        <f>IF(OR(E76="",F76=""),"",PID_KVLohnLookup($A$1,E76,F76,LOHNTABELLE!$H$4))</f>
        <v/>
      </c>
      <c r="H76" s="282" t="str">
        <f>IF(AND(ISNUMBER(D76),ISNUMBER(F76)),ROUNDDOWN(MIN(IF(OR(ISBLANK(I76),I76=""),EOMONTH(DATE(EINSTELLUNG!$C$35,$A$1,1),0),I76)-MAX(D76,DATE(EINSTELLUNG!$C$35,$A$1,1))+1)/DAY(EOMONTH(DATE(EINSTELLUNG!$C$35,$A$1,1),0))*F76,2),"")</f>
        <v/>
      </c>
      <c r="I76" s="43"/>
      <c r="J76" s="44"/>
      <c r="K76" s="281" t="str">
        <f t="shared" si="3"/>
        <v/>
      </c>
      <c r="L76" s="283"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45"/>
      <c r="N76" s="65"/>
    </row>
    <row r="77" spans="1:14" ht="22" customHeight="1">
      <c r="A77" s="280" t="s">
        <v>148</v>
      </c>
      <c r="B77" s="92"/>
      <c r="C77" s="46"/>
      <c r="D77" s="50"/>
      <c r="E77" s="48"/>
      <c r="F77" s="49"/>
      <c r="G77" s="281" t="str">
        <f>IF(OR(E77="",F77=""),"",PID_KVLohnLookup($A$1,E77,F77,LOHNTABELLE!$H$4))</f>
        <v/>
      </c>
      <c r="H77" s="282" t="str">
        <f>IF(AND(ISNUMBER(D77),ISNUMBER(F77)),ROUNDDOWN(MIN(IF(OR(ISBLANK(I77),I77=""),EOMONTH(DATE(EINSTELLUNG!$C$35,$A$1,1),0),I77)-MAX(D77,DATE(EINSTELLUNG!$C$35,$A$1,1))+1)/DAY(EOMONTH(DATE(EINSTELLUNG!$C$35,$A$1,1),0))*F77,2),"")</f>
        <v/>
      </c>
      <c r="I77" s="50"/>
      <c r="J77" s="51"/>
      <c r="K77" s="281" t="str">
        <f t="shared" si="3"/>
        <v/>
      </c>
      <c r="L77" s="283"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52"/>
      <c r="N77" s="66"/>
    </row>
    <row r="78" spans="1:14" ht="22" customHeight="1">
      <c r="A78" s="280" t="s">
        <v>149</v>
      </c>
      <c r="B78" s="91"/>
      <c r="C78" s="39"/>
      <c r="D78" s="43"/>
      <c r="E78" s="41"/>
      <c r="F78" s="42"/>
      <c r="G78" s="281" t="str">
        <f>IF(OR(E78="",F78=""),"",PID_KVLohnLookup($A$1,E78,F78,LOHNTABELLE!$H$4))</f>
        <v/>
      </c>
      <c r="H78" s="282" t="str">
        <f>IF(AND(ISNUMBER(D78),ISNUMBER(F78)),ROUNDDOWN(MIN(IF(OR(ISBLANK(I78),I78=""),EOMONTH(DATE(EINSTELLUNG!$C$35,$A$1,1),0),I78)-MAX(D78,DATE(EINSTELLUNG!$C$35,$A$1,1))+1)/DAY(EOMONTH(DATE(EINSTELLUNG!$C$35,$A$1,1),0))*F78,2),"")</f>
        <v/>
      </c>
      <c r="I78" s="43"/>
      <c r="J78" s="44"/>
      <c r="K78" s="281" t="str">
        <f t="shared" si="3"/>
        <v/>
      </c>
      <c r="L78" s="283"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45"/>
      <c r="N78" s="65"/>
    </row>
    <row r="79" spans="1:14" ht="22" customHeight="1">
      <c r="A79" s="280" t="s">
        <v>150</v>
      </c>
      <c r="B79" s="92"/>
      <c r="C79" s="46"/>
      <c r="D79" s="50"/>
      <c r="E79" s="48"/>
      <c r="F79" s="49"/>
      <c r="G79" s="281" t="str">
        <f>IF(OR(E79="",F79=""),"",PID_KVLohnLookup($A$1,E79,F79,LOHNTABELLE!$H$4))</f>
        <v/>
      </c>
      <c r="H79" s="282" t="str">
        <f>IF(AND(ISNUMBER(D79),ISNUMBER(F79)),ROUNDDOWN(MIN(IF(OR(ISBLANK(I79),I79=""),EOMONTH(DATE(EINSTELLUNG!$C$35,$A$1,1),0),I79)-MAX(D79,DATE(EINSTELLUNG!$C$35,$A$1,1))+1)/DAY(EOMONTH(DATE(EINSTELLUNG!$C$35,$A$1,1),0))*F79,2),"")</f>
        <v/>
      </c>
      <c r="I79" s="50"/>
      <c r="J79" s="51"/>
      <c r="K79" s="281" t="str">
        <f t="shared" si="3"/>
        <v/>
      </c>
      <c r="L79" s="283"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52"/>
      <c r="N79" s="66"/>
    </row>
    <row r="80" spans="1:14" ht="22" customHeight="1">
      <c r="A80" s="280" t="s">
        <v>151</v>
      </c>
      <c r="B80" s="91"/>
      <c r="C80" s="39"/>
      <c r="D80" s="43"/>
      <c r="E80" s="41"/>
      <c r="F80" s="42"/>
      <c r="G80" s="281" t="str">
        <f>IF(OR(E80="",F80=""),"",PID_KVLohnLookup($A$1,E80,F80,LOHNTABELLE!$H$4))</f>
        <v/>
      </c>
      <c r="H80" s="282" t="str">
        <f>IF(AND(ISNUMBER(D80),ISNUMBER(F80)),ROUNDDOWN(MIN(IF(OR(ISBLANK(I80),I80=""),EOMONTH(DATE(EINSTELLUNG!$C$35,$A$1,1),0),I80)-MAX(D80,DATE(EINSTELLUNG!$C$35,$A$1,1))+1)/DAY(EOMONTH(DATE(EINSTELLUNG!$C$35,$A$1,1),0))*F80,2),"")</f>
        <v/>
      </c>
      <c r="I80" s="43"/>
      <c r="J80" s="44"/>
      <c r="K80" s="281" t="str">
        <f t="shared" si="3"/>
        <v/>
      </c>
      <c r="L80" s="283"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45"/>
      <c r="N80" s="65"/>
    </row>
    <row r="81" spans="1:14" ht="22" customHeight="1">
      <c r="A81" s="280" t="s">
        <v>152</v>
      </c>
      <c r="B81" s="92"/>
      <c r="C81" s="46"/>
      <c r="D81" s="50"/>
      <c r="E81" s="48"/>
      <c r="F81" s="49"/>
      <c r="G81" s="281" t="str">
        <f>IF(OR(E81="",F81=""),"",PID_KVLohnLookup($A$1,E81,F81,LOHNTABELLE!$H$4))</f>
        <v/>
      </c>
      <c r="H81" s="282" t="str">
        <f>IF(AND(ISNUMBER(D81),ISNUMBER(F81)),ROUNDDOWN(MIN(IF(OR(ISBLANK(I81),I81=""),EOMONTH(DATE(EINSTELLUNG!$C$35,$A$1,1),0),I81)-MAX(D81,DATE(EINSTELLUNG!$C$35,$A$1,1))+1)/DAY(EOMONTH(DATE(EINSTELLUNG!$C$35,$A$1,1),0))*F81,2),"")</f>
        <v/>
      </c>
      <c r="I81" s="50"/>
      <c r="J81" s="51"/>
      <c r="K81" s="281" t="str">
        <f t="shared" si="3"/>
        <v/>
      </c>
      <c r="L81" s="283"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52"/>
      <c r="N81" s="66"/>
    </row>
    <row r="82" spans="1:14" ht="22" customHeight="1" thickBot="1">
      <c r="A82" s="343" t="s">
        <v>153</v>
      </c>
      <c r="B82" s="93"/>
      <c r="C82" s="54"/>
      <c r="D82" s="55"/>
      <c r="E82" s="56"/>
      <c r="F82" s="57"/>
      <c r="G82" s="344" t="str">
        <f>IF(OR(E82="",F82=""),"",PID_KVLohnLookup($A$1,E82,F82,LOHNTABELLE!$H$4))</f>
        <v/>
      </c>
      <c r="H82" s="345" t="str">
        <f>IF(AND(ISNUMBER(D82),ISNUMBER(F82)),ROUNDDOWN(MIN(IF(OR(ISBLANK(I82),I82=""),EOMONTH(DATE(EINSTELLUNG!$C$35,$A$1,1),0),I82)-MAX(D82,DATE(EINSTELLUNG!$C$35,$A$1,1))+1)/DAY(EOMONTH(DATE(EINSTELLUNG!$C$35,$A$1,1),0))*F82,2),"")</f>
        <v/>
      </c>
      <c r="I82" s="55"/>
      <c r="J82" s="58"/>
      <c r="K82" s="344" t="str">
        <f t="shared" si="3"/>
        <v/>
      </c>
      <c r="L82" s="346"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59"/>
      <c r="N82" s="69"/>
    </row>
    <row r="100" spans="26:26" ht="16" customHeight="1">
      <c r="Z100" s="259"/>
    </row>
  </sheetData>
  <sheetProtection algorithmName="SHA-512" hashValue="JjumaEXr9480/aRON9oXoi/l3SJRUlPCdsl7JPdpHpfEZJEyFXg2q3Tulw7NUvad38Ljn3BIHKxbAw1GY3lVDg==" saltValue="EVYX8Xfnl78atWy1G7NKMQ==" spinCount="100000" sheet="1" objects="1" scenarios="1" autoFilter="0"/>
  <sortState xmlns:xlrd2="http://schemas.microsoft.com/office/spreadsheetml/2017/richdata2" ref="B3:N82">
    <sortCondition ref="B3:B82"/>
    <sortCondition ref="C3:C82"/>
  </sortState>
  <dataConsolidate/>
  <mergeCells count="102">
    <mergeCell ref="N1:N2"/>
    <mergeCell ref="A1:A2"/>
    <mergeCell ref="E1:E2"/>
    <mergeCell ref="F1:F2"/>
    <mergeCell ref="G1:G2"/>
    <mergeCell ref="H1:H2"/>
    <mergeCell ref="M1:M2"/>
    <mergeCell ref="S2:V2"/>
    <mergeCell ref="O42:P42"/>
    <mergeCell ref="Q42:V42"/>
    <mergeCell ref="O15:P15"/>
    <mergeCell ref="Q15:R15"/>
    <mergeCell ref="O16:R16"/>
    <mergeCell ref="O40:P40"/>
    <mergeCell ref="Q40:R40"/>
    <mergeCell ref="S40:T40"/>
    <mergeCell ref="U40:V40"/>
    <mergeCell ref="O41:P41"/>
    <mergeCell ref="Q41:R41"/>
    <mergeCell ref="S41:T41"/>
    <mergeCell ref="U41:V41"/>
    <mergeCell ref="O38:P38"/>
    <mergeCell ref="Q38:R38"/>
    <mergeCell ref="S38:T38"/>
    <mergeCell ref="U38:V38"/>
    <mergeCell ref="O39:P39"/>
    <mergeCell ref="Q39:R39"/>
    <mergeCell ref="S39:T39"/>
    <mergeCell ref="U39:V39"/>
    <mergeCell ref="O36:P36"/>
    <mergeCell ref="Q36:R36"/>
    <mergeCell ref="S36:T36"/>
    <mergeCell ref="U36:V36"/>
    <mergeCell ref="O37:P37"/>
    <mergeCell ref="Q37:R37"/>
    <mergeCell ref="S37:T37"/>
    <mergeCell ref="U37:V37"/>
    <mergeCell ref="O33:P34"/>
    <mergeCell ref="Q33:R34"/>
    <mergeCell ref="S33:T34"/>
    <mergeCell ref="U33:V34"/>
    <mergeCell ref="O35:P35"/>
    <mergeCell ref="Q35:R35"/>
    <mergeCell ref="S35:T35"/>
    <mergeCell ref="U35:V35"/>
    <mergeCell ref="S27:V27"/>
    <mergeCell ref="O29:P29"/>
    <mergeCell ref="Q29:R29"/>
    <mergeCell ref="O31:P31"/>
    <mergeCell ref="Q31:R31"/>
    <mergeCell ref="O28:P28"/>
    <mergeCell ref="Q28:R28"/>
    <mergeCell ref="O26:P26"/>
    <mergeCell ref="Q26:R26"/>
    <mergeCell ref="O27:P27"/>
    <mergeCell ref="Q27:R27"/>
    <mergeCell ref="O20:P20"/>
    <mergeCell ref="Q20:R20"/>
    <mergeCell ref="O21:P21"/>
    <mergeCell ref="Q21:R21"/>
    <mergeCell ref="O22:P22"/>
    <mergeCell ref="Q22:R22"/>
    <mergeCell ref="O23:P23"/>
    <mergeCell ref="Q23:R23"/>
    <mergeCell ref="O24:P24"/>
    <mergeCell ref="Q24:R24"/>
    <mergeCell ref="O25:P25"/>
    <mergeCell ref="Q25:R25"/>
    <mergeCell ref="O18:P18"/>
    <mergeCell ref="Q18:R18"/>
    <mergeCell ref="O19:P19"/>
    <mergeCell ref="Q19:R19"/>
    <mergeCell ref="O12:P12"/>
    <mergeCell ref="Q12:R12"/>
    <mergeCell ref="O13:P13"/>
    <mergeCell ref="Q13:R13"/>
    <mergeCell ref="O14:P14"/>
    <mergeCell ref="Q14:R14"/>
    <mergeCell ref="O9:P9"/>
    <mergeCell ref="Q9:R9"/>
    <mergeCell ref="O10:P10"/>
    <mergeCell ref="Q10:R10"/>
    <mergeCell ref="O11:P11"/>
    <mergeCell ref="Q11:R11"/>
    <mergeCell ref="O44:V44"/>
    <mergeCell ref="O45:U45"/>
    <mergeCell ref="B1:B2"/>
    <mergeCell ref="C1:C2"/>
    <mergeCell ref="D1:D2"/>
    <mergeCell ref="I1:I2"/>
    <mergeCell ref="J1:J2"/>
    <mergeCell ref="K1:K2"/>
    <mergeCell ref="L1:L2"/>
    <mergeCell ref="P3:P4"/>
    <mergeCell ref="Q3:Q4"/>
    <mergeCell ref="R3:R4"/>
    <mergeCell ref="O6:R6"/>
    <mergeCell ref="O8:P8"/>
    <mergeCell ref="Q8:R8"/>
    <mergeCell ref="O3:O4"/>
    <mergeCell ref="O17:P17"/>
    <mergeCell ref="Q17:R17"/>
  </mergeCells>
  <dataValidations count="2">
    <dataValidation type="list" allowBlank="1" showInputMessage="1" showErrorMessage="1" errorTitle="Ungültiger Austrittsgrund" error="Bitte nur einen Wert aus der Liste auswählen." promptTitle="Austrittsgrund" prompt="Bitte den passenden Austrittsgrund auswählen." sqref="N3:N82" xr:uid="{B033B1C7-2769-5F48-B4A3-B00BCAEE027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EC8C502F-2178-C143-89E9-B247DFF3F52F}">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B5186D4A-E319-5E45-97ED-BC0AA1306824}">
          <x14:formula1>
            <xm:f>KV_DROPDOWN_HELPER!$OL$1:$OL$13</xm:f>
          </x14:formula1>
          <xm:sqref>F4 F5 F8</xm:sqref>
        </x14:dataValidation>
        <x14:dataValidation type="list" allowBlank="1" showInputMessage="1" showErrorMessage="1" xr:uid="{60D04F49-F6E2-DE4E-81B8-D126292D1FC0}">
          <x14:formula1>
            <xm:f>KV_DROPDOWN_HELPER!$OP$1:$OP$13</xm:f>
          </x14:formula1>
          <xm:sqref>F20 F23 F25</xm:sqref>
        </x14:dataValidation>
        <x14:dataValidation type="list" allowBlank="1" showInputMessage="1" showErrorMessage="1" xr:uid="{1433216C-F0C8-7B46-B5CD-7E035796D5CD}">
          <x14:formula1>
            <xm:f>KV_DROPDOWN_HELPER!$OO$1:$OO$13</xm:f>
          </x14:formula1>
          <xm:sqref>F19</xm:sqref>
        </x14:dataValidation>
        <x14:dataValidation type="list" allowBlank="1" showInputMessage="1" showErrorMessage="1" xr:uid="{D01590A6-FA62-E94A-ACDE-90FA0AA5E72A}">
          <x14:formula1>
            <xm:f>KV_DROPDOWN_HELPER!$ON$1:$ON$13</xm:f>
          </x14:formula1>
          <xm:sqref>F16</xm:sqref>
        </x14:dataValidation>
        <x14:dataValidation type="list" allowBlank="1" showInputMessage="1" showErrorMessage="1" xr:uid="{8092244E-8A59-4D1A-8D30-E7094D11CFB3}">
          <x14:formula1>
            <xm:f>KV_DROPDOWN_HELPER!$OM$1:$OM$13</xm:f>
          </x14:formula1>
          <xm:sqref>F7 F9 F10 F11 F14 F56</xm:sqref>
        </x14:dataValidation>
        <x14:dataValidation type="list" allowBlank="1" showInputMessage="1" showErrorMessage="1" xr:uid="{CBA6A94C-1587-4F76-9A2D-0CBD2C042E18}">
          <x14:formula1>
            <xm:f>KV_DROPDOWN_HELPER!$OQ$1:$OQ$13</xm:f>
          </x14:formula1>
          <xm:sqref>F61 F62 F63 F64 F65 F66 F67 F68 F69 F70 F71 F72 F73 F74 F75 F76 F77 F78 F79 F80 F81 F82</xm:sqref>
        </x14:dataValidation>
        <x14:dataValidation type="list" allowBlank="1" showInputMessage="1" showErrorMessage="1" xr:uid="{F2576FE5-0046-45EB-BF76-BDA2FFB259AB}">
          <x14:formula1>
            <xm:f>KV_DROPDOWN_HELPER!$OK$1:$OK$16</xm:f>
          </x14:formula1>
          <xm:sqref>F3 F6 F12 F13 F15 F17 F18 F21 F22 F24 F26 F27 F28 F29 F30 F31 F32 F33 F34 F35 F36 F37 F38 F39 F40 F41 F42 F43 F44 F45 F46 F47 F48 F49 F50 F51 F52 F53 F54 F55 F57 F58 F59 F60</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2182FA-4A8B-4EFF-84FF-24677E264240}">
  <sheetPr codeName="Tabelle9"/>
  <dimension ref="A1:AC100"/>
  <sheetViews>
    <sheetView showGridLines="0" showRowColHeaders="0" zoomScaleNormal="100" workbookViewId="0">
      <pane ySplit="2" topLeftCell="A3" activePane="bottomLeft" state="frozen"/>
      <selection activeCell="T24" sqref="T24"/>
      <selection pane="bottomLeft" activeCell="W3" sqref="W3:Y50"/>
    </sheetView>
  </sheetViews>
  <sheetFormatPr baseColWidth="10" defaultColWidth="9.1796875" defaultRowHeight="16" customHeight="1"/>
  <cols>
    <col min="1" max="1" width="4.453125" style="347" customWidth="1"/>
    <col min="2" max="2" width="9.1796875" style="347" customWidth="1"/>
    <col min="3" max="3" width="35.6328125" style="179" customWidth="1"/>
    <col min="4" max="4" width="13.6328125" style="179" customWidth="1"/>
    <col min="5" max="5" width="9.6328125" style="179" customWidth="1"/>
    <col min="6" max="6" width="10.6328125" style="179" customWidth="1"/>
    <col min="7" max="7" width="13.6328125" style="179" customWidth="1"/>
    <col min="8" max="8" width="11.6328125" style="179" customWidth="1"/>
    <col min="9" max="10" width="13.6328125" style="179" customWidth="1"/>
    <col min="11" max="11" width="14.6328125" style="179" customWidth="1"/>
    <col min="12" max="12" width="14.6328125" style="306" customWidth="1"/>
    <col min="13" max="13" width="17.81640625" style="179" customWidth="1"/>
    <col min="14" max="14" width="34.6328125" style="179" customWidth="1"/>
    <col min="15" max="15" width="12.6328125" style="179" customWidth="1"/>
    <col min="16" max="16" width="16.6328125" style="179" customWidth="1"/>
    <col min="17" max="17" width="14.6328125" style="179" customWidth="1"/>
    <col min="18" max="18" width="13.6328125" style="179" customWidth="1"/>
    <col min="19" max="19" width="9.6328125" style="179" customWidth="1"/>
    <col min="20" max="20" width="10.6328125" style="179" customWidth="1"/>
    <col min="21" max="21" width="7.6328125" style="179" customWidth="1"/>
    <col min="22" max="27" width="9.1796875" style="179"/>
    <col min="28" max="28" width="10.6328125" style="179" bestFit="1" customWidth="1"/>
    <col min="29" max="16384" width="9.1796875" style="179"/>
  </cols>
  <sheetData>
    <row r="1" spans="1:28" ht="18" customHeight="1">
      <c r="A1" s="261">
        <v>7</v>
      </c>
      <c r="B1" s="262" t="s">
        <v>180</v>
      </c>
      <c r="C1" s="263" t="s">
        <v>39</v>
      </c>
      <c r="D1" s="263" t="s">
        <v>181</v>
      </c>
      <c r="E1" s="263" t="s">
        <v>0</v>
      </c>
      <c r="F1" s="263" t="s">
        <v>40</v>
      </c>
      <c r="G1" s="263" t="s">
        <v>41</v>
      </c>
      <c r="H1" s="263" t="s">
        <v>42</v>
      </c>
      <c r="I1" s="263" t="s">
        <v>182</v>
      </c>
      <c r="J1" s="263" t="s">
        <v>43</v>
      </c>
      <c r="K1" s="263" t="s">
        <v>44</v>
      </c>
      <c r="L1" s="263" t="s">
        <v>45</v>
      </c>
      <c r="M1" s="263" t="s">
        <v>46</v>
      </c>
      <c r="N1" s="264" t="s">
        <v>183</v>
      </c>
      <c r="AB1" s="265">
        <f>DATE(EINSTELLUNG!$C$35,$A$1,1)</f>
        <v>46204</v>
      </c>
    </row>
    <row r="2" spans="1:28" ht="18" customHeight="1" thickBot="1">
      <c r="A2" s="266"/>
      <c r="B2" s="267"/>
      <c r="C2" s="268"/>
      <c r="D2" s="268"/>
      <c r="E2" s="268"/>
      <c r="F2" s="268"/>
      <c r="G2" s="268"/>
      <c r="H2" s="268"/>
      <c r="I2" s="268"/>
      <c r="J2" s="268"/>
      <c r="K2" s="268"/>
      <c r="L2" s="268"/>
      <c r="M2" s="268"/>
      <c r="N2" s="269"/>
      <c r="O2" s="270"/>
      <c r="P2" s="270"/>
      <c r="Q2" s="270"/>
      <c r="S2" s="271" t="s">
        <v>378</v>
      </c>
      <c r="T2" s="271"/>
      <c r="U2" s="271"/>
      <c r="V2" s="271"/>
      <c r="AB2" s="265">
        <f>EOMONTH(DATE(EINSTELLUNG!$C$35,$A$1,1),0)</f>
        <v>46234</v>
      </c>
    </row>
    <row r="3" spans="1:28" ht="22" customHeight="1">
      <c r="A3" s="272" t="s">
        <v>383</v>
      </c>
      <c r="B3" s="90">
        <v>401010</v>
      </c>
      <c r="C3" s="32" t="s">
        <v>223</v>
      </c>
      <c r="D3" s="33">
        <v>39388</v>
      </c>
      <c r="E3" s="34" t="s">
        <v>2</v>
      </c>
      <c r="F3" s="60">
        <v>138.4</v>
      </c>
      <c r="G3" s="273">
        <f>IF(OR(E3="",F3=""),"",PID_KVLohnLookup($A$1,E3,F3,LOHNTABELLE!$H$4))</f>
        <v>1616.8</v>
      </c>
      <c r="H3" s="274">
        <f>IF(AND(ISNUMBER(D3),ISNUMBER(F3)),ROUNDDOWN(MIN(IF(OR(ISBLANK(I3),I3=""),EOMONTH(DATE(EINSTELLUNG!$C$35,$A$1,1),0),I3)-MAX(D3,DATE(EINSTELLUNG!$C$35,$A$1,1))+1)/DAY(EOMONTH(DATE(EINSTELLUNG!$C$35,$A$1,1),0))*F3,2),"")</f>
        <v>138.4</v>
      </c>
      <c r="I3" s="36"/>
      <c r="J3" s="37"/>
      <c r="K3" s="273">
        <f t="shared" ref="K3:K34" si="0">IF(OR(B3="",C3=""),"",IFERROR(IF(OR(MONTH(D3)=1,MONTH(D3)=3,MONTH(D3)=5,MONTH(D3)=7,MONTH(D3)=8,MONTH(D3)=10,MONTH(D3)=12),(G3/31)*J3,IF(OR(MONTH(D3)=4,MONTH(D3)=6,MONTH(D3)=9,MONTH(D3)=11),(G3/30)*J3,(G3/DAY(EOMONTH(D3,0)))*J3)),0))</f>
        <v>0</v>
      </c>
      <c r="L3" s="275">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1616.8</v>
      </c>
      <c r="M3" s="38"/>
      <c r="N3" s="64"/>
      <c r="O3" s="276" t="s">
        <v>47</v>
      </c>
      <c r="P3" s="276" t="s">
        <v>48</v>
      </c>
      <c r="Q3" s="276" t="s">
        <v>49</v>
      </c>
      <c r="R3" s="277" t="s">
        <v>50</v>
      </c>
      <c r="S3" s="278"/>
      <c r="T3" s="278"/>
      <c r="U3" s="278"/>
      <c r="V3" s="278"/>
      <c r="AB3" s="279"/>
    </row>
    <row r="4" spans="1:28" ht="22" customHeight="1">
      <c r="A4" s="280" t="s">
        <v>51</v>
      </c>
      <c r="B4" s="91">
        <v>401049</v>
      </c>
      <c r="C4" s="39" t="s">
        <v>224</v>
      </c>
      <c r="D4" s="40">
        <v>41130</v>
      </c>
      <c r="E4" s="41" t="s">
        <v>4</v>
      </c>
      <c r="F4" s="42">
        <v>129.75</v>
      </c>
      <c r="G4" s="281">
        <f>IF(OR(E4="",F4=""),"",PID_KVLohnLookup($A$1,E4,F4,LOHNTABELLE!$H$4))</f>
        <v>1592.25</v>
      </c>
      <c r="H4" s="282">
        <f>IF(AND(ISNUMBER(D4),ISNUMBER(F4)),ROUNDDOWN(MIN(IF(OR(ISBLANK(I4),I4=""),EOMONTH(DATE(EINSTELLUNG!$C$35,$A$1,1),0),I4)-MAX(D4,DATE(EINSTELLUNG!$C$35,$A$1,1))+1)/DAY(EOMONTH(DATE(EINSTELLUNG!$C$35,$A$1,1),0))*F4,2),"")</f>
        <v>129.75</v>
      </c>
      <c r="I4" s="43"/>
      <c r="J4" s="44"/>
      <c r="K4" s="281">
        <f t="shared" si="0"/>
        <v>0</v>
      </c>
      <c r="L4" s="283">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1592.25</v>
      </c>
      <c r="M4" s="45"/>
      <c r="N4" s="65"/>
      <c r="O4" s="284"/>
      <c r="P4" s="284"/>
      <c r="Q4" s="284"/>
      <c r="R4" s="285"/>
      <c r="S4" s="278"/>
      <c r="T4" s="278"/>
      <c r="U4" s="278"/>
      <c r="V4" s="278"/>
    </row>
    <row r="5" spans="1:28" ht="22" customHeight="1">
      <c r="A5" s="280" t="s">
        <v>52</v>
      </c>
      <c r="B5" s="92">
        <v>401051</v>
      </c>
      <c r="C5" s="46" t="s">
        <v>226</v>
      </c>
      <c r="D5" s="47">
        <v>41176</v>
      </c>
      <c r="E5" s="48" t="s">
        <v>2</v>
      </c>
      <c r="F5" s="49">
        <v>173</v>
      </c>
      <c r="G5" s="281">
        <f>IF(OR(E5="",F5=""),"",PID_KVLohnLookup($A$1,E5,F5,LOHNTABELLE!$H$4))</f>
        <v>2021</v>
      </c>
      <c r="H5" s="282">
        <f>IF(AND(ISNUMBER(D5),ISNUMBER(F5)),ROUNDDOWN(MIN(IF(OR(ISBLANK(I5),I5=""),EOMONTH(DATE(EINSTELLUNG!$C$35,$A$1,1),0),I5)-MAX(D5,DATE(EINSTELLUNG!$C$35,$A$1,1))+1)/DAY(EOMONTH(DATE(EINSTELLUNG!$C$35,$A$1,1),0))*F5,2),"")</f>
        <v>173</v>
      </c>
      <c r="I5" s="50"/>
      <c r="J5" s="51"/>
      <c r="K5" s="281">
        <f t="shared" si="0"/>
        <v>0</v>
      </c>
      <c r="L5" s="283">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2021</v>
      </c>
      <c r="M5" s="52"/>
      <c r="N5" s="66"/>
      <c r="O5" s="286" cm="1">
        <f t="array" ref="O5">SUMPRODUCT((F3:F82/4.310808)/5*2.08)</f>
        <v>785.70372886011194</v>
      </c>
      <c r="P5" s="287">
        <f>EINSTELLUNG!I12</f>
        <v>600</v>
      </c>
      <c r="Q5" s="287">
        <f>P5-O5</f>
        <v>-185.70372886011194</v>
      </c>
      <c r="R5" s="288">
        <f>IFERROR(Q5*Q42, 0)</f>
        <v>-2181.2870608504727</v>
      </c>
      <c r="S5" s="278"/>
      <c r="T5" s="278"/>
      <c r="U5" s="278"/>
      <c r="V5" s="278"/>
    </row>
    <row r="6" spans="1:28" ht="22" customHeight="1">
      <c r="A6" s="280" t="s">
        <v>53</v>
      </c>
      <c r="B6" s="91">
        <v>401089</v>
      </c>
      <c r="C6" s="39" t="s">
        <v>240</v>
      </c>
      <c r="D6" s="40">
        <v>44868</v>
      </c>
      <c r="E6" s="41" t="s">
        <v>3</v>
      </c>
      <c r="F6" s="42">
        <v>173</v>
      </c>
      <c r="G6" s="281">
        <f>IF(OR(E6="",F6=""),"",PID_KVLohnLookup($A$1,E6,F6,LOHNTABELLE!$H$4))</f>
        <v>2082</v>
      </c>
      <c r="H6" s="282">
        <f>IF(AND(ISNUMBER(D6),ISNUMBER(F6)),ROUNDDOWN(MIN(IF(OR(ISBLANK(I6),I6=""),EOMONTH(DATE(EINSTELLUNG!$C$35,$A$1,1),0),I6)-MAX(D6,DATE(EINSTELLUNG!$C$35,$A$1,1))+1)/DAY(EOMONTH(DATE(EINSTELLUNG!$C$35,$A$1,1),0))*F6,2),"")</f>
        <v>173</v>
      </c>
      <c r="I6" s="43"/>
      <c r="J6" s="44"/>
      <c r="K6" s="281">
        <f t="shared" si="0"/>
        <v>0</v>
      </c>
      <c r="L6" s="283">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2082</v>
      </c>
      <c r="M6" s="45"/>
      <c r="N6" s="65"/>
      <c r="O6" s="289" t="str">
        <f>IF(Q5&lt;0, "Schlecht! Zu wenig Urlaub abgebaut.", IF(Q5&gt;0, "Gut! Mehr Urlaub abgebaut als aufgebaut.", ""))</f>
        <v>Schlecht! Zu wenig Urlaub abgebaut.</v>
      </c>
      <c r="P6" s="290"/>
      <c r="Q6" s="290"/>
      <c r="R6" s="291"/>
      <c r="S6" s="278"/>
      <c r="T6" s="278"/>
      <c r="U6" s="278"/>
      <c r="V6" s="278"/>
    </row>
    <row r="7" spans="1:28" ht="22" customHeight="1" thickBot="1">
      <c r="A7" s="280" t="s">
        <v>54</v>
      </c>
      <c r="B7" s="92">
        <v>401138</v>
      </c>
      <c r="C7" s="46" t="s">
        <v>227</v>
      </c>
      <c r="D7" s="47">
        <v>42006</v>
      </c>
      <c r="E7" s="48" t="s">
        <v>4</v>
      </c>
      <c r="F7" s="49">
        <v>173</v>
      </c>
      <c r="G7" s="281">
        <f>IF(OR(E7="",F7=""),"",PID_KVLohnLookup($A$1,E7,F7,LOHNTABELLE!$H$4))</f>
        <v>2123</v>
      </c>
      <c r="H7" s="282">
        <f>IF(AND(ISNUMBER(D7),ISNUMBER(F7)),ROUNDDOWN(MIN(IF(OR(ISBLANK(I7),I7=""),EOMONTH(DATE(EINSTELLUNG!$C$35,$A$1,1),0),I7)-MAX(D7,DATE(EINSTELLUNG!$C$35,$A$1,1))+1)/DAY(EOMONTH(DATE(EINSTELLUNG!$C$35,$A$1,1),0))*F7,2),"")</f>
        <v>173</v>
      </c>
      <c r="I7" s="50"/>
      <c r="J7" s="51"/>
      <c r="K7" s="281">
        <f t="shared" si="0"/>
        <v>0</v>
      </c>
      <c r="L7" s="283">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2123</v>
      </c>
      <c r="M7" s="52"/>
      <c r="N7" s="66"/>
      <c r="O7" s="278"/>
      <c r="P7" s="278"/>
      <c r="Q7" s="278"/>
      <c r="R7" s="278"/>
      <c r="S7" s="278"/>
      <c r="T7" s="278"/>
      <c r="U7" s="278"/>
      <c r="V7" s="278"/>
    </row>
    <row r="8" spans="1:28" ht="22" customHeight="1">
      <c r="A8" s="280" t="s">
        <v>55</v>
      </c>
      <c r="B8" s="91">
        <v>401197</v>
      </c>
      <c r="C8" s="39" t="s">
        <v>228</v>
      </c>
      <c r="D8" s="40">
        <v>42644</v>
      </c>
      <c r="E8" s="41" t="s">
        <v>3</v>
      </c>
      <c r="F8" s="42">
        <v>173</v>
      </c>
      <c r="G8" s="281">
        <f>IF(OR(E8="",F8=""),"",PID_KVLohnLookup($A$1,E8,F8,LOHNTABELLE!$H$4))</f>
        <v>2082</v>
      </c>
      <c r="H8" s="282">
        <f>IF(AND(ISNUMBER(D8),ISNUMBER(F8)),ROUNDDOWN(MIN(IF(OR(ISBLANK(I8),I8=""),EOMONTH(DATE(EINSTELLUNG!$C$35,$A$1,1),0),I8)-MAX(D8,DATE(EINSTELLUNG!$C$35,$A$1,1))+1)/DAY(EOMONTH(DATE(EINSTELLUNG!$C$35,$A$1,1),0))*F8,2),"")</f>
        <v>173</v>
      </c>
      <c r="I8" s="43"/>
      <c r="J8" s="44"/>
      <c r="K8" s="281">
        <f t="shared" si="0"/>
        <v>0</v>
      </c>
      <c r="L8" s="283">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2082</v>
      </c>
      <c r="M8" s="45"/>
      <c r="N8" s="65"/>
      <c r="O8" s="357" t="s">
        <v>56</v>
      </c>
      <c r="P8" s="293"/>
      <c r="Q8" s="294">
        <f>SUM(H3:H82)</f>
        <v>8141.869999999999</v>
      </c>
      <c r="R8" s="295"/>
      <c r="S8" s="278"/>
      <c r="T8" s="278"/>
      <c r="U8" s="278"/>
      <c r="V8" s="278"/>
    </row>
    <row r="9" spans="1:28" ht="22" customHeight="1">
      <c r="A9" s="280" t="s">
        <v>57</v>
      </c>
      <c r="B9" s="92">
        <v>401214</v>
      </c>
      <c r="C9" s="46" t="s">
        <v>254</v>
      </c>
      <c r="D9" s="47">
        <v>45636</v>
      </c>
      <c r="E9" s="48" t="s">
        <v>3</v>
      </c>
      <c r="F9" s="49">
        <v>173</v>
      </c>
      <c r="G9" s="281">
        <f>IF(OR(E9="",F9=""),"",PID_KVLohnLookup($A$1,E9,F9,LOHNTABELLE!$H$4))</f>
        <v>2082</v>
      </c>
      <c r="H9" s="282">
        <f>IF(AND(ISNUMBER(D9),ISNUMBER(F9)),ROUNDDOWN(MIN(IF(OR(ISBLANK(I9),I9=""),EOMONTH(DATE(EINSTELLUNG!$C$35,$A$1,1),0),I9)-MAX(D9,DATE(EINSTELLUNG!$C$35,$A$1,1))+1)/DAY(EOMONTH(DATE(EINSTELLUNG!$C$35,$A$1,1),0))*F9,2),"")</f>
        <v>173</v>
      </c>
      <c r="I9" s="50"/>
      <c r="J9" s="51"/>
      <c r="K9" s="281">
        <f t="shared" si="0"/>
        <v>0</v>
      </c>
      <c r="L9" s="283">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52"/>
      <c r="N9" s="66"/>
      <c r="O9" s="358" t="s">
        <v>58</v>
      </c>
      <c r="P9" s="297"/>
      <c r="Q9" s="298">
        <f>EINSTELLUNG!L28</f>
        <v>7</v>
      </c>
      <c r="R9" s="299"/>
      <c r="S9" s="300">
        <f>IFERROR(Q9/Q8, 0)</f>
        <v>8.5975334904634943E-4</v>
      </c>
      <c r="T9" s="278"/>
      <c r="U9" s="278"/>
      <c r="V9" s="278"/>
    </row>
    <row r="10" spans="1:28" ht="22" customHeight="1">
      <c r="A10" s="280" t="s">
        <v>59</v>
      </c>
      <c r="B10" s="91">
        <v>401276</v>
      </c>
      <c r="C10" s="39" t="s">
        <v>229</v>
      </c>
      <c r="D10" s="40">
        <v>43252</v>
      </c>
      <c r="E10" s="41" t="s">
        <v>3</v>
      </c>
      <c r="F10" s="42">
        <v>173</v>
      </c>
      <c r="G10" s="281">
        <f>IF(OR(E10="",F10=""),"",PID_KVLohnLookup($A$1,E10,F10,LOHNTABELLE!$H$4))</f>
        <v>2082</v>
      </c>
      <c r="H10" s="282">
        <f>IF(AND(ISNUMBER(D10),ISNUMBER(F10)),ROUNDDOWN(MIN(IF(OR(ISBLANK(I10),I10=""),EOMONTH(DATE(EINSTELLUNG!$C$35,$A$1,1),0),I10)-MAX(D10,DATE(EINSTELLUNG!$C$35,$A$1,1))+1)/DAY(EOMONTH(DATE(EINSTELLUNG!$C$35,$A$1,1),0))*F10,2),"")</f>
        <v>173</v>
      </c>
      <c r="I10" s="43"/>
      <c r="J10" s="44"/>
      <c r="K10" s="281">
        <f t="shared" si="0"/>
        <v>0</v>
      </c>
      <c r="L10" s="283">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45"/>
      <c r="N10" s="65"/>
      <c r="O10" s="358" t="s">
        <v>60</v>
      </c>
      <c r="P10" s="297"/>
      <c r="Q10" s="298">
        <f>EINSTELLUNG!I28</f>
        <v>0</v>
      </c>
      <c r="R10" s="299"/>
      <c r="S10" s="278"/>
      <c r="T10" s="278"/>
      <c r="U10" s="278"/>
      <c r="V10" s="278"/>
    </row>
    <row r="11" spans="1:28" ht="22" customHeight="1">
      <c r="A11" s="280" t="s">
        <v>61</v>
      </c>
      <c r="B11" s="92">
        <v>401276</v>
      </c>
      <c r="C11" s="46" t="s">
        <v>386</v>
      </c>
      <c r="D11" s="47">
        <v>38899</v>
      </c>
      <c r="E11" s="48" t="s">
        <v>2</v>
      </c>
      <c r="F11" s="49">
        <v>55</v>
      </c>
      <c r="G11" s="281" t="str">
        <f>IF(OR(E11="",F11=""),"",PID_KVLohnLookup($A$1,E11,F11,LOHNTABELLE!$H$4))</f>
        <v>Nicht gefunden</v>
      </c>
      <c r="H11" s="282">
        <f>IF(AND(ISNUMBER(D11),ISNUMBER(F11)),ROUNDDOWN(MIN(IF(OR(ISBLANK(I11),I11=""),EOMONTH(DATE(EINSTELLUNG!$C$35,$A$1,1),0),I11)-MAX(D11,DATE(EINSTELLUNG!$C$35,$A$1,1))+1)/DAY(EOMONTH(DATE(EINSTELLUNG!$C$35,$A$1,1),0))*F11,2),"")</f>
        <v>55</v>
      </c>
      <c r="I11" s="50"/>
      <c r="J11" s="51"/>
      <c r="K11" s="281">
        <f t="shared" si="0"/>
        <v>0</v>
      </c>
      <c r="L11" s="283" t="str">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
      </c>
      <c r="M11" s="52"/>
      <c r="N11" s="66"/>
      <c r="O11" s="358" t="s">
        <v>62</v>
      </c>
      <c r="P11" s="297"/>
      <c r="Q11" s="298">
        <f>P5</f>
        <v>600</v>
      </c>
      <c r="R11" s="299"/>
      <c r="S11" s="278"/>
      <c r="T11" s="278"/>
      <c r="U11" s="278"/>
      <c r="V11" s="278"/>
    </row>
    <row r="12" spans="1:28" ht="22" customHeight="1">
      <c r="A12" s="280" t="s">
        <v>63</v>
      </c>
      <c r="B12" s="91">
        <v>401307</v>
      </c>
      <c r="C12" s="39" t="s">
        <v>230</v>
      </c>
      <c r="D12" s="40">
        <v>43571</v>
      </c>
      <c r="E12" s="41" t="s">
        <v>2</v>
      </c>
      <c r="F12" s="42">
        <v>55</v>
      </c>
      <c r="G12" s="281" t="str">
        <f>IF(OR(E12="",F12=""),"",PID_KVLohnLookup($A$1,E12,F12,LOHNTABELLE!$H$4))</f>
        <v>Nicht gefunden</v>
      </c>
      <c r="H12" s="282">
        <f>IF(AND(ISNUMBER(D12),ISNUMBER(F12)),ROUNDDOWN(MIN(IF(OR(ISBLANK(I12),I12=""),EOMONTH(DATE(EINSTELLUNG!$C$35,$A$1,1),0),I12)-MAX(D12,DATE(EINSTELLUNG!$C$35,$A$1,1))+1)/DAY(EOMONTH(DATE(EINSTELLUNG!$C$35,$A$1,1),0))*F12,2),"")</f>
        <v>55</v>
      </c>
      <c r="I12" s="43"/>
      <c r="J12" s="44"/>
      <c r="K12" s="281">
        <f t="shared" si="0"/>
        <v>0</v>
      </c>
      <c r="L12" s="283" t="str">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
      </c>
      <c r="M12" s="45"/>
      <c r="N12" s="65"/>
      <c r="O12" s="358" t="s">
        <v>64</v>
      </c>
      <c r="P12" s="297"/>
      <c r="Q12" s="172">
        <v>-50</v>
      </c>
      <c r="R12" s="173"/>
      <c r="S12" s="278"/>
      <c r="T12" s="278"/>
      <c r="U12" s="278"/>
      <c r="V12" s="278"/>
    </row>
    <row r="13" spans="1:28" ht="22" customHeight="1">
      <c r="A13" s="280" t="s">
        <v>65</v>
      </c>
      <c r="B13" s="92">
        <v>401308</v>
      </c>
      <c r="C13" s="46" t="s">
        <v>231</v>
      </c>
      <c r="D13" s="47">
        <v>43579</v>
      </c>
      <c r="E13" s="48" t="s">
        <v>3</v>
      </c>
      <c r="F13" s="49">
        <v>173</v>
      </c>
      <c r="G13" s="281">
        <f>IF(OR(E13="",F13=""),"",PID_KVLohnLookup($A$1,E13,F13,LOHNTABELLE!$H$4))</f>
        <v>2082</v>
      </c>
      <c r="H13" s="282">
        <f>IF(AND(ISNUMBER(D13),ISNUMBER(F13)),ROUNDDOWN(MIN(IF(OR(ISBLANK(I13),I13=""),EOMONTH(DATE(EINSTELLUNG!$C$35,$A$1,1),0),I13)-MAX(D13,DATE(EINSTELLUNG!$C$35,$A$1,1))+1)/DAY(EOMONTH(DATE(EINSTELLUNG!$C$35,$A$1,1),0))*F13,2),"")</f>
        <v>173</v>
      </c>
      <c r="I13" s="50"/>
      <c r="J13" s="51"/>
      <c r="K13" s="281">
        <f t="shared" si="0"/>
        <v>0</v>
      </c>
      <c r="L13" s="283">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2082</v>
      </c>
      <c r="M13" s="52"/>
      <c r="N13" s="66"/>
      <c r="O13" s="358" t="s">
        <v>66</v>
      </c>
      <c r="P13" s="297"/>
      <c r="Q13" s="298">
        <f>Q8-Q9-Q10-Q11-Q12</f>
        <v>7584.869999999999</v>
      </c>
      <c r="R13" s="299"/>
      <c r="S13" s="278"/>
      <c r="T13" s="278"/>
      <c r="U13" s="278"/>
      <c r="V13" s="278"/>
    </row>
    <row r="14" spans="1:28" ht="22" customHeight="1">
      <c r="A14" s="280" t="s">
        <v>67</v>
      </c>
      <c r="B14" s="91">
        <v>401394</v>
      </c>
      <c r="C14" s="39" t="s">
        <v>232</v>
      </c>
      <c r="D14" s="40">
        <v>44379</v>
      </c>
      <c r="E14" s="41" t="s">
        <v>2</v>
      </c>
      <c r="F14" s="42">
        <v>173</v>
      </c>
      <c r="G14" s="281">
        <f>IF(OR(E14="",F14=""),"",PID_KVLohnLookup($A$1,E14,F14,LOHNTABELLE!$H$4))</f>
        <v>2021</v>
      </c>
      <c r="H14" s="282">
        <f>IF(AND(ISNUMBER(D14),ISNUMBER(F14)),ROUNDDOWN(MIN(IF(OR(ISBLANK(I14),I14=""),EOMONTH(DATE(EINSTELLUNG!$C$35,$A$1,1),0),I14)-MAX(D14,DATE(EINSTELLUNG!$C$35,$A$1,1))+1)/DAY(EOMONTH(DATE(EINSTELLUNG!$C$35,$A$1,1),0))*F14,2),"")</f>
        <v>173</v>
      </c>
      <c r="I14" s="43"/>
      <c r="J14" s="44"/>
      <c r="K14" s="281">
        <f t="shared" si="0"/>
        <v>0</v>
      </c>
      <c r="L14" s="283">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2021</v>
      </c>
      <c r="M14" s="45"/>
      <c r="N14" s="65"/>
      <c r="O14" s="358" t="s">
        <v>68</v>
      </c>
      <c r="P14" s="297"/>
      <c r="Q14" s="298">
        <f>EINSTELLUNG!L12</f>
        <v>9300</v>
      </c>
      <c r="R14" s="299"/>
      <c r="S14" s="278"/>
      <c r="T14" s="278"/>
      <c r="U14" s="278"/>
      <c r="V14" s="278"/>
    </row>
    <row r="15" spans="1:28" ht="22" customHeight="1">
      <c r="A15" s="280" t="s">
        <v>69</v>
      </c>
      <c r="B15" s="92">
        <v>401479</v>
      </c>
      <c r="C15" s="46" t="s">
        <v>237</v>
      </c>
      <c r="D15" s="47">
        <v>44511</v>
      </c>
      <c r="E15" s="48" t="s">
        <v>6</v>
      </c>
      <c r="F15" s="49">
        <v>173</v>
      </c>
      <c r="G15" s="281">
        <f>IF(OR(E15="",F15=""),"",PID_KVLohnLookup($A$1,E15,F15,LOHNTABELLE!$H$4))</f>
        <v>2160</v>
      </c>
      <c r="H15" s="282">
        <f>IF(AND(ISNUMBER(D15),ISNUMBER(F15)),ROUNDDOWN(MIN(IF(OR(ISBLANK(I15),I15=""),EOMONTH(DATE(EINSTELLUNG!$C$35,$A$1,1),0),I15)-MAX(D15,DATE(EINSTELLUNG!$C$35,$A$1,1))+1)/DAY(EOMONTH(DATE(EINSTELLUNG!$C$35,$A$1,1),0))*F15,2),"")</f>
        <v>173</v>
      </c>
      <c r="I15" s="50"/>
      <c r="J15" s="51"/>
      <c r="K15" s="281">
        <f t="shared" si="0"/>
        <v>0</v>
      </c>
      <c r="L15" s="283">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2160</v>
      </c>
      <c r="M15" s="52"/>
      <c r="N15" s="66"/>
      <c r="O15" s="358" t="s">
        <v>70</v>
      </c>
      <c r="P15" s="297"/>
      <c r="Q15" s="298">
        <f>Q13-Q14</f>
        <v>-1715.130000000001</v>
      </c>
      <c r="R15" s="299"/>
      <c r="S15" s="301"/>
      <c r="T15" s="301"/>
      <c r="U15" s="301"/>
      <c r="V15" s="278"/>
    </row>
    <row r="16" spans="1:28" ht="22" customHeight="1" thickBot="1">
      <c r="A16" s="280" t="s">
        <v>71</v>
      </c>
      <c r="B16" s="91">
        <v>401558</v>
      </c>
      <c r="C16" s="39" t="s">
        <v>235</v>
      </c>
      <c r="D16" s="40">
        <v>44460</v>
      </c>
      <c r="E16" s="41" t="s">
        <v>2</v>
      </c>
      <c r="F16" s="42">
        <v>173</v>
      </c>
      <c r="G16" s="281">
        <f>IF(OR(E16="",F16=""),"",PID_KVLohnLookup($A$1,E16,F16,LOHNTABELLE!$H$4))</f>
        <v>2021</v>
      </c>
      <c r="H16" s="282">
        <f>IF(AND(ISNUMBER(D16),ISNUMBER(F16)),ROUNDDOWN(MIN(IF(OR(ISBLANK(I16),I16=""),EOMONTH(DATE(EINSTELLUNG!$C$35,$A$1,1),0),I16)-MAX(D16,DATE(EINSTELLUNG!$C$35,$A$1,1))+1)/DAY(EOMONTH(DATE(EINSTELLUNG!$C$35,$A$1,1),0))*F16,2),"")</f>
        <v>173</v>
      </c>
      <c r="I16" s="43"/>
      <c r="J16" s="44"/>
      <c r="K16" s="281">
        <f t="shared" si="0"/>
        <v>0</v>
      </c>
      <c r="L16" s="283">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2021</v>
      </c>
      <c r="M16" s="45"/>
      <c r="N16" s="65"/>
      <c r="O16" s="373" t="str">
        <f>IF(Q15&lt;0, "Schlecht! Zu wenig Stunden für Dienstplan.", IF(Q15&gt;0, "Du hast mehr als genug Stunden für Dienstplan.", ""))</f>
        <v>Schlecht! Zu wenig Stunden für Dienstplan.</v>
      </c>
      <c r="P16" s="303"/>
      <c r="Q16" s="303"/>
      <c r="R16" s="304"/>
      <c r="S16" s="305"/>
      <c r="T16" s="305"/>
      <c r="U16" s="305"/>
      <c r="V16" s="305"/>
      <c r="W16" s="306"/>
    </row>
    <row r="17" spans="1:29" ht="22" customHeight="1">
      <c r="A17" s="280" t="s">
        <v>72</v>
      </c>
      <c r="B17" s="92">
        <v>401564</v>
      </c>
      <c r="C17" s="46" t="s">
        <v>239</v>
      </c>
      <c r="D17" s="47">
        <v>44824</v>
      </c>
      <c r="E17" s="48" t="s">
        <v>2</v>
      </c>
      <c r="F17" s="49">
        <v>151.38</v>
      </c>
      <c r="G17" s="281">
        <f>IF(OR(E17="",F17=""),"",PID_KVLohnLookup($A$1,E17,F17,LOHNTABELLE!$H$4))</f>
        <v>1768.38</v>
      </c>
      <c r="H17" s="282">
        <f>IF(AND(ISNUMBER(D17),ISNUMBER(F17)),ROUNDDOWN(MIN(IF(OR(ISBLANK(I17),I17=""),EOMONTH(DATE(EINSTELLUNG!$C$35,$A$1,1),0),I17)-MAX(D17,DATE(EINSTELLUNG!$C$35,$A$1,1))+1)/DAY(EOMONTH(DATE(EINSTELLUNG!$C$35,$A$1,1),0))*F17,2),"")</f>
        <v>151.38</v>
      </c>
      <c r="I17" s="50"/>
      <c r="J17" s="51"/>
      <c r="K17" s="281">
        <f t="shared" si="0"/>
        <v>0</v>
      </c>
      <c r="L17" s="283">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1768.38</v>
      </c>
      <c r="M17" s="52"/>
      <c r="N17" s="66"/>
      <c r="O17" s="357" t="s">
        <v>73</v>
      </c>
      <c r="P17" s="293"/>
      <c r="Q17" s="307">
        <f>SUM(L3:L82)</f>
        <v>95634.890000000014</v>
      </c>
      <c r="R17" s="308"/>
      <c r="S17" s="278"/>
      <c r="T17" s="278"/>
      <c r="U17" s="278"/>
      <c r="V17" s="278"/>
      <c r="W17" s="306"/>
    </row>
    <row r="18" spans="1:29" ht="22" customHeight="1">
      <c r="A18" s="280" t="s">
        <v>74</v>
      </c>
      <c r="B18" s="91">
        <v>401583</v>
      </c>
      <c r="C18" s="39" t="s">
        <v>241</v>
      </c>
      <c r="D18" s="40">
        <v>44900</v>
      </c>
      <c r="E18" s="41" t="s">
        <v>13</v>
      </c>
      <c r="F18" s="42">
        <v>173</v>
      </c>
      <c r="G18" s="281">
        <f>IF(OR(E18="",F18=""),"",PID_KVLohnLookup($A$1,E18,F18,LOHNTABELLE!$H$4))</f>
        <v>2328</v>
      </c>
      <c r="H18" s="282">
        <f>IF(AND(ISNUMBER(D18),ISNUMBER(F18)),ROUNDDOWN(MIN(IF(OR(ISBLANK(I18),I18=""),EOMONTH(DATE(EINSTELLUNG!$C$35,$A$1,1),0),I18)-MAX(D18,DATE(EINSTELLUNG!$C$35,$A$1,1))+1)/DAY(EOMONTH(DATE(EINSTELLUNG!$C$35,$A$1,1),0))*F18,2),"")</f>
        <v>173</v>
      </c>
      <c r="I18" s="43"/>
      <c r="J18" s="44"/>
      <c r="K18" s="281">
        <f t="shared" si="0"/>
        <v>0</v>
      </c>
      <c r="L18" s="283">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2328</v>
      </c>
      <c r="M18" s="45"/>
      <c r="N18" s="65"/>
      <c r="O18" s="366" t="s">
        <v>371</v>
      </c>
      <c r="P18" s="310"/>
      <c r="Q18" s="311">
        <v>20</v>
      </c>
      <c r="R18" s="312"/>
      <c r="S18" s="278"/>
      <c r="T18" s="278"/>
      <c r="U18" s="278"/>
      <c r="V18" s="278"/>
    </row>
    <row r="19" spans="1:29" ht="22" customHeight="1">
      <c r="A19" s="280" t="s">
        <v>75</v>
      </c>
      <c r="B19" s="92">
        <v>401589</v>
      </c>
      <c r="C19" s="46" t="s">
        <v>242</v>
      </c>
      <c r="D19" s="47">
        <v>44926</v>
      </c>
      <c r="E19" s="48" t="s">
        <v>10</v>
      </c>
      <c r="F19" s="49">
        <v>173</v>
      </c>
      <c r="G19" s="281">
        <f>IF(OR(E19="",F19=""),"",PID_KVLohnLookup($A$1,E19,F19,LOHNTABELLE!$H$4))</f>
        <v>2300</v>
      </c>
      <c r="H19" s="282">
        <f>IF(AND(ISNUMBER(D19),ISNUMBER(F19)),ROUNDDOWN(MIN(IF(OR(ISBLANK(I19),I19=""),EOMONTH(DATE(EINSTELLUNG!$C$35,$A$1,1),0),I19)-MAX(D19,DATE(EINSTELLUNG!$C$35,$A$1,1))+1)/DAY(EOMONTH(DATE(EINSTELLUNG!$C$35,$A$1,1),0))*F19,2),"")</f>
        <v>173</v>
      </c>
      <c r="I19" s="50"/>
      <c r="J19" s="51"/>
      <c r="K19" s="281">
        <f t="shared" si="0"/>
        <v>0</v>
      </c>
      <c r="L19" s="283">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2300</v>
      </c>
      <c r="M19" s="52"/>
      <c r="N19" s="66"/>
      <c r="O19" s="366" t="s">
        <v>293</v>
      </c>
      <c r="P19" s="310"/>
      <c r="Q19" s="311">
        <v>333</v>
      </c>
      <c r="R19" s="312"/>
      <c r="S19" s="278"/>
      <c r="T19" s="278"/>
      <c r="U19" s="278"/>
      <c r="V19" s="278"/>
    </row>
    <row r="20" spans="1:29" ht="22" customHeight="1">
      <c r="A20" s="280" t="s">
        <v>76</v>
      </c>
      <c r="B20" s="91">
        <v>401602</v>
      </c>
      <c r="C20" s="39" t="s">
        <v>243</v>
      </c>
      <c r="D20" s="40">
        <v>45975</v>
      </c>
      <c r="E20" s="41" t="s">
        <v>2</v>
      </c>
      <c r="F20" s="42">
        <v>169</v>
      </c>
      <c r="G20" s="281">
        <f>IF(OR(E20="",F20=""),"",PID_KVLohnLookup($A$1,E20,F20,LOHNTABELLE!$H$4))</f>
        <v>2000</v>
      </c>
      <c r="H20" s="282">
        <f>IF(AND(ISNUMBER(D20),ISNUMBER(F20)),ROUNDDOWN(MIN(IF(OR(ISBLANK(I20),I20=""),EOMONTH(DATE(EINSTELLUNG!$C$35,$A$1,1),0),I20)-MAX(D20,DATE(EINSTELLUNG!$C$35,$A$1,1))+1)/DAY(EOMONTH(DATE(EINSTELLUNG!$C$35,$A$1,1),0))*F20,2),"")</f>
        <v>169</v>
      </c>
      <c r="I20" s="43"/>
      <c r="J20" s="44"/>
      <c r="K20" s="281">
        <f t="shared" si="0"/>
        <v>0</v>
      </c>
      <c r="L20" s="283">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2000</v>
      </c>
      <c r="M20" s="45"/>
      <c r="N20" s="65"/>
      <c r="O20" s="366" t="s">
        <v>293</v>
      </c>
      <c r="P20" s="310"/>
      <c r="Q20" s="311">
        <v>35</v>
      </c>
      <c r="R20" s="312"/>
      <c r="S20" s="278"/>
      <c r="T20" s="278"/>
      <c r="U20" s="278"/>
      <c r="V20" s="278"/>
    </row>
    <row r="21" spans="1:29" ht="22" customHeight="1">
      <c r="A21" s="280" t="s">
        <v>77</v>
      </c>
      <c r="B21" s="92">
        <v>401605</v>
      </c>
      <c r="C21" s="46" t="s">
        <v>244</v>
      </c>
      <c r="D21" s="47">
        <v>44986</v>
      </c>
      <c r="E21" s="48" t="s">
        <v>2</v>
      </c>
      <c r="F21" s="49">
        <v>173</v>
      </c>
      <c r="G21" s="281">
        <f>IF(OR(E21="",F21=""),"",PID_KVLohnLookup($A$1,E21,F21,LOHNTABELLE!$H$4))</f>
        <v>2021</v>
      </c>
      <c r="H21" s="282">
        <f>IF(AND(ISNUMBER(D21),ISNUMBER(F21)),ROUNDDOWN(MIN(IF(OR(ISBLANK(I21),I21=""),EOMONTH(DATE(EINSTELLUNG!$C$35,$A$1,1),0),I21)-MAX(D21,DATE(EINSTELLUNG!$C$35,$A$1,1))+1)/DAY(EOMONTH(DATE(EINSTELLUNG!$C$35,$A$1,1),0))*F21,2),"")</f>
        <v>173</v>
      </c>
      <c r="I21" s="50"/>
      <c r="J21" s="51"/>
      <c r="K21" s="281">
        <f t="shared" si="0"/>
        <v>0</v>
      </c>
      <c r="L21" s="283">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2021</v>
      </c>
      <c r="M21" s="52"/>
      <c r="N21" s="66"/>
      <c r="O21" s="366" t="s">
        <v>293</v>
      </c>
      <c r="P21" s="310"/>
      <c r="Q21" s="311">
        <v>100</v>
      </c>
      <c r="R21" s="312"/>
      <c r="S21" s="278"/>
      <c r="T21" s="278"/>
      <c r="U21" s="278"/>
      <c r="V21" s="278"/>
    </row>
    <row r="22" spans="1:29" ht="22" customHeight="1">
      <c r="A22" s="280" t="s">
        <v>78</v>
      </c>
      <c r="B22" s="91">
        <v>401605</v>
      </c>
      <c r="C22" s="39" t="s">
        <v>387</v>
      </c>
      <c r="D22" s="40">
        <v>36850</v>
      </c>
      <c r="E22" s="41" t="s">
        <v>10</v>
      </c>
      <c r="F22" s="42">
        <v>151.38</v>
      </c>
      <c r="G22" s="281">
        <f>IF(OR(E22="",F22=""),"",PID_KVLohnLookup($A$1,E22,F22,LOHNTABELLE!$H$4))</f>
        <v>2012.5</v>
      </c>
      <c r="H22" s="282">
        <f>IF(AND(ISNUMBER(D22),ISNUMBER(F22)),ROUNDDOWN(MIN(IF(OR(ISBLANK(I22),I22=""),EOMONTH(DATE(EINSTELLUNG!$C$35,$A$1,1),0),I22)-MAX(D22,DATE(EINSTELLUNG!$C$35,$A$1,1))+1)/DAY(EOMONTH(DATE(EINSTELLUNG!$C$35,$A$1,1),0))*F22,2),"")</f>
        <v>151.38</v>
      </c>
      <c r="I22" s="43"/>
      <c r="J22" s="44"/>
      <c r="K22" s="281">
        <f t="shared" si="0"/>
        <v>0</v>
      </c>
      <c r="L22" s="283">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2012.5</v>
      </c>
      <c r="M22" s="45"/>
      <c r="N22" s="65"/>
      <c r="O22" s="366" t="s">
        <v>293</v>
      </c>
      <c r="P22" s="310"/>
      <c r="Q22" s="311"/>
      <c r="R22" s="312"/>
      <c r="S22" s="278"/>
      <c r="T22" s="278"/>
      <c r="U22" s="278"/>
      <c r="V22" s="278"/>
    </row>
    <row r="23" spans="1:29" ht="22" customHeight="1">
      <c r="A23" s="280" t="s">
        <v>79</v>
      </c>
      <c r="B23" s="92">
        <v>401626</v>
      </c>
      <c r="C23" s="46" t="s">
        <v>245</v>
      </c>
      <c r="D23" s="47">
        <v>45063</v>
      </c>
      <c r="E23" s="48" t="s">
        <v>2</v>
      </c>
      <c r="F23" s="49">
        <v>173</v>
      </c>
      <c r="G23" s="281">
        <f>IF(OR(E23="",F23=""),"",PID_KVLohnLookup($A$1,E23,F23,LOHNTABELLE!$H$4))</f>
        <v>2021</v>
      </c>
      <c r="H23" s="282">
        <f>IF(AND(ISNUMBER(D23),ISNUMBER(F23)),ROUNDDOWN(MIN(IF(OR(ISBLANK(I23),I23=""),EOMONTH(DATE(EINSTELLUNG!$C$35,$A$1,1),0),I23)-MAX(D23,DATE(EINSTELLUNG!$C$35,$A$1,1))+1)/DAY(EOMONTH(DATE(EINSTELLUNG!$C$35,$A$1,1),0))*F23,2),"")</f>
        <v>173</v>
      </c>
      <c r="I23" s="50"/>
      <c r="J23" s="51"/>
      <c r="K23" s="281">
        <f t="shared" si="0"/>
        <v>0</v>
      </c>
      <c r="L23" s="283">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2021</v>
      </c>
      <c r="M23" s="52"/>
      <c r="N23" s="66"/>
      <c r="O23" s="366" t="s">
        <v>293</v>
      </c>
      <c r="P23" s="310"/>
      <c r="Q23" s="311">
        <v>5000</v>
      </c>
      <c r="R23" s="312"/>
      <c r="S23" s="278"/>
      <c r="T23" s="278"/>
      <c r="U23" s="278"/>
      <c r="V23" s="278"/>
      <c r="W23" s="306"/>
    </row>
    <row r="24" spans="1:29" ht="22" customHeight="1">
      <c r="A24" s="280" t="s">
        <v>80</v>
      </c>
      <c r="B24" s="91">
        <v>401633</v>
      </c>
      <c r="C24" s="39" t="s">
        <v>246</v>
      </c>
      <c r="D24" s="40">
        <v>45089</v>
      </c>
      <c r="E24" s="41" t="s">
        <v>10</v>
      </c>
      <c r="F24" s="42">
        <v>173</v>
      </c>
      <c r="G24" s="281">
        <f>IF(OR(E24="",F24=""),"",PID_KVLohnLookup($A$1,E24,F24,LOHNTABELLE!$H$4))</f>
        <v>2300</v>
      </c>
      <c r="H24" s="282">
        <f>IF(AND(ISNUMBER(D24),ISNUMBER(F24)),ROUNDDOWN(MIN(IF(OR(ISBLANK(I24),I24=""),EOMONTH(DATE(EINSTELLUNG!$C$35,$A$1,1),0),I24)-MAX(D24,DATE(EINSTELLUNG!$C$35,$A$1,1))+1)/DAY(EOMONTH(DATE(EINSTELLUNG!$C$35,$A$1,1),0))*F24,2),"")</f>
        <v>173</v>
      </c>
      <c r="I24" s="43"/>
      <c r="J24" s="44"/>
      <c r="K24" s="281">
        <f t="shared" si="0"/>
        <v>0</v>
      </c>
      <c r="L24" s="283">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2300</v>
      </c>
      <c r="M24" s="45"/>
      <c r="N24" s="65"/>
      <c r="O24" s="366"/>
      <c r="P24" s="310"/>
      <c r="Q24" s="311"/>
      <c r="R24" s="312"/>
      <c r="S24" s="278"/>
      <c r="T24" s="278"/>
      <c r="U24" s="278"/>
      <c r="V24" s="278"/>
      <c r="W24" s="306"/>
    </row>
    <row r="25" spans="1:29" ht="22" customHeight="1">
      <c r="A25" s="280" t="s">
        <v>81</v>
      </c>
      <c r="B25" s="92">
        <v>401647</v>
      </c>
      <c r="C25" s="46" t="s">
        <v>247</v>
      </c>
      <c r="D25" s="47">
        <v>45182</v>
      </c>
      <c r="E25" s="48" t="s">
        <v>2</v>
      </c>
      <c r="F25" s="49">
        <v>173</v>
      </c>
      <c r="G25" s="281">
        <f>IF(OR(E25="",F25=""),"",PID_KVLohnLookup($A$1,E25,F25,LOHNTABELLE!$H$4))</f>
        <v>2021</v>
      </c>
      <c r="H25" s="282">
        <f>IF(AND(ISNUMBER(D25),ISNUMBER(F25)),ROUNDDOWN(MIN(IF(OR(ISBLANK(I25),I25=""),EOMONTH(DATE(EINSTELLUNG!$C$35,$A$1,1),0),I25)-MAX(D25,DATE(EINSTELLUNG!$C$35,$A$1,1))+1)/DAY(EOMONTH(DATE(EINSTELLUNG!$C$35,$A$1,1),0))*F25,2),"")</f>
        <v>173</v>
      </c>
      <c r="I25" s="50"/>
      <c r="J25" s="51"/>
      <c r="K25" s="281">
        <f t="shared" si="0"/>
        <v>0</v>
      </c>
      <c r="L25" s="283">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2021</v>
      </c>
      <c r="M25" s="52"/>
      <c r="N25" s="66"/>
      <c r="O25" s="366"/>
      <c r="P25" s="310"/>
      <c r="Q25" s="311"/>
      <c r="R25" s="312"/>
      <c r="S25" s="278"/>
      <c r="T25" s="278"/>
      <c r="U25" s="278"/>
      <c r="V25" s="278"/>
    </row>
    <row r="26" spans="1:29" ht="22" customHeight="1">
      <c r="A26" s="280" t="s">
        <v>82</v>
      </c>
      <c r="B26" s="91">
        <v>401661</v>
      </c>
      <c r="C26" s="39" t="s">
        <v>248</v>
      </c>
      <c r="D26" s="40">
        <v>45261</v>
      </c>
      <c r="E26" s="41" t="s">
        <v>2</v>
      </c>
      <c r="F26" s="42">
        <v>173</v>
      </c>
      <c r="G26" s="281">
        <f>IF(OR(E26="",F26=""),"",PID_KVLohnLookup($A$1,E26,F26,LOHNTABELLE!$H$4))</f>
        <v>2021</v>
      </c>
      <c r="H26" s="282">
        <f>IF(AND(ISNUMBER(D26),ISNUMBER(F26)),ROUNDDOWN(MIN(IF(OR(ISBLANK(I26),I26=""),EOMONTH(DATE(EINSTELLUNG!$C$35,$A$1,1),0),I26)-MAX(D26,DATE(EINSTELLUNG!$C$35,$A$1,1))+1)/DAY(EOMONTH(DATE(EINSTELLUNG!$C$35,$A$1,1),0))*F26,2),"")</f>
        <v>173</v>
      </c>
      <c r="I26" s="43"/>
      <c r="J26" s="44"/>
      <c r="K26" s="281">
        <f t="shared" si="0"/>
        <v>0</v>
      </c>
      <c r="L26" s="283">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2021</v>
      </c>
      <c r="M26" s="45"/>
      <c r="N26" s="65"/>
      <c r="O26" s="366"/>
      <c r="P26" s="310"/>
      <c r="Q26" s="311"/>
      <c r="R26" s="312"/>
      <c r="S26" s="278"/>
      <c r="T26" s="278"/>
      <c r="U26" s="278"/>
      <c r="V26" s="278"/>
    </row>
    <row r="27" spans="1:29" ht="22" customHeight="1">
      <c r="A27" s="280" t="s">
        <v>83</v>
      </c>
      <c r="B27" s="92">
        <v>401670</v>
      </c>
      <c r="C27" s="46" t="s">
        <v>249</v>
      </c>
      <c r="D27" s="47">
        <v>45358</v>
      </c>
      <c r="E27" s="48" t="s">
        <v>2</v>
      </c>
      <c r="F27" s="49">
        <v>173</v>
      </c>
      <c r="G27" s="281">
        <f>IF(OR(E27="",F27=""),"",PID_KVLohnLookup($A$1,E27,F27,LOHNTABELLE!$H$4))</f>
        <v>2021</v>
      </c>
      <c r="H27" s="282">
        <f>IF(AND(ISNUMBER(D27),ISNUMBER(F27)),ROUNDDOWN(MIN(IF(OR(ISBLANK(I27),I27=""),EOMONTH(DATE(EINSTELLUNG!$C$35,$A$1,1),0),I27)-MAX(D27,DATE(EINSTELLUNG!$C$35,$A$1,1))+1)/DAY(EOMONTH(DATE(EINSTELLUNG!$C$35,$A$1,1),0))*F27,2),"")</f>
        <v>173</v>
      </c>
      <c r="I27" s="50"/>
      <c r="J27" s="51"/>
      <c r="K27" s="281">
        <f t="shared" si="0"/>
        <v>0</v>
      </c>
      <c r="L27" s="283">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2021</v>
      </c>
      <c r="M27" s="52"/>
      <c r="N27" s="66"/>
      <c r="O27" s="366"/>
      <c r="P27" s="310"/>
      <c r="Q27" s="311"/>
      <c r="R27" s="312"/>
      <c r="S27" s="313" t="s">
        <v>84</v>
      </c>
      <c r="T27" s="313"/>
      <c r="U27" s="313"/>
      <c r="V27" s="313"/>
    </row>
    <row r="28" spans="1:29" ht="22" customHeight="1">
      <c r="A28" s="280" t="s">
        <v>85</v>
      </c>
      <c r="B28" s="91">
        <v>401678</v>
      </c>
      <c r="C28" s="39" t="s">
        <v>250</v>
      </c>
      <c r="D28" s="40">
        <v>45414</v>
      </c>
      <c r="E28" s="41" t="s">
        <v>2</v>
      </c>
      <c r="F28" s="42">
        <v>173</v>
      </c>
      <c r="G28" s="281">
        <f>IF(OR(E28="",F28=""),"",PID_KVLohnLookup($A$1,E28,F28,LOHNTABELLE!$H$4))</f>
        <v>2021</v>
      </c>
      <c r="H28" s="282">
        <f>IF(AND(ISNUMBER(D28),ISNUMBER(F28)),ROUNDDOWN(MIN(IF(OR(ISBLANK(I28),I28=""),EOMONTH(DATE(EINSTELLUNG!$C$35,$A$1,1),0),I28)-MAX(D28,DATE(EINSTELLUNG!$C$35,$A$1,1))+1)/DAY(EOMONTH(DATE(EINSTELLUNG!$C$35,$A$1,1),0))*F28,2),"")</f>
        <v>173</v>
      </c>
      <c r="I28" s="43"/>
      <c r="J28" s="44"/>
      <c r="K28" s="281">
        <f t="shared" si="0"/>
        <v>0</v>
      </c>
      <c r="L28" s="283">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2021</v>
      </c>
      <c r="M28" s="45"/>
      <c r="N28" s="65"/>
      <c r="O28" s="366"/>
      <c r="P28" s="310"/>
      <c r="Q28" s="311"/>
      <c r="R28" s="312"/>
      <c r="S28" s="278"/>
      <c r="T28" s="278"/>
      <c r="U28" s="278"/>
      <c r="V28" s="278"/>
    </row>
    <row r="29" spans="1:29" ht="22" customHeight="1" thickBot="1">
      <c r="A29" s="280" t="s">
        <v>86</v>
      </c>
      <c r="B29" s="92">
        <v>401690</v>
      </c>
      <c r="C29" s="46" t="s">
        <v>252</v>
      </c>
      <c r="D29" s="47">
        <v>45536</v>
      </c>
      <c r="E29" s="48" t="s">
        <v>2</v>
      </c>
      <c r="F29" s="49">
        <v>151.38</v>
      </c>
      <c r="G29" s="281">
        <f>IF(OR(E29="",F29=""),"",PID_KVLohnLookup($A$1,E29,F29,LOHNTABELLE!$H$4))</f>
        <v>1768.38</v>
      </c>
      <c r="H29" s="282">
        <f>IF(AND(ISNUMBER(D29),ISNUMBER(F29)),ROUNDDOWN(MIN(IF(OR(ISBLANK(I29),I29=""),EOMONTH(DATE(EINSTELLUNG!$C$35,$A$1,1),0),I29)-MAX(D29,DATE(EINSTELLUNG!$C$35,$A$1,1))+1)/DAY(EOMONTH(DATE(EINSTELLUNG!$C$35,$A$1,1),0))*F29,2),"")</f>
        <v>151.38</v>
      </c>
      <c r="I29" s="50"/>
      <c r="J29" s="51"/>
      <c r="K29" s="281">
        <f t="shared" si="0"/>
        <v>0</v>
      </c>
      <c r="L29" s="283">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1768.38</v>
      </c>
      <c r="M29" s="52"/>
      <c r="N29" s="66"/>
      <c r="O29" s="367" t="s">
        <v>87</v>
      </c>
      <c r="P29" s="315"/>
      <c r="Q29" s="316">
        <f>EINSTELLUNG!O12</f>
        <v>1250</v>
      </c>
      <c r="R29" s="317"/>
      <c r="S29" s="278"/>
      <c r="T29" s="278"/>
      <c r="U29" s="278"/>
      <c r="V29" s="278"/>
    </row>
    <row r="30" spans="1:29" ht="22" customHeight="1" thickBot="1">
      <c r="A30" s="280" t="s">
        <v>88</v>
      </c>
      <c r="B30" s="91">
        <v>401715</v>
      </c>
      <c r="C30" s="39" t="s">
        <v>255</v>
      </c>
      <c r="D30" s="40">
        <v>45755</v>
      </c>
      <c r="E30" s="41" t="s">
        <v>2</v>
      </c>
      <c r="F30" s="42">
        <v>173</v>
      </c>
      <c r="G30" s="281">
        <f>IF(OR(E30="",F30=""),"",PID_KVLohnLookup($A$1,E30,F30,LOHNTABELLE!$H$4))</f>
        <v>2021</v>
      </c>
      <c r="H30" s="282">
        <f>IF(AND(ISNUMBER(D30),ISNUMBER(F30)),ROUNDDOWN(MIN(IF(OR(ISBLANK(I30),I30=""),EOMONTH(DATE(EINSTELLUNG!$C$35,$A$1,1),0),I30)-MAX(D30,DATE(EINSTELLUNG!$C$35,$A$1,1))+1)/DAY(EOMONTH(DATE(EINSTELLUNG!$C$35,$A$1,1),0))*F30,2),"")</f>
        <v>173</v>
      </c>
      <c r="I30" s="43"/>
      <c r="J30" s="44"/>
      <c r="K30" s="281">
        <f t="shared" si="0"/>
        <v>0</v>
      </c>
      <c r="L30" s="283">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2021</v>
      </c>
      <c r="M30" s="45"/>
      <c r="N30" s="65"/>
      <c r="O30" s="278"/>
      <c r="P30" s="278"/>
      <c r="Q30" s="278"/>
      <c r="R30" s="278"/>
      <c r="S30" s="278"/>
      <c r="T30" s="278"/>
      <c r="U30" s="278"/>
      <c r="V30" s="278"/>
      <c r="W30" s="318"/>
      <c r="X30" s="318"/>
      <c r="Y30" s="318"/>
      <c r="Z30" s="318"/>
      <c r="AA30" s="318"/>
      <c r="AB30" s="318"/>
      <c r="AC30" s="318"/>
    </row>
    <row r="31" spans="1:29" ht="22" customHeight="1" thickBot="1">
      <c r="A31" s="280" t="s">
        <v>89</v>
      </c>
      <c r="B31" s="92">
        <v>401716</v>
      </c>
      <c r="C31" s="46" t="s">
        <v>256</v>
      </c>
      <c r="D31" s="47">
        <v>45800</v>
      </c>
      <c r="E31" s="48" t="s">
        <v>2</v>
      </c>
      <c r="F31" s="49">
        <v>173</v>
      </c>
      <c r="G31" s="281">
        <f>IF(OR(E31="",F31=""),"",PID_KVLohnLookup($A$1,E31,F31,LOHNTABELLE!$H$4))</f>
        <v>2021</v>
      </c>
      <c r="H31" s="282">
        <f>IF(AND(ISNUMBER(D31),ISNUMBER(F31)),ROUNDDOWN(MIN(IF(OR(ISBLANK(I31),I31=""),EOMONTH(DATE(EINSTELLUNG!$C$35,$A$1,1),0),I31)-MAX(D31,DATE(EINSTELLUNG!$C$35,$A$1,1))+1)/DAY(EOMONTH(DATE(EINSTELLUNG!$C$35,$A$1,1),0))*F31,2),"")</f>
        <v>173</v>
      </c>
      <c r="I31" s="50"/>
      <c r="J31" s="51"/>
      <c r="K31" s="281">
        <f t="shared" si="0"/>
        <v>0</v>
      </c>
      <c r="L31" s="283">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2021</v>
      </c>
      <c r="M31" s="52"/>
      <c r="N31" s="66"/>
      <c r="O31" s="368" t="s">
        <v>415</v>
      </c>
      <c r="P31" s="320"/>
      <c r="Q31" s="321">
        <v>0</v>
      </c>
      <c r="R31" s="322"/>
      <c r="S31" s="278"/>
      <c r="T31" s="278"/>
      <c r="U31" s="278"/>
      <c r="V31" s="278"/>
    </row>
    <row r="32" spans="1:29" ht="22" customHeight="1" thickBot="1">
      <c r="A32" s="280" t="s">
        <v>91</v>
      </c>
      <c r="B32" s="91">
        <v>401717</v>
      </c>
      <c r="C32" s="39" t="s">
        <v>257</v>
      </c>
      <c r="D32" s="40">
        <v>45814</v>
      </c>
      <c r="E32" s="41" t="s">
        <v>2</v>
      </c>
      <c r="F32" s="42">
        <v>86.5</v>
      </c>
      <c r="G32" s="281">
        <f>IF(OR(E32="",F32=""),"",PID_KVLohnLookup($A$1,E32,F32,LOHNTABELLE!$H$4))</f>
        <v>1010.5</v>
      </c>
      <c r="H32" s="282">
        <f>IF(AND(ISNUMBER(D32),ISNUMBER(F32)),ROUNDDOWN(MIN(IF(OR(ISBLANK(I32),I32=""),EOMONTH(DATE(EINSTELLUNG!$C$35,$A$1,1),0),I32)-MAX(D32,DATE(EINSTELLUNG!$C$35,$A$1,1))+1)/DAY(EOMONTH(DATE(EINSTELLUNG!$C$35,$A$1,1),0))*F32,2),"")</f>
        <v>86.5</v>
      </c>
      <c r="I32" s="43"/>
      <c r="J32" s="44"/>
      <c r="K32" s="281">
        <f t="shared" si="0"/>
        <v>0</v>
      </c>
      <c r="L32" s="283">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1010.5</v>
      </c>
      <c r="M32" s="45"/>
      <c r="N32" s="65"/>
      <c r="O32" s="278"/>
      <c r="P32" s="278"/>
      <c r="Q32" s="278"/>
      <c r="R32" s="278"/>
      <c r="S32" s="278"/>
      <c r="T32" s="278"/>
      <c r="U32" s="278"/>
      <c r="V32" s="278"/>
    </row>
    <row r="33" spans="1:22" ht="22" customHeight="1">
      <c r="A33" s="280" t="s">
        <v>92</v>
      </c>
      <c r="B33" s="92">
        <v>401722</v>
      </c>
      <c r="C33" s="46" t="s">
        <v>258</v>
      </c>
      <c r="D33" s="47">
        <v>45848</v>
      </c>
      <c r="E33" s="48" t="s">
        <v>2</v>
      </c>
      <c r="F33" s="49">
        <v>86.5</v>
      </c>
      <c r="G33" s="281">
        <f>IF(OR(E33="",F33=""),"",PID_KVLohnLookup($A$1,E33,F33,LOHNTABELLE!$H$4))</f>
        <v>1010.5</v>
      </c>
      <c r="H33" s="282">
        <f>IF(AND(ISNUMBER(D33),ISNUMBER(F33)),ROUNDDOWN(MIN(IF(OR(ISBLANK(I33),I33=""),EOMONTH(DATE(EINSTELLUNG!$C$35,$A$1,1),0),I33)-MAX(D33,DATE(EINSTELLUNG!$C$35,$A$1,1))+1)/DAY(EOMONTH(DATE(EINSTELLUNG!$C$35,$A$1,1),0))*F33,2),"")</f>
        <v>86.5</v>
      </c>
      <c r="I33" s="50"/>
      <c r="J33" s="51"/>
      <c r="K33" s="281">
        <f t="shared" si="0"/>
        <v>0</v>
      </c>
      <c r="L33" s="283">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1010.5</v>
      </c>
      <c r="M33" s="52"/>
      <c r="N33" s="66"/>
      <c r="O33" s="369"/>
      <c r="P33" s="324"/>
      <c r="Q33" s="263" t="str">
        <f>EINSTELLUNG!B3</f>
        <v>Budget</v>
      </c>
      <c r="R33" s="263"/>
      <c r="S33" s="263" t="str">
        <f>EINSTELLUNG!B19</f>
        <v>Projection/Aktuell Zahlen</v>
      </c>
      <c r="T33" s="263"/>
      <c r="U33" s="263" t="s">
        <v>95</v>
      </c>
      <c r="V33" s="264"/>
    </row>
    <row r="34" spans="1:22" ht="22" customHeight="1">
      <c r="A34" s="280" t="s">
        <v>96</v>
      </c>
      <c r="B34" s="91">
        <v>401723</v>
      </c>
      <c r="C34" s="39" t="s">
        <v>259</v>
      </c>
      <c r="D34" s="40">
        <v>45852</v>
      </c>
      <c r="E34" s="41" t="s">
        <v>2</v>
      </c>
      <c r="F34" s="42">
        <v>86.5</v>
      </c>
      <c r="G34" s="281">
        <f>IF(OR(E34="",F34=""),"",PID_KVLohnLookup($A$1,E34,F34,LOHNTABELLE!$H$4))</f>
        <v>1010.5</v>
      </c>
      <c r="H34" s="282">
        <f>IF(AND(ISNUMBER(D34),ISNUMBER(F34)),ROUNDDOWN(MIN(IF(OR(ISBLANK(I34),I34=""),EOMONTH(DATE(EINSTELLUNG!$C$35,$A$1,1),0),I34)-MAX(D34,DATE(EINSTELLUNG!$C$35,$A$1,1))+1)/DAY(EOMONTH(DATE(EINSTELLUNG!$C$35,$A$1,1),0))*F34,2),"")</f>
        <v>86.5</v>
      </c>
      <c r="I34" s="43"/>
      <c r="J34" s="44"/>
      <c r="K34" s="281">
        <f t="shared" si="0"/>
        <v>0</v>
      </c>
      <c r="L34" s="283">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1010.5</v>
      </c>
      <c r="M34" s="45"/>
      <c r="N34" s="65"/>
      <c r="O34" s="370"/>
      <c r="P34" s="326"/>
      <c r="Q34" s="327"/>
      <c r="R34" s="327"/>
      <c r="S34" s="327"/>
      <c r="T34" s="327"/>
      <c r="U34" s="327"/>
      <c r="V34" s="328"/>
    </row>
    <row r="35" spans="1:22" ht="22" customHeight="1">
      <c r="A35" s="280" t="s">
        <v>97</v>
      </c>
      <c r="B35" s="92">
        <v>401726</v>
      </c>
      <c r="C35" s="46" t="s">
        <v>260</v>
      </c>
      <c r="D35" s="47">
        <v>45870</v>
      </c>
      <c r="E35" s="48" t="s">
        <v>2</v>
      </c>
      <c r="F35" s="49">
        <v>86.5</v>
      </c>
      <c r="G35" s="281">
        <f>IF(OR(E35="",F35=""),"",PID_KVLohnLookup($A$1,E35,F35,LOHNTABELLE!$H$4))</f>
        <v>1010.5</v>
      </c>
      <c r="H35" s="282">
        <f>IF(AND(ISNUMBER(D35),ISNUMBER(F35)),ROUNDDOWN(MIN(IF(OR(ISBLANK(I35),I35=""),EOMONTH(DATE(EINSTELLUNG!$C$35,$A$1,1),0),I35)-MAX(D35,DATE(EINSTELLUNG!$C$35,$A$1,1))+1)/DAY(EOMONTH(DATE(EINSTELLUNG!$C$35,$A$1,1),0))*F35,2),"")</f>
        <v>86.5</v>
      </c>
      <c r="I35" s="50"/>
      <c r="J35" s="51"/>
      <c r="K35" s="281">
        <f t="shared" ref="K35:K66" si="1">IF(OR(B35="",C35=""),"",IFERROR(IF(OR(MONTH(D35)=1,MONTH(D35)=3,MONTH(D35)=5,MONTH(D35)=7,MONTH(D35)=8,MONTH(D35)=10,MONTH(D35)=12),(G35/31)*J35,IF(OR(MONTH(D35)=4,MONTH(D35)=6,MONTH(D35)=9,MONTH(D35)=11),(G35/30)*J35,(G35/DAY(EOMONTH(D35,0)))*J35)),0))</f>
        <v>0</v>
      </c>
      <c r="L35" s="283">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1010.5</v>
      </c>
      <c r="M35" s="52"/>
      <c r="N35" s="66"/>
      <c r="O35" s="358" t="s">
        <v>98</v>
      </c>
      <c r="P35" s="297"/>
      <c r="Q35" s="329">
        <f>EINSTELLUNG!C12</f>
        <v>400000</v>
      </c>
      <c r="R35" s="329"/>
      <c r="S35" s="329">
        <f>EINSTELLUNG!C28</f>
        <v>435000</v>
      </c>
      <c r="T35" s="329"/>
      <c r="U35" s="329">
        <f>S35-Q35</f>
        <v>35000</v>
      </c>
      <c r="V35" s="330"/>
    </row>
    <row r="36" spans="1:22" ht="22" customHeight="1">
      <c r="A36" s="280" t="s">
        <v>99</v>
      </c>
      <c r="B36" s="91">
        <v>401730</v>
      </c>
      <c r="C36" s="39" t="s">
        <v>262</v>
      </c>
      <c r="D36" s="40">
        <v>45895</v>
      </c>
      <c r="E36" s="41" t="s">
        <v>2</v>
      </c>
      <c r="F36" s="42">
        <v>86.5</v>
      </c>
      <c r="G36" s="281">
        <f>IF(OR(E36="",F36=""),"",PID_KVLohnLookup($A$1,E36,F36,LOHNTABELLE!$H$4))</f>
        <v>1010.5</v>
      </c>
      <c r="H36" s="282">
        <f>IF(AND(ISNUMBER(D36),ISNUMBER(F36)),ROUNDDOWN(MIN(IF(OR(ISBLANK(I36),I36=""),EOMONTH(DATE(EINSTELLUNG!$C$35,$A$1,1),0),I36)-MAX(D36,DATE(EINSTELLUNG!$C$35,$A$1,1))+1)/DAY(EOMONTH(DATE(EINSTELLUNG!$C$35,$A$1,1),0))*F36,2),"")</f>
        <v>86.5</v>
      </c>
      <c r="I36" s="43"/>
      <c r="J36" s="44"/>
      <c r="K36" s="281">
        <f t="shared" si="1"/>
        <v>0</v>
      </c>
      <c r="L36" s="283">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1010.5</v>
      </c>
      <c r="M36" s="45"/>
      <c r="N36" s="65"/>
      <c r="O36" s="358" t="s">
        <v>100</v>
      </c>
      <c r="P36" s="297"/>
      <c r="Q36" s="329">
        <f>EINSTELLUNG!D12</f>
        <v>100000</v>
      </c>
      <c r="R36" s="329"/>
      <c r="S36" s="329">
        <f ca="1">SumMergedCells(Q17:R29)</f>
        <v>102372.89</v>
      </c>
      <c r="T36" s="329"/>
      <c r="U36" s="329">
        <f t="shared" ref="U36:U41" ca="1" si="2">S36-Q36</f>
        <v>2372.8899999999994</v>
      </c>
      <c r="V36" s="330"/>
    </row>
    <row r="37" spans="1:22" ht="22" customHeight="1">
      <c r="A37" s="280" t="s">
        <v>101</v>
      </c>
      <c r="B37" s="92">
        <v>401731</v>
      </c>
      <c r="C37" s="46" t="s">
        <v>261</v>
      </c>
      <c r="D37" s="47">
        <v>45899</v>
      </c>
      <c r="E37" s="48" t="s">
        <v>2</v>
      </c>
      <c r="F37" s="49">
        <v>86.5</v>
      </c>
      <c r="G37" s="281">
        <f>IF(OR(E37="",F37=""),"",PID_KVLohnLookup($A$1,E37,F37,LOHNTABELLE!$H$4))</f>
        <v>1010.5</v>
      </c>
      <c r="H37" s="282">
        <f>IF(AND(ISNUMBER(D37),ISNUMBER(F37)),ROUNDDOWN(MIN(IF(OR(ISBLANK(I37),I37=""),EOMONTH(DATE(EINSTELLUNG!$C$35,$A$1,1),0),I37)-MAX(D37,DATE(EINSTELLUNG!$C$35,$A$1,1))+1)/DAY(EOMONTH(DATE(EINSTELLUNG!$C$35,$A$1,1),0))*F37,2),"")</f>
        <v>86.5</v>
      </c>
      <c r="I37" s="50"/>
      <c r="J37" s="51"/>
      <c r="K37" s="281">
        <f t="shared" si="1"/>
        <v>0</v>
      </c>
      <c r="L37" s="283">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1010.5</v>
      </c>
      <c r="M37" s="52"/>
      <c r="N37" s="66"/>
      <c r="O37" s="358" t="s">
        <v>102</v>
      </c>
      <c r="P37" s="297"/>
      <c r="Q37" s="331">
        <f>IF(ISERROR(Q36/Q35), 0, Q36/Q35)</f>
        <v>0.25</v>
      </c>
      <c r="R37" s="331"/>
      <c r="S37" s="331">
        <f ca="1">IF(ISERROR(S36/S35), 0, S36/S35)</f>
        <v>0.23533997701149426</v>
      </c>
      <c r="T37" s="331"/>
      <c r="U37" s="331">
        <f t="shared" ca="1" si="2"/>
        <v>-1.4660022988505744E-2</v>
      </c>
      <c r="V37" s="332"/>
    </row>
    <row r="38" spans="1:22" ht="22" customHeight="1">
      <c r="A38" s="280" t="s">
        <v>103</v>
      </c>
      <c r="B38" s="91">
        <v>401734</v>
      </c>
      <c r="C38" s="39" t="s">
        <v>263</v>
      </c>
      <c r="D38" s="40">
        <v>45904</v>
      </c>
      <c r="E38" s="41" t="s">
        <v>2</v>
      </c>
      <c r="F38" s="42">
        <v>86.5</v>
      </c>
      <c r="G38" s="281">
        <f>IF(OR(E38="",F38=""),"",PID_KVLohnLookup($A$1,E38,F38,LOHNTABELLE!$H$4))</f>
        <v>1010.5</v>
      </c>
      <c r="H38" s="282">
        <f>IF(AND(ISNUMBER(D38),ISNUMBER(F38)),ROUNDDOWN(MIN(IF(OR(ISBLANK(I38),I38=""),EOMONTH(DATE(EINSTELLUNG!$C$35,$A$1,1),0),I38)-MAX(D38,DATE(EINSTELLUNG!$C$35,$A$1,1))+1)/DAY(EOMONTH(DATE(EINSTELLUNG!$C$35,$A$1,1),0))*F38,2),"")</f>
        <v>86.5</v>
      </c>
      <c r="I38" s="43"/>
      <c r="J38" s="44"/>
      <c r="K38" s="281">
        <f t="shared" si="1"/>
        <v>0</v>
      </c>
      <c r="L38" s="283">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1010.5</v>
      </c>
      <c r="M38" s="45"/>
      <c r="N38" s="65"/>
      <c r="O38" s="358" t="s">
        <v>104</v>
      </c>
      <c r="P38" s="297"/>
      <c r="Q38" s="298">
        <f>EINSTELLUNG!F12</f>
        <v>30000</v>
      </c>
      <c r="R38" s="298"/>
      <c r="S38" s="298">
        <f>EINSTELLUNG!F28</f>
        <v>31000</v>
      </c>
      <c r="T38" s="298"/>
      <c r="U38" s="298">
        <f t="shared" si="2"/>
        <v>1000</v>
      </c>
      <c r="V38" s="299"/>
    </row>
    <row r="39" spans="1:22" ht="22" customHeight="1">
      <c r="A39" s="280" t="s">
        <v>105</v>
      </c>
      <c r="B39" s="92">
        <v>401737</v>
      </c>
      <c r="C39" s="46" t="s">
        <v>265</v>
      </c>
      <c r="D39" s="47">
        <v>45906</v>
      </c>
      <c r="E39" s="48" t="s">
        <v>2</v>
      </c>
      <c r="F39" s="49">
        <v>86.5</v>
      </c>
      <c r="G39" s="281">
        <f>IF(OR(E39="",F39=""),"",PID_KVLohnLookup($A$1,E39,F39,LOHNTABELLE!$H$4))</f>
        <v>1010.5</v>
      </c>
      <c r="H39" s="282">
        <f>IF(AND(ISNUMBER(D39),ISNUMBER(F39)),ROUNDDOWN(MIN(IF(OR(ISBLANK(I39),I39=""),EOMONTH(DATE(EINSTELLUNG!$C$35,$A$1,1),0),I39)-MAX(D39,DATE(EINSTELLUNG!$C$35,$A$1,1))+1)/DAY(EOMONTH(DATE(EINSTELLUNG!$C$35,$A$1,1),0))*F39,2),"")</f>
        <v>86.5</v>
      </c>
      <c r="I39" s="50"/>
      <c r="J39" s="51"/>
      <c r="K39" s="281">
        <f t="shared" si="1"/>
        <v>0</v>
      </c>
      <c r="L39" s="283">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52"/>
      <c r="N39" s="66"/>
      <c r="O39" s="358" t="s">
        <v>106</v>
      </c>
      <c r="P39" s="297"/>
      <c r="Q39" s="329">
        <f>IF(Q38=0, 0, Q35/Q38)</f>
        <v>13.333333333333334</v>
      </c>
      <c r="R39" s="329"/>
      <c r="S39" s="329">
        <f>IF(S38=0, 0, S35/S38)</f>
        <v>14.03225806451613</v>
      </c>
      <c r="T39" s="329"/>
      <c r="U39" s="329">
        <f t="shared" si="2"/>
        <v>0.69892473118279597</v>
      </c>
      <c r="V39" s="330"/>
    </row>
    <row r="40" spans="1:22" ht="22" customHeight="1">
      <c r="A40" s="280" t="s">
        <v>107</v>
      </c>
      <c r="B40" s="91">
        <v>401738</v>
      </c>
      <c r="C40" s="39" t="s">
        <v>266</v>
      </c>
      <c r="D40" s="40">
        <v>45909</v>
      </c>
      <c r="E40" s="41" t="s">
        <v>2</v>
      </c>
      <c r="F40" s="42">
        <v>86.5</v>
      </c>
      <c r="G40" s="281">
        <f>IF(OR(E40="",F40=""),"",PID_KVLohnLookup($A$1,E40,F40,LOHNTABELLE!$H$4))</f>
        <v>1010.5</v>
      </c>
      <c r="H40" s="282">
        <f>IF(AND(ISNUMBER(D40),ISNUMBER(F40)),ROUNDDOWN(MIN(IF(OR(ISBLANK(I40),I40=""),EOMONTH(DATE(EINSTELLUNG!$C$35,$A$1,1),0),I40)-MAX(D40,DATE(EINSTELLUNG!$C$35,$A$1,1))+1)/DAY(EOMONTH(DATE(EINSTELLUNG!$C$35,$A$1,1),0))*F40,2),"")</f>
        <v>86.5</v>
      </c>
      <c r="I40" s="43"/>
      <c r="J40" s="44"/>
      <c r="K40" s="281">
        <f t="shared" si="1"/>
        <v>0</v>
      </c>
      <c r="L40" s="283">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45"/>
      <c r="N40" s="65"/>
      <c r="O40" s="358" t="s">
        <v>108</v>
      </c>
      <c r="P40" s="297"/>
      <c r="Q40" s="329">
        <f>IF(Q13=0, 0, Q35/Q13)</f>
        <v>52.736566348533337</v>
      </c>
      <c r="R40" s="329"/>
      <c r="S40" s="329">
        <f>IF(Q13=0, 0, S35/Q13)</f>
        <v>57.351015904030007</v>
      </c>
      <c r="T40" s="329"/>
      <c r="U40" s="329">
        <f t="shared" si="2"/>
        <v>4.6144495554966696</v>
      </c>
      <c r="V40" s="330"/>
    </row>
    <row r="41" spans="1:22" ht="22" customHeight="1">
      <c r="A41" s="280" t="s">
        <v>109</v>
      </c>
      <c r="B41" s="92">
        <v>401745</v>
      </c>
      <c r="C41" s="46" t="s">
        <v>270</v>
      </c>
      <c r="D41" s="47">
        <v>45934</v>
      </c>
      <c r="E41" s="48" t="s">
        <v>2</v>
      </c>
      <c r="F41" s="49">
        <v>86.5</v>
      </c>
      <c r="G41" s="281">
        <f>IF(OR(E41="",F41=""),"",PID_KVLohnLookup($A$1,E41,F41,LOHNTABELLE!$H$4))</f>
        <v>1010.5</v>
      </c>
      <c r="H41" s="282">
        <f>IF(AND(ISNUMBER(D41),ISNUMBER(F41)),ROUNDDOWN(MIN(IF(OR(ISBLANK(I41),I41=""),EOMONTH(DATE(EINSTELLUNG!$C$35,$A$1,1),0),I41)-MAX(D41,DATE(EINSTELLUNG!$C$35,$A$1,1))+1)/DAY(EOMONTH(DATE(EINSTELLUNG!$C$35,$A$1,1),0))*F41,2),"")</f>
        <v>86.5</v>
      </c>
      <c r="I41" s="50"/>
      <c r="J41" s="51"/>
      <c r="K41" s="281">
        <f t="shared" si="1"/>
        <v>0</v>
      </c>
      <c r="L41" s="283">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52"/>
      <c r="N41" s="66"/>
      <c r="O41" s="371" t="s">
        <v>110</v>
      </c>
      <c r="P41" s="334"/>
      <c r="Q41" s="335">
        <f>IF(Q13=0, 0, Q38/Q13)</f>
        <v>3.9552424761400005</v>
      </c>
      <c r="R41" s="335"/>
      <c r="S41" s="335">
        <f>IF(Q13=0, 0, S38/Q13)</f>
        <v>4.0870838920113339</v>
      </c>
      <c r="T41" s="335"/>
      <c r="U41" s="335">
        <f t="shared" si="2"/>
        <v>0.13184141587133347</v>
      </c>
      <c r="V41" s="336"/>
    </row>
    <row r="42" spans="1:22" ht="22" customHeight="1" thickBot="1">
      <c r="A42" s="280" t="s">
        <v>111</v>
      </c>
      <c r="B42" s="91">
        <v>401746</v>
      </c>
      <c r="C42" s="39" t="s">
        <v>269</v>
      </c>
      <c r="D42" s="40">
        <v>45941</v>
      </c>
      <c r="E42" s="41" t="s">
        <v>2</v>
      </c>
      <c r="F42" s="42">
        <v>86.5</v>
      </c>
      <c r="G42" s="281">
        <f>IF(OR(E42="",F42=""),"",PID_KVLohnLookup($A$1,E42,F42,LOHNTABELLE!$H$4))</f>
        <v>1010.5</v>
      </c>
      <c r="H42" s="282">
        <f>IF(AND(ISNUMBER(D42),ISNUMBER(F42)),ROUNDDOWN(MIN(IF(OR(ISBLANK(I42),I42=""),EOMONTH(DATE(EINSTELLUNG!$C$35,$A$1,1),0),I42)-MAX(D42,DATE(EINSTELLUNG!$C$35,$A$1,1))+1)/DAY(EOMONTH(DATE(EINSTELLUNG!$C$35,$A$1,1),0))*F42,2),"")</f>
        <v>86.5</v>
      </c>
      <c r="I42" s="43"/>
      <c r="J42" s="44"/>
      <c r="K42" s="281">
        <f t="shared" si="1"/>
        <v>0</v>
      </c>
      <c r="L42" s="283">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45"/>
      <c r="N42" s="130"/>
      <c r="O42" s="314" t="s">
        <v>112</v>
      </c>
      <c r="P42" s="315"/>
      <c r="Q42" s="337">
        <f>IFERROR(Q17/Q8, 0)</f>
        <v>11.746059566168464</v>
      </c>
      <c r="R42" s="338"/>
      <c r="S42" s="337"/>
      <c r="T42" s="337"/>
      <c r="U42" s="337"/>
      <c r="V42" s="317"/>
    </row>
    <row r="43" spans="1:22" ht="22" customHeight="1">
      <c r="A43" s="280" t="s">
        <v>113</v>
      </c>
      <c r="B43" s="92">
        <v>401747</v>
      </c>
      <c r="C43" s="46" t="s">
        <v>267</v>
      </c>
      <c r="D43" s="47">
        <v>45941</v>
      </c>
      <c r="E43" s="48" t="s">
        <v>2</v>
      </c>
      <c r="F43" s="49">
        <v>86.5</v>
      </c>
      <c r="G43" s="281">
        <f>IF(OR(E43="",F43=""),"",PID_KVLohnLookup($A$1,E43,F43,LOHNTABELLE!$H$4))</f>
        <v>1010.5</v>
      </c>
      <c r="H43" s="282">
        <f>IF(AND(ISNUMBER(D43),ISNUMBER(F43)),ROUNDDOWN(MIN(IF(OR(ISBLANK(I43),I43=""),EOMONTH(DATE(EINSTELLUNG!$C$35,$A$1,1),0),I43)-MAX(D43,DATE(EINSTELLUNG!$C$35,$A$1,1))+1)/DAY(EOMONTH(DATE(EINSTELLUNG!$C$35,$A$1,1),0))*F43,2),"")</f>
        <v>86.5</v>
      </c>
      <c r="I43" s="50"/>
      <c r="J43" s="51"/>
      <c r="K43" s="281">
        <f t="shared" si="1"/>
        <v>0</v>
      </c>
      <c r="L43" s="283">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1010.5</v>
      </c>
      <c r="M43" s="128"/>
      <c r="N43" s="66"/>
      <c r="O43" s="339"/>
      <c r="P43" s="339"/>
      <c r="Q43" s="339"/>
      <c r="R43" s="278"/>
      <c r="S43" s="278"/>
      <c r="T43" s="278"/>
      <c r="U43" s="278"/>
      <c r="V43" s="278"/>
    </row>
    <row r="44" spans="1:22" ht="22" customHeight="1">
      <c r="A44" s="280" t="s">
        <v>114</v>
      </c>
      <c r="B44" s="91">
        <v>401748</v>
      </c>
      <c r="C44" s="39" t="s">
        <v>268</v>
      </c>
      <c r="D44" s="40">
        <v>45941</v>
      </c>
      <c r="E44" s="41" t="s">
        <v>2</v>
      </c>
      <c r="F44" s="42">
        <v>138.4</v>
      </c>
      <c r="G44" s="281">
        <f>IF(OR(E44="",F44=""),"",PID_KVLohnLookup($A$1,E44,F44,LOHNTABELLE!$H$4))</f>
        <v>1616.8</v>
      </c>
      <c r="H44" s="282">
        <f>IF(AND(ISNUMBER(D44),ISNUMBER(F44)),ROUNDDOWN(MIN(IF(OR(ISBLANK(I44),I44=""),EOMONTH(DATE(EINSTELLUNG!$C$35,$A$1,1),0),I44)-MAX(D44,DATE(EINSTELLUNG!$C$35,$A$1,1))+1)/DAY(EOMONTH(DATE(EINSTELLUNG!$C$35,$A$1,1),0))*F44,2),"")</f>
        <v>138.4</v>
      </c>
      <c r="I44" s="43"/>
      <c r="J44" s="44"/>
      <c r="K44" s="281">
        <f t="shared" si="1"/>
        <v>0</v>
      </c>
      <c r="L44" s="283">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1616.8</v>
      </c>
      <c r="M44" s="129"/>
      <c r="N44" s="65"/>
      <c r="O44" s="340" t="s">
        <v>115</v>
      </c>
      <c r="P44" s="340"/>
      <c r="Q44" s="340"/>
      <c r="R44" s="340"/>
      <c r="S44" s="340"/>
      <c r="T44" s="340"/>
      <c r="U44" s="340"/>
      <c r="V44" s="340"/>
    </row>
    <row r="45" spans="1:22" ht="22" customHeight="1">
      <c r="A45" s="280" t="s">
        <v>116</v>
      </c>
      <c r="B45" s="92">
        <v>401751</v>
      </c>
      <c r="C45" s="46" t="s">
        <v>271</v>
      </c>
      <c r="D45" s="47">
        <v>45961</v>
      </c>
      <c r="E45" s="48" t="s">
        <v>2</v>
      </c>
      <c r="F45" s="95">
        <v>86.5</v>
      </c>
      <c r="G45" s="281">
        <f>IF(OR(E45="",F45=""),"",PID_KVLohnLookup($A$1,E45,F45,LOHNTABELLE!$H$4))</f>
        <v>1010.5</v>
      </c>
      <c r="H45" s="282">
        <f>IF(AND(ISNUMBER(D45),ISNUMBER(F45)),ROUNDDOWN(MIN(IF(OR(ISBLANK(I45),I45=""),EOMONTH(DATE(EINSTELLUNG!$C$35,$A$1,1),0),I45)-MAX(D45,DATE(EINSTELLUNG!$C$35,$A$1,1))+1)/DAY(EOMONTH(DATE(EINSTELLUNG!$C$35,$A$1,1),0))*F45,2),"")</f>
        <v>86.5</v>
      </c>
      <c r="I45" s="50"/>
      <c r="J45" s="51"/>
      <c r="K45" s="281">
        <f t="shared" si="1"/>
        <v>0</v>
      </c>
      <c r="L45" s="283">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1010.5</v>
      </c>
      <c r="M45" s="128"/>
      <c r="N45" s="66"/>
      <c r="O45" s="341" t="s">
        <v>423</v>
      </c>
      <c r="P45" s="341"/>
      <c r="Q45" s="341"/>
      <c r="R45" s="342"/>
      <c r="S45" s="342"/>
      <c r="T45" s="342"/>
      <c r="U45" s="342"/>
      <c r="V45" s="278"/>
    </row>
    <row r="46" spans="1:22" ht="22" customHeight="1">
      <c r="A46" s="280" t="s">
        <v>117</v>
      </c>
      <c r="B46" s="91">
        <v>401752</v>
      </c>
      <c r="C46" s="39" t="s">
        <v>272</v>
      </c>
      <c r="D46" s="40">
        <v>45986</v>
      </c>
      <c r="E46" s="41" t="s">
        <v>2</v>
      </c>
      <c r="F46" s="42">
        <v>173</v>
      </c>
      <c r="G46" s="281">
        <f>IF(OR(E46="",F46=""),"",PID_KVLohnLookup($A$1,E46,F46,LOHNTABELLE!$H$4))</f>
        <v>2021</v>
      </c>
      <c r="H46" s="282">
        <f>IF(AND(ISNUMBER(D46),ISNUMBER(F46)),ROUNDDOWN(MIN(IF(OR(ISBLANK(I46),I46=""),EOMONTH(DATE(EINSTELLUNG!$C$35,$A$1,1),0),I46)-MAX(D46,DATE(EINSTELLUNG!$C$35,$A$1,1))+1)/DAY(EOMONTH(DATE(EINSTELLUNG!$C$35,$A$1,1),0))*F46,2),"")</f>
        <v>173</v>
      </c>
      <c r="I46" s="43"/>
      <c r="J46" s="44"/>
      <c r="K46" s="281">
        <f t="shared" si="1"/>
        <v>0</v>
      </c>
      <c r="L46" s="283">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2021</v>
      </c>
      <c r="M46" s="129"/>
      <c r="N46" s="65"/>
      <c r="O46" s="278"/>
      <c r="P46" s="278"/>
      <c r="Q46" s="278"/>
      <c r="R46" s="278"/>
      <c r="S46" s="278"/>
      <c r="T46" s="278"/>
      <c r="U46" s="278"/>
      <c r="V46" s="278"/>
    </row>
    <row r="47" spans="1:22" ht="22" customHeight="1">
      <c r="A47" s="280" t="s">
        <v>118</v>
      </c>
      <c r="B47" s="92">
        <v>401999</v>
      </c>
      <c r="C47" s="46" t="s">
        <v>354</v>
      </c>
      <c r="D47" s="47">
        <v>46041</v>
      </c>
      <c r="E47" s="48" t="s">
        <v>2</v>
      </c>
      <c r="F47" s="49">
        <v>151.38</v>
      </c>
      <c r="G47" s="281">
        <f>IF(OR(E47="",F47=""),"",PID_KVLohnLookup($A$1,E47,F47,LOHNTABELLE!$H$4))</f>
        <v>1768.38</v>
      </c>
      <c r="H47" s="282">
        <f>IF(AND(ISNUMBER(D47),ISNUMBER(F47)),ROUNDDOWN(MIN(IF(OR(ISBLANK(I47),I47=""),EOMONTH(DATE(EINSTELLUNG!$C$35,$A$1,1),0),I47)-MAX(D47,DATE(EINSTELLUNG!$C$35,$A$1,1))+1)/DAY(EOMONTH(DATE(EINSTELLUNG!$C$35,$A$1,1),0))*F47,2),"")</f>
        <v>151.38</v>
      </c>
      <c r="I47" s="50"/>
      <c r="J47" s="51"/>
      <c r="K47" s="281">
        <f t="shared" si="1"/>
        <v>0</v>
      </c>
      <c r="L47" s="283">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1768.38</v>
      </c>
      <c r="M47" s="128"/>
      <c r="N47" s="66"/>
      <c r="O47" s="278"/>
      <c r="P47" s="278"/>
      <c r="Q47" s="278"/>
      <c r="R47" s="278"/>
      <c r="S47" s="278"/>
      <c r="T47" s="278"/>
      <c r="U47" s="278"/>
      <c r="V47" s="278"/>
    </row>
    <row r="48" spans="1:22" ht="22" customHeight="1">
      <c r="A48" s="280" t="s">
        <v>119</v>
      </c>
      <c r="B48" s="91">
        <v>401999</v>
      </c>
      <c r="C48" s="39" t="s">
        <v>292</v>
      </c>
      <c r="D48" s="43">
        <v>46082</v>
      </c>
      <c r="E48" s="41" t="s">
        <v>2</v>
      </c>
      <c r="F48" s="42">
        <v>173</v>
      </c>
      <c r="G48" s="281">
        <f>IF(OR(E48="",F48=""),"",PID_KVLohnLookup($A$1,E48,F48,LOHNTABELLE!$H$4))</f>
        <v>2021</v>
      </c>
      <c r="H48" s="282">
        <f>IF(AND(ISNUMBER(D48),ISNUMBER(F48)),ROUNDDOWN(MIN(IF(OR(ISBLANK(I48),I48=""),EOMONTH(DATE(EINSTELLUNG!$C$35,$A$1,1),0),I48)-MAX(D48,DATE(EINSTELLUNG!$C$35,$A$1,1))+1)/DAY(EOMONTH(DATE(EINSTELLUNG!$C$35,$A$1,1),0))*F48,2),"")</f>
        <v>173</v>
      </c>
      <c r="I48" s="43"/>
      <c r="J48" s="44"/>
      <c r="K48" s="281">
        <f t="shared" si="1"/>
        <v>0</v>
      </c>
      <c r="L48" s="283">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2021</v>
      </c>
      <c r="M48" s="129"/>
      <c r="N48" s="65"/>
      <c r="O48" s="278"/>
      <c r="P48" s="278"/>
      <c r="Q48" s="278"/>
      <c r="R48" s="278"/>
      <c r="S48" s="278"/>
      <c r="T48" s="278"/>
      <c r="U48" s="278"/>
      <c r="V48" s="278"/>
    </row>
    <row r="49" spans="1:22" ht="22" customHeight="1">
      <c r="A49" s="280" t="s">
        <v>120</v>
      </c>
      <c r="B49" s="92">
        <v>402000</v>
      </c>
      <c r="C49" s="46" t="s">
        <v>294</v>
      </c>
      <c r="D49" s="50">
        <v>46143</v>
      </c>
      <c r="E49" s="48" t="s">
        <v>2</v>
      </c>
      <c r="F49" s="49">
        <v>173</v>
      </c>
      <c r="G49" s="281">
        <f>IF(OR(E49="",F49=""),"",PID_KVLohnLookup($A$1,E49,F49,LOHNTABELLE!$H$4))</f>
        <v>2021</v>
      </c>
      <c r="H49" s="282">
        <f>IF(AND(ISNUMBER(D49),ISNUMBER(F49)),ROUNDDOWN(MIN(IF(OR(ISBLANK(I49),I49=""),EOMONTH(DATE(EINSTELLUNG!$C$35,$A$1,1),0),I49)-MAX(D49,DATE(EINSTELLUNG!$C$35,$A$1,1))+1)/DAY(EOMONTH(DATE(EINSTELLUNG!$C$35,$A$1,1),0))*F49,2),"")</f>
        <v>173</v>
      </c>
      <c r="I49" s="50"/>
      <c r="J49" s="51"/>
      <c r="K49" s="281">
        <f t="shared" si="1"/>
        <v>0</v>
      </c>
      <c r="L49" s="283">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2021</v>
      </c>
      <c r="M49" s="128"/>
      <c r="N49" s="66"/>
      <c r="O49" s="278"/>
      <c r="P49" s="278"/>
      <c r="Q49" s="278"/>
      <c r="R49" s="278"/>
      <c r="S49" s="278"/>
      <c r="T49" s="278"/>
      <c r="U49" s="278"/>
      <c r="V49" s="278"/>
    </row>
    <row r="50" spans="1:22" ht="22" customHeight="1">
      <c r="A50" s="280" t="s">
        <v>121</v>
      </c>
      <c r="B50" s="91">
        <v>402004</v>
      </c>
      <c r="C50" s="53" t="s">
        <v>295</v>
      </c>
      <c r="D50" s="43">
        <v>46122</v>
      </c>
      <c r="E50" s="41" t="s">
        <v>2</v>
      </c>
      <c r="F50" s="42">
        <v>173</v>
      </c>
      <c r="G50" s="281">
        <f>IF(OR(E50="",F50=""),"",PID_KVLohnLookup($A$1,E50,F50,LOHNTABELLE!$H$4))</f>
        <v>2021</v>
      </c>
      <c r="H50" s="282">
        <f>IF(AND(ISNUMBER(D50),ISNUMBER(F50)),ROUNDDOWN(MIN(IF(OR(ISBLANK(I50),I50=""),EOMONTH(DATE(EINSTELLUNG!$C$35,$A$1,1),0),I50)-MAX(D50,DATE(EINSTELLUNG!$C$35,$A$1,1))+1)/DAY(EOMONTH(DATE(EINSTELLUNG!$C$35,$A$1,1),0))*F50,2),"")</f>
        <v>173</v>
      </c>
      <c r="I50" s="43"/>
      <c r="J50" s="44"/>
      <c r="K50" s="281">
        <f t="shared" si="1"/>
        <v>0</v>
      </c>
      <c r="L50" s="283">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2021</v>
      </c>
      <c r="M50" s="129"/>
      <c r="N50" s="65"/>
      <c r="O50" s="278"/>
      <c r="P50" s="278"/>
      <c r="Q50" s="278"/>
      <c r="R50" s="278"/>
      <c r="S50" s="278"/>
      <c r="T50" s="278"/>
      <c r="U50" s="278"/>
      <c r="V50" s="278"/>
    </row>
    <row r="51" spans="1:22" ht="22" customHeight="1">
      <c r="A51" s="280" t="s">
        <v>122</v>
      </c>
      <c r="B51" s="92">
        <v>402405</v>
      </c>
      <c r="C51" s="46" t="s">
        <v>297</v>
      </c>
      <c r="D51" s="50">
        <v>46054</v>
      </c>
      <c r="E51" s="48" t="s">
        <v>2</v>
      </c>
      <c r="F51" s="49">
        <v>173</v>
      </c>
      <c r="G51" s="281">
        <f>IF(OR(E51="",F51=""),"",PID_KVLohnLookup($A$1,E51,F51,LOHNTABELLE!$H$4))</f>
        <v>2021</v>
      </c>
      <c r="H51" s="282">
        <f>IF(AND(ISNUMBER(D51),ISNUMBER(F51)),ROUNDDOWN(MIN(IF(OR(ISBLANK(I51),I51=""),EOMONTH(DATE(EINSTELLUNG!$C$35,$A$1,1),0),I51)-MAX(D51,DATE(EINSTELLUNG!$C$35,$A$1,1))+1)/DAY(EOMONTH(DATE(EINSTELLUNG!$C$35,$A$1,1),0))*F51,2),"")</f>
        <v>173</v>
      </c>
      <c r="I51" s="50"/>
      <c r="J51" s="51"/>
      <c r="K51" s="281">
        <f t="shared" si="1"/>
        <v>0</v>
      </c>
      <c r="L51" s="283">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2021</v>
      </c>
      <c r="M51" s="52"/>
      <c r="N51" s="127"/>
    </row>
    <row r="52" spans="1:22" ht="22" customHeight="1">
      <c r="A52" s="280" t="s">
        <v>123</v>
      </c>
      <c r="B52" s="91">
        <v>500600</v>
      </c>
      <c r="C52" s="39" t="s">
        <v>301</v>
      </c>
      <c r="D52" s="43">
        <v>46054</v>
      </c>
      <c r="E52" s="41" t="s">
        <v>2</v>
      </c>
      <c r="F52" s="42">
        <v>173</v>
      </c>
      <c r="G52" s="281">
        <f>IF(OR(E52="",F52=""),"",PID_KVLohnLookup($A$1,E52,F52,LOHNTABELLE!$H$4))</f>
        <v>2021</v>
      </c>
      <c r="H52" s="282">
        <f>IF(AND(ISNUMBER(D52),ISNUMBER(F52)),ROUNDDOWN(MIN(IF(OR(ISBLANK(I52),I52=""),EOMONTH(DATE(EINSTELLUNG!$C$35,$A$1,1),0),I52)-MAX(D52,DATE(EINSTELLUNG!$C$35,$A$1,1))+1)/DAY(EOMONTH(DATE(EINSTELLUNG!$C$35,$A$1,1),0))*F52,2),"")</f>
        <v>173</v>
      </c>
      <c r="I52" s="43"/>
      <c r="J52" s="44"/>
      <c r="K52" s="281">
        <f t="shared" si="1"/>
        <v>0</v>
      </c>
      <c r="L52" s="283">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2021</v>
      </c>
      <c r="M52" s="45"/>
      <c r="N52" s="65"/>
    </row>
    <row r="53" spans="1:22" ht="22" customHeight="1">
      <c r="A53" s="280" t="s">
        <v>124</v>
      </c>
      <c r="B53" s="92">
        <v>502000</v>
      </c>
      <c r="C53" s="46" t="s">
        <v>296</v>
      </c>
      <c r="D53" s="50">
        <v>46147</v>
      </c>
      <c r="E53" s="48" t="s">
        <v>2</v>
      </c>
      <c r="F53" s="49">
        <v>173</v>
      </c>
      <c r="G53" s="281">
        <f>IF(OR(E53="",F53=""),"",PID_KVLohnLookup($A$1,E53,F53,LOHNTABELLE!$H$4))</f>
        <v>2021</v>
      </c>
      <c r="H53" s="282">
        <f>IF(AND(ISNUMBER(D53),ISNUMBER(F53)),ROUNDDOWN(MIN(IF(OR(ISBLANK(I53),I53=""),EOMONTH(DATE(EINSTELLUNG!$C$35,$A$1,1),0),I53)-MAX(D53,DATE(EINSTELLUNG!$C$35,$A$1,1))+1)/DAY(EOMONTH(DATE(EINSTELLUNG!$C$35,$A$1,1),0))*F53,2),"")</f>
        <v>173</v>
      </c>
      <c r="I53" s="50"/>
      <c r="J53" s="51"/>
      <c r="K53" s="281">
        <f t="shared" si="1"/>
        <v>0</v>
      </c>
      <c r="L53" s="283">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2021</v>
      </c>
      <c r="M53" s="52"/>
      <c r="N53" s="66"/>
    </row>
    <row r="54" spans="1:22" ht="22" customHeight="1">
      <c r="A54" s="280" t="s">
        <v>125</v>
      </c>
      <c r="B54" s="91">
        <v>503000</v>
      </c>
      <c r="C54" s="39" t="s">
        <v>298</v>
      </c>
      <c r="D54" s="43">
        <v>42401</v>
      </c>
      <c r="E54" s="41" t="s">
        <v>2</v>
      </c>
      <c r="F54" s="42">
        <v>173</v>
      </c>
      <c r="G54" s="281">
        <f>IF(OR(E54="",F54=""),"",PID_KVLohnLookup($A$1,E54,F54,LOHNTABELLE!$H$4))</f>
        <v>2021</v>
      </c>
      <c r="H54" s="282">
        <f>IF(AND(ISNUMBER(D54),ISNUMBER(F54)),ROUNDDOWN(MIN(IF(OR(ISBLANK(I54),I54=""),EOMONTH(DATE(EINSTELLUNG!$C$35,$A$1,1),0),I54)-MAX(D54,DATE(EINSTELLUNG!$C$35,$A$1,1))+1)/DAY(EOMONTH(DATE(EINSTELLUNG!$C$35,$A$1,1),0))*F54,2),"")</f>
        <v>173</v>
      </c>
      <c r="I54" s="43"/>
      <c r="J54" s="44"/>
      <c r="K54" s="281">
        <f t="shared" si="1"/>
        <v>0</v>
      </c>
      <c r="L54" s="283">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2021</v>
      </c>
      <c r="M54" s="45"/>
      <c r="N54" s="65"/>
    </row>
    <row r="55" spans="1:22" ht="22" customHeight="1">
      <c r="A55" s="280" t="s">
        <v>126</v>
      </c>
      <c r="B55" s="92">
        <v>504000</v>
      </c>
      <c r="C55" s="46" t="s">
        <v>299</v>
      </c>
      <c r="D55" s="50">
        <v>46054</v>
      </c>
      <c r="E55" s="48" t="s">
        <v>3</v>
      </c>
      <c r="F55" s="49">
        <v>138.4</v>
      </c>
      <c r="G55" s="281">
        <f>IF(OR(E55="",F55=""),"",PID_KVLohnLookup($A$1,E55,F55,LOHNTABELLE!$H$4))</f>
        <v>1665.6</v>
      </c>
      <c r="H55" s="282">
        <f>IF(AND(ISNUMBER(D55),ISNUMBER(F55)),ROUNDDOWN(MIN(IF(OR(ISBLANK(I55),I55=""),EOMONTH(DATE(EINSTELLUNG!$C$35,$A$1,1),0),I55)-MAX(D55,DATE(EINSTELLUNG!$C$35,$A$1,1))+1)/DAY(EOMONTH(DATE(EINSTELLUNG!$C$35,$A$1,1),0))*F55,2),"")</f>
        <v>138.4</v>
      </c>
      <c r="I55" s="50"/>
      <c r="J55" s="51"/>
      <c r="K55" s="281">
        <f t="shared" si="1"/>
        <v>0</v>
      </c>
      <c r="L55" s="283">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1665.6</v>
      </c>
      <c r="M55" s="52"/>
      <c r="N55" s="66"/>
    </row>
    <row r="56" spans="1:22" ht="22" customHeight="1">
      <c r="A56" s="280" t="s">
        <v>127</v>
      </c>
      <c r="B56" s="91">
        <v>505000</v>
      </c>
      <c r="C56" s="39" t="s">
        <v>300</v>
      </c>
      <c r="D56" s="43">
        <v>46054</v>
      </c>
      <c r="E56" s="41" t="s">
        <v>2</v>
      </c>
      <c r="F56" s="42">
        <v>138.4</v>
      </c>
      <c r="G56" s="281">
        <f>IF(OR(E56="",F56=""),"",PID_KVLohnLookup($A$1,E56,F56,LOHNTABELLE!$H$4))</f>
        <v>1616.8</v>
      </c>
      <c r="H56" s="282">
        <f>IF(AND(ISNUMBER(D56),ISNUMBER(F56)),ROUNDDOWN(MIN(IF(OR(ISBLANK(I56),I56=""),EOMONTH(DATE(EINSTELLUNG!$C$35,$A$1,1),0),I56)-MAX(D56,DATE(EINSTELLUNG!$C$35,$A$1,1))+1)/DAY(EOMONTH(DATE(EINSTELLUNG!$C$35,$A$1,1),0))*F56,2),"")</f>
        <v>138.4</v>
      </c>
      <c r="I56" s="43"/>
      <c r="J56" s="44"/>
      <c r="K56" s="281">
        <f t="shared" si="1"/>
        <v>0</v>
      </c>
      <c r="L56" s="283">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1616.8</v>
      </c>
      <c r="M56" s="45"/>
      <c r="N56" s="65"/>
    </row>
    <row r="57" spans="1:22" ht="22" customHeight="1">
      <c r="A57" s="280" t="s">
        <v>128</v>
      </c>
      <c r="B57" s="92">
        <v>525025</v>
      </c>
      <c r="C57" s="46" t="s">
        <v>355</v>
      </c>
      <c r="D57" s="50">
        <v>46040</v>
      </c>
      <c r="E57" s="48" t="s">
        <v>2</v>
      </c>
      <c r="F57" s="49">
        <v>129.75</v>
      </c>
      <c r="G57" s="281">
        <f>IF(OR(E57="",F57=""),"",PID_KVLohnLookup($A$1,E57,F57,LOHNTABELLE!$H$4))</f>
        <v>1515.75</v>
      </c>
      <c r="H57" s="282">
        <f>IF(AND(ISNUMBER(D57),ISNUMBER(F57)),ROUNDDOWN(MIN(IF(OR(ISBLANK(I57),I57=""),EOMONTH(DATE(EINSTELLUNG!$C$35,$A$1,1),0),I57)-MAX(D57,DATE(EINSTELLUNG!$C$35,$A$1,1))+1)/DAY(EOMONTH(DATE(EINSTELLUNG!$C$35,$A$1,1),0))*F57,2),"")</f>
        <v>129.75</v>
      </c>
      <c r="I57" s="50"/>
      <c r="J57" s="51"/>
      <c r="K57" s="281">
        <f t="shared" si="1"/>
        <v>0</v>
      </c>
      <c r="L57" s="283">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1515.75</v>
      </c>
      <c r="M57" s="52"/>
      <c r="N57" s="66"/>
    </row>
    <row r="58" spans="1:22" ht="22" customHeight="1">
      <c r="A58" s="280" t="s">
        <v>129</v>
      </c>
      <c r="B58" s="91">
        <v>700000</v>
      </c>
      <c r="C58" s="39" t="s">
        <v>308</v>
      </c>
      <c r="D58" s="43">
        <v>46054</v>
      </c>
      <c r="E58" s="41" t="s">
        <v>2</v>
      </c>
      <c r="F58" s="42">
        <v>173</v>
      </c>
      <c r="G58" s="281">
        <f>IF(OR(E58="",F58=""),"",PID_KVLohnLookup($A$1,E58,F58,LOHNTABELLE!$H$4))</f>
        <v>2021</v>
      </c>
      <c r="H58" s="282">
        <f>IF(AND(ISNUMBER(D58),ISNUMBER(F58)),ROUNDDOWN(MIN(IF(OR(ISBLANK(I58),I58=""),EOMONTH(DATE(EINSTELLUNG!$C$35,$A$1,1),0),I58)-MAX(D58,DATE(EINSTELLUNG!$C$35,$A$1,1))+1)/DAY(EOMONTH(DATE(EINSTELLUNG!$C$35,$A$1,1),0))*F58,2),"")</f>
        <v>173</v>
      </c>
      <c r="I58" s="43"/>
      <c r="J58" s="44"/>
      <c r="K58" s="281">
        <f t="shared" si="1"/>
        <v>0</v>
      </c>
      <c r="L58" s="283">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2021</v>
      </c>
      <c r="M58" s="45"/>
      <c r="N58" s="65"/>
    </row>
    <row r="59" spans="1:22" ht="22" customHeight="1">
      <c r="A59" s="280" t="s">
        <v>130</v>
      </c>
      <c r="B59" s="92">
        <v>800000</v>
      </c>
      <c r="C59" s="46" t="s">
        <v>309</v>
      </c>
      <c r="D59" s="50">
        <v>46096</v>
      </c>
      <c r="E59" s="48" t="s">
        <v>2</v>
      </c>
      <c r="F59" s="49">
        <v>129.75</v>
      </c>
      <c r="G59" s="281">
        <f>IF(OR(E59="",F59=""),"",PID_KVLohnLookup($A$1,E59,F59,LOHNTABELLE!$H$4))</f>
        <v>1515.75</v>
      </c>
      <c r="H59" s="282">
        <f>IF(AND(ISNUMBER(D59),ISNUMBER(F59)),ROUNDDOWN(MIN(IF(OR(ISBLANK(I59),I59=""),EOMONTH(DATE(EINSTELLUNG!$C$35,$A$1,1),0),I59)-MAX(D59,DATE(EINSTELLUNG!$C$35,$A$1,1))+1)/DAY(EOMONTH(DATE(EINSTELLUNG!$C$35,$A$1,1),0))*F59,2),"")</f>
        <v>129.75</v>
      </c>
      <c r="I59" s="50"/>
      <c r="J59" s="51"/>
      <c r="K59" s="281">
        <f t="shared" si="1"/>
        <v>0</v>
      </c>
      <c r="L59" s="283">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1515.75</v>
      </c>
      <c r="M59" s="52"/>
      <c r="N59" s="66"/>
    </row>
    <row r="60" spans="1:22" ht="22" customHeight="1">
      <c r="A60" s="280" t="s">
        <v>131</v>
      </c>
      <c r="B60" s="91"/>
      <c r="C60" s="39"/>
      <c r="D60" s="43"/>
      <c r="E60" s="41"/>
      <c r="F60" s="42"/>
      <c r="G60" s="281" t="str">
        <f>IF(OR(E60="",F60=""),"",PID_KVLohnLookup($A$1,E60,F60,LOHNTABELLE!$H$4))</f>
        <v/>
      </c>
      <c r="H60" s="282" t="str">
        <f>IF(AND(ISNUMBER(D60),ISNUMBER(F60)),ROUNDDOWN(MIN(IF(OR(ISBLANK(I60),I60=""),EOMONTH(DATE(EINSTELLUNG!$C$35,$A$1,1),0),I60)-MAX(D60,DATE(EINSTELLUNG!$C$35,$A$1,1))+1)/DAY(EOMONTH(DATE(EINSTELLUNG!$C$35,$A$1,1),0))*F60,2),"")</f>
        <v/>
      </c>
      <c r="I60" s="43"/>
      <c r="J60" s="44"/>
      <c r="K60" s="281" t="str">
        <f t="shared" si="1"/>
        <v/>
      </c>
      <c r="L60" s="283" t="str">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
      </c>
      <c r="M60" s="45"/>
      <c r="N60" s="65"/>
    </row>
    <row r="61" spans="1:22" ht="22" customHeight="1">
      <c r="A61" s="280" t="s">
        <v>132</v>
      </c>
      <c r="B61" s="92"/>
      <c r="C61" s="46"/>
      <c r="D61" s="50"/>
      <c r="E61" s="48"/>
      <c r="F61" s="49"/>
      <c r="G61" s="281" t="str">
        <f>IF(OR(E61="",F61=""),"",PID_KVLohnLookup($A$1,E61,F61,LOHNTABELLE!$H$4))</f>
        <v/>
      </c>
      <c r="H61" s="282" t="str">
        <f>IF(AND(ISNUMBER(D61),ISNUMBER(F61)),ROUNDDOWN(MIN(IF(OR(ISBLANK(I61),I61=""),EOMONTH(DATE(EINSTELLUNG!$C$35,$A$1,1),0),I61)-MAX(D61,DATE(EINSTELLUNG!$C$35,$A$1,1))+1)/DAY(EOMONTH(DATE(EINSTELLUNG!$C$35,$A$1,1),0))*F61,2),"")</f>
        <v/>
      </c>
      <c r="I61" s="50"/>
      <c r="J61" s="51"/>
      <c r="K61" s="281" t="str">
        <f t="shared" si="1"/>
        <v/>
      </c>
      <c r="L61" s="283" t="str">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52"/>
      <c r="N61" s="66"/>
    </row>
    <row r="62" spans="1:22" ht="22" customHeight="1">
      <c r="A62" s="280" t="s">
        <v>133</v>
      </c>
      <c r="B62" s="91"/>
      <c r="C62" s="39"/>
      <c r="D62" s="43"/>
      <c r="E62" s="41"/>
      <c r="F62" s="42"/>
      <c r="G62" s="281" t="str">
        <f>IF(OR(E62="",F62=""),"",PID_KVLohnLookup($A$1,E62,F62,LOHNTABELLE!$H$4))</f>
        <v/>
      </c>
      <c r="H62" s="282" t="str">
        <f>IF(AND(ISNUMBER(D62),ISNUMBER(F62)),ROUNDDOWN(MIN(IF(OR(ISBLANK(I62),I62=""),EOMONTH(DATE(EINSTELLUNG!$C$35,$A$1,1),0),I62)-MAX(D62,DATE(EINSTELLUNG!$C$35,$A$1,1))+1)/DAY(EOMONTH(DATE(EINSTELLUNG!$C$35,$A$1,1),0))*F62,2),"")</f>
        <v/>
      </c>
      <c r="I62" s="43"/>
      <c r="J62" s="44"/>
      <c r="K62" s="281" t="str">
        <f t="shared" si="1"/>
        <v/>
      </c>
      <c r="L62" s="283"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45"/>
      <c r="N62" s="65"/>
    </row>
    <row r="63" spans="1:22" ht="22" customHeight="1">
      <c r="A63" s="280" t="s">
        <v>134</v>
      </c>
      <c r="B63" s="92"/>
      <c r="C63" s="46"/>
      <c r="D63" s="50"/>
      <c r="E63" s="48"/>
      <c r="F63" s="49"/>
      <c r="G63" s="281" t="str">
        <f>IF(OR(E63="",F63=""),"",PID_KVLohnLookup($A$1,E63,F63,LOHNTABELLE!$H$4))</f>
        <v/>
      </c>
      <c r="H63" s="282" t="str">
        <f>IF(AND(ISNUMBER(D63),ISNUMBER(F63)),ROUNDDOWN(MIN(IF(OR(ISBLANK(I63),I63=""),EOMONTH(DATE(EINSTELLUNG!$C$35,$A$1,1),0),I63)-MAX(D63,DATE(EINSTELLUNG!$C$35,$A$1,1))+1)/DAY(EOMONTH(DATE(EINSTELLUNG!$C$35,$A$1,1),0))*F63,2),"")</f>
        <v/>
      </c>
      <c r="I63" s="50"/>
      <c r="J63" s="51"/>
      <c r="K63" s="281" t="str">
        <f t="shared" si="1"/>
        <v/>
      </c>
      <c r="L63" s="283"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52"/>
      <c r="N63" s="66"/>
    </row>
    <row r="64" spans="1:22" ht="22" customHeight="1">
      <c r="A64" s="280" t="s">
        <v>135</v>
      </c>
      <c r="B64" s="91"/>
      <c r="C64" s="39"/>
      <c r="D64" s="43"/>
      <c r="E64" s="41"/>
      <c r="F64" s="42"/>
      <c r="G64" s="281" t="str">
        <f>IF(OR(E64="",F64=""),"",PID_KVLohnLookup($A$1,E64,F64,LOHNTABELLE!$H$4))</f>
        <v/>
      </c>
      <c r="H64" s="282" t="str">
        <f>IF(AND(ISNUMBER(D64),ISNUMBER(F64)),ROUNDDOWN(MIN(IF(OR(ISBLANK(I64),I64=""),EOMONTH(DATE(EINSTELLUNG!$C$35,$A$1,1),0),I64)-MAX(D64,DATE(EINSTELLUNG!$C$35,$A$1,1))+1)/DAY(EOMONTH(DATE(EINSTELLUNG!$C$35,$A$1,1),0))*F64,2),"")</f>
        <v/>
      </c>
      <c r="I64" s="43"/>
      <c r="J64" s="44"/>
      <c r="K64" s="281" t="str">
        <f t="shared" si="1"/>
        <v/>
      </c>
      <c r="L64" s="283"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45"/>
      <c r="N64" s="65"/>
    </row>
    <row r="65" spans="1:14" ht="22" customHeight="1">
      <c r="A65" s="280" t="s">
        <v>136</v>
      </c>
      <c r="B65" s="92"/>
      <c r="C65" s="46"/>
      <c r="D65" s="50"/>
      <c r="E65" s="48"/>
      <c r="F65" s="49"/>
      <c r="G65" s="281" t="str">
        <f>IF(OR(E65="",F65=""),"",PID_KVLohnLookup($A$1,E65,F65,LOHNTABELLE!$H$4))</f>
        <v/>
      </c>
      <c r="H65" s="282" t="str">
        <f>IF(AND(ISNUMBER(D65),ISNUMBER(F65)),ROUNDDOWN(MIN(IF(OR(ISBLANK(I65),I65=""),EOMONTH(DATE(EINSTELLUNG!$C$35,$A$1,1),0),I65)-MAX(D65,DATE(EINSTELLUNG!$C$35,$A$1,1))+1)/DAY(EOMONTH(DATE(EINSTELLUNG!$C$35,$A$1,1),0))*F65,2),"")</f>
        <v/>
      </c>
      <c r="I65" s="50"/>
      <c r="J65" s="51"/>
      <c r="K65" s="281" t="str">
        <f t="shared" si="1"/>
        <v/>
      </c>
      <c r="L65" s="283"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52"/>
      <c r="N65" s="66"/>
    </row>
    <row r="66" spans="1:14" ht="22" customHeight="1">
      <c r="A66" s="280" t="s">
        <v>137</v>
      </c>
      <c r="B66" s="91"/>
      <c r="C66" s="39"/>
      <c r="D66" s="43"/>
      <c r="E66" s="41"/>
      <c r="F66" s="42"/>
      <c r="G66" s="281" t="str">
        <f>IF(OR(E66="",F66=""),"",PID_KVLohnLookup($A$1,E66,F66,LOHNTABELLE!$H$4))</f>
        <v/>
      </c>
      <c r="H66" s="282" t="str">
        <f>IF(AND(ISNUMBER(D66),ISNUMBER(F66)),ROUNDDOWN(MIN(IF(OR(ISBLANK(I66),I66=""),EOMONTH(DATE(EINSTELLUNG!$C$35,$A$1,1),0),I66)-MAX(D66,DATE(EINSTELLUNG!$C$35,$A$1,1))+1)/DAY(EOMONTH(DATE(EINSTELLUNG!$C$35,$A$1,1),0))*F66,2),"")</f>
        <v/>
      </c>
      <c r="I66" s="43"/>
      <c r="J66" s="44"/>
      <c r="K66" s="281" t="str">
        <f t="shared" si="1"/>
        <v/>
      </c>
      <c r="L66" s="283"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45"/>
      <c r="N66" s="65"/>
    </row>
    <row r="67" spans="1:14" ht="22" customHeight="1">
      <c r="A67" s="280" t="s">
        <v>138</v>
      </c>
      <c r="B67" s="92"/>
      <c r="C67" s="46"/>
      <c r="D67" s="50"/>
      <c r="E67" s="48"/>
      <c r="F67" s="49"/>
      <c r="G67" s="281" t="str">
        <f>IF(OR(E67="",F67=""),"",PID_KVLohnLookup($A$1,E67,F67,LOHNTABELLE!$H$4))</f>
        <v/>
      </c>
      <c r="H67" s="282" t="str">
        <f>IF(AND(ISNUMBER(D67),ISNUMBER(F67)),ROUNDDOWN(MIN(IF(OR(ISBLANK(I67),I67=""),EOMONTH(DATE(EINSTELLUNG!$C$35,$A$1,1),0),I67)-MAX(D67,DATE(EINSTELLUNG!$C$35,$A$1,1))+1)/DAY(EOMONTH(DATE(EINSTELLUNG!$C$35,$A$1,1),0))*F67,2),"")</f>
        <v/>
      </c>
      <c r="I67" s="50"/>
      <c r="J67" s="51"/>
      <c r="K67" s="281" t="str">
        <f t="shared" ref="K67:K82" si="3">IF(OR(B67="",C67=""),"",IFERROR(IF(OR(MONTH(D67)=1,MONTH(D67)=3,MONTH(D67)=5,MONTH(D67)=7,MONTH(D67)=8,MONTH(D67)=10,MONTH(D67)=12),(G67/31)*J67,IF(OR(MONTH(D67)=4,MONTH(D67)=6,MONTH(D67)=9,MONTH(D67)=11),(G67/30)*J67,(G67/DAY(EOMONTH(D67,0)))*J67)),0))</f>
        <v/>
      </c>
      <c r="L67" s="283"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52"/>
      <c r="N67" s="66"/>
    </row>
    <row r="68" spans="1:14" ht="22" customHeight="1">
      <c r="A68" s="280" t="s">
        <v>139</v>
      </c>
      <c r="B68" s="91"/>
      <c r="C68" s="39"/>
      <c r="D68" s="43"/>
      <c r="E68" s="41"/>
      <c r="F68" s="42"/>
      <c r="G68" s="281" t="str">
        <f>IF(OR(E68="",F68=""),"",PID_KVLohnLookup($A$1,E68,F68,LOHNTABELLE!$H$4))</f>
        <v/>
      </c>
      <c r="H68" s="282" t="str">
        <f>IF(AND(ISNUMBER(D68),ISNUMBER(F68)),ROUNDDOWN(MIN(IF(OR(ISBLANK(I68),I68=""),EOMONTH(DATE(EINSTELLUNG!$C$35,$A$1,1),0),I68)-MAX(D68,DATE(EINSTELLUNG!$C$35,$A$1,1))+1)/DAY(EOMONTH(DATE(EINSTELLUNG!$C$35,$A$1,1),0))*F68,2),"")</f>
        <v/>
      </c>
      <c r="I68" s="43"/>
      <c r="J68" s="44"/>
      <c r="K68" s="281" t="str">
        <f t="shared" si="3"/>
        <v/>
      </c>
      <c r="L68" s="283"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45"/>
      <c r="N68" s="65"/>
    </row>
    <row r="69" spans="1:14" ht="22" customHeight="1">
      <c r="A69" s="280" t="s">
        <v>140</v>
      </c>
      <c r="B69" s="92"/>
      <c r="C69" s="46"/>
      <c r="D69" s="50"/>
      <c r="E69" s="48"/>
      <c r="F69" s="49"/>
      <c r="G69" s="281" t="str">
        <f>IF(OR(E69="",F69=""),"",PID_KVLohnLookup($A$1,E69,F69,LOHNTABELLE!$H$4))</f>
        <v/>
      </c>
      <c r="H69" s="282" t="str">
        <f>IF(AND(ISNUMBER(D69),ISNUMBER(F69)),ROUNDDOWN(MIN(IF(OR(ISBLANK(I69),I69=""),EOMONTH(DATE(EINSTELLUNG!$C$35,$A$1,1),0),I69)-MAX(D69,DATE(EINSTELLUNG!$C$35,$A$1,1))+1)/DAY(EOMONTH(DATE(EINSTELLUNG!$C$35,$A$1,1),0))*F69,2),"")</f>
        <v/>
      </c>
      <c r="I69" s="50"/>
      <c r="J69" s="51"/>
      <c r="K69" s="281" t="str">
        <f t="shared" si="3"/>
        <v/>
      </c>
      <c r="L69" s="283"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52"/>
      <c r="N69" s="66"/>
    </row>
    <row r="70" spans="1:14" ht="22" customHeight="1">
      <c r="A70" s="280" t="s">
        <v>141</v>
      </c>
      <c r="B70" s="91"/>
      <c r="C70" s="39"/>
      <c r="D70" s="43"/>
      <c r="E70" s="41"/>
      <c r="F70" s="42"/>
      <c r="G70" s="281" t="str">
        <f>IF(OR(E70="",F70=""),"",PID_KVLohnLookup($A$1,E70,F70,LOHNTABELLE!$H$4))</f>
        <v/>
      </c>
      <c r="H70" s="282" t="str">
        <f>IF(AND(ISNUMBER(D70),ISNUMBER(F70)),ROUNDDOWN(MIN(IF(OR(ISBLANK(I70),I70=""),EOMONTH(DATE(EINSTELLUNG!$C$35,$A$1,1),0),I70)-MAX(D70,DATE(EINSTELLUNG!$C$35,$A$1,1))+1)/DAY(EOMONTH(DATE(EINSTELLUNG!$C$35,$A$1,1),0))*F70,2),"")</f>
        <v/>
      </c>
      <c r="I70" s="43"/>
      <c r="J70" s="44"/>
      <c r="K70" s="281" t="str">
        <f t="shared" si="3"/>
        <v/>
      </c>
      <c r="L70" s="283"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45"/>
      <c r="N70" s="65"/>
    </row>
    <row r="71" spans="1:14" ht="22" customHeight="1">
      <c r="A71" s="280" t="s">
        <v>142</v>
      </c>
      <c r="B71" s="92"/>
      <c r="C71" s="46"/>
      <c r="D71" s="50"/>
      <c r="E71" s="48"/>
      <c r="F71" s="49"/>
      <c r="G71" s="281" t="str">
        <f>IF(OR(E71="",F71=""),"",PID_KVLohnLookup($A$1,E71,F71,LOHNTABELLE!$H$4))</f>
        <v/>
      </c>
      <c r="H71" s="282" t="str">
        <f>IF(AND(ISNUMBER(D71),ISNUMBER(F71)),ROUNDDOWN(MIN(IF(OR(ISBLANK(I71),I71=""),EOMONTH(DATE(EINSTELLUNG!$C$35,$A$1,1),0),I71)-MAX(D71,DATE(EINSTELLUNG!$C$35,$A$1,1))+1)/DAY(EOMONTH(DATE(EINSTELLUNG!$C$35,$A$1,1),0))*F71,2),"")</f>
        <v/>
      </c>
      <c r="I71" s="50"/>
      <c r="J71" s="51"/>
      <c r="K71" s="281" t="str">
        <f t="shared" si="3"/>
        <v/>
      </c>
      <c r="L71" s="283"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52"/>
      <c r="N71" s="66"/>
    </row>
    <row r="72" spans="1:14" ht="22" customHeight="1">
      <c r="A72" s="280" t="s">
        <v>143</v>
      </c>
      <c r="B72" s="91"/>
      <c r="C72" s="39"/>
      <c r="D72" s="43"/>
      <c r="E72" s="41"/>
      <c r="F72" s="42"/>
      <c r="G72" s="281" t="str">
        <f>IF(OR(E72="",F72=""),"",PID_KVLohnLookup($A$1,E72,F72,LOHNTABELLE!$H$4))</f>
        <v/>
      </c>
      <c r="H72" s="282" t="str">
        <f>IF(AND(ISNUMBER(D72),ISNUMBER(F72)),ROUNDDOWN(MIN(IF(OR(ISBLANK(I72),I72=""),EOMONTH(DATE(EINSTELLUNG!$C$35,$A$1,1),0),I72)-MAX(D72,DATE(EINSTELLUNG!$C$35,$A$1,1))+1)/DAY(EOMONTH(DATE(EINSTELLUNG!$C$35,$A$1,1),0))*F72,2),"")</f>
        <v/>
      </c>
      <c r="I72" s="43"/>
      <c r="J72" s="44"/>
      <c r="K72" s="281" t="str">
        <f t="shared" si="3"/>
        <v/>
      </c>
      <c r="L72" s="283"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45"/>
      <c r="N72" s="65"/>
    </row>
    <row r="73" spans="1:14" ht="22" customHeight="1">
      <c r="A73" s="280" t="s">
        <v>144</v>
      </c>
      <c r="B73" s="92"/>
      <c r="C73" s="46"/>
      <c r="D73" s="50"/>
      <c r="E73" s="48"/>
      <c r="F73" s="49"/>
      <c r="G73" s="281" t="str">
        <f>IF(OR(E73="",F73=""),"",PID_KVLohnLookup($A$1,E73,F73,LOHNTABELLE!$H$4))</f>
        <v/>
      </c>
      <c r="H73" s="282" t="str">
        <f>IF(AND(ISNUMBER(D73),ISNUMBER(F73)),ROUNDDOWN(MIN(IF(OR(ISBLANK(I73),I73=""),EOMONTH(DATE(EINSTELLUNG!$C$35,$A$1,1),0),I73)-MAX(D73,DATE(EINSTELLUNG!$C$35,$A$1,1))+1)/DAY(EOMONTH(DATE(EINSTELLUNG!$C$35,$A$1,1),0))*F73,2),"")</f>
        <v/>
      </c>
      <c r="I73" s="50"/>
      <c r="J73" s="51"/>
      <c r="K73" s="281" t="str">
        <f t="shared" si="3"/>
        <v/>
      </c>
      <c r="L73" s="283"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52"/>
      <c r="N73" s="66"/>
    </row>
    <row r="74" spans="1:14" ht="22" customHeight="1">
      <c r="A74" s="280" t="s">
        <v>145</v>
      </c>
      <c r="B74" s="91"/>
      <c r="C74" s="39"/>
      <c r="D74" s="43"/>
      <c r="E74" s="41"/>
      <c r="F74" s="42"/>
      <c r="G74" s="281" t="str">
        <f>IF(OR(E74="",F74=""),"",PID_KVLohnLookup($A$1,E74,F74,LOHNTABELLE!$H$4))</f>
        <v/>
      </c>
      <c r="H74" s="282" t="str">
        <f>IF(AND(ISNUMBER(D74),ISNUMBER(F74)),ROUNDDOWN(MIN(IF(OR(ISBLANK(I74),I74=""),EOMONTH(DATE(EINSTELLUNG!$C$35,$A$1,1),0),I74)-MAX(D74,DATE(EINSTELLUNG!$C$35,$A$1,1))+1)/DAY(EOMONTH(DATE(EINSTELLUNG!$C$35,$A$1,1),0))*F74,2),"")</f>
        <v/>
      </c>
      <c r="I74" s="43"/>
      <c r="J74" s="44"/>
      <c r="K74" s="281" t="str">
        <f t="shared" si="3"/>
        <v/>
      </c>
      <c r="L74" s="283"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45"/>
      <c r="N74" s="65"/>
    </row>
    <row r="75" spans="1:14" ht="22" customHeight="1">
      <c r="A75" s="280" t="s">
        <v>146</v>
      </c>
      <c r="B75" s="92"/>
      <c r="C75" s="46"/>
      <c r="D75" s="50"/>
      <c r="E75" s="48"/>
      <c r="F75" s="49"/>
      <c r="G75" s="281" t="str">
        <f>IF(OR(E75="",F75=""),"",PID_KVLohnLookup($A$1,E75,F75,LOHNTABELLE!$H$4))</f>
        <v/>
      </c>
      <c r="H75" s="282" t="str">
        <f>IF(AND(ISNUMBER(D75),ISNUMBER(F75)),ROUNDDOWN(MIN(IF(OR(ISBLANK(I75),I75=""),EOMONTH(DATE(EINSTELLUNG!$C$35,$A$1,1),0),I75)-MAX(D75,DATE(EINSTELLUNG!$C$35,$A$1,1))+1)/DAY(EOMONTH(DATE(EINSTELLUNG!$C$35,$A$1,1),0))*F75,2),"")</f>
        <v/>
      </c>
      <c r="I75" s="50"/>
      <c r="J75" s="51"/>
      <c r="K75" s="281" t="str">
        <f t="shared" si="3"/>
        <v/>
      </c>
      <c r="L75" s="283"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52"/>
      <c r="N75" s="66"/>
    </row>
    <row r="76" spans="1:14" ht="22" customHeight="1">
      <c r="A76" s="280" t="s">
        <v>147</v>
      </c>
      <c r="B76" s="91"/>
      <c r="C76" s="39"/>
      <c r="D76" s="43"/>
      <c r="E76" s="41"/>
      <c r="F76" s="42"/>
      <c r="G76" s="281" t="str">
        <f>IF(OR(E76="",F76=""),"",PID_KVLohnLookup($A$1,E76,F76,LOHNTABELLE!$H$4))</f>
        <v/>
      </c>
      <c r="H76" s="282" t="str">
        <f>IF(AND(ISNUMBER(D76),ISNUMBER(F76)),ROUNDDOWN(MIN(IF(OR(ISBLANK(I76),I76=""),EOMONTH(DATE(EINSTELLUNG!$C$35,$A$1,1),0),I76)-MAX(D76,DATE(EINSTELLUNG!$C$35,$A$1,1))+1)/DAY(EOMONTH(DATE(EINSTELLUNG!$C$35,$A$1,1),0))*F76,2),"")</f>
        <v/>
      </c>
      <c r="I76" s="43"/>
      <c r="J76" s="44"/>
      <c r="K76" s="281" t="str">
        <f t="shared" si="3"/>
        <v/>
      </c>
      <c r="L76" s="283"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45"/>
      <c r="N76" s="65"/>
    </row>
    <row r="77" spans="1:14" ht="22" customHeight="1">
      <c r="A77" s="280" t="s">
        <v>148</v>
      </c>
      <c r="B77" s="92"/>
      <c r="C77" s="46"/>
      <c r="D77" s="50"/>
      <c r="E77" s="48"/>
      <c r="F77" s="49"/>
      <c r="G77" s="281" t="str">
        <f>IF(OR(E77="",F77=""),"",PID_KVLohnLookup($A$1,E77,F77,LOHNTABELLE!$H$4))</f>
        <v/>
      </c>
      <c r="H77" s="282" t="str">
        <f>IF(AND(ISNUMBER(D77),ISNUMBER(F77)),ROUNDDOWN(MIN(IF(OR(ISBLANK(I77),I77=""),EOMONTH(DATE(EINSTELLUNG!$C$35,$A$1,1),0),I77)-MAX(D77,DATE(EINSTELLUNG!$C$35,$A$1,1))+1)/DAY(EOMONTH(DATE(EINSTELLUNG!$C$35,$A$1,1),0))*F77,2),"")</f>
        <v/>
      </c>
      <c r="I77" s="50"/>
      <c r="J77" s="51"/>
      <c r="K77" s="281" t="str">
        <f t="shared" si="3"/>
        <v/>
      </c>
      <c r="L77" s="283"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52"/>
      <c r="N77" s="66"/>
    </row>
    <row r="78" spans="1:14" ht="22" customHeight="1">
      <c r="A78" s="280" t="s">
        <v>149</v>
      </c>
      <c r="B78" s="91"/>
      <c r="C78" s="39"/>
      <c r="D78" s="43"/>
      <c r="E78" s="41"/>
      <c r="F78" s="42"/>
      <c r="G78" s="281" t="str">
        <f>IF(OR(E78="",F78=""),"",PID_KVLohnLookup($A$1,E78,F78,LOHNTABELLE!$H$4))</f>
        <v/>
      </c>
      <c r="H78" s="282" t="str">
        <f>IF(AND(ISNUMBER(D78),ISNUMBER(F78)),ROUNDDOWN(MIN(IF(OR(ISBLANK(I78),I78=""),EOMONTH(DATE(EINSTELLUNG!$C$35,$A$1,1),0),I78)-MAX(D78,DATE(EINSTELLUNG!$C$35,$A$1,1))+1)/DAY(EOMONTH(DATE(EINSTELLUNG!$C$35,$A$1,1),0))*F78,2),"")</f>
        <v/>
      </c>
      <c r="I78" s="43"/>
      <c r="J78" s="44"/>
      <c r="K78" s="281" t="str">
        <f t="shared" si="3"/>
        <v/>
      </c>
      <c r="L78" s="283"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45"/>
      <c r="N78" s="65"/>
    </row>
    <row r="79" spans="1:14" ht="22" customHeight="1">
      <c r="A79" s="280" t="s">
        <v>150</v>
      </c>
      <c r="B79" s="92"/>
      <c r="C79" s="46"/>
      <c r="D79" s="50"/>
      <c r="E79" s="48"/>
      <c r="F79" s="49"/>
      <c r="G79" s="281" t="str">
        <f>IF(OR(E79="",F79=""),"",PID_KVLohnLookup($A$1,E79,F79,LOHNTABELLE!$H$4))</f>
        <v/>
      </c>
      <c r="H79" s="282" t="str">
        <f>IF(AND(ISNUMBER(D79),ISNUMBER(F79)),ROUNDDOWN(MIN(IF(OR(ISBLANK(I79),I79=""),EOMONTH(DATE(EINSTELLUNG!$C$35,$A$1,1),0),I79)-MAX(D79,DATE(EINSTELLUNG!$C$35,$A$1,1))+1)/DAY(EOMONTH(DATE(EINSTELLUNG!$C$35,$A$1,1),0))*F79,2),"")</f>
        <v/>
      </c>
      <c r="I79" s="50"/>
      <c r="J79" s="51"/>
      <c r="K79" s="281" t="str">
        <f t="shared" si="3"/>
        <v/>
      </c>
      <c r="L79" s="283"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52"/>
      <c r="N79" s="66"/>
    </row>
    <row r="80" spans="1:14" ht="22" customHeight="1">
      <c r="A80" s="280" t="s">
        <v>151</v>
      </c>
      <c r="B80" s="91"/>
      <c r="C80" s="39"/>
      <c r="D80" s="43"/>
      <c r="E80" s="41"/>
      <c r="F80" s="42"/>
      <c r="G80" s="281" t="str">
        <f>IF(OR(E80="",F80=""),"",PID_KVLohnLookup($A$1,E80,F80,LOHNTABELLE!$H$4))</f>
        <v/>
      </c>
      <c r="H80" s="282" t="str">
        <f>IF(AND(ISNUMBER(D80),ISNUMBER(F80)),ROUNDDOWN(MIN(IF(OR(ISBLANK(I80),I80=""),EOMONTH(DATE(EINSTELLUNG!$C$35,$A$1,1),0),I80)-MAX(D80,DATE(EINSTELLUNG!$C$35,$A$1,1))+1)/DAY(EOMONTH(DATE(EINSTELLUNG!$C$35,$A$1,1),0))*F80,2),"")</f>
        <v/>
      </c>
      <c r="I80" s="43"/>
      <c r="J80" s="44"/>
      <c r="K80" s="281" t="str">
        <f t="shared" si="3"/>
        <v/>
      </c>
      <c r="L80" s="283"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45"/>
      <c r="N80" s="65"/>
    </row>
    <row r="81" spans="1:14" ht="22" customHeight="1">
      <c r="A81" s="280" t="s">
        <v>152</v>
      </c>
      <c r="B81" s="92"/>
      <c r="C81" s="46"/>
      <c r="D81" s="50"/>
      <c r="E81" s="48"/>
      <c r="F81" s="49"/>
      <c r="G81" s="281" t="str">
        <f>IF(OR(E81="",F81=""),"",PID_KVLohnLookup($A$1,E81,F81,LOHNTABELLE!$H$4))</f>
        <v/>
      </c>
      <c r="H81" s="282" t="str">
        <f>IF(AND(ISNUMBER(D81),ISNUMBER(F81)),ROUNDDOWN(MIN(IF(OR(ISBLANK(I81),I81=""),EOMONTH(DATE(EINSTELLUNG!$C$35,$A$1,1),0),I81)-MAX(D81,DATE(EINSTELLUNG!$C$35,$A$1,1))+1)/DAY(EOMONTH(DATE(EINSTELLUNG!$C$35,$A$1,1),0))*F81,2),"")</f>
        <v/>
      </c>
      <c r="I81" s="50"/>
      <c r="J81" s="51"/>
      <c r="K81" s="281" t="str">
        <f t="shared" si="3"/>
        <v/>
      </c>
      <c r="L81" s="283"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52"/>
      <c r="N81" s="66"/>
    </row>
    <row r="82" spans="1:14" ht="22" customHeight="1" thickBot="1">
      <c r="A82" s="343" t="s">
        <v>153</v>
      </c>
      <c r="B82" s="93"/>
      <c r="C82" s="54"/>
      <c r="D82" s="55"/>
      <c r="E82" s="56"/>
      <c r="F82" s="57"/>
      <c r="G82" s="344" t="str">
        <f>IF(OR(E82="",F82=""),"",PID_KVLohnLookup($A$1,E82,F82,LOHNTABELLE!$H$4))</f>
        <v/>
      </c>
      <c r="H82" s="345" t="str">
        <f>IF(AND(ISNUMBER(D82),ISNUMBER(F82)),ROUNDDOWN(MIN(IF(OR(ISBLANK(I82),I82=""),EOMONTH(DATE(EINSTELLUNG!$C$35,$A$1,1),0),I82)-MAX(D82,DATE(EINSTELLUNG!$C$35,$A$1,1))+1)/DAY(EOMONTH(DATE(EINSTELLUNG!$C$35,$A$1,1),0))*F82,2),"")</f>
        <v/>
      </c>
      <c r="I82" s="55"/>
      <c r="J82" s="58"/>
      <c r="K82" s="344" t="str">
        <f t="shared" si="3"/>
        <v/>
      </c>
      <c r="L82" s="346"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59"/>
      <c r="N82" s="69"/>
    </row>
    <row r="83" spans="1:14" ht="16" customHeight="1">
      <c r="A83" s="374"/>
      <c r="B83" s="374"/>
    </row>
    <row r="100" spans="26:26" ht="16" customHeight="1">
      <c r="Z100" s="259"/>
    </row>
  </sheetData>
  <sheetProtection algorithmName="SHA-512" hashValue="mX4vECVWZMGPpLurtYEG6P7Q6RoTvtfc6Txt0Yt8PkwjI8URyrT0RK1kyrp+JGUUgtcrqtOZTGSs4FHyEPGJSA==" saltValue="ra131fl0V3wQ0JAz0yvQGg==" spinCount="100000" sheet="1" objects="1" scenarios="1" autoFilter="0"/>
  <sortState xmlns:xlrd2="http://schemas.microsoft.com/office/spreadsheetml/2017/richdata2" ref="B3:N82">
    <sortCondition ref="B3:B82"/>
    <sortCondition ref="C3:C82"/>
  </sortState>
  <mergeCells count="102">
    <mergeCell ref="N1:N2"/>
    <mergeCell ref="A1:A2"/>
    <mergeCell ref="E1:E2"/>
    <mergeCell ref="F1:F2"/>
    <mergeCell ref="G1:G2"/>
    <mergeCell ref="H1:H2"/>
    <mergeCell ref="M1:M2"/>
    <mergeCell ref="S2:V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Q28:R28"/>
    <mergeCell ref="U36:V36"/>
    <mergeCell ref="O29:P29"/>
    <mergeCell ref="Q29:R29"/>
    <mergeCell ref="O31:P31"/>
    <mergeCell ref="Q31:R31"/>
    <mergeCell ref="O33:P34"/>
    <mergeCell ref="Q33:R34"/>
    <mergeCell ref="S33:T34"/>
    <mergeCell ref="U33:V34"/>
    <mergeCell ref="Q35:R35"/>
    <mergeCell ref="S35:T35"/>
    <mergeCell ref="U35:V35"/>
    <mergeCell ref="Q26:R26"/>
    <mergeCell ref="Q27:R27"/>
    <mergeCell ref="O22:P22"/>
    <mergeCell ref="O14:P14"/>
    <mergeCell ref="Q14:R14"/>
    <mergeCell ref="O17:P17"/>
    <mergeCell ref="Q17:R17"/>
    <mergeCell ref="O18:P18"/>
    <mergeCell ref="Q18:R18"/>
    <mergeCell ref="O25:P25"/>
    <mergeCell ref="Q25:R25"/>
    <mergeCell ref="Q19:R19"/>
    <mergeCell ref="Q22:R22"/>
    <mergeCell ref="O23:P23"/>
    <mergeCell ref="Q20:R20"/>
    <mergeCell ref="O21:P21"/>
    <mergeCell ref="Q21:R21"/>
    <mergeCell ref="C1:C2"/>
    <mergeCell ref="D1:D2"/>
    <mergeCell ref="O44:V44"/>
    <mergeCell ref="O38:P38"/>
    <mergeCell ref="Q38:R38"/>
    <mergeCell ref="S38:T38"/>
    <mergeCell ref="O37:P37"/>
    <mergeCell ref="O35:P35"/>
    <mergeCell ref="O36:P36"/>
    <mergeCell ref="Q36:R36"/>
    <mergeCell ref="S36:T36"/>
    <mergeCell ref="O3:O4"/>
    <mergeCell ref="P3:P4"/>
    <mergeCell ref="O9:P9"/>
    <mergeCell ref="O20:P20"/>
    <mergeCell ref="O19:P19"/>
    <mergeCell ref="O28:P28"/>
    <mergeCell ref="O11:P11"/>
    <mergeCell ref="Q11:R11"/>
    <mergeCell ref="O12:P12"/>
    <mergeCell ref="Q12:R12"/>
    <mergeCell ref="O13:P13"/>
    <mergeCell ref="Q13:R13"/>
    <mergeCell ref="O26:P26"/>
    <mergeCell ref="O45:U45"/>
    <mergeCell ref="B1:B2"/>
    <mergeCell ref="O16:R16"/>
    <mergeCell ref="Q9:R9"/>
    <mergeCell ref="O10:P10"/>
    <mergeCell ref="Q10:R10"/>
    <mergeCell ref="O15:P15"/>
    <mergeCell ref="Q3:Q4"/>
    <mergeCell ref="R3:R4"/>
    <mergeCell ref="O6:R6"/>
    <mergeCell ref="O8:P8"/>
    <mergeCell ref="Q8:R8"/>
    <mergeCell ref="Q15:R15"/>
    <mergeCell ref="O42:P42"/>
    <mergeCell ref="I1:I2"/>
    <mergeCell ref="J1:J2"/>
    <mergeCell ref="K1:K2"/>
    <mergeCell ref="L1:L2"/>
    <mergeCell ref="O39:P39"/>
    <mergeCell ref="O40:P40"/>
    <mergeCell ref="O41:P41"/>
    <mergeCell ref="Q23:R23"/>
    <mergeCell ref="O24:P24"/>
    <mergeCell ref="Q24:R24"/>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921463F6-1826-894A-9CAE-6DC803614B2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FB606A58-1221-1945-8238-41290EDC0CD8}">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C6D7D017-C46B-644B-AF6F-A6836A616D90}">
          <x14:formula1>
            <xm:f>KV_DROPDOWN_HELPER!$RN$1:$RN$13</xm:f>
          </x14:formula1>
          <xm:sqref>F4 F7</xm:sqref>
        </x14:dataValidation>
        <x14:dataValidation type="list" allowBlank="1" showInputMessage="1" showErrorMessage="1" xr:uid="{B9ABD554-0AD5-1F4D-85DC-2B115FAE3575}">
          <x14:formula1>
            <xm:f>KV_DROPDOWN_HELPER!$RR$1:$RR$13</xm:f>
          </x14:formula1>
          <xm:sqref>F19 F22 F24</xm:sqref>
        </x14:dataValidation>
        <x14:dataValidation type="list" allowBlank="1" showInputMessage="1" showErrorMessage="1" xr:uid="{D6298043-07D6-7841-B2A0-655EA0682284}">
          <x14:formula1>
            <xm:f>KV_DROPDOWN_HELPER!$RS$1:$RS$13</xm:f>
          </x14:formula1>
          <xm:sqref>F60 F61 F62 F63 F64 F65 F66 F67 F68 F69 F70 F71 F72 F73 F74 F75 F76 F77 F78 F79 F80 F81 F82</xm:sqref>
        </x14:dataValidation>
        <x14:dataValidation type="list" allowBlank="1" showInputMessage="1" showErrorMessage="1" xr:uid="{EE87EF88-3180-4C00-B24D-7DF2092CF2BE}">
          <x14:formula1>
            <xm:f>KV_DROPDOWN_HELPER!$RO$1:$RO$13</xm:f>
          </x14:formula1>
          <xm:sqref>F6 F8 F9 F10 F13 F55</xm:sqref>
        </x14:dataValidation>
        <x14:dataValidation type="list" allowBlank="1" showInputMessage="1" showErrorMessage="1" xr:uid="{03481AD6-FB32-4537-916C-8410EA123045}">
          <x14:formula1>
            <xm:f>KV_DROPDOWN_HELPER!$RQ$1:$RQ$13</xm:f>
          </x14:formula1>
          <xm:sqref>F18</xm:sqref>
        </x14:dataValidation>
        <x14:dataValidation type="list" allowBlank="1" showInputMessage="1" showErrorMessage="1" xr:uid="{6B8A718E-120D-47B9-AF80-E76513992071}">
          <x14:formula1>
            <xm:f>KV_DROPDOWN_HELPER!$RP$1:$RP$13</xm:f>
          </x14:formula1>
          <xm:sqref>F15</xm:sqref>
        </x14:dataValidation>
        <x14:dataValidation type="list" allowBlank="1" showInputMessage="1" showErrorMessage="1" xr:uid="{6192FF41-E62B-485D-878B-1FFBD6D7A556}">
          <x14:formula1>
            <xm:f>KV_DROPDOWN_HELPER!$RM$1:$RM$16</xm:f>
          </x14:formula1>
          <xm:sqref>F3 F5 F11 F12 F14 F16 F17 F20 F21 F23 F25 F26 F27 F28 F29 F30 F31 F32 F33 F34 F35 F36 F37 F38 F39 F40 F41 F42 F43 F44 F45 F46 F47 F48 F49 F50 F51 F52 F53 F54 F56 F57 F58 F59</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F744A6-82D4-4CE3-9E32-A09C123FE41D}">
  <sheetPr codeName="Tabelle10"/>
  <dimension ref="A1:AC100"/>
  <sheetViews>
    <sheetView showGridLines="0" showRowColHeaders="0" zoomScaleNormal="100" workbookViewId="0">
      <pane ySplit="2" topLeftCell="A16" activePane="bottomLeft" state="frozen"/>
      <selection activeCell="T24" sqref="T24"/>
      <selection pane="bottomLeft" activeCell="I40" sqref="I40"/>
    </sheetView>
  </sheetViews>
  <sheetFormatPr baseColWidth="10" defaultColWidth="9.1796875" defaultRowHeight="16" customHeight="1"/>
  <cols>
    <col min="1" max="1" width="4.453125" style="347" customWidth="1"/>
    <col min="2" max="2" width="9.1796875" style="347" customWidth="1"/>
    <col min="3" max="3" width="35.6328125" style="179" customWidth="1"/>
    <col min="4" max="4" width="13.6328125" style="179" customWidth="1"/>
    <col min="5" max="5" width="9.6328125" style="179" customWidth="1"/>
    <col min="6" max="6" width="10.6328125" style="179" customWidth="1"/>
    <col min="7" max="7" width="13.6328125" style="179" customWidth="1"/>
    <col min="8" max="8" width="11.6328125" style="179" customWidth="1"/>
    <col min="9" max="10" width="13.6328125" style="179" customWidth="1"/>
    <col min="11" max="11" width="14.6328125" style="179" customWidth="1"/>
    <col min="12" max="12" width="14.6328125" style="306" customWidth="1"/>
    <col min="13" max="13" width="17.81640625" style="179" customWidth="1"/>
    <col min="14" max="14" width="34.6328125" style="179" customWidth="1"/>
    <col min="15" max="15" width="12.6328125" style="179" customWidth="1"/>
    <col min="16" max="16" width="16.6328125" style="179" customWidth="1"/>
    <col min="17" max="17" width="14.6328125" style="179" customWidth="1"/>
    <col min="18" max="18" width="13.6328125" style="179" customWidth="1"/>
    <col min="19" max="19" width="9.6328125" style="179" customWidth="1"/>
    <col min="20" max="20" width="10.6328125" style="179" customWidth="1"/>
    <col min="21" max="21" width="7.6328125" style="179" customWidth="1"/>
    <col min="22" max="27" width="9.1796875" style="179"/>
    <col min="28" max="28" width="10.6328125" style="179" bestFit="1" customWidth="1"/>
    <col min="29" max="16384" width="9.1796875" style="179"/>
  </cols>
  <sheetData>
    <row r="1" spans="1:28" ht="18" customHeight="1">
      <c r="A1" s="261">
        <v>8</v>
      </c>
      <c r="B1" s="262" t="s">
        <v>180</v>
      </c>
      <c r="C1" s="263" t="s">
        <v>39</v>
      </c>
      <c r="D1" s="263" t="s">
        <v>181</v>
      </c>
      <c r="E1" s="263" t="s">
        <v>0</v>
      </c>
      <c r="F1" s="263" t="s">
        <v>40</v>
      </c>
      <c r="G1" s="263" t="s">
        <v>41</v>
      </c>
      <c r="H1" s="263" t="s">
        <v>42</v>
      </c>
      <c r="I1" s="263" t="s">
        <v>182</v>
      </c>
      <c r="J1" s="263" t="s">
        <v>43</v>
      </c>
      <c r="K1" s="263" t="s">
        <v>44</v>
      </c>
      <c r="L1" s="263" t="s">
        <v>45</v>
      </c>
      <c r="M1" s="263" t="s">
        <v>46</v>
      </c>
      <c r="N1" s="264" t="s">
        <v>183</v>
      </c>
      <c r="AB1" s="265">
        <f>DATE(EINSTELLUNG!$C$35,$A$1,1)</f>
        <v>46235</v>
      </c>
    </row>
    <row r="2" spans="1:28" ht="18" customHeight="1" thickBot="1">
      <c r="A2" s="266"/>
      <c r="B2" s="267"/>
      <c r="C2" s="268"/>
      <c r="D2" s="268"/>
      <c r="E2" s="268"/>
      <c r="F2" s="268"/>
      <c r="G2" s="268"/>
      <c r="H2" s="268"/>
      <c r="I2" s="268"/>
      <c r="J2" s="268"/>
      <c r="K2" s="268"/>
      <c r="L2" s="268"/>
      <c r="M2" s="268"/>
      <c r="N2" s="269"/>
      <c r="O2" s="270"/>
      <c r="P2" s="270"/>
      <c r="Q2" s="270"/>
      <c r="S2" s="271" t="s">
        <v>378</v>
      </c>
      <c r="T2" s="271"/>
      <c r="U2" s="271"/>
      <c r="V2" s="271"/>
      <c r="AB2" s="265">
        <f>EOMONTH(DATE(EINSTELLUNG!$C$35,$A$1,1),0)</f>
        <v>46265</v>
      </c>
    </row>
    <row r="3" spans="1:28" ht="22" customHeight="1">
      <c r="A3" s="272" t="s">
        <v>383</v>
      </c>
      <c r="B3" s="90">
        <v>401010</v>
      </c>
      <c r="C3" s="32" t="s">
        <v>223</v>
      </c>
      <c r="D3" s="33">
        <v>39388</v>
      </c>
      <c r="E3" s="34" t="s">
        <v>2</v>
      </c>
      <c r="F3" s="60">
        <v>129.75</v>
      </c>
      <c r="G3" s="273">
        <f>IF(OR(E3="",F3=""),"",PID_KVLohnLookup($A$1,E3,F3,LOHNTABELLE!$H$4))</f>
        <v>1515.75</v>
      </c>
      <c r="H3" s="274">
        <f>IF(AND(ISNUMBER(D3),ISNUMBER(F3)),ROUNDDOWN(MIN(IF(OR(ISBLANK(I3),I3=""),EOMONTH(DATE(EINSTELLUNG!$C$35,$A$1,1),0),I3)-MAX(D3,DATE(EINSTELLUNG!$C$35,$A$1,1))+1)/DAY(EOMONTH(DATE(EINSTELLUNG!$C$35,$A$1,1),0))*F3,2),"")</f>
        <v>129.75</v>
      </c>
      <c r="I3" s="36"/>
      <c r="J3" s="37"/>
      <c r="K3" s="273">
        <f t="shared" ref="K3:K34" si="0">IF(OR(B3="",C3=""),"",IFERROR(IF(OR(MONTH(D3)=1,MONTH(D3)=3,MONTH(D3)=5,MONTH(D3)=7,MONTH(D3)=8,MONTH(D3)=10,MONTH(D3)=12),(G3/31)*J3,IF(OR(MONTH(D3)=4,MONTH(D3)=6,MONTH(D3)=9,MONTH(D3)=11),(G3/30)*J3,(G3/DAY(EOMONTH(D3,0)))*J3)),0))</f>
        <v>0</v>
      </c>
      <c r="L3" s="275">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1515.75</v>
      </c>
      <c r="M3" s="38"/>
      <c r="N3" s="64"/>
      <c r="O3" s="276" t="s">
        <v>47</v>
      </c>
      <c r="P3" s="276" t="s">
        <v>48</v>
      </c>
      <c r="Q3" s="276" t="s">
        <v>49</v>
      </c>
      <c r="R3" s="277" t="s">
        <v>50</v>
      </c>
      <c r="S3" s="278"/>
      <c r="T3" s="278"/>
      <c r="U3" s="278"/>
      <c r="V3" s="278"/>
      <c r="AB3" s="279"/>
    </row>
    <row r="4" spans="1:28" ht="22" customHeight="1">
      <c r="A4" s="280" t="s">
        <v>51</v>
      </c>
      <c r="B4" s="91">
        <v>401049</v>
      </c>
      <c r="C4" s="39" t="s">
        <v>224</v>
      </c>
      <c r="D4" s="40">
        <v>41130</v>
      </c>
      <c r="E4" s="41" t="s">
        <v>4</v>
      </c>
      <c r="F4" s="42">
        <v>129.75</v>
      </c>
      <c r="G4" s="281">
        <f>IF(OR(E4="",F4=""),"",PID_KVLohnLookup($A$1,E4,F4,LOHNTABELLE!$H$4))</f>
        <v>1592.25</v>
      </c>
      <c r="H4" s="282">
        <f>IF(AND(ISNUMBER(D4),ISNUMBER(F4)),ROUNDDOWN(MIN(IF(OR(ISBLANK(I4),I4=""),EOMONTH(DATE(EINSTELLUNG!$C$35,$A$1,1),0),I4)-MAX(D4,DATE(EINSTELLUNG!$C$35,$A$1,1))+1)/DAY(EOMONTH(DATE(EINSTELLUNG!$C$35,$A$1,1),0))*F4,2),"")</f>
        <v>129.75</v>
      </c>
      <c r="I4" s="43"/>
      <c r="J4" s="44"/>
      <c r="K4" s="281">
        <f t="shared" si="0"/>
        <v>0</v>
      </c>
      <c r="L4" s="283">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1592.25</v>
      </c>
      <c r="M4" s="45"/>
      <c r="N4" s="65"/>
      <c r="O4" s="284"/>
      <c r="P4" s="284"/>
      <c r="Q4" s="284"/>
      <c r="R4" s="285"/>
      <c r="S4" s="278"/>
      <c r="T4" s="278"/>
      <c r="U4" s="278"/>
      <c r="V4" s="278"/>
    </row>
    <row r="5" spans="1:28" ht="22" customHeight="1">
      <c r="A5" s="280" t="s">
        <v>52</v>
      </c>
      <c r="B5" s="92">
        <v>401051</v>
      </c>
      <c r="C5" s="46" t="s">
        <v>226</v>
      </c>
      <c r="D5" s="47">
        <v>41176</v>
      </c>
      <c r="E5" s="48" t="s">
        <v>2</v>
      </c>
      <c r="F5" s="49">
        <v>173</v>
      </c>
      <c r="G5" s="281">
        <f>IF(OR(E5="",F5=""),"",PID_KVLohnLookup($A$1,E5,F5,LOHNTABELLE!$H$4))</f>
        <v>2021</v>
      </c>
      <c r="H5" s="282">
        <f>IF(AND(ISNUMBER(D5),ISNUMBER(F5)),ROUNDDOWN(MIN(IF(OR(ISBLANK(I5),I5=""),EOMONTH(DATE(EINSTELLUNG!$C$35,$A$1,1),0),I5)-MAX(D5,DATE(EINSTELLUNG!$C$35,$A$1,1))+1)/DAY(EOMONTH(DATE(EINSTELLUNG!$C$35,$A$1,1),0))*F5,2),"")</f>
        <v>173</v>
      </c>
      <c r="I5" s="50"/>
      <c r="J5" s="51"/>
      <c r="K5" s="281">
        <f t="shared" si="0"/>
        <v>0</v>
      </c>
      <c r="L5" s="283">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2021</v>
      </c>
      <c r="M5" s="52"/>
      <c r="N5" s="66"/>
      <c r="O5" s="286" cm="1">
        <f t="array" ref="O5">SUMPRODUCT((F3:F82/4.310808)/5*2.08)</f>
        <v>784.86898975783697</v>
      </c>
      <c r="P5" s="287">
        <f>EINSTELLUNG!I13</f>
        <v>620</v>
      </c>
      <c r="Q5" s="287">
        <f>P5-O5</f>
        <v>-164.86898975783697</v>
      </c>
      <c r="R5" s="288">
        <f>IFERROR(Q5*Q42, 0)</f>
        <v>-1936.5721926231972</v>
      </c>
      <c r="S5" s="278"/>
      <c r="T5" s="278"/>
      <c r="U5" s="278"/>
      <c r="V5" s="278"/>
    </row>
    <row r="6" spans="1:28" ht="22" customHeight="1">
      <c r="A6" s="280" t="s">
        <v>53</v>
      </c>
      <c r="B6" s="91">
        <v>401089</v>
      </c>
      <c r="C6" s="39" t="s">
        <v>240</v>
      </c>
      <c r="D6" s="40">
        <v>44868</v>
      </c>
      <c r="E6" s="41" t="s">
        <v>3</v>
      </c>
      <c r="F6" s="42">
        <v>173</v>
      </c>
      <c r="G6" s="281">
        <f>IF(OR(E6="",F6=""),"",PID_KVLohnLookup($A$1,E6,F6,LOHNTABELLE!$H$4))</f>
        <v>2082</v>
      </c>
      <c r="H6" s="282">
        <f>IF(AND(ISNUMBER(D6),ISNUMBER(F6)),ROUNDDOWN(MIN(IF(OR(ISBLANK(I6),I6=""),EOMONTH(DATE(EINSTELLUNG!$C$35,$A$1,1),0),I6)-MAX(D6,DATE(EINSTELLUNG!$C$35,$A$1,1))+1)/DAY(EOMONTH(DATE(EINSTELLUNG!$C$35,$A$1,1),0))*F6,2),"")</f>
        <v>173</v>
      </c>
      <c r="I6" s="43"/>
      <c r="J6" s="44"/>
      <c r="K6" s="281">
        <f t="shared" si="0"/>
        <v>0</v>
      </c>
      <c r="L6" s="283">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2082</v>
      </c>
      <c r="M6" s="45"/>
      <c r="N6" s="65"/>
      <c r="O6" s="289" t="str">
        <f>IF(Q5&lt;0, "Schlecht! Zu wenig Urlaub abgebaut.", IF(Q5&gt;0, "Gut! Mehr Urlaub abgebaut als aufgebaut.", ""))</f>
        <v>Schlecht! Zu wenig Urlaub abgebaut.</v>
      </c>
      <c r="P6" s="290"/>
      <c r="Q6" s="290"/>
      <c r="R6" s="291"/>
      <c r="S6" s="278"/>
      <c r="T6" s="278"/>
      <c r="U6" s="278"/>
      <c r="V6" s="278"/>
    </row>
    <row r="7" spans="1:28" ht="22" customHeight="1" thickBot="1">
      <c r="A7" s="280" t="s">
        <v>54</v>
      </c>
      <c r="B7" s="92">
        <v>401138</v>
      </c>
      <c r="C7" s="46" t="s">
        <v>227</v>
      </c>
      <c r="D7" s="47">
        <v>42006</v>
      </c>
      <c r="E7" s="48" t="s">
        <v>4</v>
      </c>
      <c r="F7" s="49">
        <v>173</v>
      </c>
      <c r="G7" s="281">
        <f>IF(OR(E7="",F7=""),"",PID_KVLohnLookup($A$1,E7,F7,LOHNTABELLE!$H$4))</f>
        <v>2123</v>
      </c>
      <c r="H7" s="282">
        <f>IF(AND(ISNUMBER(D7),ISNUMBER(F7)),ROUNDDOWN(MIN(IF(OR(ISBLANK(I7),I7=""),EOMONTH(DATE(EINSTELLUNG!$C$35,$A$1,1),0),I7)-MAX(D7,DATE(EINSTELLUNG!$C$35,$A$1,1))+1)/DAY(EOMONTH(DATE(EINSTELLUNG!$C$35,$A$1,1),0))*F7,2),"")</f>
        <v>173</v>
      </c>
      <c r="I7" s="50"/>
      <c r="J7" s="51"/>
      <c r="K7" s="281">
        <f t="shared" si="0"/>
        <v>0</v>
      </c>
      <c r="L7" s="283">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2123</v>
      </c>
      <c r="M7" s="52"/>
      <c r="N7" s="66"/>
      <c r="O7" s="278"/>
      <c r="P7" s="278"/>
      <c r="Q7" s="278"/>
      <c r="R7" s="278"/>
      <c r="S7" s="278"/>
      <c r="T7" s="278"/>
      <c r="U7" s="278"/>
      <c r="V7" s="278"/>
    </row>
    <row r="8" spans="1:28" ht="22" customHeight="1">
      <c r="A8" s="280" t="s">
        <v>55</v>
      </c>
      <c r="B8" s="91">
        <v>401197</v>
      </c>
      <c r="C8" s="39" t="s">
        <v>228</v>
      </c>
      <c r="D8" s="40">
        <v>42644</v>
      </c>
      <c r="E8" s="41" t="s">
        <v>3</v>
      </c>
      <c r="F8" s="42">
        <v>173</v>
      </c>
      <c r="G8" s="281">
        <f>IF(OR(E8="",F8=""),"",PID_KVLohnLookup($A$1,E8,F8,LOHNTABELLE!$H$4))</f>
        <v>2082</v>
      </c>
      <c r="H8" s="282">
        <f>IF(AND(ISNUMBER(D8),ISNUMBER(F8)),ROUNDDOWN(MIN(IF(OR(ISBLANK(I8),I8=""),EOMONTH(DATE(EINSTELLUNG!$C$35,$A$1,1),0),I8)-MAX(D8,DATE(EINSTELLUNG!$C$35,$A$1,1))+1)/DAY(EOMONTH(DATE(EINSTELLUNG!$C$35,$A$1,1),0))*F8,2),"")</f>
        <v>173</v>
      </c>
      <c r="I8" s="43"/>
      <c r="J8" s="44"/>
      <c r="K8" s="281">
        <f t="shared" si="0"/>
        <v>0</v>
      </c>
      <c r="L8" s="283">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2082</v>
      </c>
      <c r="M8" s="45"/>
      <c r="N8" s="65"/>
      <c r="O8" s="357" t="s">
        <v>56</v>
      </c>
      <c r="P8" s="293"/>
      <c r="Q8" s="294">
        <f>SUM(H3:H82)</f>
        <v>8133.2199999999993</v>
      </c>
      <c r="R8" s="295"/>
      <c r="S8" s="278"/>
      <c r="T8" s="278"/>
      <c r="U8" s="278"/>
      <c r="V8" s="278"/>
    </row>
    <row r="9" spans="1:28" ht="22" customHeight="1">
      <c r="A9" s="280" t="s">
        <v>57</v>
      </c>
      <c r="B9" s="92">
        <v>401214</v>
      </c>
      <c r="C9" s="46" t="s">
        <v>254</v>
      </c>
      <c r="D9" s="47">
        <v>45636</v>
      </c>
      <c r="E9" s="48" t="s">
        <v>3</v>
      </c>
      <c r="F9" s="49">
        <v>173</v>
      </c>
      <c r="G9" s="281">
        <f>IF(OR(E9="",F9=""),"",PID_KVLohnLookup($A$1,E9,F9,LOHNTABELLE!$H$4))</f>
        <v>2082</v>
      </c>
      <c r="H9" s="282">
        <f>IF(AND(ISNUMBER(D9),ISNUMBER(F9)),ROUNDDOWN(MIN(IF(OR(ISBLANK(I9),I9=""),EOMONTH(DATE(EINSTELLUNG!$C$35,$A$1,1),0),I9)-MAX(D9,DATE(EINSTELLUNG!$C$35,$A$1,1))+1)/DAY(EOMONTH(DATE(EINSTELLUNG!$C$35,$A$1,1),0))*F9,2),"")</f>
        <v>173</v>
      </c>
      <c r="I9" s="50"/>
      <c r="J9" s="51"/>
      <c r="K9" s="281">
        <f t="shared" si="0"/>
        <v>0</v>
      </c>
      <c r="L9" s="283">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52"/>
      <c r="N9" s="66"/>
      <c r="O9" s="358" t="s">
        <v>58</v>
      </c>
      <c r="P9" s="297"/>
      <c r="Q9" s="298">
        <f>EINSTELLUNG!L29</f>
        <v>8</v>
      </c>
      <c r="R9" s="299"/>
      <c r="S9" s="300">
        <f>IFERROR(Q9/Q8, 0)</f>
        <v>9.8362026356104966E-4</v>
      </c>
      <c r="T9" s="278"/>
      <c r="U9" s="278"/>
      <c r="V9" s="278"/>
    </row>
    <row r="10" spans="1:28" ht="22" customHeight="1">
      <c r="A10" s="280" t="s">
        <v>59</v>
      </c>
      <c r="B10" s="91">
        <v>401276</v>
      </c>
      <c r="C10" s="39" t="s">
        <v>229</v>
      </c>
      <c r="D10" s="40">
        <v>43252</v>
      </c>
      <c r="E10" s="41" t="s">
        <v>3</v>
      </c>
      <c r="F10" s="42">
        <v>173</v>
      </c>
      <c r="G10" s="281">
        <f>IF(OR(E10="",F10=""),"",PID_KVLohnLookup($A$1,E10,F10,LOHNTABELLE!$H$4))</f>
        <v>2082</v>
      </c>
      <c r="H10" s="282">
        <f>IF(AND(ISNUMBER(D10),ISNUMBER(F10)),ROUNDDOWN(MIN(IF(OR(ISBLANK(I10),I10=""),EOMONTH(DATE(EINSTELLUNG!$C$35,$A$1,1),0),I10)-MAX(D10,DATE(EINSTELLUNG!$C$35,$A$1,1))+1)/DAY(EOMONTH(DATE(EINSTELLUNG!$C$35,$A$1,1),0))*F10,2),"")</f>
        <v>173</v>
      </c>
      <c r="I10" s="43"/>
      <c r="J10" s="44"/>
      <c r="K10" s="281">
        <f t="shared" si="0"/>
        <v>0</v>
      </c>
      <c r="L10" s="283">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45"/>
      <c r="N10" s="65"/>
      <c r="O10" s="358" t="s">
        <v>60</v>
      </c>
      <c r="P10" s="297"/>
      <c r="Q10" s="298">
        <f>EINSTELLUNG!I29</f>
        <v>150</v>
      </c>
      <c r="R10" s="299"/>
      <c r="S10" s="278"/>
      <c r="T10" s="278"/>
      <c r="U10" s="278"/>
      <c r="V10" s="278"/>
    </row>
    <row r="11" spans="1:28" ht="22" customHeight="1">
      <c r="A11" s="280" t="s">
        <v>61</v>
      </c>
      <c r="B11" s="92">
        <v>401276</v>
      </c>
      <c r="C11" s="46" t="s">
        <v>386</v>
      </c>
      <c r="D11" s="47">
        <v>38899</v>
      </c>
      <c r="E11" s="48" t="s">
        <v>2</v>
      </c>
      <c r="F11" s="95">
        <v>55</v>
      </c>
      <c r="G11" s="281" t="str">
        <f>IF(OR(E11="",F11=""),"",PID_KVLohnLookup($A$1,E11,F11,LOHNTABELLE!$H$4))</f>
        <v>Nicht gefunden</v>
      </c>
      <c r="H11" s="282">
        <f>IF(AND(ISNUMBER(D11),ISNUMBER(F11)),ROUNDDOWN(MIN(IF(OR(ISBLANK(I11),I11=""),EOMONTH(DATE(EINSTELLUNG!$C$35,$A$1,1),0),I11)-MAX(D11,DATE(EINSTELLUNG!$C$35,$A$1,1))+1)/DAY(EOMONTH(DATE(EINSTELLUNG!$C$35,$A$1,1),0))*F11,2),"")</f>
        <v>55</v>
      </c>
      <c r="I11" s="50"/>
      <c r="J11" s="51"/>
      <c r="K11" s="281">
        <f t="shared" si="0"/>
        <v>0</v>
      </c>
      <c r="L11" s="283" t="str">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
      </c>
      <c r="M11" s="52"/>
      <c r="N11" s="66"/>
      <c r="O11" s="358" t="s">
        <v>62</v>
      </c>
      <c r="P11" s="297"/>
      <c r="Q11" s="298">
        <f>P5</f>
        <v>620</v>
      </c>
      <c r="R11" s="299"/>
      <c r="S11" s="278"/>
      <c r="T11" s="278"/>
      <c r="U11" s="278"/>
      <c r="V11" s="278"/>
    </row>
    <row r="12" spans="1:28" ht="22" customHeight="1">
      <c r="A12" s="280" t="s">
        <v>63</v>
      </c>
      <c r="B12" s="91">
        <v>401307</v>
      </c>
      <c r="C12" s="39" t="s">
        <v>230</v>
      </c>
      <c r="D12" s="40">
        <v>43571</v>
      </c>
      <c r="E12" s="41" t="s">
        <v>2</v>
      </c>
      <c r="F12" s="42">
        <v>55</v>
      </c>
      <c r="G12" s="281" t="str">
        <f>IF(OR(E12="",F12=""),"",PID_KVLohnLookup($A$1,E12,F12,LOHNTABELLE!$H$4))</f>
        <v>Nicht gefunden</v>
      </c>
      <c r="H12" s="282">
        <f>IF(AND(ISNUMBER(D12),ISNUMBER(F12)),ROUNDDOWN(MIN(IF(OR(ISBLANK(I12),I12=""),EOMONTH(DATE(EINSTELLUNG!$C$35,$A$1,1),0),I12)-MAX(D12,DATE(EINSTELLUNG!$C$35,$A$1,1))+1)/DAY(EOMONTH(DATE(EINSTELLUNG!$C$35,$A$1,1),0))*F12,2),"")</f>
        <v>55</v>
      </c>
      <c r="I12" s="43"/>
      <c r="J12" s="44"/>
      <c r="K12" s="281">
        <f t="shared" si="0"/>
        <v>0</v>
      </c>
      <c r="L12" s="283" t="str">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
      </c>
      <c r="M12" s="45"/>
      <c r="N12" s="65"/>
      <c r="O12" s="358" t="s">
        <v>66</v>
      </c>
      <c r="P12" s="297"/>
      <c r="Q12" s="298">
        <f>Q8-Q9-Q10-Q11</f>
        <v>7355.2199999999993</v>
      </c>
      <c r="R12" s="299"/>
      <c r="S12" s="278"/>
      <c r="T12" s="278"/>
      <c r="U12" s="278"/>
      <c r="V12" s="278"/>
    </row>
    <row r="13" spans="1:28" ht="22" customHeight="1">
      <c r="A13" s="280" t="s">
        <v>65</v>
      </c>
      <c r="B13" s="92">
        <v>401308</v>
      </c>
      <c r="C13" s="46" t="s">
        <v>231</v>
      </c>
      <c r="D13" s="47">
        <v>43579</v>
      </c>
      <c r="E13" s="48" t="s">
        <v>3</v>
      </c>
      <c r="F13" s="49">
        <v>173</v>
      </c>
      <c r="G13" s="281">
        <f>IF(OR(E13="",F13=""),"",PID_KVLohnLookup($A$1,E13,F13,LOHNTABELLE!$H$4))</f>
        <v>2082</v>
      </c>
      <c r="H13" s="282">
        <f>IF(AND(ISNUMBER(D13),ISNUMBER(F13)),ROUNDDOWN(MIN(IF(OR(ISBLANK(I13),I13=""),EOMONTH(DATE(EINSTELLUNG!$C$35,$A$1,1),0),I13)-MAX(D13,DATE(EINSTELLUNG!$C$35,$A$1,1))+1)/DAY(EOMONTH(DATE(EINSTELLUNG!$C$35,$A$1,1),0))*F13,2),"")</f>
        <v>173</v>
      </c>
      <c r="I13" s="50"/>
      <c r="J13" s="51"/>
      <c r="K13" s="281">
        <f t="shared" si="0"/>
        <v>0</v>
      </c>
      <c r="L13" s="283">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2082</v>
      </c>
      <c r="M13" s="52"/>
      <c r="N13" s="66"/>
      <c r="O13" s="358" t="s">
        <v>68</v>
      </c>
      <c r="P13" s="297"/>
      <c r="Q13" s="298">
        <f>EINSTELLUNG!L13</f>
        <v>9300</v>
      </c>
      <c r="R13" s="299"/>
      <c r="S13" s="278"/>
      <c r="T13" s="278"/>
      <c r="U13" s="278"/>
      <c r="V13" s="278"/>
    </row>
    <row r="14" spans="1:28" ht="22" customHeight="1">
      <c r="A14" s="280" t="s">
        <v>67</v>
      </c>
      <c r="B14" s="91">
        <v>401394</v>
      </c>
      <c r="C14" s="39" t="s">
        <v>232</v>
      </c>
      <c r="D14" s="40">
        <v>44379</v>
      </c>
      <c r="E14" s="41" t="s">
        <v>2</v>
      </c>
      <c r="F14" s="42">
        <v>173</v>
      </c>
      <c r="G14" s="281">
        <f>IF(OR(E14="",F14=""),"",PID_KVLohnLookup($A$1,E14,F14,LOHNTABELLE!$H$4))</f>
        <v>2021</v>
      </c>
      <c r="H14" s="282">
        <f>IF(AND(ISNUMBER(D14),ISNUMBER(F14)),ROUNDDOWN(MIN(IF(OR(ISBLANK(I14),I14=""),EOMONTH(DATE(EINSTELLUNG!$C$35,$A$1,1),0),I14)-MAX(D14,DATE(EINSTELLUNG!$C$35,$A$1,1))+1)/DAY(EOMONTH(DATE(EINSTELLUNG!$C$35,$A$1,1),0))*F14,2),"")</f>
        <v>173</v>
      </c>
      <c r="I14" s="43"/>
      <c r="J14" s="44"/>
      <c r="K14" s="281">
        <f t="shared" si="0"/>
        <v>0</v>
      </c>
      <c r="L14" s="283">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2021</v>
      </c>
      <c r="M14" s="45"/>
      <c r="N14" s="65"/>
      <c r="O14" s="358" t="s">
        <v>70</v>
      </c>
      <c r="P14" s="297"/>
      <c r="Q14" s="298">
        <f>Q12-Q13</f>
        <v>-1944.7800000000007</v>
      </c>
      <c r="R14" s="299"/>
      <c r="S14" s="278"/>
      <c r="T14" s="278"/>
      <c r="U14" s="278"/>
      <c r="V14" s="278"/>
    </row>
    <row r="15" spans="1:28" ht="22" customHeight="1">
      <c r="A15" s="280" t="s">
        <v>69</v>
      </c>
      <c r="B15" s="92">
        <v>401479</v>
      </c>
      <c r="C15" s="46" t="s">
        <v>237</v>
      </c>
      <c r="D15" s="47">
        <v>44511</v>
      </c>
      <c r="E15" s="48" t="s">
        <v>6</v>
      </c>
      <c r="F15" s="49">
        <v>173</v>
      </c>
      <c r="G15" s="281">
        <f>IF(OR(E15="",F15=""),"",PID_KVLohnLookup($A$1,E15,F15,LOHNTABELLE!$H$4))</f>
        <v>2160</v>
      </c>
      <c r="H15" s="282">
        <f>IF(AND(ISNUMBER(D15),ISNUMBER(F15)),ROUNDDOWN(MIN(IF(OR(ISBLANK(I15),I15=""),EOMONTH(DATE(EINSTELLUNG!$C$35,$A$1,1),0),I15)-MAX(D15,DATE(EINSTELLUNG!$C$35,$A$1,1))+1)/DAY(EOMONTH(DATE(EINSTELLUNG!$C$35,$A$1,1),0))*F15,2),"")</f>
        <v>173</v>
      </c>
      <c r="I15" s="50"/>
      <c r="J15" s="51"/>
      <c r="K15" s="281">
        <f t="shared" si="0"/>
        <v>0</v>
      </c>
      <c r="L15" s="283">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2160</v>
      </c>
      <c r="M15" s="52"/>
      <c r="N15" s="66"/>
      <c r="O15" s="360" t="str">
        <f>IF(Q14&lt;0, "Schlecht! Zu wenig Stunden für Dienstplan.", IF(Q14&gt;0, "Du hast mehr als genug Stunden für Dienstplan.", ""))</f>
        <v>Schlecht! Zu wenig Stunden für Dienstplan.</v>
      </c>
      <c r="P15" s="361"/>
      <c r="Q15" s="361"/>
      <c r="R15" s="362"/>
      <c r="S15" s="301"/>
      <c r="T15" s="301"/>
      <c r="U15" s="301"/>
      <c r="V15" s="278"/>
    </row>
    <row r="16" spans="1:28" ht="22" customHeight="1" thickBot="1">
      <c r="A16" s="280" t="s">
        <v>71</v>
      </c>
      <c r="B16" s="91">
        <v>401558</v>
      </c>
      <c r="C16" s="39" t="s">
        <v>235</v>
      </c>
      <c r="D16" s="40">
        <v>44460</v>
      </c>
      <c r="E16" s="41" t="s">
        <v>2</v>
      </c>
      <c r="F16" s="42">
        <v>173</v>
      </c>
      <c r="G16" s="281">
        <f>IF(OR(E16="",F16=""),"",PID_KVLohnLookup($A$1,E16,F16,LOHNTABELLE!$H$4))</f>
        <v>2021</v>
      </c>
      <c r="H16" s="282">
        <f>IF(AND(ISNUMBER(D16),ISNUMBER(F16)),ROUNDDOWN(MIN(IF(OR(ISBLANK(I16),I16=""),EOMONTH(DATE(EINSTELLUNG!$C$35,$A$1,1),0),I16)-MAX(D16,DATE(EINSTELLUNG!$C$35,$A$1,1))+1)/DAY(EOMONTH(DATE(EINSTELLUNG!$C$35,$A$1,1),0))*F16,2),"")</f>
        <v>173</v>
      </c>
      <c r="I16" s="43"/>
      <c r="J16" s="44"/>
      <c r="K16" s="281">
        <f t="shared" si="0"/>
        <v>0</v>
      </c>
      <c r="L16" s="283">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2021</v>
      </c>
      <c r="M16" s="45"/>
      <c r="N16" s="65"/>
      <c r="O16" s="363"/>
      <c r="P16" s="364"/>
      <c r="Q16" s="364"/>
      <c r="R16" s="365"/>
      <c r="S16" s="305"/>
      <c r="T16" s="305"/>
      <c r="U16" s="305"/>
      <c r="V16" s="305"/>
      <c r="W16" s="306"/>
    </row>
    <row r="17" spans="1:29" ht="22" customHeight="1">
      <c r="A17" s="280" t="s">
        <v>72</v>
      </c>
      <c r="B17" s="92">
        <v>401564</v>
      </c>
      <c r="C17" s="46" t="s">
        <v>239</v>
      </c>
      <c r="D17" s="47">
        <v>44824</v>
      </c>
      <c r="E17" s="48" t="s">
        <v>2</v>
      </c>
      <c r="F17" s="49">
        <v>151.38</v>
      </c>
      <c r="G17" s="281">
        <f>IF(OR(E17="",F17=""),"",PID_KVLohnLookup($A$1,E17,F17,LOHNTABELLE!$H$4))</f>
        <v>1768.38</v>
      </c>
      <c r="H17" s="282">
        <f>IF(AND(ISNUMBER(D17),ISNUMBER(F17)),ROUNDDOWN(MIN(IF(OR(ISBLANK(I17),I17=""),EOMONTH(DATE(EINSTELLUNG!$C$35,$A$1,1),0),I17)-MAX(D17,DATE(EINSTELLUNG!$C$35,$A$1,1))+1)/DAY(EOMONTH(DATE(EINSTELLUNG!$C$35,$A$1,1),0))*F17,2),"")</f>
        <v>151.38</v>
      </c>
      <c r="I17" s="50"/>
      <c r="J17" s="51"/>
      <c r="K17" s="281">
        <f t="shared" si="0"/>
        <v>0</v>
      </c>
      <c r="L17" s="283">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1768.38</v>
      </c>
      <c r="M17" s="52"/>
      <c r="N17" s="66"/>
      <c r="O17" s="357" t="s">
        <v>73</v>
      </c>
      <c r="P17" s="293"/>
      <c r="Q17" s="307">
        <f>SUM(L3:L82)</f>
        <v>95533.840000000026</v>
      </c>
      <c r="R17" s="308"/>
      <c r="S17" s="278"/>
      <c r="T17" s="278"/>
      <c r="U17" s="278"/>
      <c r="V17" s="278"/>
      <c r="W17" s="306"/>
    </row>
    <row r="18" spans="1:29" ht="22" customHeight="1">
      <c r="A18" s="280" t="s">
        <v>74</v>
      </c>
      <c r="B18" s="91">
        <v>401583</v>
      </c>
      <c r="C18" s="39" t="s">
        <v>241</v>
      </c>
      <c r="D18" s="40">
        <v>44900</v>
      </c>
      <c r="E18" s="41" t="s">
        <v>13</v>
      </c>
      <c r="F18" s="42">
        <v>173</v>
      </c>
      <c r="G18" s="281">
        <f>IF(OR(E18="",F18=""),"",PID_KVLohnLookup($A$1,E18,F18,LOHNTABELLE!$H$4))</f>
        <v>2328</v>
      </c>
      <c r="H18" s="282">
        <f>IF(AND(ISNUMBER(D18),ISNUMBER(F18)),ROUNDDOWN(MIN(IF(OR(ISBLANK(I18),I18=""),EOMONTH(DATE(EINSTELLUNG!$C$35,$A$1,1),0),I18)-MAX(D18,DATE(EINSTELLUNG!$C$35,$A$1,1))+1)/DAY(EOMONTH(DATE(EINSTELLUNG!$C$35,$A$1,1),0))*F18,2),"")</f>
        <v>173</v>
      </c>
      <c r="I18" s="43"/>
      <c r="J18" s="44"/>
      <c r="K18" s="281">
        <f t="shared" si="0"/>
        <v>0</v>
      </c>
      <c r="L18" s="283">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2328</v>
      </c>
      <c r="M18" s="45"/>
      <c r="N18" s="65"/>
      <c r="O18" s="366" t="s">
        <v>371</v>
      </c>
      <c r="P18" s="310"/>
      <c r="Q18" s="311">
        <v>20</v>
      </c>
      <c r="R18" s="312"/>
      <c r="S18" s="278"/>
      <c r="T18" s="278"/>
      <c r="U18" s="278"/>
      <c r="V18" s="278"/>
    </row>
    <row r="19" spans="1:29" ht="22" customHeight="1">
      <c r="A19" s="280" t="s">
        <v>75</v>
      </c>
      <c r="B19" s="92">
        <v>401589</v>
      </c>
      <c r="C19" s="46" t="s">
        <v>242</v>
      </c>
      <c r="D19" s="47">
        <v>44926</v>
      </c>
      <c r="E19" s="48" t="s">
        <v>10</v>
      </c>
      <c r="F19" s="49">
        <v>173</v>
      </c>
      <c r="G19" s="281">
        <f>IF(OR(E19="",F19=""),"",PID_KVLohnLookup($A$1,E19,F19,LOHNTABELLE!$H$4))</f>
        <v>2300</v>
      </c>
      <c r="H19" s="282">
        <f>IF(AND(ISNUMBER(D19),ISNUMBER(F19)),ROUNDDOWN(MIN(IF(OR(ISBLANK(I19),I19=""),EOMONTH(DATE(EINSTELLUNG!$C$35,$A$1,1),0),I19)-MAX(D19,DATE(EINSTELLUNG!$C$35,$A$1,1))+1)/DAY(EOMONTH(DATE(EINSTELLUNG!$C$35,$A$1,1),0))*F19,2),"")</f>
        <v>173</v>
      </c>
      <c r="I19" s="50"/>
      <c r="J19" s="51"/>
      <c r="K19" s="281">
        <f t="shared" si="0"/>
        <v>0</v>
      </c>
      <c r="L19" s="283">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2300</v>
      </c>
      <c r="M19" s="52"/>
      <c r="N19" s="66"/>
      <c r="O19" s="366" t="s">
        <v>293</v>
      </c>
      <c r="P19" s="310"/>
      <c r="Q19" s="311">
        <v>333</v>
      </c>
      <c r="R19" s="312"/>
      <c r="S19" s="278"/>
      <c r="T19" s="278"/>
      <c r="U19" s="278"/>
      <c r="V19" s="278"/>
    </row>
    <row r="20" spans="1:29" ht="22" customHeight="1">
      <c r="A20" s="280" t="s">
        <v>76</v>
      </c>
      <c r="B20" s="91">
        <v>401602</v>
      </c>
      <c r="C20" s="39" t="s">
        <v>243</v>
      </c>
      <c r="D20" s="40">
        <v>45975</v>
      </c>
      <c r="E20" s="41" t="s">
        <v>2</v>
      </c>
      <c r="F20" s="42">
        <v>169</v>
      </c>
      <c r="G20" s="281">
        <f>IF(OR(E20="",F20=""),"",PID_KVLohnLookup($A$1,E20,F20,LOHNTABELLE!$H$4))</f>
        <v>2000</v>
      </c>
      <c r="H20" s="282">
        <f>IF(AND(ISNUMBER(D20),ISNUMBER(F20)),ROUNDDOWN(MIN(IF(OR(ISBLANK(I20),I20=""),EOMONTH(DATE(EINSTELLUNG!$C$35,$A$1,1),0),I20)-MAX(D20,DATE(EINSTELLUNG!$C$35,$A$1,1))+1)/DAY(EOMONTH(DATE(EINSTELLUNG!$C$35,$A$1,1),0))*F20,2),"")</f>
        <v>169</v>
      </c>
      <c r="I20" s="43"/>
      <c r="J20" s="44"/>
      <c r="K20" s="281">
        <f t="shared" si="0"/>
        <v>0</v>
      </c>
      <c r="L20" s="283">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2000</v>
      </c>
      <c r="M20" s="45"/>
      <c r="N20" s="65"/>
      <c r="O20" s="366" t="s">
        <v>293</v>
      </c>
      <c r="P20" s="310"/>
      <c r="Q20" s="311">
        <v>35</v>
      </c>
      <c r="R20" s="312"/>
      <c r="S20" s="278"/>
      <c r="T20" s="278"/>
      <c r="U20" s="278"/>
      <c r="V20" s="278"/>
    </row>
    <row r="21" spans="1:29" ht="22" customHeight="1">
      <c r="A21" s="280" t="s">
        <v>77</v>
      </c>
      <c r="B21" s="92">
        <v>401605</v>
      </c>
      <c r="C21" s="46" t="s">
        <v>244</v>
      </c>
      <c r="D21" s="47">
        <v>44986</v>
      </c>
      <c r="E21" s="48" t="s">
        <v>2</v>
      </c>
      <c r="F21" s="49">
        <v>173</v>
      </c>
      <c r="G21" s="281">
        <f>IF(OR(E21="",F21=""),"",PID_KVLohnLookup($A$1,E21,F21,LOHNTABELLE!$H$4))</f>
        <v>2021</v>
      </c>
      <c r="H21" s="282">
        <f>IF(AND(ISNUMBER(D21),ISNUMBER(F21)),ROUNDDOWN(MIN(IF(OR(ISBLANK(I21),I21=""),EOMONTH(DATE(EINSTELLUNG!$C$35,$A$1,1),0),I21)-MAX(D21,DATE(EINSTELLUNG!$C$35,$A$1,1))+1)/DAY(EOMONTH(DATE(EINSTELLUNG!$C$35,$A$1,1),0))*F21,2),"")</f>
        <v>173</v>
      </c>
      <c r="I21" s="50"/>
      <c r="J21" s="51"/>
      <c r="K21" s="281">
        <f t="shared" si="0"/>
        <v>0</v>
      </c>
      <c r="L21" s="283">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2021</v>
      </c>
      <c r="M21" s="52"/>
      <c r="N21" s="66"/>
      <c r="O21" s="366" t="s">
        <v>293</v>
      </c>
      <c r="P21" s="310"/>
      <c r="Q21" s="311">
        <v>100</v>
      </c>
      <c r="R21" s="312"/>
      <c r="S21" s="278"/>
      <c r="T21" s="278"/>
      <c r="U21" s="278"/>
      <c r="V21" s="278"/>
    </row>
    <row r="22" spans="1:29" ht="22" customHeight="1">
      <c r="A22" s="280" t="s">
        <v>78</v>
      </c>
      <c r="B22" s="91">
        <v>401605</v>
      </c>
      <c r="C22" s="39" t="s">
        <v>387</v>
      </c>
      <c r="D22" s="40">
        <v>36850</v>
      </c>
      <c r="E22" s="41" t="s">
        <v>10</v>
      </c>
      <c r="F22" s="42">
        <v>151.38</v>
      </c>
      <c r="G22" s="281">
        <f>IF(OR(E22="",F22=""),"",PID_KVLohnLookup($A$1,E22,F22,LOHNTABELLE!$H$4))</f>
        <v>2012.5</v>
      </c>
      <c r="H22" s="282">
        <f>IF(AND(ISNUMBER(D22),ISNUMBER(F22)),ROUNDDOWN(MIN(IF(OR(ISBLANK(I22),I22=""),EOMONTH(DATE(EINSTELLUNG!$C$35,$A$1,1),0),I22)-MAX(D22,DATE(EINSTELLUNG!$C$35,$A$1,1))+1)/DAY(EOMONTH(DATE(EINSTELLUNG!$C$35,$A$1,1),0))*F22,2),"")</f>
        <v>151.38</v>
      </c>
      <c r="I22" s="43"/>
      <c r="J22" s="44"/>
      <c r="K22" s="281">
        <f t="shared" si="0"/>
        <v>0</v>
      </c>
      <c r="L22" s="283">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2012.5</v>
      </c>
      <c r="M22" s="45"/>
      <c r="N22" s="65"/>
      <c r="O22" s="366" t="s">
        <v>293</v>
      </c>
      <c r="P22" s="310"/>
      <c r="Q22" s="311"/>
      <c r="R22" s="312"/>
      <c r="S22" s="278"/>
      <c r="T22" s="278"/>
      <c r="U22" s="278"/>
      <c r="V22" s="278"/>
    </row>
    <row r="23" spans="1:29" ht="22" customHeight="1">
      <c r="A23" s="280" t="s">
        <v>79</v>
      </c>
      <c r="B23" s="92">
        <v>401626</v>
      </c>
      <c r="C23" s="46" t="s">
        <v>245</v>
      </c>
      <c r="D23" s="47">
        <v>45063</v>
      </c>
      <c r="E23" s="48" t="s">
        <v>2</v>
      </c>
      <c r="F23" s="49">
        <v>173</v>
      </c>
      <c r="G23" s="281">
        <f>IF(OR(E23="",F23=""),"",PID_KVLohnLookup($A$1,E23,F23,LOHNTABELLE!$H$4))</f>
        <v>2021</v>
      </c>
      <c r="H23" s="282">
        <f>IF(AND(ISNUMBER(D23),ISNUMBER(F23)),ROUNDDOWN(MIN(IF(OR(ISBLANK(I23),I23=""),EOMONTH(DATE(EINSTELLUNG!$C$35,$A$1,1),0),I23)-MAX(D23,DATE(EINSTELLUNG!$C$35,$A$1,1))+1)/DAY(EOMONTH(DATE(EINSTELLUNG!$C$35,$A$1,1),0))*F23,2),"")</f>
        <v>173</v>
      </c>
      <c r="I23" s="50"/>
      <c r="J23" s="51"/>
      <c r="K23" s="281">
        <f t="shared" si="0"/>
        <v>0</v>
      </c>
      <c r="L23" s="283">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2021</v>
      </c>
      <c r="M23" s="52"/>
      <c r="N23" s="66"/>
      <c r="O23" s="366" t="s">
        <v>293</v>
      </c>
      <c r="P23" s="310"/>
      <c r="Q23" s="311">
        <v>5000</v>
      </c>
      <c r="R23" s="312"/>
      <c r="S23" s="278"/>
      <c r="T23" s="278"/>
      <c r="U23" s="278"/>
      <c r="V23" s="278"/>
      <c r="W23" s="306"/>
    </row>
    <row r="24" spans="1:29" ht="22" customHeight="1">
      <c r="A24" s="280" t="s">
        <v>80</v>
      </c>
      <c r="B24" s="91">
        <v>401633</v>
      </c>
      <c r="C24" s="39" t="s">
        <v>246</v>
      </c>
      <c r="D24" s="40">
        <v>45089</v>
      </c>
      <c r="E24" s="41" t="s">
        <v>10</v>
      </c>
      <c r="F24" s="42">
        <v>173</v>
      </c>
      <c r="G24" s="281">
        <f>IF(OR(E24="",F24=""),"",PID_KVLohnLookup($A$1,E24,F24,LOHNTABELLE!$H$4))</f>
        <v>2300</v>
      </c>
      <c r="H24" s="282">
        <f>IF(AND(ISNUMBER(D24),ISNUMBER(F24)),ROUNDDOWN(MIN(IF(OR(ISBLANK(I24),I24=""),EOMONTH(DATE(EINSTELLUNG!$C$35,$A$1,1),0),I24)-MAX(D24,DATE(EINSTELLUNG!$C$35,$A$1,1))+1)/DAY(EOMONTH(DATE(EINSTELLUNG!$C$35,$A$1,1),0))*F24,2),"")</f>
        <v>173</v>
      </c>
      <c r="I24" s="43"/>
      <c r="J24" s="44"/>
      <c r="K24" s="281">
        <f t="shared" si="0"/>
        <v>0</v>
      </c>
      <c r="L24" s="283">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2300</v>
      </c>
      <c r="M24" s="45"/>
      <c r="N24" s="65"/>
      <c r="O24" s="366"/>
      <c r="P24" s="310"/>
      <c r="Q24" s="311"/>
      <c r="R24" s="312"/>
      <c r="S24" s="278"/>
      <c r="T24" s="278"/>
      <c r="U24" s="278"/>
      <c r="V24" s="278"/>
      <c r="W24" s="306"/>
    </row>
    <row r="25" spans="1:29" ht="22" customHeight="1">
      <c r="A25" s="280" t="s">
        <v>81</v>
      </c>
      <c r="B25" s="92">
        <v>401647</v>
      </c>
      <c r="C25" s="46" t="s">
        <v>247</v>
      </c>
      <c r="D25" s="47">
        <v>45182</v>
      </c>
      <c r="E25" s="48" t="s">
        <v>2</v>
      </c>
      <c r="F25" s="49">
        <v>173</v>
      </c>
      <c r="G25" s="281">
        <f>IF(OR(E25="",F25=""),"",PID_KVLohnLookup($A$1,E25,F25,LOHNTABELLE!$H$4))</f>
        <v>2021</v>
      </c>
      <c r="H25" s="282">
        <f>IF(AND(ISNUMBER(D25),ISNUMBER(F25)),ROUNDDOWN(MIN(IF(OR(ISBLANK(I25),I25=""),EOMONTH(DATE(EINSTELLUNG!$C$35,$A$1,1),0),I25)-MAX(D25,DATE(EINSTELLUNG!$C$35,$A$1,1))+1)/DAY(EOMONTH(DATE(EINSTELLUNG!$C$35,$A$1,1),0))*F25,2),"")</f>
        <v>173</v>
      </c>
      <c r="I25" s="50"/>
      <c r="J25" s="51"/>
      <c r="K25" s="281">
        <f t="shared" si="0"/>
        <v>0</v>
      </c>
      <c r="L25" s="283">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2021</v>
      </c>
      <c r="M25" s="52"/>
      <c r="N25" s="66"/>
      <c r="O25" s="366"/>
      <c r="P25" s="310"/>
      <c r="Q25" s="311"/>
      <c r="R25" s="312"/>
      <c r="S25" s="278"/>
      <c r="T25" s="278"/>
      <c r="U25" s="278"/>
      <c r="V25" s="278"/>
    </row>
    <row r="26" spans="1:29" ht="22" customHeight="1">
      <c r="A26" s="280" t="s">
        <v>82</v>
      </c>
      <c r="B26" s="91">
        <v>401661</v>
      </c>
      <c r="C26" s="39" t="s">
        <v>248</v>
      </c>
      <c r="D26" s="40">
        <v>45261</v>
      </c>
      <c r="E26" s="41" t="s">
        <v>2</v>
      </c>
      <c r="F26" s="42">
        <v>173</v>
      </c>
      <c r="G26" s="281">
        <f>IF(OR(E26="",F26=""),"",PID_KVLohnLookup($A$1,E26,F26,LOHNTABELLE!$H$4))</f>
        <v>2021</v>
      </c>
      <c r="H26" s="282">
        <f>IF(AND(ISNUMBER(D26),ISNUMBER(F26)),ROUNDDOWN(MIN(IF(OR(ISBLANK(I26),I26=""),EOMONTH(DATE(EINSTELLUNG!$C$35,$A$1,1),0),I26)-MAX(D26,DATE(EINSTELLUNG!$C$35,$A$1,1))+1)/DAY(EOMONTH(DATE(EINSTELLUNG!$C$35,$A$1,1),0))*F26,2),"")</f>
        <v>173</v>
      </c>
      <c r="I26" s="43"/>
      <c r="J26" s="44"/>
      <c r="K26" s="281">
        <f t="shared" si="0"/>
        <v>0</v>
      </c>
      <c r="L26" s="283">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2021</v>
      </c>
      <c r="M26" s="45"/>
      <c r="N26" s="65"/>
      <c r="O26" s="366"/>
      <c r="P26" s="310"/>
      <c r="Q26" s="311"/>
      <c r="R26" s="312"/>
      <c r="S26" s="278"/>
      <c r="T26" s="278"/>
      <c r="U26" s="278"/>
      <c r="V26" s="278"/>
    </row>
    <row r="27" spans="1:29" ht="22" customHeight="1">
      <c r="A27" s="280" t="s">
        <v>83</v>
      </c>
      <c r="B27" s="92">
        <v>401670</v>
      </c>
      <c r="C27" s="46" t="s">
        <v>249</v>
      </c>
      <c r="D27" s="47">
        <v>45358</v>
      </c>
      <c r="E27" s="48" t="s">
        <v>2</v>
      </c>
      <c r="F27" s="49">
        <v>173</v>
      </c>
      <c r="G27" s="281">
        <f>IF(OR(E27="",F27=""),"",PID_KVLohnLookup($A$1,E27,F27,LOHNTABELLE!$H$4))</f>
        <v>2021</v>
      </c>
      <c r="H27" s="282">
        <f>IF(AND(ISNUMBER(D27),ISNUMBER(F27)),ROUNDDOWN(MIN(IF(OR(ISBLANK(I27),I27=""),EOMONTH(DATE(EINSTELLUNG!$C$35,$A$1,1),0),I27)-MAX(D27,DATE(EINSTELLUNG!$C$35,$A$1,1))+1)/DAY(EOMONTH(DATE(EINSTELLUNG!$C$35,$A$1,1),0))*F27,2),"")</f>
        <v>173</v>
      </c>
      <c r="I27" s="50"/>
      <c r="J27" s="51"/>
      <c r="K27" s="281">
        <f t="shared" si="0"/>
        <v>0</v>
      </c>
      <c r="L27" s="283">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2021</v>
      </c>
      <c r="M27" s="52"/>
      <c r="N27" s="66"/>
      <c r="O27" s="366"/>
      <c r="P27" s="310"/>
      <c r="Q27" s="311"/>
      <c r="R27" s="312"/>
      <c r="S27" s="313" t="s">
        <v>84</v>
      </c>
      <c r="T27" s="313"/>
      <c r="U27" s="313"/>
      <c r="V27" s="313"/>
    </row>
    <row r="28" spans="1:29" ht="22" customHeight="1">
      <c r="A28" s="280" t="s">
        <v>85</v>
      </c>
      <c r="B28" s="91">
        <v>401678</v>
      </c>
      <c r="C28" s="39" t="s">
        <v>250</v>
      </c>
      <c r="D28" s="40">
        <v>45414</v>
      </c>
      <c r="E28" s="41" t="s">
        <v>2</v>
      </c>
      <c r="F28" s="42">
        <v>173</v>
      </c>
      <c r="G28" s="281">
        <f>IF(OR(E28="",F28=""),"",PID_KVLohnLookup($A$1,E28,F28,LOHNTABELLE!$H$4))</f>
        <v>2021</v>
      </c>
      <c r="H28" s="282">
        <f>IF(AND(ISNUMBER(D28),ISNUMBER(F28)),ROUNDDOWN(MIN(IF(OR(ISBLANK(I28),I28=""),EOMONTH(DATE(EINSTELLUNG!$C$35,$A$1,1),0),I28)-MAX(D28,DATE(EINSTELLUNG!$C$35,$A$1,1))+1)/DAY(EOMONTH(DATE(EINSTELLUNG!$C$35,$A$1,1),0))*F28,2),"")</f>
        <v>173</v>
      </c>
      <c r="I28" s="43"/>
      <c r="J28" s="44"/>
      <c r="K28" s="281">
        <f t="shared" si="0"/>
        <v>0</v>
      </c>
      <c r="L28" s="283">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2021</v>
      </c>
      <c r="M28" s="45"/>
      <c r="N28" s="65"/>
      <c r="O28" s="366"/>
      <c r="P28" s="310"/>
      <c r="Q28" s="311"/>
      <c r="R28" s="312"/>
      <c r="S28" s="278"/>
      <c r="T28" s="278"/>
      <c r="U28" s="278"/>
      <c r="V28" s="278"/>
    </row>
    <row r="29" spans="1:29" ht="22" customHeight="1" thickBot="1">
      <c r="A29" s="280" t="s">
        <v>86</v>
      </c>
      <c r="B29" s="92">
        <v>401690</v>
      </c>
      <c r="C29" s="46" t="s">
        <v>252</v>
      </c>
      <c r="D29" s="47">
        <v>45536</v>
      </c>
      <c r="E29" s="48" t="s">
        <v>2</v>
      </c>
      <c r="F29" s="49">
        <v>151.38</v>
      </c>
      <c r="G29" s="281">
        <f>IF(OR(E29="",F29=""),"",PID_KVLohnLookup($A$1,E29,F29,LOHNTABELLE!$H$4))</f>
        <v>1768.38</v>
      </c>
      <c r="H29" s="282">
        <f>IF(AND(ISNUMBER(D29),ISNUMBER(F29)),ROUNDDOWN(MIN(IF(OR(ISBLANK(I29),I29=""),EOMONTH(DATE(EINSTELLUNG!$C$35,$A$1,1),0),I29)-MAX(D29,DATE(EINSTELLUNG!$C$35,$A$1,1))+1)/DAY(EOMONTH(DATE(EINSTELLUNG!$C$35,$A$1,1),0))*F29,2),"")</f>
        <v>151.38</v>
      </c>
      <c r="I29" s="50"/>
      <c r="J29" s="51"/>
      <c r="K29" s="281">
        <f t="shared" si="0"/>
        <v>0</v>
      </c>
      <c r="L29" s="283">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1768.38</v>
      </c>
      <c r="M29" s="52"/>
      <c r="N29" s="66"/>
      <c r="O29" s="367" t="s">
        <v>87</v>
      </c>
      <c r="P29" s="315"/>
      <c r="Q29" s="316">
        <f>EINSTELLUNG!O13</f>
        <v>1250</v>
      </c>
      <c r="R29" s="317"/>
      <c r="S29" s="278"/>
      <c r="T29" s="278"/>
      <c r="U29" s="278"/>
      <c r="V29" s="278"/>
    </row>
    <row r="30" spans="1:29" ht="22" customHeight="1" thickBot="1">
      <c r="A30" s="280" t="s">
        <v>88</v>
      </c>
      <c r="B30" s="91">
        <v>401715</v>
      </c>
      <c r="C30" s="39" t="s">
        <v>255</v>
      </c>
      <c r="D30" s="40">
        <v>45755</v>
      </c>
      <c r="E30" s="41" t="s">
        <v>2</v>
      </c>
      <c r="F30" s="42">
        <v>173</v>
      </c>
      <c r="G30" s="281">
        <f>IF(OR(E30="",F30=""),"",PID_KVLohnLookup($A$1,E30,F30,LOHNTABELLE!$H$4))</f>
        <v>2021</v>
      </c>
      <c r="H30" s="282">
        <f>IF(AND(ISNUMBER(D30),ISNUMBER(F30)),ROUNDDOWN(MIN(IF(OR(ISBLANK(I30),I30=""),EOMONTH(DATE(EINSTELLUNG!$C$35,$A$1,1),0),I30)-MAX(D30,DATE(EINSTELLUNG!$C$35,$A$1,1))+1)/DAY(EOMONTH(DATE(EINSTELLUNG!$C$35,$A$1,1),0))*F30,2),"")</f>
        <v>173</v>
      </c>
      <c r="I30" s="43"/>
      <c r="J30" s="44"/>
      <c r="K30" s="281">
        <f t="shared" si="0"/>
        <v>0</v>
      </c>
      <c r="L30" s="283">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2021</v>
      </c>
      <c r="M30" s="45"/>
      <c r="N30" s="65"/>
      <c r="O30" s="278"/>
      <c r="P30" s="278"/>
      <c r="Q30" s="278"/>
      <c r="R30" s="278"/>
      <c r="S30" s="278"/>
      <c r="T30" s="278"/>
      <c r="U30" s="278"/>
      <c r="V30" s="278"/>
      <c r="W30" s="318"/>
      <c r="X30" s="318"/>
      <c r="Y30" s="318"/>
      <c r="Z30" s="318"/>
      <c r="AA30" s="318"/>
      <c r="AB30" s="318"/>
      <c r="AC30" s="318"/>
    </row>
    <row r="31" spans="1:29" ht="22" customHeight="1" thickBot="1">
      <c r="A31" s="280" t="s">
        <v>89</v>
      </c>
      <c r="B31" s="92">
        <v>401716</v>
      </c>
      <c r="C31" s="46" t="s">
        <v>256</v>
      </c>
      <c r="D31" s="47">
        <v>45800</v>
      </c>
      <c r="E31" s="48" t="s">
        <v>2</v>
      </c>
      <c r="F31" s="49">
        <v>173</v>
      </c>
      <c r="G31" s="281">
        <f>IF(OR(E31="",F31=""),"",PID_KVLohnLookup($A$1,E31,F31,LOHNTABELLE!$H$4))</f>
        <v>2021</v>
      </c>
      <c r="H31" s="282">
        <f>IF(AND(ISNUMBER(D31),ISNUMBER(F31)),ROUNDDOWN(MIN(IF(OR(ISBLANK(I31),I31=""),EOMONTH(DATE(EINSTELLUNG!$C$35,$A$1,1),0),I31)-MAX(D31,DATE(EINSTELLUNG!$C$35,$A$1,1))+1)/DAY(EOMONTH(DATE(EINSTELLUNG!$C$35,$A$1,1),0))*F31,2),"")</f>
        <v>173</v>
      </c>
      <c r="I31" s="50"/>
      <c r="J31" s="51"/>
      <c r="K31" s="281">
        <f t="shared" si="0"/>
        <v>0</v>
      </c>
      <c r="L31" s="283">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2021</v>
      </c>
      <c r="M31" s="52"/>
      <c r="N31" s="66"/>
      <c r="O31" s="368" t="s">
        <v>415</v>
      </c>
      <c r="P31" s="320"/>
      <c r="Q31" s="321">
        <v>0</v>
      </c>
      <c r="R31" s="322"/>
      <c r="S31" s="278"/>
      <c r="T31" s="278"/>
      <c r="U31" s="278"/>
      <c r="V31" s="278"/>
    </row>
    <row r="32" spans="1:29" ht="22" customHeight="1" thickBot="1">
      <c r="A32" s="280" t="s">
        <v>91</v>
      </c>
      <c r="B32" s="91">
        <v>401717</v>
      </c>
      <c r="C32" s="39" t="s">
        <v>257</v>
      </c>
      <c r="D32" s="40">
        <v>45814</v>
      </c>
      <c r="E32" s="41" t="s">
        <v>2</v>
      </c>
      <c r="F32" s="42">
        <v>86.5</v>
      </c>
      <c r="G32" s="281">
        <f>IF(OR(E32="",F32=""),"",PID_KVLohnLookup($A$1,E32,F32,LOHNTABELLE!$H$4))</f>
        <v>1010.5</v>
      </c>
      <c r="H32" s="282">
        <f>IF(AND(ISNUMBER(D32),ISNUMBER(F32)),ROUNDDOWN(MIN(IF(OR(ISBLANK(I32),I32=""),EOMONTH(DATE(EINSTELLUNG!$C$35,$A$1,1),0),I32)-MAX(D32,DATE(EINSTELLUNG!$C$35,$A$1,1))+1)/DAY(EOMONTH(DATE(EINSTELLUNG!$C$35,$A$1,1),0))*F32,2),"")</f>
        <v>86.5</v>
      </c>
      <c r="I32" s="43"/>
      <c r="J32" s="44"/>
      <c r="K32" s="281">
        <f t="shared" si="0"/>
        <v>0</v>
      </c>
      <c r="L32" s="283">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1010.5</v>
      </c>
      <c r="M32" s="45"/>
      <c r="N32" s="65"/>
      <c r="O32" s="278"/>
      <c r="P32" s="278"/>
      <c r="Q32" s="278"/>
      <c r="R32" s="278"/>
      <c r="S32" s="278"/>
      <c r="T32" s="278"/>
      <c r="U32" s="278"/>
      <c r="V32" s="278"/>
    </row>
    <row r="33" spans="1:22" ht="22" customHeight="1">
      <c r="A33" s="280" t="s">
        <v>92</v>
      </c>
      <c r="B33" s="92">
        <v>401722</v>
      </c>
      <c r="C33" s="46" t="s">
        <v>258</v>
      </c>
      <c r="D33" s="47">
        <v>45848</v>
      </c>
      <c r="E33" s="48" t="s">
        <v>2</v>
      </c>
      <c r="F33" s="49">
        <v>86.5</v>
      </c>
      <c r="G33" s="281">
        <f>IF(OR(E33="",F33=""),"",PID_KVLohnLookup($A$1,E33,F33,LOHNTABELLE!$H$4))</f>
        <v>1010.5</v>
      </c>
      <c r="H33" s="282">
        <f>IF(AND(ISNUMBER(D33),ISNUMBER(F33)),ROUNDDOWN(MIN(IF(OR(ISBLANK(I33),I33=""),EOMONTH(DATE(EINSTELLUNG!$C$35,$A$1,1),0),I33)-MAX(D33,DATE(EINSTELLUNG!$C$35,$A$1,1))+1)/DAY(EOMONTH(DATE(EINSTELLUNG!$C$35,$A$1,1),0))*F33,2),"")</f>
        <v>86.5</v>
      </c>
      <c r="I33" s="50"/>
      <c r="J33" s="51"/>
      <c r="K33" s="281">
        <f t="shared" si="0"/>
        <v>0</v>
      </c>
      <c r="L33" s="283">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1010.5</v>
      </c>
      <c r="M33" s="52"/>
      <c r="N33" s="66"/>
      <c r="O33" s="369"/>
      <c r="P33" s="324"/>
      <c r="Q33" s="263" t="str">
        <f>EINSTELLUNG!B3</f>
        <v>Budget</v>
      </c>
      <c r="R33" s="263"/>
      <c r="S33" s="263" t="str">
        <f>EINSTELLUNG!B19</f>
        <v>Projection/Aktuell Zahlen</v>
      </c>
      <c r="T33" s="263"/>
      <c r="U33" s="263" t="s">
        <v>95</v>
      </c>
      <c r="V33" s="264"/>
    </row>
    <row r="34" spans="1:22" ht="22" customHeight="1">
      <c r="A34" s="280" t="s">
        <v>96</v>
      </c>
      <c r="B34" s="91">
        <v>401723</v>
      </c>
      <c r="C34" s="39" t="s">
        <v>259</v>
      </c>
      <c r="D34" s="40">
        <v>45852</v>
      </c>
      <c r="E34" s="41" t="s">
        <v>2</v>
      </c>
      <c r="F34" s="42">
        <v>86.5</v>
      </c>
      <c r="G34" s="281">
        <f>IF(OR(E34="",F34=""),"",PID_KVLohnLookup($A$1,E34,F34,LOHNTABELLE!$H$4))</f>
        <v>1010.5</v>
      </c>
      <c r="H34" s="282">
        <f>IF(AND(ISNUMBER(D34),ISNUMBER(F34)),ROUNDDOWN(MIN(IF(OR(ISBLANK(I34),I34=""),EOMONTH(DATE(EINSTELLUNG!$C$35,$A$1,1),0),I34)-MAX(D34,DATE(EINSTELLUNG!$C$35,$A$1,1))+1)/DAY(EOMONTH(DATE(EINSTELLUNG!$C$35,$A$1,1),0))*F34,2),"")</f>
        <v>86.5</v>
      </c>
      <c r="I34" s="43"/>
      <c r="J34" s="44"/>
      <c r="K34" s="281">
        <f t="shared" si="0"/>
        <v>0</v>
      </c>
      <c r="L34" s="283">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1010.5</v>
      </c>
      <c r="M34" s="45"/>
      <c r="N34" s="65"/>
      <c r="O34" s="370"/>
      <c r="P34" s="326"/>
      <c r="Q34" s="327"/>
      <c r="R34" s="327"/>
      <c r="S34" s="327"/>
      <c r="T34" s="327"/>
      <c r="U34" s="327"/>
      <c r="V34" s="328"/>
    </row>
    <row r="35" spans="1:22" ht="22" customHeight="1">
      <c r="A35" s="280" t="s">
        <v>97</v>
      </c>
      <c r="B35" s="92">
        <v>401726</v>
      </c>
      <c r="C35" s="46" t="s">
        <v>260</v>
      </c>
      <c r="D35" s="47">
        <v>45870</v>
      </c>
      <c r="E35" s="48" t="s">
        <v>2</v>
      </c>
      <c r="F35" s="49">
        <v>86.5</v>
      </c>
      <c r="G35" s="281">
        <f>IF(OR(E35="",F35=""),"",PID_KVLohnLookup($A$1,E35,F35,LOHNTABELLE!$H$4))</f>
        <v>1010.5</v>
      </c>
      <c r="H35" s="282">
        <f>IF(AND(ISNUMBER(D35),ISNUMBER(F35)),ROUNDDOWN(MIN(IF(OR(ISBLANK(I35),I35=""),EOMONTH(DATE(EINSTELLUNG!$C$35,$A$1,1),0),I35)-MAX(D35,DATE(EINSTELLUNG!$C$35,$A$1,1))+1)/DAY(EOMONTH(DATE(EINSTELLUNG!$C$35,$A$1,1),0))*F35,2),"")</f>
        <v>86.5</v>
      </c>
      <c r="I35" s="50"/>
      <c r="J35" s="51"/>
      <c r="K35" s="281">
        <f t="shared" ref="K35:K66" si="1">IF(OR(B35="",C35=""),"",IFERROR(IF(OR(MONTH(D35)=1,MONTH(D35)=3,MONTH(D35)=5,MONTH(D35)=7,MONTH(D35)=8,MONTH(D35)=10,MONTH(D35)=12),(G35/31)*J35,IF(OR(MONTH(D35)=4,MONTH(D35)=6,MONTH(D35)=9,MONTH(D35)=11),(G35/30)*J35,(G35/DAY(EOMONTH(D35,0)))*J35)),0))</f>
        <v>0</v>
      </c>
      <c r="L35" s="283">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1010.5</v>
      </c>
      <c r="M35" s="52"/>
      <c r="N35" s="66"/>
      <c r="O35" s="358" t="s">
        <v>98</v>
      </c>
      <c r="P35" s="297"/>
      <c r="Q35" s="329">
        <f>EINSTELLUNG!C13</f>
        <v>400000</v>
      </c>
      <c r="R35" s="329"/>
      <c r="S35" s="329">
        <f>EINSTELLUNG!C29</f>
        <v>435000</v>
      </c>
      <c r="T35" s="329"/>
      <c r="U35" s="329">
        <f>S35-Q35</f>
        <v>35000</v>
      </c>
      <c r="V35" s="330"/>
    </row>
    <row r="36" spans="1:22" ht="22" customHeight="1">
      <c r="A36" s="280" t="s">
        <v>99</v>
      </c>
      <c r="B36" s="91">
        <v>401730</v>
      </c>
      <c r="C36" s="39" t="s">
        <v>262</v>
      </c>
      <c r="D36" s="40">
        <v>45895</v>
      </c>
      <c r="E36" s="41" t="s">
        <v>2</v>
      </c>
      <c r="F36" s="42">
        <v>86.5</v>
      </c>
      <c r="G36" s="281">
        <f>IF(OR(E36="",F36=""),"",PID_KVLohnLookup($A$1,E36,F36,LOHNTABELLE!$H$4))</f>
        <v>1010.5</v>
      </c>
      <c r="H36" s="282">
        <f>IF(AND(ISNUMBER(D36),ISNUMBER(F36)),ROUNDDOWN(MIN(IF(OR(ISBLANK(I36),I36=""),EOMONTH(DATE(EINSTELLUNG!$C$35,$A$1,1),0),I36)-MAX(D36,DATE(EINSTELLUNG!$C$35,$A$1,1))+1)/DAY(EOMONTH(DATE(EINSTELLUNG!$C$35,$A$1,1),0))*F36,2),"")</f>
        <v>86.5</v>
      </c>
      <c r="I36" s="43"/>
      <c r="J36" s="44"/>
      <c r="K36" s="281">
        <f t="shared" si="1"/>
        <v>0</v>
      </c>
      <c r="L36" s="283">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1010.5</v>
      </c>
      <c r="M36" s="45"/>
      <c r="N36" s="65"/>
      <c r="O36" s="358" t="s">
        <v>100</v>
      </c>
      <c r="P36" s="297"/>
      <c r="Q36" s="329">
        <f>EINSTELLUNG!D13</f>
        <v>100000</v>
      </c>
      <c r="R36" s="329"/>
      <c r="S36" s="329">
        <f ca="1">SumMergedCells(Q17:R29)</f>
        <v>102271.84</v>
      </c>
      <c r="T36" s="329"/>
      <c r="U36" s="329">
        <f t="shared" ref="U36:U41" ca="1" si="2">S36-Q36</f>
        <v>2271.8399999999965</v>
      </c>
      <c r="V36" s="330"/>
    </row>
    <row r="37" spans="1:22" ht="22" customHeight="1">
      <c r="A37" s="280" t="s">
        <v>101</v>
      </c>
      <c r="B37" s="92">
        <v>401731</v>
      </c>
      <c r="C37" s="46" t="s">
        <v>261</v>
      </c>
      <c r="D37" s="47">
        <v>45899</v>
      </c>
      <c r="E37" s="48" t="s">
        <v>2</v>
      </c>
      <c r="F37" s="49">
        <v>86.5</v>
      </c>
      <c r="G37" s="281">
        <f>IF(OR(E37="",F37=""),"",PID_KVLohnLookup($A$1,E37,F37,LOHNTABELLE!$H$4))</f>
        <v>1010.5</v>
      </c>
      <c r="H37" s="282">
        <f>IF(AND(ISNUMBER(D37),ISNUMBER(F37)),ROUNDDOWN(MIN(IF(OR(ISBLANK(I37),I37=""),EOMONTH(DATE(EINSTELLUNG!$C$35,$A$1,1),0),I37)-MAX(D37,DATE(EINSTELLUNG!$C$35,$A$1,1))+1)/DAY(EOMONTH(DATE(EINSTELLUNG!$C$35,$A$1,1),0))*F37,2),"")</f>
        <v>86.5</v>
      </c>
      <c r="I37" s="50"/>
      <c r="J37" s="51"/>
      <c r="K37" s="281">
        <f t="shared" si="1"/>
        <v>0</v>
      </c>
      <c r="L37" s="283">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1010.5</v>
      </c>
      <c r="M37" s="52"/>
      <c r="N37" s="66"/>
      <c r="O37" s="358" t="s">
        <v>102</v>
      </c>
      <c r="P37" s="297"/>
      <c r="Q37" s="331">
        <f>IF(ISERROR(Q36/Q35), 0, Q36/Q35)</f>
        <v>0.25</v>
      </c>
      <c r="R37" s="331"/>
      <c r="S37" s="331">
        <f ca="1">IF(ISERROR(S36/S35), 0, S36/S35)</f>
        <v>0.23510767816091954</v>
      </c>
      <c r="T37" s="331"/>
      <c r="U37" s="331">
        <f t="shared" ca="1" si="2"/>
        <v>-1.4892321839080458E-2</v>
      </c>
      <c r="V37" s="332"/>
    </row>
    <row r="38" spans="1:22" ht="22" customHeight="1">
      <c r="A38" s="280" t="s">
        <v>103</v>
      </c>
      <c r="B38" s="91">
        <v>401734</v>
      </c>
      <c r="C38" s="39" t="s">
        <v>263</v>
      </c>
      <c r="D38" s="40">
        <v>45904</v>
      </c>
      <c r="E38" s="41" t="s">
        <v>2</v>
      </c>
      <c r="F38" s="42">
        <v>86.5</v>
      </c>
      <c r="G38" s="281">
        <f>IF(OR(E38="",F38=""),"",PID_KVLohnLookup($A$1,E38,F38,LOHNTABELLE!$H$4))</f>
        <v>1010.5</v>
      </c>
      <c r="H38" s="282">
        <f>IF(AND(ISNUMBER(D38),ISNUMBER(F38)),ROUNDDOWN(MIN(IF(OR(ISBLANK(I38),I38=""),EOMONTH(DATE(EINSTELLUNG!$C$35,$A$1,1),0),I38)-MAX(D38,DATE(EINSTELLUNG!$C$35,$A$1,1))+1)/DAY(EOMONTH(DATE(EINSTELLUNG!$C$35,$A$1,1),0))*F38,2),"")</f>
        <v>86.5</v>
      </c>
      <c r="I38" s="43"/>
      <c r="J38" s="44"/>
      <c r="K38" s="281">
        <f t="shared" si="1"/>
        <v>0</v>
      </c>
      <c r="L38" s="283">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1010.5</v>
      </c>
      <c r="M38" s="45"/>
      <c r="N38" s="65"/>
      <c r="O38" s="358" t="s">
        <v>104</v>
      </c>
      <c r="P38" s="297"/>
      <c r="Q38" s="298">
        <f>EINSTELLUNG!F13</f>
        <v>30000</v>
      </c>
      <c r="R38" s="298"/>
      <c r="S38" s="298">
        <f>EINSTELLUNG!F29</f>
        <v>31000</v>
      </c>
      <c r="T38" s="298"/>
      <c r="U38" s="298">
        <f t="shared" si="2"/>
        <v>1000</v>
      </c>
      <c r="V38" s="299"/>
    </row>
    <row r="39" spans="1:22" ht="22" customHeight="1">
      <c r="A39" s="280" t="s">
        <v>105</v>
      </c>
      <c r="B39" s="92">
        <v>401737</v>
      </c>
      <c r="C39" s="46" t="s">
        <v>265</v>
      </c>
      <c r="D39" s="47">
        <v>45906</v>
      </c>
      <c r="E39" s="48" t="s">
        <v>2</v>
      </c>
      <c r="F39" s="49">
        <v>86.5</v>
      </c>
      <c r="G39" s="281">
        <f>IF(OR(E39="",F39=""),"",PID_KVLohnLookup($A$1,E39,F39,LOHNTABELLE!$H$4))</f>
        <v>1010.5</v>
      </c>
      <c r="H39" s="282">
        <f>IF(AND(ISNUMBER(D39),ISNUMBER(F39)),ROUNDDOWN(MIN(IF(OR(ISBLANK(I39),I39=""),EOMONTH(DATE(EINSTELLUNG!$C$35,$A$1,1),0),I39)-MAX(D39,DATE(EINSTELLUNG!$C$35,$A$1,1))+1)/DAY(EOMONTH(DATE(EINSTELLUNG!$C$35,$A$1,1),0))*F39,2),"")</f>
        <v>86.5</v>
      </c>
      <c r="I39" s="50"/>
      <c r="J39" s="51"/>
      <c r="K39" s="281">
        <f t="shared" si="1"/>
        <v>0</v>
      </c>
      <c r="L39" s="283">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52"/>
      <c r="N39" s="66"/>
      <c r="O39" s="358" t="s">
        <v>106</v>
      </c>
      <c r="P39" s="297"/>
      <c r="Q39" s="329">
        <f>IF(Q38=0, 0, Q35/Q38)</f>
        <v>13.333333333333334</v>
      </c>
      <c r="R39" s="329"/>
      <c r="S39" s="329">
        <f>IF(S38=0, 0, S35/S38)</f>
        <v>14.03225806451613</v>
      </c>
      <c r="T39" s="329"/>
      <c r="U39" s="329">
        <f t="shared" si="2"/>
        <v>0.69892473118279597</v>
      </c>
      <c r="V39" s="330"/>
    </row>
    <row r="40" spans="1:22" ht="22" customHeight="1">
      <c r="A40" s="280" t="s">
        <v>107</v>
      </c>
      <c r="B40" s="91">
        <v>401738</v>
      </c>
      <c r="C40" s="39" t="s">
        <v>266</v>
      </c>
      <c r="D40" s="40">
        <v>45909</v>
      </c>
      <c r="E40" s="41" t="s">
        <v>2</v>
      </c>
      <c r="F40" s="42">
        <v>86.5</v>
      </c>
      <c r="G40" s="281">
        <f>IF(OR(E40="",F40=""),"",PID_KVLohnLookup($A$1,E40,F40,LOHNTABELLE!$H$4))</f>
        <v>1010.5</v>
      </c>
      <c r="H40" s="282">
        <f>IF(AND(ISNUMBER(D40),ISNUMBER(F40)),ROUNDDOWN(MIN(IF(OR(ISBLANK(I40),I40=""),EOMONTH(DATE(EINSTELLUNG!$C$35,$A$1,1),0),I40)-MAX(D40,DATE(EINSTELLUNG!$C$35,$A$1,1))+1)/DAY(EOMONTH(DATE(EINSTELLUNG!$C$35,$A$1,1),0))*F40,2),"")</f>
        <v>86.5</v>
      </c>
      <c r="I40" s="43"/>
      <c r="J40" s="44"/>
      <c r="K40" s="281">
        <f t="shared" si="1"/>
        <v>0</v>
      </c>
      <c r="L40" s="283">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45"/>
      <c r="N40" s="65"/>
      <c r="O40" s="358" t="s">
        <v>108</v>
      </c>
      <c r="P40" s="297"/>
      <c r="Q40" s="329">
        <f>IF(Q12=0, 0, Q35/Q12)</f>
        <v>54.383145575523237</v>
      </c>
      <c r="R40" s="329"/>
      <c r="S40" s="329">
        <f>IF(Q12=0, 0, S35/Q12)</f>
        <v>59.141670813381523</v>
      </c>
      <c r="T40" s="329"/>
      <c r="U40" s="329">
        <f t="shared" si="2"/>
        <v>4.7585252378582865</v>
      </c>
      <c r="V40" s="330"/>
    </row>
    <row r="41" spans="1:22" ht="22" customHeight="1">
      <c r="A41" s="280" t="s">
        <v>109</v>
      </c>
      <c r="B41" s="92">
        <v>401745</v>
      </c>
      <c r="C41" s="46" t="s">
        <v>270</v>
      </c>
      <c r="D41" s="47">
        <v>45934</v>
      </c>
      <c r="E41" s="48" t="s">
        <v>2</v>
      </c>
      <c r="F41" s="49">
        <v>86.5</v>
      </c>
      <c r="G41" s="281">
        <f>IF(OR(E41="",F41=""),"",PID_KVLohnLookup($A$1,E41,F41,LOHNTABELLE!$H$4))</f>
        <v>1010.5</v>
      </c>
      <c r="H41" s="282">
        <f>IF(AND(ISNUMBER(D41),ISNUMBER(F41)),ROUNDDOWN(MIN(IF(OR(ISBLANK(I41),I41=""),EOMONTH(DATE(EINSTELLUNG!$C$35,$A$1,1),0),I41)-MAX(D41,DATE(EINSTELLUNG!$C$35,$A$1,1))+1)/DAY(EOMONTH(DATE(EINSTELLUNG!$C$35,$A$1,1),0))*F41,2),"")</f>
        <v>86.5</v>
      </c>
      <c r="I41" s="50"/>
      <c r="J41" s="51"/>
      <c r="K41" s="281">
        <f t="shared" si="1"/>
        <v>0</v>
      </c>
      <c r="L41" s="283">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52"/>
      <c r="N41" s="66"/>
      <c r="O41" s="371" t="s">
        <v>110</v>
      </c>
      <c r="P41" s="334"/>
      <c r="Q41" s="335">
        <f>IF(Q12=0, 0, Q38/Q12)</f>
        <v>4.0787359181642433</v>
      </c>
      <c r="R41" s="335"/>
      <c r="S41" s="335">
        <f>IF(Q12=0, 0, S38/Q12)</f>
        <v>4.2146937821030512</v>
      </c>
      <c r="T41" s="335"/>
      <c r="U41" s="335">
        <f t="shared" si="2"/>
        <v>0.13595786393880793</v>
      </c>
      <c r="V41" s="336"/>
    </row>
    <row r="42" spans="1:22" ht="22" customHeight="1" thickBot="1">
      <c r="A42" s="280" t="s">
        <v>111</v>
      </c>
      <c r="B42" s="91">
        <v>401746</v>
      </c>
      <c r="C42" s="39" t="s">
        <v>269</v>
      </c>
      <c r="D42" s="40">
        <v>45941</v>
      </c>
      <c r="E42" s="41" t="s">
        <v>2</v>
      </c>
      <c r="F42" s="42">
        <v>86.5</v>
      </c>
      <c r="G42" s="281">
        <f>IF(OR(E42="",F42=""),"",PID_KVLohnLookup($A$1,E42,F42,LOHNTABELLE!$H$4))</f>
        <v>1010.5</v>
      </c>
      <c r="H42" s="282">
        <f>IF(AND(ISNUMBER(D42),ISNUMBER(F42)),ROUNDDOWN(MIN(IF(OR(ISBLANK(I42),I42=""),EOMONTH(DATE(EINSTELLUNG!$C$35,$A$1,1),0),I42)-MAX(D42,DATE(EINSTELLUNG!$C$35,$A$1,1))+1)/DAY(EOMONTH(DATE(EINSTELLUNG!$C$35,$A$1,1),0))*F42,2),"")</f>
        <v>86.5</v>
      </c>
      <c r="I42" s="43"/>
      <c r="J42" s="44"/>
      <c r="K42" s="281">
        <f t="shared" si="1"/>
        <v>0</v>
      </c>
      <c r="L42" s="283">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45"/>
      <c r="N42" s="130"/>
      <c r="O42" s="314" t="s">
        <v>112</v>
      </c>
      <c r="P42" s="315"/>
      <c r="Q42" s="337">
        <f>IFERROR(Q17/Q8, 0)</f>
        <v>11.746127609974897</v>
      </c>
      <c r="R42" s="338"/>
      <c r="S42" s="337"/>
      <c r="T42" s="337"/>
      <c r="U42" s="337"/>
      <c r="V42" s="317"/>
    </row>
    <row r="43" spans="1:22" ht="22" customHeight="1">
      <c r="A43" s="280" t="s">
        <v>113</v>
      </c>
      <c r="B43" s="92">
        <v>401747</v>
      </c>
      <c r="C43" s="46" t="s">
        <v>267</v>
      </c>
      <c r="D43" s="47">
        <v>45941</v>
      </c>
      <c r="E43" s="48" t="s">
        <v>2</v>
      </c>
      <c r="F43" s="49">
        <v>86.5</v>
      </c>
      <c r="G43" s="281">
        <f>IF(OR(E43="",F43=""),"",PID_KVLohnLookup($A$1,E43,F43,LOHNTABELLE!$H$4))</f>
        <v>1010.5</v>
      </c>
      <c r="H43" s="282">
        <f>IF(AND(ISNUMBER(D43),ISNUMBER(F43)),ROUNDDOWN(MIN(IF(OR(ISBLANK(I43),I43=""),EOMONTH(DATE(EINSTELLUNG!$C$35,$A$1,1),0),I43)-MAX(D43,DATE(EINSTELLUNG!$C$35,$A$1,1))+1)/DAY(EOMONTH(DATE(EINSTELLUNG!$C$35,$A$1,1),0))*F43,2),"")</f>
        <v>86.5</v>
      </c>
      <c r="I43" s="50"/>
      <c r="J43" s="51"/>
      <c r="K43" s="281">
        <f t="shared" si="1"/>
        <v>0</v>
      </c>
      <c r="L43" s="283">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1010.5</v>
      </c>
      <c r="M43" s="128"/>
      <c r="N43" s="66"/>
      <c r="O43" s="339"/>
      <c r="P43" s="339"/>
      <c r="Q43" s="339"/>
      <c r="R43" s="278"/>
      <c r="S43" s="278"/>
      <c r="T43" s="278"/>
      <c r="U43" s="278"/>
      <c r="V43" s="278"/>
    </row>
    <row r="44" spans="1:22" ht="22" customHeight="1">
      <c r="A44" s="280" t="s">
        <v>114</v>
      </c>
      <c r="B44" s="91">
        <v>401748</v>
      </c>
      <c r="C44" s="39" t="s">
        <v>268</v>
      </c>
      <c r="D44" s="40">
        <v>45941</v>
      </c>
      <c r="E44" s="41" t="s">
        <v>2</v>
      </c>
      <c r="F44" s="42">
        <v>138.4</v>
      </c>
      <c r="G44" s="281">
        <f>IF(OR(E44="",F44=""),"",PID_KVLohnLookup($A$1,E44,F44,LOHNTABELLE!$H$4))</f>
        <v>1616.8</v>
      </c>
      <c r="H44" s="282">
        <f>IF(AND(ISNUMBER(D44),ISNUMBER(F44)),ROUNDDOWN(MIN(IF(OR(ISBLANK(I44),I44=""),EOMONTH(DATE(EINSTELLUNG!$C$35,$A$1,1),0),I44)-MAX(D44,DATE(EINSTELLUNG!$C$35,$A$1,1))+1)/DAY(EOMONTH(DATE(EINSTELLUNG!$C$35,$A$1,1),0))*F44,2),"")</f>
        <v>138.4</v>
      </c>
      <c r="I44" s="43"/>
      <c r="J44" s="44"/>
      <c r="K44" s="281">
        <f t="shared" si="1"/>
        <v>0</v>
      </c>
      <c r="L44" s="283">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1616.8</v>
      </c>
      <c r="M44" s="129"/>
      <c r="N44" s="65"/>
      <c r="O44" s="340" t="s">
        <v>115</v>
      </c>
      <c r="P44" s="340"/>
      <c r="Q44" s="340"/>
      <c r="R44" s="340"/>
      <c r="S44" s="340"/>
      <c r="T44" s="340"/>
      <c r="U44" s="340"/>
      <c r="V44" s="340"/>
    </row>
    <row r="45" spans="1:22" ht="22" customHeight="1">
      <c r="A45" s="280" t="s">
        <v>116</v>
      </c>
      <c r="B45" s="92">
        <v>401751</v>
      </c>
      <c r="C45" s="46" t="s">
        <v>271</v>
      </c>
      <c r="D45" s="47">
        <v>45961</v>
      </c>
      <c r="E45" s="48" t="s">
        <v>2</v>
      </c>
      <c r="F45" s="49">
        <v>86.5</v>
      </c>
      <c r="G45" s="281">
        <f>IF(OR(E45="",F45=""),"",PID_KVLohnLookup($A$1,E45,F45,LOHNTABELLE!$H$4))</f>
        <v>1010.5</v>
      </c>
      <c r="H45" s="282">
        <f>IF(AND(ISNUMBER(D45),ISNUMBER(F45)),ROUNDDOWN(MIN(IF(OR(ISBLANK(I45),I45=""),EOMONTH(DATE(EINSTELLUNG!$C$35,$A$1,1),0),I45)-MAX(D45,DATE(EINSTELLUNG!$C$35,$A$1,1))+1)/DAY(EOMONTH(DATE(EINSTELLUNG!$C$35,$A$1,1),0))*F45,2),"")</f>
        <v>86.5</v>
      </c>
      <c r="I45" s="50"/>
      <c r="J45" s="51"/>
      <c r="K45" s="281">
        <f t="shared" si="1"/>
        <v>0</v>
      </c>
      <c r="L45" s="283">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1010.5</v>
      </c>
      <c r="M45" s="128"/>
      <c r="N45" s="66"/>
      <c r="O45" s="341"/>
      <c r="P45" s="341"/>
      <c r="Q45" s="341"/>
      <c r="R45" s="342"/>
      <c r="S45" s="342"/>
      <c r="T45" s="342"/>
      <c r="U45" s="342"/>
      <c r="V45" s="278"/>
    </row>
    <row r="46" spans="1:22" ht="22" customHeight="1">
      <c r="A46" s="280" t="s">
        <v>117</v>
      </c>
      <c r="B46" s="91">
        <v>401752</v>
      </c>
      <c r="C46" s="39" t="s">
        <v>272</v>
      </c>
      <c r="D46" s="40">
        <v>45986</v>
      </c>
      <c r="E46" s="41" t="s">
        <v>2</v>
      </c>
      <c r="F46" s="42">
        <v>173</v>
      </c>
      <c r="G46" s="281">
        <f>IF(OR(E46="",F46=""),"",PID_KVLohnLookup($A$1,E46,F46,LOHNTABELLE!$H$4))</f>
        <v>2021</v>
      </c>
      <c r="H46" s="282">
        <f>IF(AND(ISNUMBER(D46),ISNUMBER(F46)),ROUNDDOWN(MIN(IF(OR(ISBLANK(I46),I46=""),EOMONTH(DATE(EINSTELLUNG!$C$35,$A$1,1),0),I46)-MAX(D46,DATE(EINSTELLUNG!$C$35,$A$1,1))+1)/DAY(EOMONTH(DATE(EINSTELLUNG!$C$35,$A$1,1),0))*F46,2),"")</f>
        <v>173</v>
      </c>
      <c r="I46" s="43"/>
      <c r="J46" s="44"/>
      <c r="K46" s="281">
        <f t="shared" si="1"/>
        <v>0</v>
      </c>
      <c r="L46" s="283">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2021</v>
      </c>
      <c r="M46" s="129"/>
      <c r="N46" s="65"/>
      <c r="O46" s="278"/>
      <c r="P46" s="278"/>
      <c r="Q46" s="278"/>
      <c r="R46" s="278"/>
      <c r="S46" s="278"/>
      <c r="T46" s="278"/>
      <c r="U46" s="278"/>
      <c r="V46" s="278"/>
    </row>
    <row r="47" spans="1:22" ht="22" customHeight="1">
      <c r="A47" s="280" t="s">
        <v>118</v>
      </c>
      <c r="B47" s="92">
        <v>401999</v>
      </c>
      <c r="C47" s="46" t="s">
        <v>354</v>
      </c>
      <c r="D47" s="47">
        <v>46041</v>
      </c>
      <c r="E47" s="48" t="s">
        <v>2</v>
      </c>
      <c r="F47" s="49">
        <v>151.38</v>
      </c>
      <c r="G47" s="281">
        <f>IF(OR(E47="",F47=""),"",PID_KVLohnLookup($A$1,E47,F47,LOHNTABELLE!$H$4))</f>
        <v>1768.38</v>
      </c>
      <c r="H47" s="282">
        <f>IF(AND(ISNUMBER(D47),ISNUMBER(F47)),ROUNDDOWN(MIN(IF(OR(ISBLANK(I47),I47=""),EOMONTH(DATE(EINSTELLUNG!$C$35,$A$1,1),0),I47)-MAX(D47,DATE(EINSTELLUNG!$C$35,$A$1,1))+1)/DAY(EOMONTH(DATE(EINSTELLUNG!$C$35,$A$1,1),0))*F47,2),"")</f>
        <v>151.38</v>
      </c>
      <c r="I47" s="50"/>
      <c r="J47" s="51"/>
      <c r="K47" s="281">
        <f t="shared" si="1"/>
        <v>0</v>
      </c>
      <c r="L47" s="283">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1768.38</v>
      </c>
      <c r="M47" s="128"/>
      <c r="N47" s="66"/>
      <c r="O47" s="278"/>
      <c r="P47" s="278"/>
      <c r="Q47" s="278"/>
      <c r="R47" s="278"/>
      <c r="S47" s="278"/>
      <c r="T47" s="278"/>
      <c r="U47" s="278"/>
      <c r="V47" s="278"/>
    </row>
    <row r="48" spans="1:22" ht="22" customHeight="1">
      <c r="A48" s="280" t="s">
        <v>119</v>
      </c>
      <c r="B48" s="91">
        <v>401999</v>
      </c>
      <c r="C48" s="39" t="s">
        <v>292</v>
      </c>
      <c r="D48" s="43">
        <v>46082</v>
      </c>
      <c r="E48" s="41" t="s">
        <v>2</v>
      </c>
      <c r="F48" s="42">
        <v>173</v>
      </c>
      <c r="G48" s="281">
        <f>IF(OR(E48="",F48=""),"",PID_KVLohnLookup($A$1,E48,F48,LOHNTABELLE!$H$4))</f>
        <v>2021</v>
      </c>
      <c r="H48" s="282">
        <f>IF(AND(ISNUMBER(D48),ISNUMBER(F48)),ROUNDDOWN(MIN(IF(OR(ISBLANK(I48),I48=""),EOMONTH(DATE(EINSTELLUNG!$C$35,$A$1,1),0),I48)-MAX(D48,DATE(EINSTELLUNG!$C$35,$A$1,1))+1)/DAY(EOMONTH(DATE(EINSTELLUNG!$C$35,$A$1,1),0))*F48,2),"")</f>
        <v>173</v>
      </c>
      <c r="I48" s="43"/>
      <c r="J48" s="44"/>
      <c r="K48" s="281">
        <f t="shared" si="1"/>
        <v>0</v>
      </c>
      <c r="L48" s="283">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2021</v>
      </c>
      <c r="M48" s="129"/>
      <c r="N48" s="65"/>
      <c r="O48" s="278"/>
      <c r="P48" s="278"/>
      <c r="Q48" s="278"/>
      <c r="R48" s="278"/>
      <c r="S48" s="278"/>
      <c r="T48" s="278"/>
      <c r="U48" s="278"/>
      <c r="V48" s="278"/>
    </row>
    <row r="49" spans="1:22" ht="22" customHeight="1">
      <c r="A49" s="280" t="s">
        <v>120</v>
      </c>
      <c r="B49" s="92">
        <v>402000</v>
      </c>
      <c r="C49" s="46" t="s">
        <v>294</v>
      </c>
      <c r="D49" s="50">
        <v>46143</v>
      </c>
      <c r="E49" s="48" t="s">
        <v>2</v>
      </c>
      <c r="F49" s="49">
        <v>173</v>
      </c>
      <c r="G49" s="281">
        <f>IF(OR(E49="",F49=""),"",PID_KVLohnLookup($A$1,E49,F49,LOHNTABELLE!$H$4))</f>
        <v>2021</v>
      </c>
      <c r="H49" s="282">
        <f>IF(AND(ISNUMBER(D49),ISNUMBER(F49)),ROUNDDOWN(MIN(IF(OR(ISBLANK(I49),I49=""),EOMONTH(DATE(EINSTELLUNG!$C$35,$A$1,1),0),I49)-MAX(D49,DATE(EINSTELLUNG!$C$35,$A$1,1))+1)/DAY(EOMONTH(DATE(EINSTELLUNG!$C$35,$A$1,1),0))*F49,2),"")</f>
        <v>173</v>
      </c>
      <c r="I49" s="50"/>
      <c r="J49" s="51"/>
      <c r="K49" s="281">
        <f t="shared" si="1"/>
        <v>0</v>
      </c>
      <c r="L49" s="283">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2021</v>
      </c>
      <c r="M49" s="128"/>
      <c r="N49" s="66"/>
      <c r="O49" s="278"/>
      <c r="P49" s="278"/>
      <c r="Q49" s="278"/>
      <c r="R49" s="278"/>
      <c r="S49" s="278"/>
      <c r="T49" s="278"/>
      <c r="U49" s="278"/>
      <c r="V49" s="278"/>
    </row>
    <row r="50" spans="1:22" ht="22" customHeight="1">
      <c r="A50" s="280" t="s">
        <v>121</v>
      </c>
      <c r="B50" s="91">
        <v>402004</v>
      </c>
      <c r="C50" s="53" t="s">
        <v>295</v>
      </c>
      <c r="D50" s="43">
        <v>46122</v>
      </c>
      <c r="E50" s="41" t="s">
        <v>2</v>
      </c>
      <c r="F50" s="42">
        <v>173</v>
      </c>
      <c r="G50" s="281">
        <f>IF(OR(E50="",F50=""),"",PID_KVLohnLookup($A$1,E50,F50,LOHNTABELLE!$H$4))</f>
        <v>2021</v>
      </c>
      <c r="H50" s="282">
        <f>IF(AND(ISNUMBER(D50),ISNUMBER(F50)),ROUNDDOWN(MIN(IF(OR(ISBLANK(I50),I50=""),EOMONTH(DATE(EINSTELLUNG!$C$35,$A$1,1),0),I50)-MAX(D50,DATE(EINSTELLUNG!$C$35,$A$1,1))+1)/DAY(EOMONTH(DATE(EINSTELLUNG!$C$35,$A$1,1),0))*F50,2),"")</f>
        <v>173</v>
      </c>
      <c r="I50" s="43"/>
      <c r="J50" s="44"/>
      <c r="K50" s="281">
        <f t="shared" si="1"/>
        <v>0</v>
      </c>
      <c r="L50" s="283">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2021</v>
      </c>
      <c r="M50" s="129"/>
      <c r="N50" s="65"/>
      <c r="O50" s="278"/>
      <c r="P50" s="278"/>
      <c r="Q50" s="278"/>
      <c r="R50" s="278"/>
      <c r="S50" s="278"/>
      <c r="T50" s="278"/>
      <c r="U50" s="278"/>
      <c r="V50" s="278"/>
    </row>
    <row r="51" spans="1:22" ht="22" customHeight="1">
      <c r="A51" s="280" t="s">
        <v>122</v>
      </c>
      <c r="B51" s="92">
        <v>402405</v>
      </c>
      <c r="C51" s="46" t="s">
        <v>297</v>
      </c>
      <c r="D51" s="50">
        <v>46054</v>
      </c>
      <c r="E51" s="48" t="s">
        <v>2</v>
      </c>
      <c r="F51" s="49">
        <v>173</v>
      </c>
      <c r="G51" s="281">
        <f>IF(OR(E51="",F51=""),"",PID_KVLohnLookup($A$1,E51,F51,LOHNTABELLE!$H$4))</f>
        <v>2021</v>
      </c>
      <c r="H51" s="282">
        <f>IF(AND(ISNUMBER(D51),ISNUMBER(F51)),ROUNDDOWN(MIN(IF(OR(ISBLANK(I51),I51=""),EOMONTH(DATE(EINSTELLUNG!$C$35,$A$1,1),0),I51)-MAX(D51,DATE(EINSTELLUNG!$C$35,$A$1,1))+1)/DAY(EOMONTH(DATE(EINSTELLUNG!$C$35,$A$1,1),0))*F51,2),"")</f>
        <v>173</v>
      </c>
      <c r="I51" s="50"/>
      <c r="J51" s="51"/>
      <c r="K51" s="281">
        <f t="shared" si="1"/>
        <v>0</v>
      </c>
      <c r="L51" s="283">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2021</v>
      </c>
      <c r="M51" s="52"/>
      <c r="N51" s="127"/>
    </row>
    <row r="52" spans="1:22" ht="22" customHeight="1">
      <c r="A52" s="280" t="s">
        <v>123</v>
      </c>
      <c r="B52" s="91">
        <v>500600</v>
      </c>
      <c r="C52" s="39" t="s">
        <v>301</v>
      </c>
      <c r="D52" s="43">
        <v>46054</v>
      </c>
      <c r="E52" s="41" t="s">
        <v>2</v>
      </c>
      <c r="F52" s="42">
        <v>173</v>
      </c>
      <c r="G52" s="281">
        <f>IF(OR(E52="",F52=""),"",PID_KVLohnLookup($A$1,E52,F52,LOHNTABELLE!$H$4))</f>
        <v>2021</v>
      </c>
      <c r="H52" s="282">
        <f>IF(AND(ISNUMBER(D52),ISNUMBER(F52)),ROUNDDOWN(MIN(IF(OR(ISBLANK(I52),I52=""),EOMONTH(DATE(EINSTELLUNG!$C$35,$A$1,1),0),I52)-MAX(D52,DATE(EINSTELLUNG!$C$35,$A$1,1))+1)/DAY(EOMONTH(DATE(EINSTELLUNG!$C$35,$A$1,1),0))*F52,2),"")</f>
        <v>173</v>
      </c>
      <c r="I52" s="43"/>
      <c r="J52" s="44"/>
      <c r="K52" s="281">
        <f t="shared" si="1"/>
        <v>0</v>
      </c>
      <c r="L52" s="283">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2021</v>
      </c>
      <c r="M52" s="45"/>
      <c r="N52" s="65"/>
    </row>
    <row r="53" spans="1:22" ht="22" customHeight="1">
      <c r="A53" s="280" t="s">
        <v>124</v>
      </c>
      <c r="B53" s="92">
        <v>502000</v>
      </c>
      <c r="C53" s="46" t="s">
        <v>296</v>
      </c>
      <c r="D53" s="50">
        <v>46147</v>
      </c>
      <c r="E53" s="48" t="s">
        <v>2</v>
      </c>
      <c r="F53" s="49">
        <v>173</v>
      </c>
      <c r="G53" s="281">
        <f>IF(OR(E53="",F53=""),"",PID_KVLohnLookup($A$1,E53,F53,LOHNTABELLE!$H$4))</f>
        <v>2021</v>
      </c>
      <c r="H53" s="282">
        <f>IF(AND(ISNUMBER(D53),ISNUMBER(F53)),ROUNDDOWN(MIN(IF(OR(ISBLANK(I53),I53=""),EOMONTH(DATE(EINSTELLUNG!$C$35,$A$1,1),0),I53)-MAX(D53,DATE(EINSTELLUNG!$C$35,$A$1,1))+1)/DAY(EOMONTH(DATE(EINSTELLUNG!$C$35,$A$1,1),0))*F53,2),"")</f>
        <v>173</v>
      </c>
      <c r="I53" s="50"/>
      <c r="J53" s="51"/>
      <c r="K53" s="281">
        <f t="shared" si="1"/>
        <v>0</v>
      </c>
      <c r="L53" s="283">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2021</v>
      </c>
      <c r="M53" s="52"/>
      <c r="N53" s="66"/>
    </row>
    <row r="54" spans="1:22" ht="22" customHeight="1">
      <c r="A54" s="280" t="s">
        <v>125</v>
      </c>
      <c r="B54" s="91">
        <v>503000</v>
      </c>
      <c r="C54" s="39" t="s">
        <v>298</v>
      </c>
      <c r="D54" s="43">
        <v>42401</v>
      </c>
      <c r="E54" s="41" t="s">
        <v>2</v>
      </c>
      <c r="F54" s="42">
        <v>173</v>
      </c>
      <c r="G54" s="281">
        <f>IF(OR(E54="",F54=""),"",PID_KVLohnLookup($A$1,E54,F54,LOHNTABELLE!$H$4))</f>
        <v>2021</v>
      </c>
      <c r="H54" s="282">
        <f>IF(AND(ISNUMBER(D54),ISNUMBER(F54)),ROUNDDOWN(MIN(IF(OR(ISBLANK(I54),I54=""),EOMONTH(DATE(EINSTELLUNG!$C$35,$A$1,1),0),I54)-MAX(D54,DATE(EINSTELLUNG!$C$35,$A$1,1))+1)/DAY(EOMONTH(DATE(EINSTELLUNG!$C$35,$A$1,1),0))*F54,2),"")</f>
        <v>173</v>
      </c>
      <c r="I54" s="43"/>
      <c r="J54" s="44"/>
      <c r="K54" s="281">
        <f t="shared" si="1"/>
        <v>0</v>
      </c>
      <c r="L54" s="283">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2021</v>
      </c>
      <c r="M54" s="45"/>
      <c r="N54" s="65"/>
    </row>
    <row r="55" spans="1:22" ht="22" customHeight="1">
      <c r="A55" s="280" t="s">
        <v>126</v>
      </c>
      <c r="B55" s="92">
        <v>504000</v>
      </c>
      <c r="C55" s="46" t="s">
        <v>299</v>
      </c>
      <c r="D55" s="50">
        <v>46054</v>
      </c>
      <c r="E55" s="48" t="s">
        <v>3</v>
      </c>
      <c r="F55" s="49">
        <v>138.4</v>
      </c>
      <c r="G55" s="281">
        <f>IF(OR(E55="",F55=""),"",PID_KVLohnLookup($A$1,E55,F55,LOHNTABELLE!$H$4))</f>
        <v>1665.6</v>
      </c>
      <c r="H55" s="282">
        <f>IF(AND(ISNUMBER(D55),ISNUMBER(F55)),ROUNDDOWN(MIN(IF(OR(ISBLANK(I55),I55=""),EOMONTH(DATE(EINSTELLUNG!$C$35,$A$1,1),0),I55)-MAX(D55,DATE(EINSTELLUNG!$C$35,$A$1,1))+1)/DAY(EOMONTH(DATE(EINSTELLUNG!$C$35,$A$1,1),0))*F55,2),"")</f>
        <v>138.4</v>
      </c>
      <c r="I55" s="50"/>
      <c r="J55" s="51"/>
      <c r="K55" s="281">
        <f t="shared" si="1"/>
        <v>0</v>
      </c>
      <c r="L55" s="283">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1665.6</v>
      </c>
      <c r="M55" s="52"/>
      <c r="N55" s="66"/>
    </row>
    <row r="56" spans="1:22" ht="22" customHeight="1">
      <c r="A56" s="280" t="s">
        <v>127</v>
      </c>
      <c r="B56" s="91">
        <v>505000</v>
      </c>
      <c r="C56" s="39" t="s">
        <v>300</v>
      </c>
      <c r="D56" s="43">
        <v>46054</v>
      </c>
      <c r="E56" s="41" t="s">
        <v>2</v>
      </c>
      <c r="F56" s="42">
        <v>138.4</v>
      </c>
      <c r="G56" s="281">
        <f>IF(OR(E56="",F56=""),"",PID_KVLohnLookup($A$1,E56,F56,LOHNTABELLE!$H$4))</f>
        <v>1616.8</v>
      </c>
      <c r="H56" s="282">
        <f>IF(AND(ISNUMBER(D56),ISNUMBER(F56)),ROUNDDOWN(MIN(IF(OR(ISBLANK(I56),I56=""),EOMONTH(DATE(EINSTELLUNG!$C$35,$A$1,1),0),I56)-MAX(D56,DATE(EINSTELLUNG!$C$35,$A$1,1))+1)/DAY(EOMONTH(DATE(EINSTELLUNG!$C$35,$A$1,1),0))*F56,2),"")</f>
        <v>138.4</v>
      </c>
      <c r="I56" s="43"/>
      <c r="J56" s="44"/>
      <c r="K56" s="281">
        <f t="shared" si="1"/>
        <v>0</v>
      </c>
      <c r="L56" s="283">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1616.8</v>
      </c>
      <c r="M56" s="45"/>
      <c r="N56" s="65"/>
    </row>
    <row r="57" spans="1:22" ht="22" customHeight="1">
      <c r="A57" s="280" t="s">
        <v>128</v>
      </c>
      <c r="B57" s="92">
        <v>525025</v>
      </c>
      <c r="C57" s="46" t="s">
        <v>355</v>
      </c>
      <c r="D57" s="50">
        <v>46040</v>
      </c>
      <c r="E57" s="48" t="s">
        <v>2</v>
      </c>
      <c r="F57" s="49">
        <v>129.75</v>
      </c>
      <c r="G57" s="281">
        <f>IF(OR(E57="",F57=""),"",PID_KVLohnLookup($A$1,E57,F57,LOHNTABELLE!$H$4))</f>
        <v>1515.75</v>
      </c>
      <c r="H57" s="282">
        <f>IF(AND(ISNUMBER(D57),ISNUMBER(F57)),ROUNDDOWN(MIN(IF(OR(ISBLANK(I57),I57=""),EOMONTH(DATE(EINSTELLUNG!$C$35,$A$1,1),0),I57)-MAX(D57,DATE(EINSTELLUNG!$C$35,$A$1,1))+1)/DAY(EOMONTH(DATE(EINSTELLUNG!$C$35,$A$1,1),0))*F57,2),"")</f>
        <v>129.75</v>
      </c>
      <c r="I57" s="50"/>
      <c r="J57" s="51"/>
      <c r="K57" s="281">
        <f t="shared" si="1"/>
        <v>0</v>
      </c>
      <c r="L57" s="283">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1515.75</v>
      </c>
      <c r="M57" s="52"/>
      <c r="N57" s="66"/>
    </row>
    <row r="58" spans="1:22" ht="22" customHeight="1">
      <c r="A58" s="280" t="s">
        <v>129</v>
      </c>
      <c r="B58" s="91">
        <v>700000</v>
      </c>
      <c r="C58" s="39" t="s">
        <v>308</v>
      </c>
      <c r="D58" s="43">
        <v>46054</v>
      </c>
      <c r="E58" s="41" t="s">
        <v>2</v>
      </c>
      <c r="F58" s="42">
        <v>173</v>
      </c>
      <c r="G58" s="281">
        <f>IF(OR(E58="",F58=""),"",PID_KVLohnLookup($A$1,E58,F58,LOHNTABELLE!$H$4))</f>
        <v>2021</v>
      </c>
      <c r="H58" s="282">
        <f>IF(AND(ISNUMBER(D58),ISNUMBER(F58)),ROUNDDOWN(MIN(IF(OR(ISBLANK(I58),I58=""),EOMONTH(DATE(EINSTELLUNG!$C$35,$A$1,1),0),I58)-MAX(D58,DATE(EINSTELLUNG!$C$35,$A$1,1))+1)/DAY(EOMONTH(DATE(EINSTELLUNG!$C$35,$A$1,1),0))*F58,2),"")</f>
        <v>173</v>
      </c>
      <c r="I58" s="43"/>
      <c r="J58" s="44"/>
      <c r="K58" s="281">
        <f t="shared" si="1"/>
        <v>0</v>
      </c>
      <c r="L58" s="283">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2021</v>
      </c>
      <c r="M58" s="45"/>
      <c r="N58" s="65"/>
    </row>
    <row r="59" spans="1:22" ht="22" customHeight="1">
      <c r="A59" s="280" t="s">
        <v>130</v>
      </c>
      <c r="B59" s="92">
        <v>800000</v>
      </c>
      <c r="C59" s="46" t="s">
        <v>309</v>
      </c>
      <c r="D59" s="50">
        <v>46096</v>
      </c>
      <c r="E59" s="48" t="s">
        <v>2</v>
      </c>
      <c r="F59" s="49">
        <v>129.75</v>
      </c>
      <c r="G59" s="281">
        <f>IF(OR(E59="",F59=""),"",PID_KVLohnLookup($A$1,E59,F59,LOHNTABELLE!$H$4))</f>
        <v>1515.75</v>
      </c>
      <c r="H59" s="282">
        <f>IF(AND(ISNUMBER(D59),ISNUMBER(F59)),ROUNDDOWN(MIN(IF(OR(ISBLANK(I59),I59=""),EOMONTH(DATE(EINSTELLUNG!$C$35,$A$1,1),0),I59)-MAX(D59,DATE(EINSTELLUNG!$C$35,$A$1,1))+1)/DAY(EOMONTH(DATE(EINSTELLUNG!$C$35,$A$1,1),0))*F59,2),"")</f>
        <v>129.75</v>
      </c>
      <c r="I59" s="50"/>
      <c r="J59" s="51"/>
      <c r="K59" s="281">
        <f t="shared" si="1"/>
        <v>0</v>
      </c>
      <c r="L59" s="283">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1515.75</v>
      </c>
      <c r="M59" s="52"/>
      <c r="N59" s="66"/>
    </row>
    <row r="60" spans="1:22" ht="22" customHeight="1">
      <c r="A60" s="280" t="s">
        <v>131</v>
      </c>
      <c r="B60" s="91"/>
      <c r="C60" s="39"/>
      <c r="D60" s="43"/>
      <c r="E60" s="41"/>
      <c r="F60" s="42"/>
      <c r="G60" s="281" t="str">
        <f>IF(OR(E60="",F60=""),"",PID_KVLohnLookup($A$1,E60,F60,LOHNTABELLE!$H$4))</f>
        <v/>
      </c>
      <c r="H60" s="282" t="str">
        <f>IF(AND(ISNUMBER(D60),ISNUMBER(F60)),ROUNDDOWN(MIN(IF(OR(ISBLANK(I60),I60=""),EOMONTH(DATE(EINSTELLUNG!$C$35,$A$1,1),0),I60)-MAX(D60,DATE(EINSTELLUNG!$C$35,$A$1,1))+1)/DAY(EOMONTH(DATE(EINSTELLUNG!$C$35,$A$1,1),0))*F60,2),"")</f>
        <v/>
      </c>
      <c r="I60" s="43"/>
      <c r="J60" s="44"/>
      <c r="K60" s="281" t="str">
        <f t="shared" si="1"/>
        <v/>
      </c>
      <c r="L60" s="283" t="str">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
      </c>
      <c r="M60" s="45"/>
      <c r="N60" s="65"/>
    </row>
    <row r="61" spans="1:22" ht="22" customHeight="1">
      <c r="A61" s="280" t="s">
        <v>132</v>
      </c>
      <c r="B61" s="92"/>
      <c r="C61" s="46"/>
      <c r="D61" s="50"/>
      <c r="E61" s="48"/>
      <c r="F61" s="49"/>
      <c r="G61" s="281" t="str">
        <f>IF(OR(E61="",F61=""),"",PID_KVLohnLookup($A$1,E61,F61,LOHNTABELLE!$H$4))</f>
        <v/>
      </c>
      <c r="H61" s="282" t="str">
        <f>IF(AND(ISNUMBER(D61),ISNUMBER(F61)),ROUNDDOWN(MIN(IF(OR(ISBLANK(I61),I61=""),EOMONTH(DATE(EINSTELLUNG!$C$35,$A$1,1),0),I61)-MAX(D61,DATE(EINSTELLUNG!$C$35,$A$1,1))+1)/DAY(EOMONTH(DATE(EINSTELLUNG!$C$35,$A$1,1),0))*F61,2),"")</f>
        <v/>
      </c>
      <c r="I61" s="50"/>
      <c r="J61" s="51"/>
      <c r="K61" s="281" t="str">
        <f t="shared" si="1"/>
        <v/>
      </c>
      <c r="L61" s="283" t="str">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52"/>
      <c r="N61" s="66"/>
    </row>
    <row r="62" spans="1:22" ht="22" customHeight="1">
      <c r="A62" s="280" t="s">
        <v>133</v>
      </c>
      <c r="B62" s="91"/>
      <c r="C62" s="39"/>
      <c r="D62" s="43"/>
      <c r="E62" s="41"/>
      <c r="F62" s="42"/>
      <c r="G62" s="281" t="str">
        <f>IF(OR(E62="",F62=""),"",PID_KVLohnLookup($A$1,E62,F62,LOHNTABELLE!$H$4))</f>
        <v/>
      </c>
      <c r="H62" s="282" t="str">
        <f>IF(AND(ISNUMBER(D62),ISNUMBER(F62)),ROUNDDOWN(MIN(IF(OR(ISBLANK(I62),I62=""),EOMONTH(DATE(EINSTELLUNG!$C$35,$A$1,1),0),I62)-MAX(D62,DATE(EINSTELLUNG!$C$35,$A$1,1))+1)/DAY(EOMONTH(DATE(EINSTELLUNG!$C$35,$A$1,1),0))*F62,2),"")</f>
        <v/>
      </c>
      <c r="I62" s="43"/>
      <c r="J62" s="44"/>
      <c r="K62" s="281" t="str">
        <f t="shared" si="1"/>
        <v/>
      </c>
      <c r="L62" s="283"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45"/>
      <c r="N62" s="65"/>
    </row>
    <row r="63" spans="1:22" ht="22" customHeight="1">
      <c r="A63" s="280" t="s">
        <v>134</v>
      </c>
      <c r="B63" s="92"/>
      <c r="C63" s="46"/>
      <c r="D63" s="50"/>
      <c r="E63" s="48"/>
      <c r="F63" s="49"/>
      <c r="G63" s="281" t="str">
        <f>IF(OR(E63="",F63=""),"",PID_KVLohnLookup($A$1,E63,F63,LOHNTABELLE!$H$4))</f>
        <v/>
      </c>
      <c r="H63" s="282" t="str">
        <f>IF(AND(ISNUMBER(D63),ISNUMBER(F63)),ROUNDDOWN(MIN(IF(OR(ISBLANK(I63),I63=""),EOMONTH(DATE(EINSTELLUNG!$C$35,$A$1,1),0),I63)-MAX(D63,DATE(EINSTELLUNG!$C$35,$A$1,1))+1)/DAY(EOMONTH(DATE(EINSTELLUNG!$C$35,$A$1,1),0))*F63,2),"")</f>
        <v/>
      </c>
      <c r="I63" s="50"/>
      <c r="J63" s="51"/>
      <c r="K63" s="281" t="str">
        <f t="shared" si="1"/>
        <v/>
      </c>
      <c r="L63" s="283"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52"/>
      <c r="N63" s="66"/>
    </row>
    <row r="64" spans="1:22" ht="22" customHeight="1">
      <c r="A64" s="280" t="s">
        <v>135</v>
      </c>
      <c r="B64" s="91"/>
      <c r="C64" s="39"/>
      <c r="D64" s="43"/>
      <c r="E64" s="41"/>
      <c r="F64" s="42"/>
      <c r="G64" s="281" t="str">
        <f>IF(OR(E64="",F64=""),"",PID_KVLohnLookup($A$1,E64,F64,LOHNTABELLE!$H$4))</f>
        <v/>
      </c>
      <c r="H64" s="282" t="str">
        <f>IF(AND(ISNUMBER(D64),ISNUMBER(F64)),ROUNDDOWN(MIN(IF(OR(ISBLANK(I64),I64=""),EOMONTH(DATE(EINSTELLUNG!$C$35,$A$1,1),0),I64)-MAX(D64,DATE(EINSTELLUNG!$C$35,$A$1,1))+1)/DAY(EOMONTH(DATE(EINSTELLUNG!$C$35,$A$1,1),0))*F64,2),"")</f>
        <v/>
      </c>
      <c r="I64" s="43"/>
      <c r="J64" s="44"/>
      <c r="K64" s="281" t="str">
        <f t="shared" si="1"/>
        <v/>
      </c>
      <c r="L64" s="283"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45"/>
      <c r="N64" s="65"/>
    </row>
    <row r="65" spans="1:14" ht="22" customHeight="1">
      <c r="A65" s="280" t="s">
        <v>136</v>
      </c>
      <c r="B65" s="92"/>
      <c r="C65" s="46"/>
      <c r="D65" s="50"/>
      <c r="E65" s="48"/>
      <c r="F65" s="49"/>
      <c r="G65" s="281" t="str">
        <f>IF(OR(E65="",F65=""),"",PID_KVLohnLookup($A$1,E65,F65,LOHNTABELLE!$H$4))</f>
        <v/>
      </c>
      <c r="H65" s="282" t="str">
        <f>IF(AND(ISNUMBER(D65),ISNUMBER(F65)),ROUNDDOWN(MIN(IF(OR(ISBLANK(I65),I65=""),EOMONTH(DATE(EINSTELLUNG!$C$35,$A$1,1),0),I65)-MAX(D65,DATE(EINSTELLUNG!$C$35,$A$1,1))+1)/DAY(EOMONTH(DATE(EINSTELLUNG!$C$35,$A$1,1),0))*F65,2),"")</f>
        <v/>
      </c>
      <c r="I65" s="50"/>
      <c r="J65" s="51"/>
      <c r="K65" s="281" t="str">
        <f t="shared" si="1"/>
        <v/>
      </c>
      <c r="L65" s="283"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52"/>
      <c r="N65" s="66"/>
    </row>
    <row r="66" spans="1:14" ht="22" customHeight="1">
      <c r="A66" s="280" t="s">
        <v>137</v>
      </c>
      <c r="B66" s="91"/>
      <c r="C66" s="39"/>
      <c r="D66" s="43"/>
      <c r="E66" s="41"/>
      <c r="F66" s="42"/>
      <c r="G66" s="281" t="str">
        <f>IF(OR(E66="",F66=""),"",PID_KVLohnLookup($A$1,E66,F66,LOHNTABELLE!$H$4))</f>
        <v/>
      </c>
      <c r="H66" s="282" t="str">
        <f>IF(AND(ISNUMBER(D66),ISNUMBER(F66)),ROUNDDOWN(MIN(IF(OR(ISBLANK(I66),I66=""),EOMONTH(DATE(EINSTELLUNG!$C$35,$A$1,1),0),I66)-MAX(D66,DATE(EINSTELLUNG!$C$35,$A$1,1))+1)/DAY(EOMONTH(DATE(EINSTELLUNG!$C$35,$A$1,1),0))*F66,2),"")</f>
        <v/>
      </c>
      <c r="I66" s="43"/>
      <c r="J66" s="44"/>
      <c r="K66" s="281" t="str">
        <f t="shared" si="1"/>
        <v/>
      </c>
      <c r="L66" s="283"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45"/>
      <c r="N66" s="65"/>
    </row>
    <row r="67" spans="1:14" ht="22" customHeight="1">
      <c r="A67" s="280" t="s">
        <v>138</v>
      </c>
      <c r="B67" s="92"/>
      <c r="C67" s="46"/>
      <c r="D67" s="50"/>
      <c r="E67" s="48"/>
      <c r="F67" s="49"/>
      <c r="G67" s="281" t="str">
        <f>IF(OR(E67="",F67=""),"",PID_KVLohnLookup($A$1,E67,F67,LOHNTABELLE!$H$4))</f>
        <v/>
      </c>
      <c r="H67" s="282" t="str">
        <f>IF(AND(ISNUMBER(D67),ISNUMBER(F67)),ROUNDDOWN(MIN(IF(OR(ISBLANK(I67),I67=""),EOMONTH(DATE(EINSTELLUNG!$C$35,$A$1,1),0),I67)-MAX(D67,DATE(EINSTELLUNG!$C$35,$A$1,1))+1)/DAY(EOMONTH(DATE(EINSTELLUNG!$C$35,$A$1,1),0))*F67,2),"")</f>
        <v/>
      </c>
      <c r="I67" s="50"/>
      <c r="J67" s="51"/>
      <c r="K67" s="281" t="str">
        <f t="shared" ref="K67:K82" si="3">IF(OR(B67="",C67=""),"",IFERROR(IF(OR(MONTH(D67)=1,MONTH(D67)=3,MONTH(D67)=5,MONTH(D67)=7,MONTH(D67)=8,MONTH(D67)=10,MONTH(D67)=12),(G67/31)*J67,IF(OR(MONTH(D67)=4,MONTH(D67)=6,MONTH(D67)=9,MONTH(D67)=11),(G67/30)*J67,(G67/DAY(EOMONTH(D67,0)))*J67)),0))</f>
        <v/>
      </c>
      <c r="L67" s="283"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52"/>
      <c r="N67" s="66"/>
    </row>
    <row r="68" spans="1:14" ht="22" customHeight="1">
      <c r="A68" s="280" t="s">
        <v>139</v>
      </c>
      <c r="B68" s="91"/>
      <c r="C68" s="39"/>
      <c r="D68" s="43"/>
      <c r="E68" s="41"/>
      <c r="F68" s="42"/>
      <c r="G68" s="281" t="str">
        <f>IF(OR(E68="",F68=""),"",PID_KVLohnLookup($A$1,E68,F68,LOHNTABELLE!$H$4))</f>
        <v/>
      </c>
      <c r="H68" s="282" t="str">
        <f>IF(AND(ISNUMBER(D68),ISNUMBER(F68)),ROUNDDOWN(MIN(IF(OR(ISBLANK(I68),I68=""),EOMONTH(DATE(EINSTELLUNG!$C$35,$A$1,1),0),I68)-MAX(D68,DATE(EINSTELLUNG!$C$35,$A$1,1))+1)/DAY(EOMONTH(DATE(EINSTELLUNG!$C$35,$A$1,1),0))*F68,2),"")</f>
        <v/>
      </c>
      <c r="I68" s="43"/>
      <c r="J68" s="44"/>
      <c r="K68" s="281" t="str">
        <f t="shared" si="3"/>
        <v/>
      </c>
      <c r="L68" s="283"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45"/>
      <c r="N68" s="65"/>
    </row>
    <row r="69" spans="1:14" ht="22" customHeight="1">
      <c r="A69" s="280" t="s">
        <v>140</v>
      </c>
      <c r="B69" s="92"/>
      <c r="C69" s="46"/>
      <c r="D69" s="50"/>
      <c r="E69" s="48"/>
      <c r="F69" s="49"/>
      <c r="G69" s="281" t="str">
        <f>IF(OR(E69="",F69=""),"",PID_KVLohnLookup($A$1,E69,F69,LOHNTABELLE!$H$4))</f>
        <v/>
      </c>
      <c r="H69" s="282" t="str">
        <f>IF(AND(ISNUMBER(D69),ISNUMBER(F69)),ROUNDDOWN(MIN(IF(OR(ISBLANK(I69),I69=""),EOMONTH(DATE(EINSTELLUNG!$C$35,$A$1,1),0),I69)-MAX(D69,DATE(EINSTELLUNG!$C$35,$A$1,1))+1)/DAY(EOMONTH(DATE(EINSTELLUNG!$C$35,$A$1,1),0))*F69,2),"")</f>
        <v/>
      </c>
      <c r="I69" s="50"/>
      <c r="J69" s="51"/>
      <c r="K69" s="281" t="str">
        <f t="shared" si="3"/>
        <v/>
      </c>
      <c r="L69" s="283"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52"/>
      <c r="N69" s="66"/>
    </row>
    <row r="70" spans="1:14" ht="22" customHeight="1">
      <c r="A70" s="280" t="s">
        <v>141</v>
      </c>
      <c r="B70" s="91"/>
      <c r="C70" s="39"/>
      <c r="D70" s="43"/>
      <c r="E70" s="41"/>
      <c r="F70" s="42"/>
      <c r="G70" s="281" t="str">
        <f>IF(OR(E70="",F70=""),"",PID_KVLohnLookup($A$1,E70,F70,LOHNTABELLE!$H$4))</f>
        <v/>
      </c>
      <c r="H70" s="282" t="str">
        <f>IF(AND(ISNUMBER(D70),ISNUMBER(F70)),ROUNDDOWN(MIN(IF(OR(ISBLANK(I70),I70=""),EOMONTH(DATE(EINSTELLUNG!$C$35,$A$1,1),0),I70)-MAX(D70,DATE(EINSTELLUNG!$C$35,$A$1,1))+1)/DAY(EOMONTH(DATE(EINSTELLUNG!$C$35,$A$1,1),0))*F70,2),"")</f>
        <v/>
      </c>
      <c r="I70" s="43"/>
      <c r="J70" s="44"/>
      <c r="K70" s="281" t="str">
        <f t="shared" si="3"/>
        <v/>
      </c>
      <c r="L70" s="283"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45"/>
      <c r="N70" s="65"/>
    </row>
    <row r="71" spans="1:14" ht="22" customHeight="1">
      <c r="A71" s="280" t="s">
        <v>142</v>
      </c>
      <c r="B71" s="92"/>
      <c r="C71" s="46"/>
      <c r="D71" s="50"/>
      <c r="E71" s="48"/>
      <c r="F71" s="49"/>
      <c r="G71" s="281" t="str">
        <f>IF(OR(E71="",F71=""),"",PID_KVLohnLookup($A$1,E71,F71,LOHNTABELLE!$H$4))</f>
        <v/>
      </c>
      <c r="H71" s="282" t="str">
        <f>IF(AND(ISNUMBER(D71),ISNUMBER(F71)),ROUNDDOWN(MIN(IF(OR(ISBLANK(I71),I71=""),EOMONTH(DATE(EINSTELLUNG!$C$35,$A$1,1),0),I71)-MAX(D71,DATE(EINSTELLUNG!$C$35,$A$1,1))+1)/DAY(EOMONTH(DATE(EINSTELLUNG!$C$35,$A$1,1),0))*F71,2),"")</f>
        <v/>
      </c>
      <c r="I71" s="50"/>
      <c r="J71" s="51"/>
      <c r="K71" s="281" t="str">
        <f t="shared" si="3"/>
        <v/>
      </c>
      <c r="L71" s="283"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52"/>
      <c r="N71" s="66"/>
    </row>
    <row r="72" spans="1:14" ht="22" customHeight="1">
      <c r="A72" s="280" t="s">
        <v>143</v>
      </c>
      <c r="B72" s="91"/>
      <c r="C72" s="39"/>
      <c r="D72" s="43"/>
      <c r="E72" s="41"/>
      <c r="F72" s="42"/>
      <c r="G72" s="281" t="str">
        <f>IF(OR(E72="",F72=""),"",PID_KVLohnLookup($A$1,E72,F72,LOHNTABELLE!$H$4))</f>
        <v/>
      </c>
      <c r="H72" s="282" t="str">
        <f>IF(AND(ISNUMBER(D72),ISNUMBER(F72)),ROUNDDOWN(MIN(IF(OR(ISBLANK(I72),I72=""),EOMONTH(DATE(EINSTELLUNG!$C$35,$A$1,1),0),I72)-MAX(D72,DATE(EINSTELLUNG!$C$35,$A$1,1))+1)/DAY(EOMONTH(DATE(EINSTELLUNG!$C$35,$A$1,1),0))*F72,2),"")</f>
        <v/>
      </c>
      <c r="I72" s="43"/>
      <c r="J72" s="44"/>
      <c r="K72" s="281" t="str">
        <f t="shared" si="3"/>
        <v/>
      </c>
      <c r="L72" s="283"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45"/>
      <c r="N72" s="65"/>
    </row>
    <row r="73" spans="1:14" ht="22" customHeight="1">
      <c r="A73" s="280" t="s">
        <v>144</v>
      </c>
      <c r="B73" s="92"/>
      <c r="C73" s="46"/>
      <c r="D73" s="50"/>
      <c r="E73" s="48"/>
      <c r="F73" s="49"/>
      <c r="G73" s="281" t="str">
        <f>IF(OR(E73="",F73=""),"",PID_KVLohnLookup($A$1,E73,F73,LOHNTABELLE!$H$4))</f>
        <v/>
      </c>
      <c r="H73" s="282" t="str">
        <f>IF(AND(ISNUMBER(D73),ISNUMBER(F73)),ROUNDDOWN(MIN(IF(OR(ISBLANK(I73),I73=""),EOMONTH(DATE(EINSTELLUNG!$C$35,$A$1,1),0),I73)-MAX(D73,DATE(EINSTELLUNG!$C$35,$A$1,1))+1)/DAY(EOMONTH(DATE(EINSTELLUNG!$C$35,$A$1,1),0))*F73,2),"")</f>
        <v/>
      </c>
      <c r="I73" s="50"/>
      <c r="J73" s="51"/>
      <c r="K73" s="281" t="str">
        <f t="shared" si="3"/>
        <v/>
      </c>
      <c r="L73" s="283"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52"/>
      <c r="N73" s="66"/>
    </row>
    <row r="74" spans="1:14" ht="22" customHeight="1">
      <c r="A74" s="280" t="s">
        <v>145</v>
      </c>
      <c r="B74" s="91"/>
      <c r="C74" s="39"/>
      <c r="D74" s="43"/>
      <c r="E74" s="41"/>
      <c r="F74" s="42"/>
      <c r="G74" s="281" t="str">
        <f>IF(OR(E74="",F74=""),"",PID_KVLohnLookup($A$1,E74,F74,LOHNTABELLE!$H$4))</f>
        <v/>
      </c>
      <c r="H74" s="282" t="str">
        <f>IF(AND(ISNUMBER(D74),ISNUMBER(F74)),ROUNDDOWN(MIN(IF(OR(ISBLANK(I74),I74=""),EOMONTH(DATE(EINSTELLUNG!$C$35,$A$1,1),0),I74)-MAX(D74,DATE(EINSTELLUNG!$C$35,$A$1,1))+1)/DAY(EOMONTH(DATE(EINSTELLUNG!$C$35,$A$1,1),0))*F74,2),"")</f>
        <v/>
      </c>
      <c r="I74" s="43"/>
      <c r="J74" s="44"/>
      <c r="K74" s="281" t="str">
        <f t="shared" si="3"/>
        <v/>
      </c>
      <c r="L74" s="283"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45"/>
      <c r="N74" s="65"/>
    </row>
    <row r="75" spans="1:14" ht="22" customHeight="1">
      <c r="A75" s="280" t="s">
        <v>146</v>
      </c>
      <c r="B75" s="92"/>
      <c r="C75" s="46"/>
      <c r="D75" s="50"/>
      <c r="E75" s="48"/>
      <c r="F75" s="49"/>
      <c r="G75" s="281" t="str">
        <f>IF(OR(E75="",F75=""),"",PID_KVLohnLookup($A$1,E75,F75,LOHNTABELLE!$H$4))</f>
        <v/>
      </c>
      <c r="H75" s="282" t="str">
        <f>IF(AND(ISNUMBER(D75),ISNUMBER(F75)),ROUNDDOWN(MIN(IF(OR(ISBLANK(I75),I75=""),EOMONTH(DATE(EINSTELLUNG!$C$35,$A$1,1),0),I75)-MAX(D75,DATE(EINSTELLUNG!$C$35,$A$1,1))+1)/DAY(EOMONTH(DATE(EINSTELLUNG!$C$35,$A$1,1),0))*F75,2),"")</f>
        <v/>
      </c>
      <c r="I75" s="50"/>
      <c r="J75" s="51"/>
      <c r="K75" s="281" t="str">
        <f t="shared" si="3"/>
        <v/>
      </c>
      <c r="L75" s="283"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52"/>
      <c r="N75" s="66"/>
    </row>
    <row r="76" spans="1:14" ht="22" customHeight="1">
      <c r="A76" s="280" t="s">
        <v>147</v>
      </c>
      <c r="B76" s="91"/>
      <c r="C76" s="39"/>
      <c r="D76" s="43"/>
      <c r="E76" s="41"/>
      <c r="F76" s="42"/>
      <c r="G76" s="281" t="str">
        <f>IF(OR(E76="",F76=""),"",PID_KVLohnLookup($A$1,E76,F76,LOHNTABELLE!$H$4))</f>
        <v/>
      </c>
      <c r="H76" s="282" t="str">
        <f>IF(AND(ISNUMBER(D76),ISNUMBER(F76)),ROUNDDOWN(MIN(IF(OR(ISBLANK(I76),I76=""),EOMONTH(DATE(EINSTELLUNG!$C$35,$A$1,1),0),I76)-MAX(D76,DATE(EINSTELLUNG!$C$35,$A$1,1))+1)/DAY(EOMONTH(DATE(EINSTELLUNG!$C$35,$A$1,1),0))*F76,2),"")</f>
        <v/>
      </c>
      <c r="I76" s="43"/>
      <c r="J76" s="44"/>
      <c r="K76" s="281" t="str">
        <f t="shared" si="3"/>
        <v/>
      </c>
      <c r="L76" s="283"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45"/>
      <c r="N76" s="65"/>
    </row>
    <row r="77" spans="1:14" ht="22" customHeight="1">
      <c r="A77" s="280" t="s">
        <v>148</v>
      </c>
      <c r="B77" s="92"/>
      <c r="C77" s="46"/>
      <c r="D77" s="50"/>
      <c r="E77" s="48"/>
      <c r="F77" s="49"/>
      <c r="G77" s="281" t="str">
        <f>IF(OR(E77="",F77=""),"",PID_KVLohnLookup($A$1,E77,F77,LOHNTABELLE!$H$4))</f>
        <v/>
      </c>
      <c r="H77" s="282" t="str">
        <f>IF(AND(ISNUMBER(D77),ISNUMBER(F77)),ROUNDDOWN(MIN(IF(OR(ISBLANK(I77),I77=""),EOMONTH(DATE(EINSTELLUNG!$C$35,$A$1,1),0),I77)-MAX(D77,DATE(EINSTELLUNG!$C$35,$A$1,1))+1)/DAY(EOMONTH(DATE(EINSTELLUNG!$C$35,$A$1,1),0))*F77,2),"")</f>
        <v/>
      </c>
      <c r="I77" s="50"/>
      <c r="J77" s="51"/>
      <c r="K77" s="281" t="str">
        <f t="shared" si="3"/>
        <v/>
      </c>
      <c r="L77" s="283"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52"/>
      <c r="N77" s="66"/>
    </row>
    <row r="78" spans="1:14" ht="22" customHeight="1">
      <c r="A78" s="280" t="s">
        <v>149</v>
      </c>
      <c r="B78" s="91"/>
      <c r="C78" s="39"/>
      <c r="D78" s="43"/>
      <c r="E78" s="41"/>
      <c r="F78" s="42"/>
      <c r="G78" s="281" t="str">
        <f>IF(OR(E78="",F78=""),"",PID_KVLohnLookup($A$1,E78,F78,LOHNTABELLE!$H$4))</f>
        <v/>
      </c>
      <c r="H78" s="282" t="str">
        <f>IF(AND(ISNUMBER(D78),ISNUMBER(F78)),ROUNDDOWN(MIN(IF(OR(ISBLANK(I78),I78=""),EOMONTH(DATE(EINSTELLUNG!$C$35,$A$1,1),0),I78)-MAX(D78,DATE(EINSTELLUNG!$C$35,$A$1,1))+1)/DAY(EOMONTH(DATE(EINSTELLUNG!$C$35,$A$1,1),0))*F78,2),"")</f>
        <v/>
      </c>
      <c r="I78" s="43"/>
      <c r="J78" s="44"/>
      <c r="K78" s="281" t="str">
        <f t="shared" si="3"/>
        <v/>
      </c>
      <c r="L78" s="283"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45"/>
      <c r="N78" s="65"/>
    </row>
    <row r="79" spans="1:14" ht="22" customHeight="1">
      <c r="A79" s="280" t="s">
        <v>150</v>
      </c>
      <c r="B79" s="92"/>
      <c r="C79" s="46"/>
      <c r="D79" s="50"/>
      <c r="E79" s="48"/>
      <c r="F79" s="49"/>
      <c r="G79" s="281" t="str">
        <f>IF(OR(E79="",F79=""),"",PID_KVLohnLookup($A$1,E79,F79,LOHNTABELLE!$H$4))</f>
        <v/>
      </c>
      <c r="H79" s="282" t="str">
        <f>IF(AND(ISNUMBER(D79),ISNUMBER(F79)),ROUNDDOWN(MIN(IF(OR(ISBLANK(I79),I79=""),EOMONTH(DATE(EINSTELLUNG!$C$35,$A$1,1),0),I79)-MAX(D79,DATE(EINSTELLUNG!$C$35,$A$1,1))+1)/DAY(EOMONTH(DATE(EINSTELLUNG!$C$35,$A$1,1),0))*F79,2),"")</f>
        <v/>
      </c>
      <c r="I79" s="50"/>
      <c r="J79" s="51"/>
      <c r="K79" s="281" t="str">
        <f t="shared" si="3"/>
        <v/>
      </c>
      <c r="L79" s="283"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52"/>
      <c r="N79" s="66"/>
    </row>
    <row r="80" spans="1:14" ht="22" customHeight="1">
      <c r="A80" s="280" t="s">
        <v>151</v>
      </c>
      <c r="B80" s="91"/>
      <c r="C80" s="39"/>
      <c r="D80" s="43"/>
      <c r="E80" s="41"/>
      <c r="F80" s="42"/>
      <c r="G80" s="281" t="str">
        <f>IF(OR(E80="",F80=""),"",PID_KVLohnLookup($A$1,E80,F80,LOHNTABELLE!$H$4))</f>
        <v/>
      </c>
      <c r="H80" s="282" t="str">
        <f>IF(AND(ISNUMBER(D80),ISNUMBER(F80)),ROUNDDOWN(MIN(IF(OR(ISBLANK(I80),I80=""),EOMONTH(DATE(EINSTELLUNG!$C$35,$A$1,1),0),I80)-MAX(D80,DATE(EINSTELLUNG!$C$35,$A$1,1))+1)/DAY(EOMONTH(DATE(EINSTELLUNG!$C$35,$A$1,1),0))*F80,2),"")</f>
        <v/>
      </c>
      <c r="I80" s="43"/>
      <c r="J80" s="44"/>
      <c r="K80" s="281" t="str">
        <f t="shared" si="3"/>
        <v/>
      </c>
      <c r="L80" s="283"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45"/>
      <c r="N80" s="65"/>
    </row>
    <row r="81" spans="1:14" ht="22" customHeight="1">
      <c r="A81" s="280" t="s">
        <v>152</v>
      </c>
      <c r="B81" s="92"/>
      <c r="C81" s="46"/>
      <c r="D81" s="50"/>
      <c r="E81" s="48"/>
      <c r="F81" s="49"/>
      <c r="G81" s="281" t="str">
        <f>IF(OR(E81="",F81=""),"",PID_KVLohnLookup($A$1,E81,F81,LOHNTABELLE!$H$4))</f>
        <v/>
      </c>
      <c r="H81" s="282" t="str">
        <f>IF(AND(ISNUMBER(D81),ISNUMBER(F81)),ROUNDDOWN(MIN(IF(OR(ISBLANK(I81),I81=""),EOMONTH(DATE(EINSTELLUNG!$C$35,$A$1,1),0),I81)-MAX(D81,DATE(EINSTELLUNG!$C$35,$A$1,1))+1)/DAY(EOMONTH(DATE(EINSTELLUNG!$C$35,$A$1,1),0))*F81,2),"")</f>
        <v/>
      </c>
      <c r="I81" s="50"/>
      <c r="J81" s="51"/>
      <c r="K81" s="281" t="str">
        <f t="shared" si="3"/>
        <v/>
      </c>
      <c r="L81" s="283"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52"/>
      <c r="N81" s="66"/>
    </row>
    <row r="82" spans="1:14" ht="22" customHeight="1" thickBot="1">
      <c r="A82" s="343" t="s">
        <v>153</v>
      </c>
      <c r="B82" s="93"/>
      <c r="C82" s="54"/>
      <c r="D82" s="55"/>
      <c r="E82" s="56"/>
      <c r="F82" s="57"/>
      <c r="G82" s="344" t="str">
        <f>IF(OR(E82="",F82=""),"",PID_KVLohnLookup($A$1,E82,F82,LOHNTABELLE!$H$4))</f>
        <v/>
      </c>
      <c r="H82" s="345" t="str">
        <f>IF(AND(ISNUMBER(D82),ISNUMBER(F82)),ROUNDDOWN(MIN(IF(OR(ISBLANK(I82),I82=""),EOMONTH(DATE(EINSTELLUNG!$C$35,$A$1,1),0),I82)-MAX(D82,DATE(EINSTELLUNG!$C$35,$A$1,1))+1)/DAY(EOMONTH(DATE(EINSTELLUNG!$C$35,$A$1,1),0))*F82,2),"")</f>
        <v/>
      </c>
      <c r="I82" s="55"/>
      <c r="J82" s="58"/>
      <c r="K82" s="344" t="str">
        <f t="shared" si="3"/>
        <v/>
      </c>
      <c r="L82" s="346"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59"/>
      <c r="N82" s="69"/>
    </row>
    <row r="83" spans="1:14" ht="16" customHeight="1">
      <c r="A83" s="374"/>
      <c r="B83" s="374"/>
    </row>
    <row r="100" spans="26:26" ht="16" customHeight="1">
      <c r="Z100" s="259"/>
    </row>
  </sheetData>
  <sheetProtection algorithmName="SHA-512" hashValue="0FAqXDEGuOkGff/vYov4bFY8xsaYgmOae99JsQtYnjwqlSvlFDfI8c73e6M1xOsJ2CCJSwk4cn7AkEWT7JWHuQ==" saltValue="nVRpd0YSOGMsnYpTQnsVIw==" spinCount="100000" sheet="1" objects="1" scenarios="1" autoFilter="0"/>
  <sortState xmlns:xlrd2="http://schemas.microsoft.com/office/spreadsheetml/2017/richdata2" ref="B3:N82">
    <sortCondition ref="B3:B82"/>
    <sortCondition ref="C3:C82"/>
  </sortState>
  <mergeCells count="101">
    <mergeCell ref="N1:N2"/>
    <mergeCell ref="A1:A2"/>
    <mergeCell ref="O15:R15"/>
    <mergeCell ref="E1:E2"/>
    <mergeCell ref="F1:F2"/>
    <mergeCell ref="G1:G2"/>
    <mergeCell ref="H1:H2"/>
    <mergeCell ref="M1:M2"/>
    <mergeCell ref="S2:V2"/>
    <mergeCell ref="P3:P4"/>
    <mergeCell ref="O9:P9"/>
    <mergeCell ref="B1:B2"/>
    <mergeCell ref="Q9:R9"/>
    <mergeCell ref="O10:P10"/>
    <mergeCell ref="Q10:R10"/>
    <mergeCell ref="C1:C2"/>
    <mergeCell ref="D1:D2"/>
    <mergeCell ref="Q3:Q4"/>
    <mergeCell ref="O6:R6"/>
    <mergeCell ref="O8:P8"/>
    <mergeCell ref="Q8:R8"/>
    <mergeCell ref="I1:I2"/>
    <mergeCell ref="J1:J2"/>
    <mergeCell ref="K1:K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U36:V36"/>
    <mergeCell ref="O29:P29"/>
    <mergeCell ref="Q29:R29"/>
    <mergeCell ref="O31:P31"/>
    <mergeCell ref="Q31:R31"/>
    <mergeCell ref="O33:P34"/>
    <mergeCell ref="Q33:R34"/>
    <mergeCell ref="S33:T34"/>
    <mergeCell ref="U33:V34"/>
    <mergeCell ref="Q35:R35"/>
    <mergeCell ref="S35:T35"/>
    <mergeCell ref="U35:V35"/>
    <mergeCell ref="O38:P38"/>
    <mergeCell ref="Q38:R38"/>
    <mergeCell ref="S38:T38"/>
    <mergeCell ref="O37:P37"/>
    <mergeCell ref="O35:P35"/>
    <mergeCell ref="O36:P36"/>
    <mergeCell ref="Q36:R36"/>
    <mergeCell ref="S36:T36"/>
    <mergeCell ref="O13:P13"/>
    <mergeCell ref="Q13:R13"/>
    <mergeCell ref="O14:P14"/>
    <mergeCell ref="Q14:R14"/>
    <mergeCell ref="O17:P17"/>
    <mergeCell ref="O28:P28"/>
    <mergeCell ref="O25:P25"/>
    <mergeCell ref="Q25:R25"/>
    <mergeCell ref="O26:P26"/>
    <mergeCell ref="Q26:R26"/>
    <mergeCell ref="Q27:R27"/>
    <mergeCell ref="O22:P22"/>
    <mergeCell ref="Q22:R22"/>
    <mergeCell ref="O23:P23"/>
    <mergeCell ref="Q23:R23"/>
    <mergeCell ref="O24:P24"/>
    <mergeCell ref="Q24:R24"/>
    <mergeCell ref="L1:L2"/>
    <mergeCell ref="R3:R4"/>
    <mergeCell ref="O3:O4"/>
    <mergeCell ref="O44:V44"/>
    <mergeCell ref="O45:U45"/>
    <mergeCell ref="O42:P42"/>
    <mergeCell ref="O39:P39"/>
    <mergeCell ref="O40:P40"/>
    <mergeCell ref="O41:P41"/>
    <mergeCell ref="Q20:R20"/>
    <mergeCell ref="O16:R16"/>
    <mergeCell ref="Q17:R17"/>
    <mergeCell ref="O18:P18"/>
    <mergeCell ref="Q18:R18"/>
    <mergeCell ref="Q19:R19"/>
    <mergeCell ref="O20:P20"/>
    <mergeCell ref="O19:P19"/>
    <mergeCell ref="Q28:R28"/>
    <mergeCell ref="O21:P21"/>
    <mergeCell ref="Q21:R21"/>
    <mergeCell ref="O11:P11"/>
    <mergeCell ref="Q11:R11"/>
    <mergeCell ref="O12:P12"/>
    <mergeCell ref="Q12:R12"/>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717CF47F-6F63-174B-89D5-FBFB8892FCCE}">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C8578976-A194-294C-9DBB-491A4EFA82C0}">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E268F3C-2679-A148-9A73-D6C635BAF714}">
          <x14:formula1>
            <xm:f>KV_DROPDOWN_HELPER!$UP$1:$UP$13</xm:f>
          </x14:formula1>
          <xm:sqref>F4 F7</xm:sqref>
        </x14:dataValidation>
        <x14:dataValidation type="list" allowBlank="1" showInputMessage="1" showErrorMessage="1" xr:uid="{6C2114E8-D67A-B34C-8950-9BF09EAF5002}">
          <x14:formula1>
            <xm:f>KV_DROPDOWN_HELPER!$UQ$1:$UQ$13</xm:f>
          </x14:formula1>
          <xm:sqref>F6 F8 F9 F10 F13 F55</xm:sqref>
        </x14:dataValidation>
        <x14:dataValidation type="list" allowBlank="1" showInputMessage="1" showErrorMessage="1" xr:uid="{BDB044CB-8A06-AC4A-B816-8E156E0CB47C}">
          <x14:formula1>
            <xm:f>KV_DROPDOWN_HELPER!$UR$1:$UR$13</xm:f>
          </x14:formula1>
          <xm:sqref>F15</xm:sqref>
        </x14:dataValidation>
        <x14:dataValidation type="list" allowBlank="1" showInputMessage="1" showErrorMessage="1" xr:uid="{D40A1B68-1553-114A-98F1-176F6BE8BC14}">
          <x14:formula1>
            <xm:f>KV_DROPDOWN_HELPER!$UT$1:$UT$13</xm:f>
          </x14:formula1>
          <xm:sqref>F19 F22 F24</xm:sqref>
        </x14:dataValidation>
        <x14:dataValidation type="list" allowBlank="1" showInputMessage="1" showErrorMessage="1" xr:uid="{54453507-4C72-AE40-809E-BAB1DE4526AC}">
          <x14:formula1>
            <xm:f>KV_DROPDOWN_HELPER!$UU$1:$UU$13</xm:f>
          </x14:formula1>
          <xm:sqref>F60 F61 F62 F63 F64 F65 F66 F67 F68 F69 F70 F71 F72 F73 F74 F75 F76 F77 F78 F79 F80 F81 F82</xm:sqref>
        </x14:dataValidation>
        <x14:dataValidation type="list" allowBlank="1" showInputMessage="1" showErrorMessage="1" xr:uid="{737416DE-2E39-4096-A760-1E07B7EF4BBA}">
          <x14:formula1>
            <xm:f>KV_DROPDOWN_HELPER!$US$1:$US$13</xm:f>
          </x14:formula1>
          <xm:sqref>F18</xm:sqref>
        </x14:dataValidation>
        <x14:dataValidation type="list" allowBlank="1" showInputMessage="1" showErrorMessage="1" xr:uid="{A08EBA1C-4015-4580-8FF5-F19DF069DB18}">
          <x14:formula1>
            <xm:f>KV_DROPDOWN_HELPER!$UO$1:$UO$16</xm:f>
          </x14:formula1>
          <xm:sqref>F3 F5 F11 F12 F14 F16 F17 F20 F21 F23 F25 F26 F27 F28 F29 F30 F31 F32 F33 F34 F35 F36 F37 F38 F39 F40 F41 F42 F43 F44 F45 F46 F47 F48 F49 F50 F51 F52 F53 F54 F56 F57 F58 F59</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50326F-DE46-4259-A651-5F915B6F5B71}">
  <sheetPr codeName="Tabelle11"/>
  <dimension ref="A1:AC100"/>
  <sheetViews>
    <sheetView showGridLines="0" showRowColHeaders="0" zoomScaleNormal="100" workbookViewId="0">
      <pane ySplit="2" topLeftCell="A3" activePane="bottomLeft" state="frozen"/>
      <selection activeCell="T24" sqref="T24"/>
      <selection pane="bottomLeft" activeCell="W3" sqref="W3:Y50"/>
    </sheetView>
  </sheetViews>
  <sheetFormatPr baseColWidth="10" defaultColWidth="9.1796875" defaultRowHeight="16" customHeight="1"/>
  <cols>
    <col min="1" max="1" width="4.453125" style="347" customWidth="1"/>
    <col min="2" max="2" width="9.1796875" style="347" customWidth="1"/>
    <col min="3" max="3" width="35.6328125" style="179" customWidth="1"/>
    <col min="4" max="4" width="13.6328125" style="179" customWidth="1"/>
    <col min="5" max="5" width="9.6328125" style="179" customWidth="1"/>
    <col min="6" max="6" width="10.6328125" style="179" customWidth="1"/>
    <col min="7" max="7" width="13.6328125" style="179" customWidth="1"/>
    <col min="8" max="8" width="11.6328125" style="179" customWidth="1"/>
    <col min="9" max="10" width="13.6328125" style="179" customWidth="1"/>
    <col min="11" max="11" width="14.6328125" style="179" customWidth="1"/>
    <col min="12" max="12" width="14.6328125" style="306" customWidth="1"/>
    <col min="13" max="13" width="17.81640625" style="179" customWidth="1"/>
    <col min="14" max="14" width="34.6328125" style="179" customWidth="1"/>
    <col min="15" max="15" width="12.6328125" style="179" customWidth="1"/>
    <col min="16" max="16" width="16.6328125" style="179" customWidth="1"/>
    <col min="17" max="17" width="14.6328125" style="179" customWidth="1"/>
    <col min="18" max="18" width="13.6328125" style="179" customWidth="1"/>
    <col min="19" max="19" width="9.6328125" style="179" customWidth="1"/>
    <col min="20" max="20" width="10.6328125" style="179" customWidth="1"/>
    <col min="21" max="21" width="7.6328125" style="179" customWidth="1"/>
    <col min="22" max="27" width="9.1796875" style="179"/>
    <col min="28" max="28" width="10.6328125" style="179" bestFit="1" customWidth="1"/>
    <col min="29" max="16384" width="9.1796875" style="179"/>
  </cols>
  <sheetData>
    <row r="1" spans="1:28" ht="18" customHeight="1">
      <c r="A1" s="261">
        <v>9</v>
      </c>
      <c r="B1" s="262" t="s">
        <v>180</v>
      </c>
      <c r="C1" s="263" t="s">
        <v>39</v>
      </c>
      <c r="D1" s="263" t="s">
        <v>181</v>
      </c>
      <c r="E1" s="263" t="s">
        <v>0</v>
      </c>
      <c r="F1" s="263" t="s">
        <v>40</v>
      </c>
      <c r="G1" s="263" t="s">
        <v>41</v>
      </c>
      <c r="H1" s="263" t="s">
        <v>42</v>
      </c>
      <c r="I1" s="263" t="s">
        <v>182</v>
      </c>
      <c r="J1" s="263" t="s">
        <v>43</v>
      </c>
      <c r="K1" s="263" t="s">
        <v>44</v>
      </c>
      <c r="L1" s="263" t="s">
        <v>45</v>
      </c>
      <c r="M1" s="263" t="s">
        <v>46</v>
      </c>
      <c r="N1" s="264" t="s">
        <v>183</v>
      </c>
      <c r="AB1" s="265">
        <f>DATE(EINSTELLUNG!$C$35,$A$1,1)</f>
        <v>46266</v>
      </c>
    </row>
    <row r="2" spans="1:28" ht="18" customHeight="1" thickBot="1">
      <c r="A2" s="266"/>
      <c r="B2" s="267"/>
      <c r="C2" s="268"/>
      <c r="D2" s="268"/>
      <c r="E2" s="268"/>
      <c r="F2" s="268"/>
      <c r="G2" s="268"/>
      <c r="H2" s="268"/>
      <c r="I2" s="268"/>
      <c r="J2" s="268"/>
      <c r="K2" s="268"/>
      <c r="L2" s="268"/>
      <c r="M2" s="268"/>
      <c r="N2" s="269"/>
      <c r="O2" s="270"/>
      <c r="P2" s="270"/>
      <c r="Q2" s="270"/>
      <c r="S2" s="271" t="s">
        <v>378</v>
      </c>
      <c r="T2" s="271"/>
      <c r="U2" s="271"/>
      <c r="V2" s="271"/>
      <c r="AB2" s="265">
        <f>EOMONTH(DATE(EINSTELLUNG!$C$35,$A$1,1),0)</f>
        <v>46295</v>
      </c>
    </row>
    <row r="3" spans="1:28" ht="22" customHeight="1">
      <c r="A3" s="272" t="s">
        <v>383</v>
      </c>
      <c r="B3" s="90">
        <v>401010</v>
      </c>
      <c r="C3" s="32" t="s">
        <v>223</v>
      </c>
      <c r="D3" s="33">
        <v>39388</v>
      </c>
      <c r="E3" s="34" t="s">
        <v>2</v>
      </c>
      <c r="F3" s="60">
        <v>129.75</v>
      </c>
      <c r="G3" s="273">
        <f>IF(OR(E3="",F3=""),"",PID_KVLohnLookup($A$1,E3,F3,LOHNTABELLE!$H$4))</f>
        <v>1515.75</v>
      </c>
      <c r="H3" s="274">
        <f>IF(AND(ISNUMBER(D3),ISNUMBER(F3)),ROUNDDOWN(MIN(IF(OR(ISBLANK(I3),I3=""),EOMONTH(DATE(EINSTELLUNG!$C$35,$A$1,1),0),I3)-MAX(D3,DATE(EINSTELLUNG!$C$35,$A$1,1))+1)/DAY(EOMONTH(DATE(EINSTELLUNG!$C$35,$A$1,1),0))*F3,2),"")</f>
        <v>129.75</v>
      </c>
      <c r="I3" s="36"/>
      <c r="J3" s="37"/>
      <c r="K3" s="273">
        <f t="shared" ref="K3:K34" si="0">IF(OR(B3="",C3=""),"",IFERROR(IF(OR(MONTH(D3)=1,MONTH(D3)=3,MONTH(D3)=5,MONTH(D3)=7,MONTH(D3)=8,MONTH(D3)=10,MONTH(D3)=12),(G3/31)*J3,IF(OR(MONTH(D3)=4,MONTH(D3)=6,MONTH(D3)=9,MONTH(D3)=11),(G3/30)*J3,(G3/DAY(EOMONTH(D3,0)))*J3)),0))</f>
        <v>0</v>
      </c>
      <c r="L3" s="275">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1515.75</v>
      </c>
      <c r="M3" s="38"/>
      <c r="N3" s="64"/>
      <c r="O3" s="276" t="s">
        <v>47</v>
      </c>
      <c r="P3" s="276" t="s">
        <v>48</v>
      </c>
      <c r="Q3" s="276" t="s">
        <v>49</v>
      </c>
      <c r="R3" s="277" t="s">
        <v>50</v>
      </c>
      <c r="S3" s="278"/>
      <c r="T3" s="278"/>
      <c r="U3" s="278"/>
      <c r="V3" s="278"/>
      <c r="AB3" s="279"/>
    </row>
    <row r="4" spans="1:28" ht="22" customHeight="1">
      <c r="A4" s="280" t="s">
        <v>51</v>
      </c>
      <c r="B4" s="91">
        <v>401049</v>
      </c>
      <c r="C4" s="39" t="s">
        <v>224</v>
      </c>
      <c r="D4" s="40">
        <v>41130</v>
      </c>
      <c r="E4" s="41" t="s">
        <v>4</v>
      </c>
      <c r="F4" s="42">
        <v>129.75</v>
      </c>
      <c r="G4" s="281">
        <f>IF(OR(E4="",F4=""),"",PID_KVLohnLookup($A$1,E4,F4,LOHNTABELLE!$H$4))</f>
        <v>1592.25</v>
      </c>
      <c r="H4" s="282">
        <f>IF(AND(ISNUMBER(D4),ISNUMBER(F4)),ROUNDDOWN(MIN(IF(OR(ISBLANK(I4),I4=""),EOMONTH(DATE(EINSTELLUNG!$C$35,$A$1,1),0),I4)-MAX(D4,DATE(EINSTELLUNG!$C$35,$A$1,1))+1)/DAY(EOMONTH(DATE(EINSTELLUNG!$C$35,$A$1,1),0))*F4,2),"")</f>
        <v>129.75</v>
      </c>
      <c r="I4" s="43"/>
      <c r="J4" s="44"/>
      <c r="K4" s="281">
        <f t="shared" si="0"/>
        <v>0</v>
      </c>
      <c r="L4" s="283">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1592.25</v>
      </c>
      <c r="M4" s="45"/>
      <c r="N4" s="65"/>
      <c r="O4" s="284"/>
      <c r="P4" s="284"/>
      <c r="Q4" s="284"/>
      <c r="R4" s="285"/>
      <c r="S4" s="278"/>
      <c r="T4" s="278"/>
      <c r="U4" s="278"/>
      <c r="V4" s="278"/>
    </row>
    <row r="5" spans="1:28" ht="22" customHeight="1">
      <c r="A5" s="280" t="s">
        <v>52</v>
      </c>
      <c r="B5" s="92">
        <v>401051</v>
      </c>
      <c r="C5" s="46" t="s">
        <v>226</v>
      </c>
      <c r="D5" s="47">
        <v>41176</v>
      </c>
      <c r="E5" s="48" t="s">
        <v>2</v>
      </c>
      <c r="F5" s="49">
        <v>173</v>
      </c>
      <c r="G5" s="281">
        <f>IF(OR(E5="",F5=""),"",PID_KVLohnLookup($A$1,E5,F5,LOHNTABELLE!$H$4))</f>
        <v>2021</v>
      </c>
      <c r="H5" s="282">
        <f>IF(AND(ISNUMBER(D5),ISNUMBER(F5)),ROUNDDOWN(MIN(IF(OR(ISBLANK(I5),I5=""),EOMONTH(DATE(EINSTELLUNG!$C$35,$A$1,1),0),I5)-MAX(D5,DATE(EINSTELLUNG!$C$35,$A$1,1))+1)/DAY(EOMONTH(DATE(EINSTELLUNG!$C$35,$A$1,1),0))*F5,2),"")</f>
        <v>173</v>
      </c>
      <c r="I5" s="50"/>
      <c r="J5" s="51"/>
      <c r="K5" s="281">
        <f t="shared" si="0"/>
        <v>0</v>
      </c>
      <c r="L5" s="283">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2021</v>
      </c>
      <c r="M5" s="52"/>
      <c r="N5" s="66"/>
      <c r="O5" s="286" cm="1">
        <f t="array" ref="O5">SUMPRODUCT((F3:F82/4.310808)/5*2.08)</f>
        <v>780.6952942464618</v>
      </c>
      <c r="P5" s="287">
        <f>EINSTELLUNG!I14</f>
        <v>600</v>
      </c>
      <c r="Q5" s="287">
        <f>P5-O5</f>
        <v>-180.6952942464618</v>
      </c>
      <c r="R5" s="288">
        <f>IFERROR(Q5*Q42, 0)</f>
        <v>-2128.8076810315456</v>
      </c>
      <c r="S5" s="278"/>
      <c r="T5" s="278"/>
      <c r="U5" s="278"/>
      <c r="V5" s="278"/>
    </row>
    <row r="6" spans="1:28" ht="22" customHeight="1">
      <c r="A6" s="280" t="s">
        <v>53</v>
      </c>
      <c r="B6" s="91">
        <v>401089</v>
      </c>
      <c r="C6" s="39" t="s">
        <v>240</v>
      </c>
      <c r="D6" s="40">
        <v>44868</v>
      </c>
      <c r="E6" s="41" t="s">
        <v>3</v>
      </c>
      <c r="F6" s="42">
        <v>173</v>
      </c>
      <c r="G6" s="281">
        <f>IF(OR(E6="",F6=""),"",PID_KVLohnLookup($A$1,E6,F6,LOHNTABELLE!$H$4))</f>
        <v>2082</v>
      </c>
      <c r="H6" s="282">
        <f>IF(AND(ISNUMBER(D6),ISNUMBER(F6)),ROUNDDOWN(MIN(IF(OR(ISBLANK(I6),I6=""),EOMONTH(DATE(EINSTELLUNG!$C$35,$A$1,1),0),I6)-MAX(D6,DATE(EINSTELLUNG!$C$35,$A$1,1))+1)/DAY(EOMONTH(DATE(EINSTELLUNG!$C$35,$A$1,1),0))*F6,2),"")</f>
        <v>173</v>
      </c>
      <c r="I6" s="43"/>
      <c r="J6" s="44"/>
      <c r="K6" s="281">
        <f t="shared" si="0"/>
        <v>0</v>
      </c>
      <c r="L6" s="283">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2082</v>
      </c>
      <c r="M6" s="45"/>
      <c r="N6" s="65"/>
      <c r="O6" s="289" t="str">
        <f>IF(Q5&lt;0, "Schlecht! Zu wenig Urlaub abgebaut.", IF(Q5&gt;0, "Gut! Mehr Urlaub abgebaut als aufgebaut.", ""))</f>
        <v>Schlecht! Zu wenig Urlaub abgebaut.</v>
      </c>
      <c r="P6" s="290"/>
      <c r="Q6" s="290"/>
      <c r="R6" s="291"/>
      <c r="S6" s="278"/>
      <c r="T6" s="278"/>
      <c r="U6" s="278"/>
      <c r="V6" s="278"/>
    </row>
    <row r="7" spans="1:28" ht="22" customHeight="1" thickBot="1">
      <c r="A7" s="280" t="s">
        <v>54</v>
      </c>
      <c r="B7" s="92">
        <v>401138</v>
      </c>
      <c r="C7" s="46" t="s">
        <v>227</v>
      </c>
      <c r="D7" s="47">
        <v>42006</v>
      </c>
      <c r="E7" s="48" t="s">
        <v>4</v>
      </c>
      <c r="F7" s="49">
        <v>173</v>
      </c>
      <c r="G7" s="281">
        <f>IF(OR(E7="",F7=""),"",PID_KVLohnLookup($A$1,E7,F7,LOHNTABELLE!$H$4))</f>
        <v>2123</v>
      </c>
      <c r="H7" s="282">
        <f>IF(AND(ISNUMBER(D7),ISNUMBER(F7)),ROUNDDOWN(MIN(IF(OR(ISBLANK(I7),I7=""),EOMONTH(DATE(EINSTELLUNG!$C$35,$A$1,1),0),I7)-MAX(D7,DATE(EINSTELLUNG!$C$35,$A$1,1))+1)/DAY(EOMONTH(DATE(EINSTELLUNG!$C$35,$A$1,1),0))*F7,2),"")</f>
        <v>173</v>
      </c>
      <c r="I7" s="50"/>
      <c r="J7" s="51"/>
      <c r="K7" s="281">
        <f t="shared" si="0"/>
        <v>0</v>
      </c>
      <c r="L7" s="283">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2123</v>
      </c>
      <c r="M7" s="52"/>
      <c r="N7" s="66"/>
      <c r="O7" s="278"/>
      <c r="P7" s="278"/>
      <c r="Q7" s="278"/>
      <c r="R7" s="278"/>
      <c r="S7" s="278"/>
      <c r="T7" s="278"/>
      <c r="U7" s="278"/>
      <c r="V7" s="278"/>
    </row>
    <row r="8" spans="1:28" ht="22" customHeight="1">
      <c r="A8" s="280" t="s">
        <v>55</v>
      </c>
      <c r="B8" s="91">
        <v>401197</v>
      </c>
      <c r="C8" s="39" t="s">
        <v>228</v>
      </c>
      <c r="D8" s="40">
        <v>42644</v>
      </c>
      <c r="E8" s="41" t="s">
        <v>3</v>
      </c>
      <c r="F8" s="42">
        <v>173</v>
      </c>
      <c r="G8" s="281">
        <f>IF(OR(E8="",F8=""),"",PID_KVLohnLookup($A$1,E8,F8,LOHNTABELLE!$H$4))</f>
        <v>2082</v>
      </c>
      <c r="H8" s="282">
        <f>IF(AND(ISNUMBER(D8),ISNUMBER(F8)),ROUNDDOWN(MIN(IF(OR(ISBLANK(I8),I8=""),EOMONTH(DATE(EINSTELLUNG!$C$35,$A$1,1),0),I8)-MAX(D8,DATE(EINSTELLUNG!$C$35,$A$1,1))+1)/DAY(EOMONTH(DATE(EINSTELLUNG!$C$35,$A$1,1),0))*F8,2),"")</f>
        <v>173</v>
      </c>
      <c r="I8" s="43"/>
      <c r="J8" s="44"/>
      <c r="K8" s="281">
        <f t="shared" si="0"/>
        <v>0</v>
      </c>
      <c r="L8" s="283">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2082</v>
      </c>
      <c r="M8" s="45"/>
      <c r="N8" s="65"/>
      <c r="O8" s="357" t="s">
        <v>56</v>
      </c>
      <c r="P8" s="293"/>
      <c r="Q8" s="294">
        <f>SUM(H3:H82)</f>
        <v>7974.6299999999992</v>
      </c>
      <c r="R8" s="295"/>
      <c r="S8" s="278"/>
      <c r="T8" s="278"/>
      <c r="U8" s="278"/>
      <c r="V8" s="278"/>
    </row>
    <row r="9" spans="1:28" ht="22" customHeight="1">
      <c r="A9" s="280" t="s">
        <v>57</v>
      </c>
      <c r="B9" s="92">
        <v>401214</v>
      </c>
      <c r="C9" s="46" t="s">
        <v>254</v>
      </c>
      <c r="D9" s="47">
        <v>45636</v>
      </c>
      <c r="E9" s="48" t="s">
        <v>3</v>
      </c>
      <c r="F9" s="49">
        <v>173</v>
      </c>
      <c r="G9" s="281">
        <f>IF(OR(E9="",F9=""),"",PID_KVLohnLookup($A$1,E9,F9,LOHNTABELLE!$H$4))</f>
        <v>2082</v>
      </c>
      <c r="H9" s="282">
        <f>IF(AND(ISNUMBER(D9),ISNUMBER(F9)),ROUNDDOWN(MIN(IF(OR(ISBLANK(I9),I9=""),EOMONTH(DATE(EINSTELLUNG!$C$35,$A$1,1),0),I9)-MAX(D9,DATE(EINSTELLUNG!$C$35,$A$1,1))+1)/DAY(EOMONTH(DATE(EINSTELLUNG!$C$35,$A$1,1),0))*F9,2),"")</f>
        <v>173</v>
      </c>
      <c r="I9" s="50"/>
      <c r="J9" s="51"/>
      <c r="K9" s="281">
        <f t="shared" si="0"/>
        <v>0</v>
      </c>
      <c r="L9" s="283">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52"/>
      <c r="N9" s="66"/>
      <c r="O9" s="358" t="s">
        <v>58</v>
      </c>
      <c r="P9" s="297"/>
      <c r="Q9" s="298">
        <f>EINSTELLUNG!L30</f>
        <v>9</v>
      </c>
      <c r="R9" s="299"/>
      <c r="S9" s="300">
        <f>IFERROR(Q9/Q8, 0)</f>
        <v>1.1285790061733273E-3</v>
      </c>
      <c r="T9" s="278"/>
      <c r="U9" s="278"/>
      <c r="V9" s="278"/>
    </row>
    <row r="10" spans="1:28" ht="22" customHeight="1">
      <c r="A10" s="280" t="s">
        <v>59</v>
      </c>
      <c r="B10" s="91">
        <v>401276</v>
      </c>
      <c r="C10" s="39" t="s">
        <v>229</v>
      </c>
      <c r="D10" s="40">
        <v>43252</v>
      </c>
      <c r="E10" s="41" t="s">
        <v>3</v>
      </c>
      <c r="F10" s="42">
        <v>173</v>
      </c>
      <c r="G10" s="281">
        <f>IF(OR(E10="",F10=""),"",PID_KVLohnLookup($A$1,E10,F10,LOHNTABELLE!$H$4))</f>
        <v>2082</v>
      </c>
      <c r="H10" s="282">
        <f>IF(AND(ISNUMBER(D10),ISNUMBER(F10)),ROUNDDOWN(MIN(IF(OR(ISBLANK(I10),I10=""),EOMONTH(DATE(EINSTELLUNG!$C$35,$A$1,1),0),I10)-MAX(D10,DATE(EINSTELLUNG!$C$35,$A$1,1))+1)/DAY(EOMONTH(DATE(EINSTELLUNG!$C$35,$A$1,1),0))*F10,2),"")</f>
        <v>173</v>
      </c>
      <c r="I10" s="43"/>
      <c r="J10" s="44"/>
      <c r="K10" s="281">
        <f t="shared" si="0"/>
        <v>0</v>
      </c>
      <c r="L10" s="283">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45"/>
      <c r="N10" s="65"/>
      <c r="O10" s="358" t="s">
        <v>60</v>
      </c>
      <c r="P10" s="297"/>
      <c r="Q10" s="298">
        <f>EINSTELLUNG!I30</f>
        <v>0</v>
      </c>
      <c r="R10" s="299"/>
      <c r="S10" s="278"/>
      <c r="T10" s="278"/>
      <c r="U10" s="278"/>
      <c r="V10" s="278"/>
    </row>
    <row r="11" spans="1:28" ht="22" customHeight="1">
      <c r="A11" s="280" t="s">
        <v>61</v>
      </c>
      <c r="B11" s="92">
        <v>401276</v>
      </c>
      <c r="C11" s="46" t="s">
        <v>386</v>
      </c>
      <c r="D11" s="47">
        <v>38899</v>
      </c>
      <c r="E11" s="48" t="s">
        <v>2</v>
      </c>
      <c r="F11" s="95">
        <v>55</v>
      </c>
      <c r="G11" s="281" t="str">
        <f>IF(OR(E11="",F11=""),"",PID_KVLohnLookup($A$1,E11,F11,LOHNTABELLE!$H$4))</f>
        <v>Nicht gefunden</v>
      </c>
      <c r="H11" s="282">
        <f>IF(AND(ISNUMBER(D11),ISNUMBER(F11)),ROUNDDOWN(MIN(IF(OR(ISBLANK(I11),I11=""),EOMONTH(DATE(EINSTELLUNG!$C$35,$A$1,1),0),I11)-MAX(D11,DATE(EINSTELLUNG!$C$35,$A$1,1))+1)/DAY(EOMONTH(DATE(EINSTELLUNG!$C$35,$A$1,1),0))*F11,2),"")</f>
        <v>55</v>
      </c>
      <c r="I11" s="50"/>
      <c r="J11" s="51"/>
      <c r="K11" s="281">
        <f t="shared" si="0"/>
        <v>0</v>
      </c>
      <c r="L11" s="283" t="str">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
      </c>
      <c r="M11" s="52"/>
      <c r="N11" s="66"/>
      <c r="O11" s="358" t="s">
        <v>62</v>
      </c>
      <c r="P11" s="297"/>
      <c r="Q11" s="298">
        <f>P5</f>
        <v>600</v>
      </c>
      <c r="R11" s="299"/>
      <c r="S11" s="278"/>
      <c r="T11" s="278"/>
      <c r="U11" s="278"/>
      <c r="V11" s="278"/>
    </row>
    <row r="12" spans="1:28" ht="22" customHeight="1">
      <c r="A12" s="280" t="s">
        <v>63</v>
      </c>
      <c r="B12" s="91">
        <v>401307</v>
      </c>
      <c r="C12" s="39" t="s">
        <v>230</v>
      </c>
      <c r="D12" s="40">
        <v>43571</v>
      </c>
      <c r="E12" s="41" t="s">
        <v>2</v>
      </c>
      <c r="F12" s="42">
        <v>55</v>
      </c>
      <c r="G12" s="281" t="str">
        <f>IF(OR(E12="",F12=""),"",PID_KVLohnLookup($A$1,E12,F12,LOHNTABELLE!$H$4))</f>
        <v>Nicht gefunden</v>
      </c>
      <c r="H12" s="282">
        <f>IF(AND(ISNUMBER(D12),ISNUMBER(F12)),ROUNDDOWN(MIN(IF(OR(ISBLANK(I12),I12=""),EOMONTH(DATE(EINSTELLUNG!$C$35,$A$1,1),0),I12)-MAX(D12,DATE(EINSTELLUNG!$C$35,$A$1,1))+1)/DAY(EOMONTH(DATE(EINSTELLUNG!$C$35,$A$1,1),0))*F12,2),"")</f>
        <v>55</v>
      </c>
      <c r="I12" s="43"/>
      <c r="J12" s="44"/>
      <c r="K12" s="281">
        <f t="shared" si="0"/>
        <v>0</v>
      </c>
      <c r="L12" s="283" t="str">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
      </c>
      <c r="M12" s="45"/>
      <c r="N12" s="65"/>
      <c r="O12" s="358" t="s">
        <v>64</v>
      </c>
      <c r="P12" s="297"/>
      <c r="Q12" s="172">
        <v>167</v>
      </c>
      <c r="R12" s="173"/>
      <c r="S12" s="278"/>
      <c r="T12" s="278"/>
      <c r="U12" s="278"/>
      <c r="V12" s="278"/>
    </row>
    <row r="13" spans="1:28" ht="22" customHeight="1">
      <c r="A13" s="280" t="s">
        <v>65</v>
      </c>
      <c r="B13" s="92">
        <v>401308</v>
      </c>
      <c r="C13" s="46" t="s">
        <v>231</v>
      </c>
      <c r="D13" s="47">
        <v>43579</v>
      </c>
      <c r="E13" s="48" t="s">
        <v>3</v>
      </c>
      <c r="F13" s="49">
        <v>173</v>
      </c>
      <c r="G13" s="281">
        <f>IF(OR(E13="",F13=""),"",PID_KVLohnLookup($A$1,E13,F13,LOHNTABELLE!$H$4))</f>
        <v>2082</v>
      </c>
      <c r="H13" s="282">
        <f>IF(AND(ISNUMBER(D13),ISNUMBER(F13)),ROUNDDOWN(MIN(IF(OR(ISBLANK(I13),I13=""),EOMONTH(DATE(EINSTELLUNG!$C$35,$A$1,1),0),I13)-MAX(D13,DATE(EINSTELLUNG!$C$35,$A$1,1))+1)/DAY(EOMONTH(DATE(EINSTELLUNG!$C$35,$A$1,1),0))*F13,2),"")</f>
        <v>173</v>
      </c>
      <c r="I13" s="50"/>
      <c r="J13" s="51"/>
      <c r="K13" s="281">
        <f t="shared" si="0"/>
        <v>0</v>
      </c>
      <c r="L13" s="283">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2082</v>
      </c>
      <c r="M13" s="52"/>
      <c r="N13" s="66"/>
      <c r="O13" s="358" t="s">
        <v>66</v>
      </c>
      <c r="P13" s="297"/>
      <c r="Q13" s="298">
        <f>Q8-Q9-Q10-Q11-Q12</f>
        <v>7198.6299999999992</v>
      </c>
      <c r="R13" s="299"/>
      <c r="S13" s="278"/>
      <c r="T13" s="278"/>
      <c r="U13" s="278"/>
      <c r="V13" s="278"/>
    </row>
    <row r="14" spans="1:28" ht="22" customHeight="1">
      <c r="A14" s="280" t="s">
        <v>67</v>
      </c>
      <c r="B14" s="91">
        <v>401394</v>
      </c>
      <c r="C14" s="39" t="s">
        <v>232</v>
      </c>
      <c r="D14" s="40">
        <v>44379</v>
      </c>
      <c r="E14" s="41" t="s">
        <v>2</v>
      </c>
      <c r="F14" s="42">
        <v>173</v>
      </c>
      <c r="G14" s="281">
        <f>IF(OR(E14="",F14=""),"",PID_KVLohnLookup($A$1,E14,F14,LOHNTABELLE!$H$4))</f>
        <v>2021</v>
      </c>
      <c r="H14" s="282">
        <f>IF(AND(ISNUMBER(D14),ISNUMBER(F14)),ROUNDDOWN(MIN(IF(OR(ISBLANK(I14),I14=""),EOMONTH(DATE(EINSTELLUNG!$C$35,$A$1,1),0),I14)-MAX(D14,DATE(EINSTELLUNG!$C$35,$A$1,1))+1)/DAY(EOMONTH(DATE(EINSTELLUNG!$C$35,$A$1,1),0))*F14,2),"")</f>
        <v>173</v>
      </c>
      <c r="I14" s="43"/>
      <c r="J14" s="44"/>
      <c r="K14" s="281">
        <f t="shared" si="0"/>
        <v>0</v>
      </c>
      <c r="L14" s="283">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2021</v>
      </c>
      <c r="M14" s="45"/>
      <c r="N14" s="65"/>
      <c r="O14" s="358" t="s">
        <v>68</v>
      </c>
      <c r="P14" s="297"/>
      <c r="Q14" s="298">
        <f>EINSTELLUNG!L14</f>
        <v>9300</v>
      </c>
      <c r="R14" s="299"/>
      <c r="S14" s="278"/>
      <c r="T14" s="278"/>
      <c r="U14" s="278"/>
      <c r="V14" s="278"/>
    </row>
    <row r="15" spans="1:28" ht="22" customHeight="1">
      <c r="A15" s="280" t="s">
        <v>69</v>
      </c>
      <c r="B15" s="92">
        <v>401479</v>
      </c>
      <c r="C15" s="46" t="s">
        <v>237</v>
      </c>
      <c r="D15" s="47">
        <v>44511</v>
      </c>
      <c r="E15" s="48" t="s">
        <v>6</v>
      </c>
      <c r="F15" s="49">
        <v>173</v>
      </c>
      <c r="G15" s="281">
        <f>IF(OR(E15="",F15=""),"",PID_KVLohnLookup($A$1,E15,F15,LOHNTABELLE!$H$4))</f>
        <v>2160</v>
      </c>
      <c r="H15" s="282">
        <f>IF(AND(ISNUMBER(D15),ISNUMBER(F15)),ROUNDDOWN(MIN(IF(OR(ISBLANK(I15),I15=""),EOMONTH(DATE(EINSTELLUNG!$C$35,$A$1,1),0),I15)-MAX(D15,DATE(EINSTELLUNG!$C$35,$A$1,1))+1)/DAY(EOMONTH(DATE(EINSTELLUNG!$C$35,$A$1,1),0))*F15,2),"")</f>
        <v>173</v>
      </c>
      <c r="I15" s="50"/>
      <c r="J15" s="51"/>
      <c r="K15" s="281">
        <f t="shared" si="0"/>
        <v>0</v>
      </c>
      <c r="L15" s="283">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2160</v>
      </c>
      <c r="M15" s="52"/>
      <c r="N15" s="66"/>
      <c r="O15" s="358" t="s">
        <v>70</v>
      </c>
      <c r="P15" s="297"/>
      <c r="Q15" s="298">
        <f>Q13-Q14</f>
        <v>-2101.3700000000008</v>
      </c>
      <c r="R15" s="299"/>
      <c r="S15" s="301"/>
      <c r="T15" s="301"/>
      <c r="U15" s="301"/>
      <c r="V15" s="278"/>
    </row>
    <row r="16" spans="1:28" ht="18" customHeight="1" thickBot="1">
      <c r="A16" s="280" t="s">
        <v>71</v>
      </c>
      <c r="B16" s="91">
        <v>401558</v>
      </c>
      <c r="C16" s="39" t="s">
        <v>235</v>
      </c>
      <c r="D16" s="40">
        <v>44460</v>
      </c>
      <c r="E16" s="41" t="s">
        <v>2</v>
      </c>
      <c r="F16" s="42">
        <v>173</v>
      </c>
      <c r="G16" s="281">
        <f>IF(OR(E16="",F16=""),"",PID_KVLohnLookup($A$1,E16,F16,LOHNTABELLE!$H$4))</f>
        <v>2021</v>
      </c>
      <c r="H16" s="282">
        <f>IF(AND(ISNUMBER(D16),ISNUMBER(F16)),ROUNDDOWN(MIN(IF(OR(ISBLANK(I16),I16=""),EOMONTH(DATE(EINSTELLUNG!$C$35,$A$1,1),0),I16)-MAX(D16,DATE(EINSTELLUNG!$C$35,$A$1,1))+1)/DAY(EOMONTH(DATE(EINSTELLUNG!$C$35,$A$1,1),0))*F16,2),"")</f>
        <v>57.66</v>
      </c>
      <c r="I16" s="43">
        <v>46275</v>
      </c>
      <c r="J16" s="44">
        <v>4</v>
      </c>
      <c r="K16" s="281">
        <f t="shared" si="0"/>
        <v>269.46666666666664</v>
      </c>
      <c r="L16" s="283">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943.13333333333321</v>
      </c>
      <c r="M16" s="45"/>
      <c r="N16" s="65" t="s">
        <v>186</v>
      </c>
      <c r="O16" s="373" t="str">
        <f>IF(Q15&lt;0, "Schlecht! Zu wenig Stunden für Dienstplan.", IF(Q15&gt;0, "Du hast mehr als genug Stunden für Dienstplan.", ""))</f>
        <v>Schlecht! Zu wenig Stunden für Dienstplan.</v>
      </c>
      <c r="P16" s="303"/>
      <c r="Q16" s="303"/>
      <c r="R16" s="304"/>
      <c r="S16" s="305"/>
      <c r="T16" s="305"/>
      <c r="U16" s="305"/>
      <c r="V16" s="305"/>
      <c r="W16" s="306"/>
    </row>
    <row r="17" spans="1:29" ht="22" customHeight="1">
      <c r="A17" s="280" t="s">
        <v>72</v>
      </c>
      <c r="B17" s="92">
        <v>401564</v>
      </c>
      <c r="C17" s="46" t="s">
        <v>239</v>
      </c>
      <c r="D17" s="47">
        <v>44824</v>
      </c>
      <c r="E17" s="48" t="s">
        <v>2</v>
      </c>
      <c r="F17" s="49">
        <v>151.38</v>
      </c>
      <c r="G17" s="281">
        <f>IF(OR(E17="",F17=""),"",PID_KVLohnLookup($A$1,E17,F17,LOHNTABELLE!$H$4))</f>
        <v>1768.38</v>
      </c>
      <c r="H17" s="282">
        <f>IF(AND(ISNUMBER(D17),ISNUMBER(F17)),ROUNDDOWN(MIN(IF(OR(ISBLANK(I17),I17=""),EOMONTH(DATE(EINSTELLUNG!$C$35,$A$1,1),0),I17)-MAX(D17,DATE(EINSTELLUNG!$C$35,$A$1,1))+1)/DAY(EOMONTH(DATE(EINSTELLUNG!$C$35,$A$1,1),0))*F17,2),"")</f>
        <v>151.38</v>
      </c>
      <c r="I17" s="50"/>
      <c r="J17" s="51"/>
      <c r="K17" s="281">
        <f t="shared" si="0"/>
        <v>0</v>
      </c>
      <c r="L17" s="283">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1768.38</v>
      </c>
      <c r="M17" s="52"/>
      <c r="N17" s="66"/>
      <c r="O17" s="357" t="s">
        <v>73</v>
      </c>
      <c r="P17" s="293"/>
      <c r="Q17" s="307">
        <f>SUM(L3:L82)</f>
        <v>93950.723333333357</v>
      </c>
      <c r="R17" s="308"/>
      <c r="S17" s="278"/>
      <c r="T17" s="278"/>
      <c r="U17" s="278"/>
      <c r="V17" s="278"/>
      <c r="W17" s="306"/>
    </row>
    <row r="18" spans="1:29" ht="22" customHeight="1">
      <c r="A18" s="280" t="s">
        <v>74</v>
      </c>
      <c r="B18" s="91">
        <v>401583</v>
      </c>
      <c r="C18" s="39" t="s">
        <v>241</v>
      </c>
      <c r="D18" s="40">
        <v>44900</v>
      </c>
      <c r="E18" s="41" t="s">
        <v>13</v>
      </c>
      <c r="F18" s="42">
        <v>173</v>
      </c>
      <c r="G18" s="281">
        <f>IF(OR(E18="",F18=""),"",PID_KVLohnLookup($A$1,E18,F18,LOHNTABELLE!$H$4))</f>
        <v>2328</v>
      </c>
      <c r="H18" s="282">
        <f>IF(AND(ISNUMBER(D18),ISNUMBER(F18)),ROUNDDOWN(MIN(IF(OR(ISBLANK(I18),I18=""),EOMONTH(DATE(EINSTELLUNG!$C$35,$A$1,1),0),I18)-MAX(D18,DATE(EINSTELLUNG!$C$35,$A$1,1))+1)/DAY(EOMONTH(DATE(EINSTELLUNG!$C$35,$A$1,1),0))*F18,2),"")</f>
        <v>173</v>
      </c>
      <c r="I18" s="43"/>
      <c r="J18" s="44"/>
      <c r="K18" s="281">
        <f t="shared" si="0"/>
        <v>0</v>
      </c>
      <c r="L18" s="283">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2328</v>
      </c>
      <c r="M18" s="45"/>
      <c r="N18" s="65"/>
      <c r="O18" s="366" t="s">
        <v>371</v>
      </c>
      <c r="P18" s="310"/>
      <c r="Q18" s="311">
        <v>20</v>
      </c>
      <c r="R18" s="312"/>
      <c r="S18" s="278"/>
      <c r="T18" s="278"/>
      <c r="U18" s="278"/>
      <c r="V18" s="278"/>
    </row>
    <row r="19" spans="1:29" ht="22" customHeight="1">
      <c r="A19" s="280" t="s">
        <v>75</v>
      </c>
      <c r="B19" s="92">
        <v>401589</v>
      </c>
      <c r="C19" s="46" t="s">
        <v>242</v>
      </c>
      <c r="D19" s="47">
        <v>44926</v>
      </c>
      <c r="E19" s="48" t="s">
        <v>10</v>
      </c>
      <c r="F19" s="49">
        <v>173</v>
      </c>
      <c r="G19" s="281">
        <f>IF(OR(E19="",F19=""),"",PID_KVLohnLookup($A$1,E19,F19,LOHNTABELLE!$H$4))</f>
        <v>2300</v>
      </c>
      <c r="H19" s="282">
        <f>IF(AND(ISNUMBER(D19),ISNUMBER(F19)),ROUNDDOWN(MIN(IF(OR(ISBLANK(I19),I19=""),EOMONTH(DATE(EINSTELLUNG!$C$35,$A$1,1),0),I19)-MAX(D19,DATE(EINSTELLUNG!$C$35,$A$1,1))+1)/DAY(EOMONTH(DATE(EINSTELLUNG!$C$35,$A$1,1),0))*F19,2),"")</f>
        <v>173</v>
      </c>
      <c r="I19" s="50"/>
      <c r="J19" s="51"/>
      <c r="K19" s="281">
        <f t="shared" si="0"/>
        <v>0</v>
      </c>
      <c r="L19" s="283">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2300</v>
      </c>
      <c r="M19" s="52"/>
      <c r="N19" s="66"/>
      <c r="O19" s="366" t="s">
        <v>293</v>
      </c>
      <c r="P19" s="310"/>
      <c r="Q19" s="311">
        <v>333</v>
      </c>
      <c r="R19" s="312"/>
      <c r="S19" s="278"/>
      <c r="T19" s="278"/>
      <c r="U19" s="278"/>
      <c r="V19" s="278"/>
    </row>
    <row r="20" spans="1:29" ht="22" customHeight="1">
      <c r="A20" s="280" t="s">
        <v>76</v>
      </c>
      <c r="B20" s="91">
        <v>401602</v>
      </c>
      <c r="C20" s="39" t="s">
        <v>243</v>
      </c>
      <c r="D20" s="40">
        <v>45975</v>
      </c>
      <c r="E20" s="41" t="s">
        <v>2</v>
      </c>
      <c r="F20" s="42">
        <v>169</v>
      </c>
      <c r="G20" s="281">
        <f>IF(OR(E20="",F20=""),"",PID_KVLohnLookup($A$1,E20,F20,LOHNTABELLE!$H$4))</f>
        <v>2000</v>
      </c>
      <c r="H20" s="282">
        <f>IF(AND(ISNUMBER(D20),ISNUMBER(F20)),ROUNDDOWN(MIN(IF(OR(ISBLANK(I20),I20=""),EOMONTH(DATE(EINSTELLUNG!$C$35,$A$1,1),0),I20)-MAX(D20,DATE(EINSTELLUNG!$C$35,$A$1,1))+1)/DAY(EOMONTH(DATE(EINSTELLUNG!$C$35,$A$1,1),0))*F20,2),"")</f>
        <v>169</v>
      </c>
      <c r="I20" s="43"/>
      <c r="J20" s="44"/>
      <c r="K20" s="281">
        <f t="shared" si="0"/>
        <v>0</v>
      </c>
      <c r="L20" s="283">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2000</v>
      </c>
      <c r="M20" s="45"/>
      <c r="N20" s="65"/>
      <c r="O20" s="366" t="s">
        <v>293</v>
      </c>
      <c r="P20" s="310"/>
      <c r="Q20" s="311">
        <v>35</v>
      </c>
      <c r="R20" s="312"/>
      <c r="S20" s="278"/>
      <c r="T20" s="278"/>
      <c r="U20" s="278"/>
      <c r="V20" s="278"/>
    </row>
    <row r="21" spans="1:29" ht="22" customHeight="1">
      <c r="A21" s="280" t="s">
        <v>77</v>
      </c>
      <c r="B21" s="92">
        <v>401605</v>
      </c>
      <c r="C21" s="46" t="s">
        <v>244</v>
      </c>
      <c r="D21" s="47">
        <v>44986</v>
      </c>
      <c r="E21" s="48" t="s">
        <v>2</v>
      </c>
      <c r="F21" s="49">
        <v>173</v>
      </c>
      <c r="G21" s="281">
        <f>IF(OR(E21="",F21=""),"",PID_KVLohnLookup($A$1,E21,F21,LOHNTABELLE!$H$4))</f>
        <v>2021</v>
      </c>
      <c r="H21" s="282">
        <f>IF(AND(ISNUMBER(D21),ISNUMBER(F21)),ROUNDDOWN(MIN(IF(OR(ISBLANK(I21),I21=""),EOMONTH(DATE(EINSTELLUNG!$C$35,$A$1,1),0),I21)-MAX(D21,DATE(EINSTELLUNG!$C$35,$A$1,1))+1)/DAY(EOMONTH(DATE(EINSTELLUNG!$C$35,$A$1,1),0))*F21,2),"")</f>
        <v>173</v>
      </c>
      <c r="I21" s="50"/>
      <c r="J21" s="51"/>
      <c r="K21" s="281">
        <f t="shared" si="0"/>
        <v>0</v>
      </c>
      <c r="L21" s="283">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2021</v>
      </c>
      <c r="M21" s="52"/>
      <c r="N21" s="66"/>
      <c r="O21" s="366" t="s">
        <v>293</v>
      </c>
      <c r="P21" s="310"/>
      <c r="Q21" s="311">
        <v>100</v>
      </c>
      <c r="R21" s="312"/>
      <c r="S21" s="278"/>
      <c r="T21" s="278"/>
      <c r="U21" s="278"/>
      <c r="V21" s="278"/>
    </row>
    <row r="22" spans="1:29" ht="22" customHeight="1">
      <c r="A22" s="280" t="s">
        <v>78</v>
      </c>
      <c r="B22" s="91">
        <v>401605</v>
      </c>
      <c r="C22" s="39" t="s">
        <v>387</v>
      </c>
      <c r="D22" s="40">
        <v>36850</v>
      </c>
      <c r="E22" s="41" t="s">
        <v>10</v>
      </c>
      <c r="F22" s="42">
        <v>151.38</v>
      </c>
      <c r="G22" s="281">
        <f>IF(OR(E22="",F22=""),"",PID_KVLohnLookup($A$1,E22,F22,LOHNTABELLE!$H$4))</f>
        <v>2012.5</v>
      </c>
      <c r="H22" s="282">
        <f>IF(AND(ISNUMBER(D22),ISNUMBER(F22)),ROUNDDOWN(MIN(IF(OR(ISBLANK(I22),I22=""),EOMONTH(DATE(EINSTELLUNG!$C$35,$A$1,1),0),I22)-MAX(D22,DATE(EINSTELLUNG!$C$35,$A$1,1))+1)/DAY(EOMONTH(DATE(EINSTELLUNG!$C$35,$A$1,1),0))*F22,2),"")</f>
        <v>151.38</v>
      </c>
      <c r="I22" s="43"/>
      <c r="J22" s="44"/>
      <c r="K22" s="281">
        <f t="shared" si="0"/>
        <v>0</v>
      </c>
      <c r="L22" s="283">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2012.5</v>
      </c>
      <c r="M22" s="45"/>
      <c r="N22" s="65"/>
      <c r="O22" s="366" t="s">
        <v>293</v>
      </c>
      <c r="P22" s="310"/>
      <c r="Q22" s="311"/>
      <c r="R22" s="312"/>
      <c r="S22" s="278"/>
      <c r="T22" s="278"/>
      <c r="U22" s="278"/>
      <c r="V22" s="278"/>
    </row>
    <row r="23" spans="1:29" ht="22" customHeight="1">
      <c r="A23" s="280" t="s">
        <v>79</v>
      </c>
      <c r="B23" s="92">
        <v>401626</v>
      </c>
      <c r="C23" s="46" t="s">
        <v>245</v>
      </c>
      <c r="D23" s="47">
        <v>45063</v>
      </c>
      <c r="E23" s="48" t="s">
        <v>2</v>
      </c>
      <c r="F23" s="49">
        <v>173</v>
      </c>
      <c r="G23" s="281">
        <f>IF(OR(E23="",F23=""),"",PID_KVLohnLookup($A$1,E23,F23,LOHNTABELLE!$H$4))</f>
        <v>2021</v>
      </c>
      <c r="H23" s="282">
        <f>IF(AND(ISNUMBER(D23),ISNUMBER(F23)),ROUNDDOWN(MIN(IF(OR(ISBLANK(I23),I23=""),EOMONTH(DATE(EINSTELLUNG!$C$35,$A$1,1),0),I23)-MAX(D23,DATE(EINSTELLUNG!$C$35,$A$1,1))+1)/DAY(EOMONTH(DATE(EINSTELLUNG!$C$35,$A$1,1),0))*F23,2),"")</f>
        <v>173</v>
      </c>
      <c r="I23" s="50"/>
      <c r="J23" s="51"/>
      <c r="K23" s="281">
        <f t="shared" si="0"/>
        <v>0</v>
      </c>
      <c r="L23" s="283">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2021</v>
      </c>
      <c r="M23" s="52"/>
      <c r="N23" s="66"/>
      <c r="O23" s="366" t="s">
        <v>293</v>
      </c>
      <c r="P23" s="310"/>
      <c r="Q23" s="311">
        <v>5000</v>
      </c>
      <c r="R23" s="312"/>
      <c r="S23" s="278"/>
      <c r="T23" s="278"/>
      <c r="U23" s="278"/>
      <c r="V23" s="278"/>
      <c r="W23" s="306"/>
    </row>
    <row r="24" spans="1:29" ht="22" customHeight="1">
      <c r="A24" s="280" t="s">
        <v>80</v>
      </c>
      <c r="B24" s="91">
        <v>401633</v>
      </c>
      <c r="C24" s="39" t="s">
        <v>246</v>
      </c>
      <c r="D24" s="40">
        <v>45089</v>
      </c>
      <c r="E24" s="41" t="s">
        <v>10</v>
      </c>
      <c r="F24" s="42">
        <v>173</v>
      </c>
      <c r="G24" s="281">
        <f>IF(OR(E24="",F24=""),"",PID_KVLohnLookup($A$1,E24,F24,LOHNTABELLE!$H$4))</f>
        <v>2300</v>
      </c>
      <c r="H24" s="282">
        <f>IF(AND(ISNUMBER(D24),ISNUMBER(F24)),ROUNDDOWN(MIN(IF(OR(ISBLANK(I24),I24=""),EOMONTH(DATE(EINSTELLUNG!$C$35,$A$1,1),0),I24)-MAX(D24,DATE(EINSTELLUNG!$C$35,$A$1,1))+1)/DAY(EOMONTH(DATE(EINSTELLUNG!$C$35,$A$1,1),0))*F24,2),"")</f>
        <v>173</v>
      </c>
      <c r="I24" s="43"/>
      <c r="J24" s="44"/>
      <c r="K24" s="281">
        <f t="shared" si="0"/>
        <v>0</v>
      </c>
      <c r="L24" s="283">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2300</v>
      </c>
      <c r="M24" s="45"/>
      <c r="N24" s="65"/>
      <c r="O24" s="366"/>
      <c r="P24" s="310"/>
      <c r="Q24" s="311"/>
      <c r="R24" s="312"/>
      <c r="S24" s="278"/>
      <c r="T24" s="278"/>
      <c r="U24" s="278"/>
      <c r="V24" s="278"/>
      <c r="W24" s="306"/>
    </row>
    <row r="25" spans="1:29" ht="22" customHeight="1">
      <c r="A25" s="280" t="s">
        <v>81</v>
      </c>
      <c r="B25" s="92">
        <v>401647</v>
      </c>
      <c r="C25" s="46" t="s">
        <v>247</v>
      </c>
      <c r="D25" s="47">
        <v>45182</v>
      </c>
      <c r="E25" s="48" t="s">
        <v>2</v>
      </c>
      <c r="F25" s="49">
        <v>173</v>
      </c>
      <c r="G25" s="281">
        <f>IF(OR(E25="",F25=""),"",PID_KVLohnLookup($A$1,E25,F25,LOHNTABELLE!$H$4))</f>
        <v>2021</v>
      </c>
      <c r="H25" s="282">
        <f>IF(AND(ISNUMBER(D25),ISNUMBER(F25)),ROUNDDOWN(MIN(IF(OR(ISBLANK(I25),I25=""),EOMONTH(DATE(EINSTELLUNG!$C$35,$A$1,1),0),I25)-MAX(D25,DATE(EINSTELLUNG!$C$35,$A$1,1))+1)/DAY(EOMONTH(DATE(EINSTELLUNG!$C$35,$A$1,1),0))*F25,2),"")</f>
        <v>173</v>
      </c>
      <c r="I25" s="50"/>
      <c r="J25" s="51"/>
      <c r="K25" s="281">
        <f t="shared" si="0"/>
        <v>0</v>
      </c>
      <c r="L25" s="283">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2021</v>
      </c>
      <c r="M25" s="52"/>
      <c r="N25" s="66"/>
      <c r="O25" s="366"/>
      <c r="P25" s="310"/>
      <c r="Q25" s="311"/>
      <c r="R25" s="312"/>
      <c r="S25" s="278"/>
      <c r="T25" s="278"/>
      <c r="U25" s="278"/>
      <c r="V25" s="278"/>
    </row>
    <row r="26" spans="1:29" ht="22" customHeight="1">
      <c r="A26" s="280" t="s">
        <v>82</v>
      </c>
      <c r="B26" s="91">
        <v>401661</v>
      </c>
      <c r="C26" s="39" t="s">
        <v>248</v>
      </c>
      <c r="D26" s="40">
        <v>45261</v>
      </c>
      <c r="E26" s="41" t="s">
        <v>2</v>
      </c>
      <c r="F26" s="42">
        <v>173</v>
      </c>
      <c r="G26" s="281">
        <f>IF(OR(E26="",F26=""),"",PID_KVLohnLookup($A$1,E26,F26,LOHNTABELLE!$H$4))</f>
        <v>2021</v>
      </c>
      <c r="H26" s="282">
        <f>IF(AND(ISNUMBER(D26),ISNUMBER(F26)),ROUNDDOWN(MIN(IF(OR(ISBLANK(I26),I26=""),EOMONTH(DATE(EINSTELLUNG!$C$35,$A$1,1),0),I26)-MAX(D26,DATE(EINSTELLUNG!$C$35,$A$1,1))+1)/DAY(EOMONTH(DATE(EINSTELLUNG!$C$35,$A$1,1),0))*F26,2),"")</f>
        <v>173</v>
      </c>
      <c r="I26" s="43"/>
      <c r="J26" s="44"/>
      <c r="K26" s="281">
        <f t="shared" si="0"/>
        <v>0</v>
      </c>
      <c r="L26" s="283">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2021</v>
      </c>
      <c r="M26" s="45"/>
      <c r="N26" s="65"/>
      <c r="O26" s="366"/>
      <c r="P26" s="310"/>
      <c r="Q26" s="311"/>
      <c r="R26" s="312"/>
      <c r="S26" s="278"/>
      <c r="T26" s="278"/>
      <c r="U26" s="278"/>
      <c r="V26" s="278"/>
    </row>
    <row r="27" spans="1:29" ht="22" customHeight="1">
      <c r="A27" s="280" t="s">
        <v>83</v>
      </c>
      <c r="B27" s="92">
        <v>401670</v>
      </c>
      <c r="C27" s="46" t="s">
        <v>249</v>
      </c>
      <c r="D27" s="47">
        <v>45358</v>
      </c>
      <c r="E27" s="48" t="s">
        <v>2</v>
      </c>
      <c r="F27" s="49">
        <v>173</v>
      </c>
      <c r="G27" s="281">
        <f>IF(OR(E27="",F27=""),"",PID_KVLohnLookup($A$1,E27,F27,LOHNTABELLE!$H$4))</f>
        <v>2021</v>
      </c>
      <c r="H27" s="282">
        <f>IF(AND(ISNUMBER(D27),ISNUMBER(F27)),ROUNDDOWN(MIN(IF(OR(ISBLANK(I27),I27=""),EOMONTH(DATE(EINSTELLUNG!$C$35,$A$1,1),0),I27)-MAX(D27,DATE(EINSTELLUNG!$C$35,$A$1,1))+1)/DAY(EOMONTH(DATE(EINSTELLUNG!$C$35,$A$1,1),0))*F27,2),"")</f>
        <v>173</v>
      </c>
      <c r="I27" s="50"/>
      <c r="J27" s="51"/>
      <c r="K27" s="281">
        <f t="shared" si="0"/>
        <v>0</v>
      </c>
      <c r="L27" s="283">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2021</v>
      </c>
      <c r="M27" s="52"/>
      <c r="N27" s="66"/>
      <c r="O27" s="366"/>
      <c r="P27" s="310"/>
      <c r="Q27" s="311"/>
      <c r="R27" s="312"/>
      <c r="S27" s="313" t="s">
        <v>84</v>
      </c>
      <c r="T27" s="313"/>
      <c r="U27" s="313"/>
      <c r="V27" s="313"/>
    </row>
    <row r="28" spans="1:29" ht="22" customHeight="1">
      <c r="A28" s="280" t="s">
        <v>85</v>
      </c>
      <c r="B28" s="91">
        <v>401678</v>
      </c>
      <c r="C28" s="39" t="s">
        <v>250</v>
      </c>
      <c r="D28" s="40">
        <v>45414</v>
      </c>
      <c r="E28" s="41" t="s">
        <v>2</v>
      </c>
      <c r="F28" s="42">
        <v>173</v>
      </c>
      <c r="G28" s="281">
        <f>IF(OR(E28="",F28=""),"",PID_KVLohnLookup($A$1,E28,F28,LOHNTABELLE!$H$4))</f>
        <v>2021</v>
      </c>
      <c r="H28" s="282">
        <f>IF(AND(ISNUMBER(D28),ISNUMBER(F28)),ROUNDDOWN(MIN(IF(OR(ISBLANK(I28),I28=""),EOMONTH(DATE(EINSTELLUNG!$C$35,$A$1,1),0),I28)-MAX(D28,DATE(EINSTELLUNG!$C$35,$A$1,1))+1)/DAY(EOMONTH(DATE(EINSTELLUNG!$C$35,$A$1,1),0))*F28,2),"")</f>
        <v>173</v>
      </c>
      <c r="I28" s="43"/>
      <c r="J28" s="44"/>
      <c r="K28" s="281">
        <f t="shared" si="0"/>
        <v>0</v>
      </c>
      <c r="L28" s="283">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2021</v>
      </c>
      <c r="M28" s="45"/>
      <c r="N28" s="65"/>
      <c r="O28" s="366"/>
      <c r="P28" s="310"/>
      <c r="Q28" s="311"/>
      <c r="R28" s="312"/>
      <c r="S28" s="278"/>
      <c r="T28" s="278"/>
      <c r="U28" s="278"/>
      <c r="V28" s="278"/>
    </row>
    <row r="29" spans="1:29" ht="22" customHeight="1" thickBot="1">
      <c r="A29" s="280" t="s">
        <v>86</v>
      </c>
      <c r="B29" s="92">
        <v>401690</v>
      </c>
      <c r="C29" s="46" t="s">
        <v>252</v>
      </c>
      <c r="D29" s="47">
        <v>45536</v>
      </c>
      <c r="E29" s="48" t="s">
        <v>2</v>
      </c>
      <c r="F29" s="49">
        <v>151.38</v>
      </c>
      <c r="G29" s="281">
        <f>IF(OR(E29="",F29=""),"",PID_KVLohnLookup($A$1,E29,F29,LOHNTABELLE!$H$4))</f>
        <v>1768.38</v>
      </c>
      <c r="H29" s="282">
        <f>IF(AND(ISNUMBER(D29),ISNUMBER(F29)),ROUNDDOWN(MIN(IF(OR(ISBLANK(I29),I29=""),EOMONTH(DATE(EINSTELLUNG!$C$35,$A$1,1),0),I29)-MAX(D29,DATE(EINSTELLUNG!$C$35,$A$1,1))+1)/DAY(EOMONTH(DATE(EINSTELLUNG!$C$35,$A$1,1),0))*F29,2),"")</f>
        <v>151.38</v>
      </c>
      <c r="I29" s="50"/>
      <c r="J29" s="51"/>
      <c r="K29" s="281">
        <f t="shared" si="0"/>
        <v>0</v>
      </c>
      <c r="L29" s="283">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1768.38</v>
      </c>
      <c r="M29" s="52"/>
      <c r="N29" s="66"/>
      <c r="O29" s="367" t="s">
        <v>87</v>
      </c>
      <c r="P29" s="315"/>
      <c r="Q29" s="316">
        <f>EINSTELLUNG!O14</f>
        <v>1250</v>
      </c>
      <c r="R29" s="317"/>
      <c r="S29" s="278"/>
      <c r="T29" s="278"/>
      <c r="U29" s="278"/>
      <c r="V29" s="278"/>
    </row>
    <row r="30" spans="1:29" ht="22" customHeight="1" thickBot="1">
      <c r="A30" s="280" t="s">
        <v>88</v>
      </c>
      <c r="B30" s="91">
        <v>401715</v>
      </c>
      <c r="C30" s="39" t="s">
        <v>255</v>
      </c>
      <c r="D30" s="40">
        <v>45755</v>
      </c>
      <c r="E30" s="41" t="s">
        <v>2</v>
      </c>
      <c r="F30" s="42">
        <v>173</v>
      </c>
      <c r="G30" s="281">
        <f>IF(OR(E30="",F30=""),"",PID_KVLohnLookup($A$1,E30,F30,LOHNTABELLE!$H$4))</f>
        <v>2021</v>
      </c>
      <c r="H30" s="282">
        <f>IF(AND(ISNUMBER(D30),ISNUMBER(F30)),ROUNDDOWN(MIN(IF(OR(ISBLANK(I30),I30=""),EOMONTH(DATE(EINSTELLUNG!$C$35,$A$1,1),0),I30)-MAX(D30,DATE(EINSTELLUNG!$C$35,$A$1,1))+1)/DAY(EOMONTH(DATE(EINSTELLUNG!$C$35,$A$1,1),0))*F30,2),"")</f>
        <v>173</v>
      </c>
      <c r="I30" s="43"/>
      <c r="J30" s="44"/>
      <c r="K30" s="281">
        <f t="shared" si="0"/>
        <v>0</v>
      </c>
      <c r="L30" s="283">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2021</v>
      </c>
      <c r="M30" s="45"/>
      <c r="N30" s="65"/>
      <c r="O30" s="278"/>
      <c r="P30" s="278"/>
      <c r="Q30" s="278"/>
      <c r="R30" s="278"/>
      <c r="S30" s="278"/>
      <c r="T30" s="278"/>
      <c r="U30" s="278"/>
      <c r="V30" s="278"/>
      <c r="W30" s="318"/>
      <c r="X30" s="318"/>
      <c r="Y30" s="318"/>
      <c r="Z30" s="318"/>
      <c r="AA30" s="318"/>
      <c r="AB30" s="318"/>
      <c r="AC30" s="318"/>
    </row>
    <row r="31" spans="1:29" ht="22" customHeight="1" thickBot="1">
      <c r="A31" s="280" t="s">
        <v>89</v>
      </c>
      <c r="B31" s="92">
        <v>401716</v>
      </c>
      <c r="C31" s="46" t="s">
        <v>256</v>
      </c>
      <c r="D31" s="47">
        <v>45800</v>
      </c>
      <c r="E31" s="48" t="s">
        <v>2</v>
      </c>
      <c r="F31" s="49">
        <v>173</v>
      </c>
      <c r="G31" s="281">
        <f>IF(OR(E31="",F31=""),"",PID_KVLohnLookup($A$1,E31,F31,LOHNTABELLE!$H$4))</f>
        <v>2021</v>
      </c>
      <c r="H31" s="282">
        <f>IF(AND(ISNUMBER(D31),ISNUMBER(F31)),ROUNDDOWN(MIN(IF(OR(ISBLANK(I31),I31=""),EOMONTH(DATE(EINSTELLUNG!$C$35,$A$1,1),0),I31)-MAX(D31,DATE(EINSTELLUNG!$C$35,$A$1,1))+1)/DAY(EOMONTH(DATE(EINSTELLUNG!$C$35,$A$1,1),0))*F31,2),"")</f>
        <v>173</v>
      </c>
      <c r="I31" s="50"/>
      <c r="J31" s="51"/>
      <c r="K31" s="281">
        <f t="shared" si="0"/>
        <v>0</v>
      </c>
      <c r="L31" s="283">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2021</v>
      </c>
      <c r="M31" s="52"/>
      <c r="N31" s="66"/>
      <c r="O31" s="368" t="s">
        <v>415</v>
      </c>
      <c r="P31" s="320"/>
      <c r="Q31" s="321">
        <v>1.7699115044247787E-2</v>
      </c>
      <c r="R31" s="322"/>
      <c r="S31" s="278"/>
      <c r="T31" s="278"/>
      <c r="U31" s="278"/>
      <c r="V31" s="278"/>
    </row>
    <row r="32" spans="1:29" ht="22" customHeight="1" thickBot="1">
      <c r="A32" s="280" t="s">
        <v>91</v>
      </c>
      <c r="B32" s="91">
        <v>401717</v>
      </c>
      <c r="C32" s="39" t="s">
        <v>257</v>
      </c>
      <c r="D32" s="40">
        <v>45814</v>
      </c>
      <c r="E32" s="41" t="s">
        <v>2</v>
      </c>
      <c r="F32" s="42">
        <v>86.5</v>
      </c>
      <c r="G32" s="281">
        <f>IF(OR(E32="",F32=""),"",PID_KVLohnLookup($A$1,E32,F32,LOHNTABELLE!$H$4))</f>
        <v>1010.5</v>
      </c>
      <c r="H32" s="282">
        <f>IF(AND(ISNUMBER(D32),ISNUMBER(F32)),ROUNDDOWN(MIN(IF(OR(ISBLANK(I32),I32=""),EOMONTH(DATE(EINSTELLUNG!$C$35,$A$1,1),0),I32)-MAX(D32,DATE(EINSTELLUNG!$C$35,$A$1,1))+1)/DAY(EOMONTH(DATE(EINSTELLUNG!$C$35,$A$1,1),0))*F32,2),"")</f>
        <v>86.5</v>
      </c>
      <c r="I32" s="43"/>
      <c r="J32" s="44"/>
      <c r="K32" s="281">
        <f t="shared" si="0"/>
        <v>0</v>
      </c>
      <c r="L32" s="283">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1010.5</v>
      </c>
      <c r="M32" s="45"/>
      <c r="N32" s="65"/>
      <c r="O32" s="278"/>
      <c r="P32" s="278"/>
      <c r="Q32" s="278"/>
      <c r="R32" s="278"/>
      <c r="S32" s="278"/>
      <c r="T32" s="278"/>
      <c r="U32" s="278"/>
      <c r="V32" s="278"/>
    </row>
    <row r="33" spans="1:22" ht="22" customHeight="1">
      <c r="A33" s="280" t="s">
        <v>92</v>
      </c>
      <c r="B33" s="92">
        <v>401722</v>
      </c>
      <c r="C33" s="46" t="s">
        <v>258</v>
      </c>
      <c r="D33" s="47">
        <v>45848</v>
      </c>
      <c r="E33" s="48" t="s">
        <v>2</v>
      </c>
      <c r="F33" s="49">
        <v>86.5</v>
      </c>
      <c r="G33" s="281">
        <f>IF(OR(E33="",F33=""),"",PID_KVLohnLookup($A$1,E33,F33,LOHNTABELLE!$H$4))</f>
        <v>1010.5</v>
      </c>
      <c r="H33" s="282">
        <f>IF(AND(ISNUMBER(D33),ISNUMBER(F33)),ROUNDDOWN(MIN(IF(OR(ISBLANK(I33),I33=""),EOMONTH(DATE(EINSTELLUNG!$C$35,$A$1,1),0),I33)-MAX(D33,DATE(EINSTELLUNG!$C$35,$A$1,1))+1)/DAY(EOMONTH(DATE(EINSTELLUNG!$C$35,$A$1,1),0))*F33,2),"")</f>
        <v>86.5</v>
      </c>
      <c r="I33" s="50"/>
      <c r="J33" s="51"/>
      <c r="K33" s="281">
        <f t="shared" si="0"/>
        <v>0</v>
      </c>
      <c r="L33" s="283">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1010.5</v>
      </c>
      <c r="M33" s="52"/>
      <c r="N33" s="66"/>
      <c r="O33" s="369"/>
      <c r="P33" s="324"/>
      <c r="Q33" s="263" t="str">
        <f>EINSTELLUNG!B3</f>
        <v>Budget</v>
      </c>
      <c r="R33" s="263"/>
      <c r="S33" s="263" t="str">
        <f>EINSTELLUNG!B19</f>
        <v>Projection/Aktuell Zahlen</v>
      </c>
      <c r="T33" s="263"/>
      <c r="U33" s="263" t="s">
        <v>95</v>
      </c>
      <c r="V33" s="264"/>
    </row>
    <row r="34" spans="1:22" ht="22" customHeight="1">
      <c r="A34" s="280" t="s">
        <v>96</v>
      </c>
      <c r="B34" s="91">
        <v>401723</v>
      </c>
      <c r="C34" s="39" t="s">
        <v>259</v>
      </c>
      <c r="D34" s="40">
        <v>45852</v>
      </c>
      <c r="E34" s="41" t="s">
        <v>2</v>
      </c>
      <c r="F34" s="42">
        <v>86.5</v>
      </c>
      <c r="G34" s="281">
        <f>IF(OR(E34="",F34=""),"",PID_KVLohnLookup($A$1,E34,F34,LOHNTABELLE!$H$4))</f>
        <v>1010.5</v>
      </c>
      <c r="H34" s="282">
        <f>IF(AND(ISNUMBER(D34),ISNUMBER(F34)),ROUNDDOWN(MIN(IF(OR(ISBLANK(I34),I34=""),EOMONTH(DATE(EINSTELLUNG!$C$35,$A$1,1),0),I34)-MAX(D34,DATE(EINSTELLUNG!$C$35,$A$1,1))+1)/DAY(EOMONTH(DATE(EINSTELLUNG!$C$35,$A$1,1),0))*F34,2),"")</f>
        <v>86.5</v>
      </c>
      <c r="I34" s="43"/>
      <c r="J34" s="44"/>
      <c r="K34" s="281">
        <f t="shared" si="0"/>
        <v>0</v>
      </c>
      <c r="L34" s="283">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1010.5</v>
      </c>
      <c r="M34" s="45"/>
      <c r="N34" s="65"/>
      <c r="O34" s="370"/>
      <c r="P34" s="326"/>
      <c r="Q34" s="327"/>
      <c r="R34" s="327"/>
      <c r="S34" s="327"/>
      <c r="T34" s="327"/>
      <c r="U34" s="327"/>
      <c r="V34" s="328"/>
    </row>
    <row r="35" spans="1:22" ht="22" customHeight="1">
      <c r="A35" s="280" t="s">
        <v>97</v>
      </c>
      <c r="B35" s="92">
        <v>401726</v>
      </c>
      <c r="C35" s="46" t="s">
        <v>260</v>
      </c>
      <c r="D35" s="47">
        <v>45870</v>
      </c>
      <c r="E35" s="48" t="s">
        <v>2</v>
      </c>
      <c r="F35" s="49">
        <v>86.5</v>
      </c>
      <c r="G35" s="281">
        <f>IF(OR(E35="",F35=""),"",PID_KVLohnLookup($A$1,E35,F35,LOHNTABELLE!$H$4))</f>
        <v>1010.5</v>
      </c>
      <c r="H35" s="282">
        <f>IF(AND(ISNUMBER(D35),ISNUMBER(F35)),ROUNDDOWN(MIN(IF(OR(ISBLANK(I35),I35=""),EOMONTH(DATE(EINSTELLUNG!$C$35,$A$1,1),0),I35)-MAX(D35,DATE(EINSTELLUNG!$C$35,$A$1,1))+1)/DAY(EOMONTH(DATE(EINSTELLUNG!$C$35,$A$1,1),0))*F35,2),"")</f>
        <v>86.5</v>
      </c>
      <c r="I35" s="50"/>
      <c r="J35" s="51"/>
      <c r="K35" s="281">
        <f t="shared" ref="K35:K66" si="1">IF(OR(B35="",C35=""),"",IFERROR(IF(OR(MONTH(D35)=1,MONTH(D35)=3,MONTH(D35)=5,MONTH(D35)=7,MONTH(D35)=8,MONTH(D35)=10,MONTH(D35)=12),(G35/31)*J35,IF(OR(MONTH(D35)=4,MONTH(D35)=6,MONTH(D35)=9,MONTH(D35)=11),(G35/30)*J35,(G35/DAY(EOMONTH(D35,0)))*J35)),0))</f>
        <v>0</v>
      </c>
      <c r="L35" s="283">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1010.5</v>
      </c>
      <c r="M35" s="52"/>
      <c r="N35" s="66"/>
      <c r="O35" s="358" t="s">
        <v>98</v>
      </c>
      <c r="P35" s="297"/>
      <c r="Q35" s="329">
        <f>EINSTELLUNG!C14</f>
        <v>400000</v>
      </c>
      <c r="R35" s="329"/>
      <c r="S35" s="329">
        <f>EINSTELLUNG!C30</f>
        <v>450000</v>
      </c>
      <c r="T35" s="329"/>
      <c r="U35" s="329">
        <f>S35-Q35</f>
        <v>50000</v>
      </c>
      <c r="V35" s="330"/>
    </row>
    <row r="36" spans="1:22" ht="22" customHeight="1">
      <c r="A36" s="280" t="s">
        <v>99</v>
      </c>
      <c r="B36" s="91">
        <v>401730</v>
      </c>
      <c r="C36" s="39" t="s">
        <v>262</v>
      </c>
      <c r="D36" s="40">
        <v>45895</v>
      </c>
      <c r="E36" s="41" t="s">
        <v>2</v>
      </c>
      <c r="F36" s="42">
        <v>86.5</v>
      </c>
      <c r="G36" s="281">
        <f>IF(OR(E36="",F36=""),"",PID_KVLohnLookup($A$1,E36,F36,LOHNTABELLE!$H$4))</f>
        <v>1010.5</v>
      </c>
      <c r="H36" s="282">
        <f>IF(AND(ISNUMBER(D36),ISNUMBER(F36)),ROUNDDOWN(MIN(IF(OR(ISBLANK(I36),I36=""),EOMONTH(DATE(EINSTELLUNG!$C$35,$A$1,1),0),I36)-MAX(D36,DATE(EINSTELLUNG!$C$35,$A$1,1))+1)/DAY(EOMONTH(DATE(EINSTELLUNG!$C$35,$A$1,1),0))*F36,2),"")</f>
        <v>86.5</v>
      </c>
      <c r="I36" s="43"/>
      <c r="J36" s="44"/>
      <c r="K36" s="281">
        <f t="shared" si="1"/>
        <v>0</v>
      </c>
      <c r="L36" s="283">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1010.5</v>
      </c>
      <c r="M36" s="45"/>
      <c r="N36" s="65"/>
      <c r="O36" s="358" t="s">
        <v>100</v>
      </c>
      <c r="P36" s="297"/>
      <c r="Q36" s="329">
        <f>EINSTELLUNG!D14</f>
        <v>100000</v>
      </c>
      <c r="R36" s="329"/>
      <c r="S36" s="329">
        <f ca="1">SumMergedCells(Q17:R29)</f>
        <v>100688.7233</v>
      </c>
      <c r="T36" s="329"/>
      <c r="U36" s="329">
        <f t="shared" ref="U36:U41" ca="1" si="2">S36-Q36</f>
        <v>688.72329999999783</v>
      </c>
      <c r="V36" s="330"/>
    </row>
    <row r="37" spans="1:22" ht="22" customHeight="1">
      <c r="A37" s="280" t="s">
        <v>101</v>
      </c>
      <c r="B37" s="92">
        <v>401731</v>
      </c>
      <c r="C37" s="46" t="s">
        <v>261</v>
      </c>
      <c r="D37" s="47">
        <v>45899</v>
      </c>
      <c r="E37" s="48" t="s">
        <v>2</v>
      </c>
      <c r="F37" s="49">
        <v>86.5</v>
      </c>
      <c r="G37" s="281">
        <f>IF(OR(E37="",F37=""),"",PID_KVLohnLookup($A$1,E37,F37,LOHNTABELLE!$H$4))</f>
        <v>1010.5</v>
      </c>
      <c r="H37" s="282">
        <f>IF(AND(ISNUMBER(D37),ISNUMBER(F37)),ROUNDDOWN(MIN(IF(OR(ISBLANK(I37),I37=""),EOMONTH(DATE(EINSTELLUNG!$C$35,$A$1,1),0),I37)-MAX(D37,DATE(EINSTELLUNG!$C$35,$A$1,1))+1)/DAY(EOMONTH(DATE(EINSTELLUNG!$C$35,$A$1,1),0))*F37,2),"")</f>
        <v>86.5</v>
      </c>
      <c r="I37" s="50"/>
      <c r="J37" s="51"/>
      <c r="K37" s="281">
        <f t="shared" si="1"/>
        <v>0</v>
      </c>
      <c r="L37" s="283">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1010.5</v>
      </c>
      <c r="M37" s="52"/>
      <c r="N37" s="66"/>
      <c r="O37" s="358" t="s">
        <v>102</v>
      </c>
      <c r="P37" s="297"/>
      <c r="Q37" s="331">
        <f>IF(ISERROR(Q36/Q35), 0, Q36/Q35)</f>
        <v>0.25</v>
      </c>
      <c r="R37" s="331"/>
      <c r="S37" s="331">
        <f ca="1">IF(ISERROR(S36/S35), 0, S36/S35)</f>
        <v>0.22375271844444444</v>
      </c>
      <c r="T37" s="331"/>
      <c r="U37" s="331">
        <f t="shared" ca="1" si="2"/>
        <v>-2.6247281555555557E-2</v>
      </c>
      <c r="V37" s="332"/>
    </row>
    <row r="38" spans="1:22" ht="22" customHeight="1">
      <c r="A38" s="280" t="s">
        <v>103</v>
      </c>
      <c r="B38" s="91">
        <v>401734</v>
      </c>
      <c r="C38" s="39" t="s">
        <v>263</v>
      </c>
      <c r="D38" s="40">
        <v>45904</v>
      </c>
      <c r="E38" s="41" t="s">
        <v>2</v>
      </c>
      <c r="F38" s="42">
        <v>86.5</v>
      </c>
      <c r="G38" s="281">
        <f>IF(OR(E38="",F38=""),"",PID_KVLohnLookup($A$1,E38,F38,LOHNTABELLE!$H$4))</f>
        <v>1010.5</v>
      </c>
      <c r="H38" s="282">
        <f>IF(AND(ISNUMBER(D38),ISNUMBER(F38)),ROUNDDOWN(MIN(IF(OR(ISBLANK(I38),I38=""),EOMONTH(DATE(EINSTELLUNG!$C$35,$A$1,1),0),I38)-MAX(D38,DATE(EINSTELLUNG!$C$35,$A$1,1))+1)/DAY(EOMONTH(DATE(EINSTELLUNG!$C$35,$A$1,1),0))*F38,2),"")</f>
        <v>86.5</v>
      </c>
      <c r="I38" s="43"/>
      <c r="J38" s="44"/>
      <c r="K38" s="281">
        <f t="shared" si="1"/>
        <v>0</v>
      </c>
      <c r="L38" s="283">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1010.5</v>
      </c>
      <c r="M38" s="45"/>
      <c r="N38" s="65"/>
      <c r="O38" s="358" t="s">
        <v>104</v>
      </c>
      <c r="P38" s="297"/>
      <c r="Q38" s="298">
        <f>EINSTELLUNG!F14</f>
        <v>30000</v>
      </c>
      <c r="R38" s="298"/>
      <c r="S38" s="298">
        <f>EINSTELLUNG!F30</f>
        <v>31000</v>
      </c>
      <c r="T38" s="298"/>
      <c r="U38" s="298">
        <f t="shared" si="2"/>
        <v>1000</v>
      </c>
      <c r="V38" s="299"/>
    </row>
    <row r="39" spans="1:22" ht="22" customHeight="1">
      <c r="A39" s="280" t="s">
        <v>105</v>
      </c>
      <c r="B39" s="92">
        <v>401737</v>
      </c>
      <c r="C39" s="46" t="s">
        <v>265</v>
      </c>
      <c r="D39" s="47">
        <v>45906</v>
      </c>
      <c r="E39" s="48" t="s">
        <v>2</v>
      </c>
      <c r="F39" s="49">
        <v>86.5</v>
      </c>
      <c r="G39" s="281">
        <f>IF(OR(E39="",F39=""),"",PID_KVLohnLookup($A$1,E39,F39,LOHNTABELLE!$H$4))</f>
        <v>1010.5</v>
      </c>
      <c r="H39" s="282">
        <f>IF(AND(ISNUMBER(D39),ISNUMBER(F39)),ROUNDDOWN(MIN(IF(OR(ISBLANK(I39),I39=""),EOMONTH(DATE(EINSTELLUNG!$C$35,$A$1,1),0),I39)-MAX(D39,DATE(EINSTELLUNG!$C$35,$A$1,1))+1)/DAY(EOMONTH(DATE(EINSTELLUNG!$C$35,$A$1,1),0))*F39,2),"")</f>
        <v>86.5</v>
      </c>
      <c r="I39" s="50"/>
      <c r="J39" s="51"/>
      <c r="K39" s="281">
        <f t="shared" si="1"/>
        <v>0</v>
      </c>
      <c r="L39" s="283">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52"/>
      <c r="N39" s="66"/>
      <c r="O39" s="358" t="s">
        <v>106</v>
      </c>
      <c r="P39" s="297"/>
      <c r="Q39" s="329">
        <f>IF(Q38=0, 0, Q35/Q38)</f>
        <v>13.333333333333334</v>
      </c>
      <c r="R39" s="329"/>
      <c r="S39" s="329">
        <f>IF(S38=0, 0, S35/S38)</f>
        <v>14.516129032258064</v>
      </c>
      <c r="T39" s="329"/>
      <c r="U39" s="329">
        <f t="shared" si="2"/>
        <v>1.1827956989247301</v>
      </c>
      <c r="V39" s="330"/>
    </row>
    <row r="40" spans="1:22" ht="22" customHeight="1">
      <c r="A40" s="280" t="s">
        <v>107</v>
      </c>
      <c r="B40" s="91">
        <v>401738</v>
      </c>
      <c r="C40" s="39" t="s">
        <v>266</v>
      </c>
      <c r="D40" s="40">
        <v>45909</v>
      </c>
      <c r="E40" s="41" t="s">
        <v>2</v>
      </c>
      <c r="F40" s="42">
        <v>86.5</v>
      </c>
      <c r="G40" s="281">
        <f>IF(OR(E40="",F40=""),"",PID_KVLohnLookup($A$1,E40,F40,LOHNTABELLE!$H$4))</f>
        <v>1010.5</v>
      </c>
      <c r="H40" s="282">
        <f>IF(AND(ISNUMBER(D40),ISNUMBER(F40)),ROUNDDOWN(MIN(IF(OR(ISBLANK(I40),I40=""),EOMONTH(DATE(EINSTELLUNG!$C$35,$A$1,1),0),I40)-MAX(D40,DATE(EINSTELLUNG!$C$35,$A$1,1))+1)/DAY(EOMONTH(DATE(EINSTELLUNG!$C$35,$A$1,1),0))*F40,2),"")</f>
        <v>86.5</v>
      </c>
      <c r="I40" s="43"/>
      <c r="J40" s="44"/>
      <c r="K40" s="281">
        <f t="shared" si="1"/>
        <v>0</v>
      </c>
      <c r="L40" s="283">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45"/>
      <c r="N40" s="65"/>
      <c r="O40" s="358" t="s">
        <v>108</v>
      </c>
      <c r="P40" s="297"/>
      <c r="Q40" s="329">
        <f>IF(Q13=0, 0, Q35/Q13)</f>
        <v>55.566128555016725</v>
      </c>
      <c r="R40" s="329"/>
      <c r="S40" s="329">
        <f>IF(Q13=0, 0, S35/Q13)</f>
        <v>62.511894624393818</v>
      </c>
      <c r="T40" s="329"/>
      <c r="U40" s="329">
        <f t="shared" si="2"/>
        <v>6.9457660693770933</v>
      </c>
      <c r="V40" s="330"/>
    </row>
    <row r="41" spans="1:22" ht="22" customHeight="1">
      <c r="A41" s="280" t="s">
        <v>109</v>
      </c>
      <c r="B41" s="92">
        <v>401745</v>
      </c>
      <c r="C41" s="46" t="s">
        <v>270</v>
      </c>
      <c r="D41" s="47">
        <v>45934</v>
      </c>
      <c r="E41" s="48" t="s">
        <v>2</v>
      </c>
      <c r="F41" s="49">
        <v>86.5</v>
      </c>
      <c r="G41" s="281">
        <f>IF(OR(E41="",F41=""),"",PID_KVLohnLookup($A$1,E41,F41,LOHNTABELLE!$H$4))</f>
        <v>1010.5</v>
      </c>
      <c r="H41" s="282">
        <f>IF(AND(ISNUMBER(D41),ISNUMBER(F41)),ROUNDDOWN(MIN(IF(OR(ISBLANK(I41),I41=""),EOMONTH(DATE(EINSTELLUNG!$C$35,$A$1,1),0),I41)-MAX(D41,DATE(EINSTELLUNG!$C$35,$A$1,1))+1)/DAY(EOMONTH(DATE(EINSTELLUNG!$C$35,$A$1,1),0))*F41,2),"")</f>
        <v>86.5</v>
      </c>
      <c r="I41" s="50"/>
      <c r="J41" s="51"/>
      <c r="K41" s="281">
        <f t="shared" si="1"/>
        <v>0</v>
      </c>
      <c r="L41" s="283">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52"/>
      <c r="N41" s="66"/>
      <c r="O41" s="371" t="s">
        <v>110</v>
      </c>
      <c r="P41" s="334"/>
      <c r="Q41" s="335">
        <f>IF(Q13=0, 0, Q38/Q13)</f>
        <v>4.1674596416262544</v>
      </c>
      <c r="R41" s="335"/>
      <c r="S41" s="335">
        <f>IF(Q13=0, 0, S38/Q13)</f>
        <v>4.3063749630137957</v>
      </c>
      <c r="T41" s="335"/>
      <c r="U41" s="335">
        <f t="shared" si="2"/>
        <v>0.13891532138754137</v>
      </c>
      <c r="V41" s="336"/>
    </row>
    <row r="42" spans="1:22" ht="22" customHeight="1" thickBot="1">
      <c r="A42" s="280" t="s">
        <v>111</v>
      </c>
      <c r="B42" s="91">
        <v>401746</v>
      </c>
      <c r="C42" s="39" t="s">
        <v>269</v>
      </c>
      <c r="D42" s="40">
        <v>45941</v>
      </c>
      <c r="E42" s="41" t="s">
        <v>2</v>
      </c>
      <c r="F42" s="42">
        <v>86.5</v>
      </c>
      <c r="G42" s="281">
        <f>IF(OR(E42="",F42=""),"",PID_KVLohnLookup($A$1,E42,F42,LOHNTABELLE!$H$4))</f>
        <v>1010.5</v>
      </c>
      <c r="H42" s="282">
        <f>IF(AND(ISNUMBER(D42),ISNUMBER(F42)),ROUNDDOWN(MIN(IF(OR(ISBLANK(I42),I42=""),EOMONTH(DATE(EINSTELLUNG!$C$35,$A$1,1),0),I42)-MAX(D42,DATE(EINSTELLUNG!$C$35,$A$1,1))+1)/DAY(EOMONTH(DATE(EINSTELLUNG!$C$35,$A$1,1),0))*F42,2),"")</f>
        <v>86.5</v>
      </c>
      <c r="I42" s="43"/>
      <c r="J42" s="44"/>
      <c r="K42" s="281">
        <f t="shared" si="1"/>
        <v>0</v>
      </c>
      <c r="L42" s="283">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45"/>
      <c r="N42" s="130"/>
      <c r="O42" s="314" t="s">
        <v>112</v>
      </c>
      <c r="P42" s="315"/>
      <c r="Q42" s="337">
        <f>IFERROR(Q17/Q8, 0)</f>
        <v>11.781201552088731</v>
      </c>
      <c r="R42" s="338"/>
      <c r="S42" s="337"/>
      <c r="T42" s="337"/>
      <c r="U42" s="337"/>
      <c r="V42" s="317"/>
    </row>
    <row r="43" spans="1:22" ht="22" customHeight="1">
      <c r="A43" s="280" t="s">
        <v>113</v>
      </c>
      <c r="B43" s="92">
        <v>401747</v>
      </c>
      <c r="C43" s="46" t="s">
        <v>267</v>
      </c>
      <c r="D43" s="47">
        <v>45941</v>
      </c>
      <c r="E43" s="48" t="s">
        <v>2</v>
      </c>
      <c r="F43" s="49">
        <v>86.5</v>
      </c>
      <c r="G43" s="281">
        <f>IF(OR(E43="",F43=""),"",PID_KVLohnLookup($A$1,E43,F43,LOHNTABELLE!$H$4))</f>
        <v>1010.5</v>
      </c>
      <c r="H43" s="282">
        <f>IF(AND(ISNUMBER(D43),ISNUMBER(F43)),ROUNDDOWN(MIN(IF(OR(ISBLANK(I43),I43=""),EOMONTH(DATE(EINSTELLUNG!$C$35,$A$1,1),0),I43)-MAX(D43,DATE(EINSTELLUNG!$C$35,$A$1,1))+1)/DAY(EOMONTH(DATE(EINSTELLUNG!$C$35,$A$1,1),0))*F43,2),"")</f>
        <v>86.5</v>
      </c>
      <c r="I43" s="50"/>
      <c r="J43" s="51"/>
      <c r="K43" s="281">
        <f t="shared" si="1"/>
        <v>0</v>
      </c>
      <c r="L43" s="283">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1010.5</v>
      </c>
      <c r="M43" s="128"/>
      <c r="N43" s="66"/>
      <c r="O43" s="339"/>
      <c r="P43" s="339"/>
      <c r="Q43" s="339"/>
      <c r="R43" s="278"/>
      <c r="S43" s="278"/>
      <c r="T43" s="278"/>
      <c r="U43" s="278"/>
      <c r="V43" s="278"/>
    </row>
    <row r="44" spans="1:22" ht="22" customHeight="1">
      <c r="A44" s="280" t="s">
        <v>114</v>
      </c>
      <c r="B44" s="91">
        <v>401748</v>
      </c>
      <c r="C44" s="39" t="s">
        <v>268</v>
      </c>
      <c r="D44" s="40">
        <v>45941</v>
      </c>
      <c r="E44" s="41" t="s">
        <v>2</v>
      </c>
      <c r="F44" s="42">
        <v>138.4</v>
      </c>
      <c r="G44" s="281">
        <f>IF(OR(E44="",F44=""),"",PID_KVLohnLookup($A$1,E44,F44,LOHNTABELLE!$H$4))</f>
        <v>1616.8</v>
      </c>
      <c r="H44" s="282">
        <f>IF(AND(ISNUMBER(D44),ISNUMBER(F44)),ROUNDDOWN(MIN(IF(OR(ISBLANK(I44),I44=""),EOMONTH(DATE(EINSTELLUNG!$C$35,$A$1,1),0),I44)-MAX(D44,DATE(EINSTELLUNG!$C$35,$A$1,1))+1)/DAY(EOMONTH(DATE(EINSTELLUNG!$C$35,$A$1,1),0))*F44,2),"")</f>
        <v>138.4</v>
      </c>
      <c r="I44" s="43"/>
      <c r="J44" s="44"/>
      <c r="K44" s="281">
        <f t="shared" si="1"/>
        <v>0</v>
      </c>
      <c r="L44" s="283">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1616.8</v>
      </c>
      <c r="M44" s="129"/>
      <c r="N44" s="65"/>
      <c r="O44" s="340" t="s">
        <v>115</v>
      </c>
      <c r="P44" s="340"/>
      <c r="Q44" s="340"/>
      <c r="R44" s="340"/>
      <c r="S44" s="340"/>
      <c r="T44" s="340"/>
      <c r="U44" s="340"/>
      <c r="V44" s="340"/>
    </row>
    <row r="45" spans="1:22" ht="22" customHeight="1">
      <c r="A45" s="280" t="s">
        <v>116</v>
      </c>
      <c r="B45" s="92">
        <v>401751</v>
      </c>
      <c r="C45" s="46" t="s">
        <v>271</v>
      </c>
      <c r="D45" s="47">
        <v>45961</v>
      </c>
      <c r="E45" s="48" t="s">
        <v>2</v>
      </c>
      <c r="F45" s="49">
        <v>86.5</v>
      </c>
      <c r="G45" s="281">
        <f>IF(OR(E45="",F45=""),"",PID_KVLohnLookup($A$1,E45,F45,LOHNTABELLE!$H$4))</f>
        <v>1010.5</v>
      </c>
      <c r="H45" s="282">
        <f>IF(AND(ISNUMBER(D45),ISNUMBER(F45)),ROUNDDOWN(MIN(IF(OR(ISBLANK(I45),I45=""),EOMONTH(DATE(EINSTELLUNG!$C$35,$A$1,1),0),I45)-MAX(D45,DATE(EINSTELLUNG!$C$35,$A$1,1))+1)/DAY(EOMONTH(DATE(EINSTELLUNG!$C$35,$A$1,1),0))*F45,2),"")</f>
        <v>86.5</v>
      </c>
      <c r="I45" s="50"/>
      <c r="J45" s="51"/>
      <c r="K45" s="281">
        <f t="shared" si="1"/>
        <v>0</v>
      </c>
      <c r="L45" s="283">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1010.5</v>
      </c>
      <c r="M45" s="128"/>
      <c r="N45" s="66"/>
      <c r="O45" s="341"/>
      <c r="P45" s="341"/>
      <c r="Q45" s="341"/>
      <c r="R45" s="342"/>
      <c r="S45" s="342"/>
      <c r="T45" s="342"/>
      <c r="U45" s="342"/>
      <c r="V45" s="278"/>
    </row>
    <row r="46" spans="1:22" ht="22" customHeight="1">
      <c r="A46" s="280" t="s">
        <v>117</v>
      </c>
      <c r="B46" s="91">
        <v>401752</v>
      </c>
      <c r="C46" s="39" t="s">
        <v>272</v>
      </c>
      <c r="D46" s="40">
        <v>45986</v>
      </c>
      <c r="E46" s="41" t="s">
        <v>2</v>
      </c>
      <c r="F46" s="42">
        <v>173</v>
      </c>
      <c r="G46" s="281">
        <f>IF(OR(E46="",F46=""),"",PID_KVLohnLookup($A$1,E46,F46,LOHNTABELLE!$H$4))</f>
        <v>2021</v>
      </c>
      <c r="H46" s="282">
        <f>IF(AND(ISNUMBER(D46),ISNUMBER(F46)),ROUNDDOWN(MIN(IF(OR(ISBLANK(I46),I46=""),EOMONTH(DATE(EINSTELLUNG!$C$35,$A$1,1),0),I46)-MAX(D46,DATE(EINSTELLUNG!$C$35,$A$1,1))+1)/DAY(EOMONTH(DATE(EINSTELLUNG!$C$35,$A$1,1),0))*F46,2),"")</f>
        <v>173</v>
      </c>
      <c r="I46" s="43"/>
      <c r="J46" s="44"/>
      <c r="K46" s="281">
        <f t="shared" si="1"/>
        <v>0</v>
      </c>
      <c r="L46" s="283">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2021</v>
      </c>
      <c r="M46" s="129"/>
      <c r="N46" s="65"/>
      <c r="O46" s="278"/>
      <c r="P46" s="278"/>
      <c r="Q46" s="278"/>
      <c r="R46" s="278"/>
      <c r="S46" s="278"/>
      <c r="T46" s="278"/>
      <c r="U46" s="278"/>
      <c r="V46" s="278"/>
    </row>
    <row r="47" spans="1:22" ht="22" customHeight="1">
      <c r="A47" s="280" t="s">
        <v>118</v>
      </c>
      <c r="B47" s="92">
        <v>401999</v>
      </c>
      <c r="C47" s="46" t="s">
        <v>354</v>
      </c>
      <c r="D47" s="47">
        <v>46041</v>
      </c>
      <c r="E47" s="48" t="s">
        <v>2</v>
      </c>
      <c r="F47" s="49">
        <v>151.38</v>
      </c>
      <c r="G47" s="281">
        <f>IF(OR(E47="",F47=""),"",PID_KVLohnLookup($A$1,E47,F47,LOHNTABELLE!$H$4))</f>
        <v>1768.38</v>
      </c>
      <c r="H47" s="282">
        <f>IF(AND(ISNUMBER(D47),ISNUMBER(F47)),ROUNDDOWN(MIN(IF(OR(ISBLANK(I47),I47=""),EOMONTH(DATE(EINSTELLUNG!$C$35,$A$1,1),0),I47)-MAX(D47,DATE(EINSTELLUNG!$C$35,$A$1,1))+1)/DAY(EOMONTH(DATE(EINSTELLUNG!$C$35,$A$1,1),0))*F47,2),"")</f>
        <v>151.38</v>
      </c>
      <c r="I47" s="50"/>
      <c r="J47" s="51"/>
      <c r="K47" s="281">
        <f t="shared" si="1"/>
        <v>0</v>
      </c>
      <c r="L47" s="283">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1768.38</v>
      </c>
      <c r="M47" s="128"/>
      <c r="N47" s="66"/>
      <c r="O47" s="278"/>
      <c r="P47" s="278"/>
      <c r="Q47" s="278"/>
      <c r="R47" s="278"/>
      <c r="S47" s="278"/>
      <c r="T47" s="278"/>
      <c r="U47" s="278"/>
      <c r="V47" s="278"/>
    </row>
    <row r="48" spans="1:22" ht="22" customHeight="1">
      <c r="A48" s="280" t="s">
        <v>119</v>
      </c>
      <c r="B48" s="91">
        <v>401999</v>
      </c>
      <c r="C48" s="39" t="s">
        <v>292</v>
      </c>
      <c r="D48" s="43">
        <v>46082</v>
      </c>
      <c r="E48" s="41" t="s">
        <v>2</v>
      </c>
      <c r="F48" s="42">
        <v>173</v>
      </c>
      <c r="G48" s="281">
        <f>IF(OR(E48="",F48=""),"",PID_KVLohnLookup($A$1,E48,F48,LOHNTABELLE!$H$4))</f>
        <v>2021</v>
      </c>
      <c r="H48" s="282">
        <f>IF(AND(ISNUMBER(D48),ISNUMBER(F48)),ROUNDDOWN(MIN(IF(OR(ISBLANK(I48),I48=""),EOMONTH(DATE(EINSTELLUNG!$C$35,$A$1,1),0),I48)-MAX(D48,DATE(EINSTELLUNG!$C$35,$A$1,1))+1)/DAY(EOMONTH(DATE(EINSTELLUNG!$C$35,$A$1,1),0))*F48,2),"")</f>
        <v>173</v>
      </c>
      <c r="I48" s="43"/>
      <c r="J48" s="44"/>
      <c r="K48" s="281">
        <f t="shared" si="1"/>
        <v>0</v>
      </c>
      <c r="L48" s="283">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2021</v>
      </c>
      <c r="M48" s="129"/>
      <c r="N48" s="65"/>
      <c r="O48" s="278"/>
      <c r="P48" s="278"/>
      <c r="Q48" s="278"/>
      <c r="R48" s="278"/>
      <c r="S48" s="278"/>
      <c r="T48" s="278"/>
      <c r="U48" s="278"/>
      <c r="V48" s="278"/>
    </row>
    <row r="49" spans="1:22" ht="22" customHeight="1">
      <c r="A49" s="280" t="s">
        <v>120</v>
      </c>
      <c r="B49" s="92">
        <v>402000</v>
      </c>
      <c r="C49" s="46" t="s">
        <v>294</v>
      </c>
      <c r="D49" s="50">
        <v>46143</v>
      </c>
      <c r="E49" s="48" t="s">
        <v>2</v>
      </c>
      <c r="F49" s="49">
        <v>173</v>
      </c>
      <c r="G49" s="281">
        <f>IF(OR(E49="",F49=""),"",PID_KVLohnLookup($A$1,E49,F49,LOHNTABELLE!$H$4))</f>
        <v>2021</v>
      </c>
      <c r="H49" s="282">
        <f>IF(AND(ISNUMBER(D49),ISNUMBER(F49)),ROUNDDOWN(MIN(IF(OR(ISBLANK(I49),I49=""),EOMONTH(DATE(EINSTELLUNG!$C$35,$A$1,1),0),I49)-MAX(D49,DATE(EINSTELLUNG!$C$35,$A$1,1))+1)/DAY(EOMONTH(DATE(EINSTELLUNG!$C$35,$A$1,1),0))*F49,2),"")</f>
        <v>173</v>
      </c>
      <c r="I49" s="50"/>
      <c r="J49" s="51"/>
      <c r="K49" s="281">
        <f t="shared" si="1"/>
        <v>0</v>
      </c>
      <c r="L49" s="283">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2021</v>
      </c>
      <c r="M49" s="128"/>
      <c r="N49" s="66"/>
      <c r="O49" s="278"/>
      <c r="P49" s="278"/>
      <c r="Q49" s="278"/>
      <c r="R49" s="278"/>
      <c r="S49" s="278"/>
      <c r="T49" s="278"/>
      <c r="U49" s="278"/>
      <c r="V49" s="278"/>
    </row>
    <row r="50" spans="1:22" ht="22" customHeight="1">
      <c r="A50" s="280" t="s">
        <v>121</v>
      </c>
      <c r="B50" s="91">
        <v>402004</v>
      </c>
      <c r="C50" s="53" t="s">
        <v>295</v>
      </c>
      <c r="D50" s="43">
        <v>46122</v>
      </c>
      <c r="E50" s="41" t="s">
        <v>2</v>
      </c>
      <c r="F50" s="42">
        <v>173</v>
      </c>
      <c r="G50" s="281">
        <f>IF(OR(E50="",F50=""),"",PID_KVLohnLookup($A$1,E50,F50,LOHNTABELLE!$H$4))</f>
        <v>2021</v>
      </c>
      <c r="H50" s="282">
        <f>IF(AND(ISNUMBER(D50),ISNUMBER(F50)),ROUNDDOWN(MIN(IF(OR(ISBLANK(I50),I50=""),EOMONTH(DATE(EINSTELLUNG!$C$35,$A$1,1),0),I50)-MAX(D50,DATE(EINSTELLUNG!$C$35,$A$1,1))+1)/DAY(EOMONTH(DATE(EINSTELLUNG!$C$35,$A$1,1),0))*F50,2),"")</f>
        <v>173</v>
      </c>
      <c r="I50" s="43"/>
      <c r="J50" s="44"/>
      <c r="K50" s="281">
        <f t="shared" si="1"/>
        <v>0</v>
      </c>
      <c r="L50" s="283">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2021</v>
      </c>
      <c r="M50" s="129"/>
      <c r="N50" s="65"/>
      <c r="O50" s="278"/>
      <c r="P50" s="278"/>
      <c r="Q50" s="278"/>
      <c r="R50" s="278"/>
      <c r="S50" s="278"/>
      <c r="T50" s="278"/>
      <c r="U50" s="278"/>
      <c r="V50" s="278"/>
    </row>
    <row r="51" spans="1:22" ht="22" customHeight="1">
      <c r="A51" s="280" t="s">
        <v>122</v>
      </c>
      <c r="B51" s="92">
        <v>402405</v>
      </c>
      <c r="C51" s="46" t="s">
        <v>297</v>
      </c>
      <c r="D51" s="50">
        <v>46054</v>
      </c>
      <c r="E51" s="48" t="s">
        <v>2</v>
      </c>
      <c r="F51" s="49">
        <v>173</v>
      </c>
      <c r="G51" s="281">
        <f>IF(OR(E51="",F51=""),"",PID_KVLohnLookup($A$1,E51,F51,LOHNTABELLE!$H$4))</f>
        <v>2021</v>
      </c>
      <c r="H51" s="282">
        <f>IF(AND(ISNUMBER(D51),ISNUMBER(F51)),ROUNDDOWN(MIN(IF(OR(ISBLANK(I51),I51=""),EOMONTH(DATE(EINSTELLUNG!$C$35,$A$1,1),0),I51)-MAX(D51,DATE(EINSTELLUNG!$C$35,$A$1,1))+1)/DAY(EOMONTH(DATE(EINSTELLUNG!$C$35,$A$1,1),0))*F51,2),"")</f>
        <v>173</v>
      </c>
      <c r="I51" s="50"/>
      <c r="J51" s="51"/>
      <c r="K51" s="281">
        <f t="shared" si="1"/>
        <v>0</v>
      </c>
      <c r="L51" s="283">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2021</v>
      </c>
      <c r="M51" s="52"/>
      <c r="N51" s="127"/>
    </row>
    <row r="52" spans="1:22" ht="22" customHeight="1">
      <c r="A52" s="280" t="s">
        <v>123</v>
      </c>
      <c r="B52" s="91">
        <v>500600</v>
      </c>
      <c r="C52" s="39" t="s">
        <v>301</v>
      </c>
      <c r="D52" s="43">
        <v>46054</v>
      </c>
      <c r="E52" s="41" t="s">
        <v>2</v>
      </c>
      <c r="F52" s="42">
        <v>173</v>
      </c>
      <c r="G52" s="281">
        <f>IF(OR(E52="",F52=""),"",PID_KVLohnLookup($A$1,E52,F52,LOHNTABELLE!$H$4))</f>
        <v>2021</v>
      </c>
      <c r="H52" s="282">
        <f>IF(AND(ISNUMBER(D52),ISNUMBER(F52)),ROUNDDOWN(MIN(IF(OR(ISBLANK(I52),I52=""),EOMONTH(DATE(EINSTELLUNG!$C$35,$A$1,1),0),I52)-MAX(D52,DATE(EINSTELLUNG!$C$35,$A$1,1))+1)/DAY(EOMONTH(DATE(EINSTELLUNG!$C$35,$A$1,1),0))*F52,2),"")</f>
        <v>173</v>
      </c>
      <c r="I52" s="43"/>
      <c r="J52" s="44"/>
      <c r="K52" s="281">
        <f t="shared" si="1"/>
        <v>0</v>
      </c>
      <c r="L52" s="283">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2021</v>
      </c>
      <c r="M52" s="45"/>
      <c r="N52" s="65"/>
    </row>
    <row r="53" spans="1:22" ht="22" customHeight="1">
      <c r="A53" s="280" t="s">
        <v>124</v>
      </c>
      <c r="B53" s="92">
        <v>502000</v>
      </c>
      <c r="C53" s="46" t="s">
        <v>296</v>
      </c>
      <c r="D53" s="50">
        <v>46147</v>
      </c>
      <c r="E53" s="48" t="s">
        <v>2</v>
      </c>
      <c r="F53" s="49">
        <v>173</v>
      </c>
      <c r="G53" s="281">
        <f>IF(OR(E53="",F53=""),"",PID_KVLohnLookup($A$1,E53,F53,LOHNTABELLE!$H$4))</f>
        <v>2021</v>
      </c>
      <c r="H53" s="282">
        <f>IF(AND(ISNUMBER(D53),ISNUMBER(F53)),ROUNDDOWN(MIN(IF(OR(ISBLANK(I53),I53=""),EOMONTH(DATE(EINSTELLUNG!$C$35,$A$1,1),0),I53)-MAX(D53,DATE(EINSTELLUNG!$C$35,$A$1,1))+1)/DAY(EOMONTH(DATE(EINSTELLUNG!$C$35,$A$1,1),0))*F53,2),"")</f>
        <v>173</v>
      </c>
      <c r="I53" s="50"/>
      <c r="J53" s="51"/>
      <c r="K53" s="281">
        <f t="shared" si="1"/>
        <v>0</v>
      </c>
      <c r="L53" s="283">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2021</v>
      </c>
      <c r="M53" s="52"/>
      <c r="N53" s="66"/>
    </row>
    <row r="54" spans="1:22" ht="22" customHeight="1">
      <c r="A54" s="280" t="s">
        <v>125</v>
      </c>
      <c r="B54" s="91">
        <v>503000</v>
      </c>
      <c r="C54" s="39" t="s">
        <v>298</v>
      </c>
      <c r="D54" s="43">
        <v>42401</v>
      </c>
      <c r="E54" s="41" t="s">
        <v>2</v>
      </c>
      <c r="F54" s="42">
        <v>173</v>
      </c>
      <c r="G54" s="281">
        <f>IF(OR(E54="",F54=""),"",PID_KVLohnLookup($A$1,E54,F54,LOHNTABELLE!$H$4))</f>
        <v>2021</v>
      </c>
      <c r="H54" s="282">
        <f>IF(AND(ISNUMBER(D54),ISNUMBER(F54)),ROUNDDOWN(MIN(IF(OR(ISBLANK(I54),I54=""),EOMONTH(DATE(EINSTELLUNG!$C$35,$A$1,1),0),I54)-MAX(D54,DATE(EINSTELLUNG!$C$35,$A$1,1))+1)/DAY(EOMONTH(DATE(EINSTELLUNG!$C$35,$A$1,1),0))*F54,2),"")</f>
        <v>173</v>
      </c>
      <c r="I54" s="43"/>
      <c r="J54" s="44"/>
      <c r="K54" s="281">
        <f t="shared" si="1"/>
        <v>0</v>
      </c>
      <c r="L54" s="283">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2021</v>
      </c>
      <c r="M54" s="45"/>
      <c r="N54" s="65"/>
    </row>
    <row r="55" spans="1:22" ht="22" customHeight="1">
      <c r="A55" s="280" t="s">
        <v>126</v>
      </c>
      <c r="B55" s="92">
        <v>504000</v>
      </c>
      <c r="C55" s="46" t="s">
        <v>299</v>
      </c>
      <c r="D55" s="50">
        <v>46054</v>
      </c>
      <c r="E55" s="48" t="s">
        <v>3</v>
      </c>
      <c r="F55" s="49">
        <v>138.4</v>
      </c>
      <c r="G55" s="281">
        <f>IF(OR(E55="",F55=""),"",PID_KVLohnLookup($A$1,E55,F55,LOHNTABELLE!$H$4))</f>
        <v>1665.6</v>
      </c>
      <c r="H55" s="282">
        <f>IF(AND(ISNUMBER(D55),ISNUMBER(F55)),ROUNDDOWN(MIN(IF(OR(ISBLANK(I55),I55=""),EOMONTH(DATE(EINSTELLUNG!$C$35,$A$1,1),0),I55)-MAX(D55,DATE(EINSTELLUNG!$C$35,$A$1,1))+1)/DAY(EOMONTH(DATE(EINSTELLUNG!$C$35,$A$1,1),0))*F55,2),"")</f>
        <v>138.4</v>
      </c>
      <c r="I55" s="50"/>
      <c r="J55" s="51"/>
      <c r="K55" s="281">
        <f t="shared" si="1"/>
        <v>0</v>
      </c>
      <c r="L55" s="283">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1665.6</v>
      </c>
      <c r="M55" s="52"/>
      <c r="N55" s="66"/>
    </row>
    <row r="56" spans="1:22" ht="22" customHeight="1">
      <c r="A56" s="280" t="s">
        <v>127</v>
      </c>
      <c r="B56" s="91">
        <v>505000</v>
      </c>
      <c r="C56" s="39" t="s">
        <v>300</v>
      </c>
      <c r="D56" s="43">
        <v>46054</v>
      </c>
      <c r="E56" s="41" t="s">
        <v>2</v>
      </c>
      <c r="F56" s="42">
        <v>138.4</v>
      </c>
      <c r="G56" s="281">
        <f>IF(OR(E56="",F56=""),"",PID_KVLohnLookup($A$1,E56,F56,LOHNTABELLE!$H$4))</f>
        <v>1616.8</v>
      </c>
      <c r="H56" s="282">
        <f>IF(AND(ISNUMBER(D56),ISNUMBER(F56)),ROUNDDOWN(MIN(IF(OR(ISBLANK(I56),I56=""),EOMONTH(DATE(EINSTELLUNG!$C$35,$A$1,1),0),I56)-MAX(D56,DATE(EINSTELLUNG!$C$35,$A$1,1))+1)/DAY(EOMONTH(DATE(EINSTELLUNG!$C$35,$A$1,1),0))*F56,2),"")</f>
        <v>138.4</v>
      </c>
      <c r="I56" s="43"/>
      <c r="J56" s="44"/>
      <c r="K56" s="281">
        <f t="shared" si="1"/>
        <v>0</v>
      </c>
      <c r="L56" s="283">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1616.8</v>
      </c>
      <c r="M56" s="45"/>
      <c r="N56" s="65"/>
    </row>
    <row r="57" spans="1:22" ht="22" customHeight="1">
      <c r="A57" s="280" t="s">
        <v>128</v>
      </c>
      <c r="B57" s="92">
        <v>525025</v>
      </c>
      <c r="C57" s="46" t="s">
        <v>355</v>
      </c>
      <c r="D57" s="50">
        <v>46040</v>
      </c>
      <c r="E57" s="48" t="s">
        <v>2</v>
      </c>
      <c r="F57" s="49">
        <v>129.75</v>
      </c>
      <c r="G57" s="281">
        <f>IF(OR(E57="",F57=""),"",PID_KVLohnLookup($A$1,E57,F57,LOHNTABELLE!$H$4))</f>
        <v>1515.75</v>
      </c>
      <c r="H57" s="282">
        <f>IF(AND(ISNUMBER(D57),ISNUMBER(F57)),ROUNDDOWN(MIN(IF(OR(ISBLANK(I57),I57=""),EOMONTH(DATE(EINSTELLUNG!$C$35,$A$1,1),0),I57)-MAX(D57,DATE(EINSTELLUNG!$C$35,$A$1,1))+1)/DAY(EOMONTH(DATE(EINSTELLUNG!$C$35,$A$1,1),0))*F57,2),"")</f>
        <v>129.75</v>
      </c>
      <c r="I57" s="50"/>
      <c r="J57" s="51"/>
      <c r="K57" s="281">
        <f t="shared" si="1"/>
        <v>0</v>
      </c>
      <c r="L57" s="283">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1515.75</v>
      </c>
      <c r="M57" s="52"/>
      <c r="N57" s="66"/>
    </row>
    <row r="58" spans="1:22" ht="22" customHeight="1">
      <c r="A58" s="280" t="s">
        <v>129</v>
      </c>
      <c r="B58" s="91">
        <v>700000</v>
      </c>
      <c r="C58" s="39" t="s">
        <v>308</v>
      </c>
      <c r="D58" s="43">
        <v>46054</v>
      </c>
      <c r="E58" s="41" t="s">
        <v>2</v>
      </c>
      <c r="F58" s="42">
        <v>173</v>
      </c>
      <c r="G58" s="281">
        <f>IF(OR(E58="",F58=""),"",PID_KVLohnLookup($A$1,E58,F58,LOHNTABELLE!$H$4))</f>
        <v>2021</v>
      </c>
      <c r="H58" s="282">
        <f>IF(AND(ISNUMBER(D58),ISNUMBER(F58)),ROUNDDOWN(MIN(IF(OR(ISBLANK(I58),I58=""),EOMONTH(DATE(EINSTELLUNG!$C$35,$A$1,1),0),I58)-MAX(D58,DATE(EINSTELLUNG!$C$35,$A$1,1))+1)/DAY(EOMONTH(DATE(EINSTELLUNG!$C$35,$A$1,1),0))*F58,2),"")</f>
        <v>173</v>
      </c>
      <c r="I58" s="43"/>
      <c r="J58" s="44"/>
      <c r="K58" s="281">
        <f t="shared" si="1"/>
        <v>0</v>
      </c>
      <c r="L58" s="283">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2021</v>
      </c>
      <c r="M58" s="45"/>
      <c r="N58" s="65"/>
    </row>
    <row r="59" spans="1:22" ht="22" customHeight="1">
      <c r="A59" s="280" t="s">
        <v>130</v>
      </c>
      <c r="B59" s="92">
        <v>800000</v>
      </c>
      <c r="C59" s="46" t="s">
        <v>309</v>
      </c>
      <c r="D59" s="50">
        <v>46096</v>
      </c>
      <c r="E59" s="48" t="s">
        <v>2</v>
      </c>
      <c r="F59" s="49">
        <v>86.5</v>
      </c>
      <c r="G59" s="281">
        <f>IF(OR(E59="",F59=""),"",PID_KVLohnLookup($A$1,E59,F59,LOHNTABELLE!$H$4))</f>
        <v>1010.5</v>
      </c>
      <c r="H59" s="282">
        <f>IF(AND(ISNUMBER(D59),ISNUMBER(F59)),ROUNDDOWN(MIN(IF(OR(ISBLANK(I59),I59=""),EOMONTH(DATE(EINSTELLUNG!$C$35,$A$1,1),0),I59)-MAX(D59,DATE(EINSTELLUNG!$C$35,$A$1,1))+1)/DAY(EOMONTH(DATE(EINSTELLUNG!$C$35,$A$1,1),0))*F59,2),"")</f>
        <v>86.5</v>
      </c>
      <c r="I59" s="50"/>
      <c r="J59" s="51"/>
      <c r="K59" s="281">
        <f t="shared" si="1"/>
        <v>0</v>
      </c>
      <c r="L59" s="283">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1010.5</v>
      </c>
      <c r="M59" s="52"/>
      <c r="N59" s="66"/>
    </row>
    <row r="60" spans="1:22" ht="22" customHeight="1">
      <c r="A60" s="280" t="s">
        <v>131</v>
      </c>
      <c r="B60" s="91"/>
      <c r="C60" s="39"/>
      <c r="D60" s="43"/>
      <c r="E60" s="41"/>
      <c r="F60" s="42"/>
      <c r="G60" s="281" t="str">
        <f>IF(OR(E60="",F60=""),"",PID_KVLohnLookup($A$1,E60,F60,LOHNTABELLE!$H$4))</f>
        <v/>
      </c>
      <c r="H60" s="282" t="str">
        <f>IF(AND(ISNUMBER(D60),ISNUMBER(F60)),ROUNDDOWN(MIN(IF(OR(ISBLANK(I60),I60=""),EOMONTH(DATE(EINSTELLUNG!$C$35,$A$1,1),0),I60)-MAX(D60,DATE(EINSTELLUNG!$C$35,$A$1,1))+1)/DAY(EOMONTH(DATE(EINSTELLUNG!$C$35,$A$1,1),0))*F60,2),"")</f>
        <v/>
      </c>
      <c r="I60" s="43"/>
      <c r="J60" s="44"/>
      <c r="K60" s="281" t="str">
        <f t="shared" si="1"/>
        <v/>
      </c>
      <c r="L60" s="283" t="str">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
      </c>
      <c r="M60" s="45"/>
      <c r="N60" s="65"/>
    </row>
    <row r="61" spans="1:22" ht="22" customHeight="1">
      <c r="A61" s="280" t="s">
        <v>132</v>
      </c>
      <c r="B61" s="92"/>
      <c r="C61" s="46"/>
      <c r="D61" s="50"/>
      <c r="E61" s="48"/>
      <c r="F61" s="49"/>
      <c r="G61" s="281" t="str">
        <f>IF(OR(E61="",F61=""),"",PID_KVLohnLookup($A$1,E61,F61,LOHNTABELLE!$H$4))</f>
        <v/>
      </c>
      <c r="H61" s="282" t="str">
        <f>IF(AND(ISNUMBER(D61),ISNUMBER(F61)),ROUNDDOWN(MIN(IF(OR(ISBLANK(I61),I61=""),EOMONTH(DATE(EINSTELLUNG!$C$35,$A$1,1),0),I61)-MAX(D61,DATE(EINSTELLUNG!$C$35,$A$1,1))+1)/DAY(EOMONTH(DATE(EINSTELLUNG!$C$35,$A$1,1),0))*F61,2),"")</f>
        <v/>
      </c>
      <c r="I61" s="50"/>
      <c r="J61" s="51"/>
      <c r="K61" s="281" t="str">
        <f t="shared" si="1"/>
        <v/>
      </c>
      <c r="L61" s="283" t="str">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52"/>
      <c r="N61" s="66"/>
    </row>
    <row r="62" spans="1:22" ht="22" customHeight="1">
      <c r="A62" s="280" t="s">
        <v>133</v>
      </c>
      <c r="B62" s="91"/>
      <c r="C62" s="39"/>
      <c r="D62" s="43"/>
      <c r="E62" s="41"/>
      <c r="F62" s="42"/>
      <c r="G62" s="281" t="str">
        <f>IF(OR(E62="",F62=""),"",PID_KVLohnLookup($A$1,E62,F62,LOHNTABELLE!$H$4))</f>
        <v/>
      </c>
      <c r="H62" s="282" t="str">
        <f>IF(AND(ISNUMBER(D62),ISNUMBER(F62)),ROUNDDOWN(MIN(IF(OR(ISBLANK(I62),I62=""),EOMONTH(DATE(EINSTELLUNG!$C$35,$A$1,1),0),I62)-MAX(D62,DATE(EINSTELLUNG!$C$35,$A$1,1))+1)/DAY(EOMONTH(DATE(EINSTELLUNG!$C$35,$A$1,1),0))*F62,2),"")</f>
        <v/>
      </c>
      <c r="I62" s="43"/>
      <c r="J62" s="44"/>
      <c r="K62" s="281" t="str">
        <f t="shared" si="1"/>
        <v/>
      </c>
      <c r="L62" s="283"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45"/>
      <c r="N62" s="65"/>
    </row>
    <row r="63" spans="1:22" ht="22" customHeight="1">
      <c r="A63" s="280" t="s">
        <v>134</v>
      </c>
      <c r="B63" s="92"/>
      <c r="C63" s="46"/>
      <c r="D63" s="50"/>
      <c r="E63" s="48"/>
      <c r="F63" s="49"/>
      <c r="G63" s="281" t="str">
        <f>IF(OR(E63="",F63=""),"",PID_KVLohnLookup($A$1,E63,F63,LOHNTABELLE!$H$4))</f>
        <v/>
      </c>
      <c r="H63" s="282" t="str">
        <f>IF(AND(ISNUMBER(D63),ISNUMBER(F63)),ROUNDDOWN(MIN(IF(OR(ISBLANK(I63),I63=""),EOMONTH(DATE(EINSTELLUNG!$C$35,$A$1,1),0),I63)-MAX(D63,DATE(EINSTELLUNG!$C$35,$A$1,1))+1)/DAY(EOMONTH(DATE(EINSTELLUNG!$C$35,$A$1,1),0))*F63,2),"")</f>
        <v/>
      </c>
      <c r="I63" s="50"/>
      <c r="J63" s="51"/>
      <c r="K63" s="281" t="str">
        <f t="shared" si="1"/>
        <v/>
      </c>
      <c r="L63" s="283"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52"/>
      <c r="N63" s="66"/>
    </row>
    <row r="64" spans="1:22" ht="22" customHeight="1">
      <c r="A64" s="280" t="s">
        <v>135</v>
      </c>
      <c r="B64" s="91"/>
      <c r="C64" s="39"/>
      <c r="D64" s="43"/>
      <c r="E64" s="41"/>
      <c r="F64" s="42"/>
      <c r="G64" s="281" t="str">
        <f>IF(OR(E64="",F64=""),"",PID_KVLohnLookup($A$1,E64,F64,LOHNTABELLE!$H$4))</f>
        <v/>
      </c>
      <c r="H64" s="282" t="str">
        <f>IF(AND(ISNUMBER(D64),ISNUMBER(F64)),ROUNDDOWN(MIN(IF(OR(ISBLANK(I64),I64=""),EOMONTH(DATE(EINSTELLUNG!$C$35,$A$1,1),0),I64)-MAX(D64,DATE(EINSTELLUNG!$C$35,$A$1,1))+1)/DAY(EOMONTH(DATE(EINSTELLUNG!$C$35,$A$1,1),0))*F64,2),"")</f>
        <v/>
      </c>
      <c r="I64" s="43"/>
      <c r="J64" s="44"/>
      <c r="K64" s="281" t="str">
        <f t="shared" si="1"/>
        <v/>
      </c>
      <c r="L64" s="283"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45"/>
      <c r="N64" s="65"/>
    </row>
    <row r="65" spans="1:14" ht="22" customHeight="1">
      <c r="A65" s="280" t="s">
        <v>136</v>
      </c>
      <c r="B65" s="92"/>
      <c r="C65" s="46"/>
      <c r="D65" s="50"/>
      <c r="E65" s="48"/>
      <c r="F65" s="49"/>
      <c r="G65" s="281" t="str">
        <f>IF(OR(E65="",F65=""),"",PID_KVLohnLookup($A$1,E65,F65,LOHNTABELLE!$H$4))</f>
        <v/>
      </c>
      <c r="H65" s="282" t="str">
        <f>IF(AND(ISNUMBER(D65),ISNUMBER(F65)),ROUNDDOWN(MIN(IF(OR(ISBLANK(I65),I65=""),EOMONTH(DATE(EINSTELLUNG!$C$35,$A$1,1),0),I65)-MAX(D65,DATE(EINSTELLUNG!$C$35,$A$1,1))+1)/DAY(EOMONTH(DATE(EINSTELLUNG!$C$35,$A$1,1),0))*F65,2),"")</f>
        <v/>
      </c>
      <c r="I65" s="50"/>
      <c r="J65" s="51"/>
      <c r="K65" s="281" t="str">
        <f t="shared" si="1"/>
        <v/>
      </c>
      <c r="L65" s="283"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52"/>
      <c r="N65" s="66"/>
    </row>
    <row r="66" spans="1:14" ht="22" customHeight="1">
      <c r="A66" s="280" t="s">
        <v>137</v>
      </c>
      <c r="B66" s="91"/>
      <c r="C66" s="39"/>
      <c r="D66" s="43"/>
      <c r="E66" s="41"/>
      <c r="F66" s="42"/>
      <c r="G66" s="281" t="str">
        <f>IF(OR(E66="",F66=""),"",PID_KVLohnLookup($A$1,E66,F66,LOHNTABELLE!$H$4))</f>
        <v/>
      </c>
      <c r="H66" s="282" t="str">
        <f>IF(AND(ISNUMBER(D66),ISNUMBER(F66)),ROUNDDOWN(MIN(IF(OR(ISBLANK(I66),I66=""),EOMONTH(DATE(EINSTELLUNG!$C$35,$A$1,1),0),I66)-MAX(D66,DATE(EINSTELLUNG!$C$35,$A$1,1))+1)/DAY(EOMONTH(DATE(EINSTELLUNG!$C$35,$A$1,1),0))*F66,2),"")</f>
        <v/>
      </c>
      <c r="I66" s="43"/>
      <c r="J66" s="44"/>
      <c r="K66" s="281" t="str">
        <f t="shared" si="1"/>
        <v/>
      </c>
      <c r="L66" s="283"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45"/>
      <c r="N66" s="65"/>
    </row>
    <row r="67" spans="1:14" ht="22" customHeight="1">
      <c r="A67" s="280" t="s">
        <v>138</v>
      </c>
      <c r="B67" s="92"/>
      <c r="C67" s="46"/>
      <c r="D67" s="50"/>
      <c r="E67" s="48"/>
      <c r="F67" s="49"/>
      <c r="G67" s="281" t="str">
        <f>IF(OR(E67="",F67=""),"",PID_KVLohnLookup($A$1,E67,F67,LOHNTABELLE!$H$4))</f>
        <v/>
      </c>
      <c r="H67" s="282" t="str">
        <f>IF(AND(ISNUMBER(D67),ISNUMBER(F67)),ROUNDDOWN(MIN(IF(OR(ISBLANK(I67),I67=""),EOMONTH(DATE(EINSTELLUNG!$C$35,$A$1,1),0),I67)-MAX(D67,DATE(EINSTELLUNG!$C$35,$A$1,1))+1)/DAY(EOMONTH(DATE(EINSTELLUNG!$C$35,$A$1,1),0))*F67,2),"")</f>
        <v/>
      </c>
      <c r="I67" s="50"/>
      <c r="J67" s="51"/>
      <c r="K67" s="281" t="str">
        <f t="shared" ref="K67:K82" si="3">IF(OR(B67="",C67=""),"",IFERROR(IF(OR(MONTH(D67)=1,MONTH(D67)=3,MONTH(D67)=5,MONTH(D67)=7,MONTH(D67)=8,MONTH(D67)=10,MONTH(D67)=12),(G67/31)*J67,IF(OR(MONTH(D67)=4,MONTH(D67)=6,MONTH(D67)=9,MONTH(D67)=11),(G67/30)*J67,(G67/DAY(EOMONTH(D67,0)))*J67)),0))</f>
        <v/>
      </c>
      <c r="L67" s="283"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52"/>
      <c r="N67" s="66"/>
    </row>
    <row r="68" spans="1:14" ht="22" customHeight="1">
      <c r="A68" s="280" t="s">
        <v>139</v>
      </c>
      <c r="B68" s="91"/>
      <c r="C68" s="39"/>
      <c r="D68" s="43"/>
      <c r="E68" s="41"/>
      <c r="F68" s="42"/>
      <c r="G68" s="281" t="str">
        <f>IF(OR(E68="",F68=""),"",PID_KVLohnLookup($A$1,E68,F68,LOHNTABELLE!$H$4))</f>
        <v/>
      </c>
      <c r="H68" s="282" t="str">
        <f>IF(AND(ISNUMBER(D68),ISNUMBER(F68)),ROUNDDOWN(MIN(IF(OR(ISBLANK(I68),I68=""),EOMONTH(DATE(EINSTELLUNG!$C$35,$A$1,1),0),I68)-MAX(D68,DATE(EINSTELLUNG!$C$35,$A$1,1))+1)/DAY(EOMONTH(DATE(EINSTELLUNG!$C$35,$A$1,1),0))*F68,2),"")</f>
        <v/>
      </c>
      <c r="I68" s="43"/>
      <c r="J68" s="44"/>
      <c r="K68" s="281" t="str">
        <f t="shared" si="3"/>
        <v/>
      </c>
      <c r="L68" s="283"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45"/>
      <c r="N68" s="65"/>
    </row>
    <row r="69" spans="1:14" ht="22" customHeight="1">
      <c r="A69" s="280" t="s">
        <v>140</v>
      </c>
      <c r="B69" s="92"/>
      <c r="C69" s="46"/>
      <c r="D69" s="50"/>
      <c r="E69" s="48"/>
      <c r="F69" s="49"/>
      <c r="G69" s="281" t="str">
        <f>IF(OR(E69="",F69=""),"",PID_KVLohnLookup($A$1,E69,F69,LOHNTABELLE!$H$4))</f>
        <v/>
      </c>
      <c r="H69" s="282" t="str">
        <f>IF(AND(ISNUMBER(D69),ISNUMBER(F69)),ROUNDDOWN(MIN(IF(OR(ISBLANK(I69),I69=""),EOMONTH(DATE(EINSTELLUNG!$C$35,$A$1,1),0),I69)-MAX(D69,DATE(EINSTELLUNG!$C$35,$A$1,1))+1)/DAY(EOMONTH(DATE(EINSTELLUNG!$C$35,$A$1,1),0))*F69,2),"")</f>
        <v/>
      </c>
      <c r="I69" s="50"/>
      <c r="J69" s="51"/>
      <c r="K69" s="281" t="str">
        <f t="shared" si="3"/>
        <v/>
      </c>
      <c r="L69" s="283"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52"/>
      <c r="N69" s="66"/>
    </row>
    <row r="70" spans="1:14" ht="22" customHeight="1">
      <c r="A70" s="280" t="s">
        <v>141</v>
      </c>
      <c r="B70" s="91"/>
      <c r="C70" s="39"/>
      <c r="D70" s="43"/>
      <c r="E70" s="41"/>
      <c r="F70" s="42"/>
      <c r="G70" s="281" t="str">
        <f>IF(OR(E70="",F70=""),"",PID_KVLohnLookup($A$1,E70,F70,LOHNTABELLE!$H$4))</f>
        <v/>
      </c>
      <c r="H70" s="282" t="str">
        <f>IF(AND(ISNUMBER(D70),ISNUMBER(F70)),ROUNDDOWN(MIN(IF(OR(ISBLANK(I70),I70=""),EOMONTH(DATE(EINSTELLUNG!$C$35,$A$1,1),0),I70)-MAX(D70,DATE(EINSTELLUNG!$C$35,$A$1,1))+1)/DAY(EOMONTH(DATE(EINSTELLUNG!$C$35,$A$1,1),0))*F70,2),"")</f>
        <v/>
      </c>
      <c r="I70" s="43"/>
      <c r="J70" s="44"/>
      <c r="K70" s="281" t="str">
        <f t="shared" si="3"/>
        <v/>
      </c>
      <c r="L70" s="283"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45"/>
      <c r="N70" s="65"/>
    </row>
    <row r="71" spans="1:14" ht="22" customHeight="1">
      <c r="A71" s="280" t="s">
        <v>142</v>
      </c>
      <c r="B71" s="92"/>
      <c r="C71" s="46"/>
      <c r="D71" s="50"/>
      <c r="E71" s="48"/>
      <c r="F71" s="49"/>
      <c r="G71" s="281" t="str">
        <f>IF(OR(E71="",F71=""),"",PID_KVLohnLookup($A$1,E71,F71,LOHNTABELLE!$H$4))</f>
        <v/>
      </c>
      <c r="H71" s="282" t="str">
        <f>IF(AND(ISNUMBER(D71),ISNUMBER(F71)),ROUNDDOWN(MIN(IF(OR(ISBLANK(I71),I71=""),EOMONTH(DATE(EINSTELLUNG!$C$35,$A$1,1),0),I71)-MAX(D71,DATE(EINSTELLUNG!$C$35,$A$1,1))+1)/DAY(EOMONTH(DATE(EINSTELLUNG!$C$35,$A$1,1),0))*F71,2),"")</f>
        <v/>
      </c>
      <c r="I71" s="50"/>
      <c r="J71" s="51"/>
      <c r="K71" s="281" t="str">
        <f t="shared" si="3"/>
        <v/>
      </c>
      <c r="L71" s="283"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52"/>
      <c r="N71" s="66"/>
    </row>
    <row r="72" spans="1:14" ht="22" customHeight="1">
      <c r="A72" s="280" t="s">
        <v>143</v>
      </c>
      <c r="B72" s="91"/>
      <c r="C72" s="39"/>
      <c r="D72" s="43"/>
      <c r="E72" s="41"/>
      <c r="F72" s="42"/>
      <c r="G72" s="281" t="str">
        <f>IF(OR(E72="",F72=""),"",PID_KVLohnLookup($A$1,E72,F72,LOHNTABELLE!$H$4))</f>
        <v/>
      </c>
      <c r="H72" s="282" t="str">
        <f>IF(AND(ISNUMBER(D72),ISNUMBER(F72)),ROUNDDOWN(MIN(IF(OR(ISBLANK(I72),I72=""),EOMONTH(DATE(EINSTELLUNG!$C$35,$A$1,1),0),I72)-MAX(D72,DATE(EINSTELLUNG!$C$35,$A$1,1))+1)/DAY(EOMONTH(DATE(EINSTELLUNG!$C$35,$A$1,1),0))*F72,2),"")</f>
        <v/>
      </c>
      <c r="I72" s="43"/>
      <c r="J72" s="44"/>
      <c r="K72" s="281" t="str">
        <f t="shared" si="3"/>
        <v/>
      </c>
      <c r="L72" s="283"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45"/>
      <c r="N72" s="65"/>
    </row>
    <row r="73" spans="1:14" ht="22" customHeight="1">
      <c r="A73" s="280" t="s">
        <v>144</v>
      </c>
      <c r="B73" s="92"/>
      <c r="C73" s="46"/>
      <c r="D73" s="50"/>
      <c r="E73" s="48"/>
      <c r="F73" s="49"/>
      <c r="G73" s="281" t="str">
        <f>IF(OR(E73="",F73=""),"",PID_KVLohnLookup($A$1,E73,F73,LOHNTABELLE!$H$4))</f>
        <v/>
      </c>
      <c r="H73" s="282" t="str">
        <f>IF(AND(ISNUMBER(D73),ISNUMBER(F73)),ROUNDDOWN(MIN(IF(OR(ISBLANK(I73),I73=""),EOMONTH(DATE(EINSTELLUNG!$C$35,$A$1,1),0),I73)-MAX(D73,DATE(EINSTELLUNG!$C$35,$A$1,1))+1)/DAY(EOMONTH(DATE(EINSTELLUNG!$C$35,$A$1,1),0))*F73,2),"")</f>
        <v/>
      </c>
      <c r="I73" s="50"/>
      <c r="J73" s="51"/>
      <c r="K73" s="281" t="str">
        <f t="shared" si="3"/>
        <v/>
      </c>
      <c r="L73" s="283"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52"/>
      <c r="N73" s="66"/>
    </row>
    <row r="74" spans="1:14" ht="22" customHeight="1">
      <c r="A74" s="280" t="s">
        <v>145</v>
      </c>
      <c r="B74" s="91"/>
      <c r="C74" s="39"/>
      <c r="D74" s="43"/>
      <c r="E74" s="41"/>
      <c r="F74" s="42"/>
      <c r="G74" s="281" t="str">
        <f>IF(OR(E74="",F74=""),"",PID_KVLohnLookup($A$1,E74,F74,LOHNTABELLE!$H$4))</f>
        <v/>
      </c>
      <c r="H74" s="282" t="str">
        <f>IF(AND(ISNUMBER(D74),ISNUMBER(F74)),ROUNDDOWN(MIN(IF(OR(ISBLANK(I74),I74=""),EOMONTH(DATE(EINSTELLUNG!$C$35,$A$1,1),0),I74)-MAX(D74,DATE(EINSTELLUNG!$C$35,$A$1,1))+1)/DAY(EOMONTH(DATE(EINSTELLUNG!$C$35,$A$1,1),0))*F74,2),"")</f>
        <v/>
      </c>
      <c r="I74" s="43"/>
      <c r="J74" s="44"/>
      <c r="K74" s="281" t="str">
        <f t="shared" si="3"/>
        <v/>
      </c>
      <c r="L74" s="283"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45"/>
      <c r="N74" s="65"/>
    </row>
    <row r="75" spans="1:14" ht="22" customHeight="1">
      <c r="A75" s="280" t="s">
        <v>146</v>
      </c>
      <c r="B75" s="92"/>
      <c r="C75" s="46"/>
      <c r="D75" s="50"/>
      <c r="E75" s="48"/>
      <c r="F75" s="49"/>
      <c r="G75" s="281" t="str">
        <f>IF(OR(E75="",F75=""),"",PID_KVLohnLookup($A$1,E75,F75,LOHNTABELLE!$H$4))</f>
        <v/>
      </c>
      <c r="H75" s="282" t="str">
        <f>IF(AND(ISNUMBER(D75),ISNUMBER(F75)),ROUNDDOWN(MIN(IF(OR(ISBLANK(I75),I75=""),EOMONTH(DATE(EINSTELLUNG!$C$35,$A$1,1),0),I75)-MAX(D75,DATE(EINSTELLUNG!$C$35,$A$1,1))+1)/DAY(EOMONTH(DATE(EINSTELLUNG!$C$35,$A$1,1),0))*F75,2),"")</f>
        <v/>
      </c>
      <c r="I75" s="50"/>
      <c r="J75" s="51"/>
      <c r="K75" s="281" t="str">
        <f t="shared" si="3"/>
        <v/>
      </c>
      <c r="L75" s="283"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52"/>
      <c r="N75" s="66"/>
    </row>
    <row r="76" spans="1:14" ht="22" customHeight="1">
      <c r="A76" s="280" t="s">
        <v>147</v>
      </c>
      <c r="B76" s="91"/>
      <c r="C76" s="39"/>
      <c r="D76" s="43"/>
      <c r="E76" s="41"/>
      <c r="F76" s="42"/>
      <c r="G76" s="281" t="str">
        <f>IF(OR(E76="",F76=""),"",PID_KVLohnLookup($A$1,E76,F76,LOHNTABELLE!$H$4))</f>
        <v/>
      </c>
      <c r="H76" s="282" t="str">
        <f>IF(AND(ISNUMBER(D76),ISNUMBER(F76)),ROUNDDOWN(MIN(IF(OR(ISBLANK(I76),I76=""),EOMONTH(DATE(EINSTELLUNG!$C$35,$A$1,1),0),I76)-MAX(D76,DATE(EINSTELLUNG!$C$35,$A$1,1))+1)/DAY(EOMONTH(DATE(EINSTELLUNG!$C$35,$A$1,1),0))*F76,2),"")</f>
        <v/>
      </c>
      <c r="I76" s="43"/>
      <c r="J76" s="44"/>
      <c r="K76" s="281" t="str">
        <f t="shared" si="3"/>
        <v/>
      </c>
      <c r="L76" s="283"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45"/>
      <c r="N76" s="65"/>
    </row>
    <row r="77" spans="1:14" ht="22" customHeight="1">
      <c r="A77" s="280" t="s">
        <v>148</v>
      </c>
      <c r="B77" s="92"/>
      <c r="C77" s="46"/>
      <c r="D77" s="50"/>
      <c r="E77" s="48"/>
      <c r="F77" s="49"/>
      <c r="G77" s="281" t="str">
        <f>IF(OR(E77="",F77=""),"",PID_KVLohnLookup($A$1,E77,F77,LOHNTABELLE!$H$4))</f>
        <v/>
      </c>
      <c r="H77" s="282" t="str">
        <f>IF(AND(ISNUMBER(D77),ISNUMBER(F77)),ROUNDDOWN(MIN(IF(OR(ISBLANK(I77),I77=""),EOMONTH(DATE(EINSTELLUNG!$C$35,$A$1,1),0),I77)-MAX(D77,DATE(EINSTELLUNG!$C$35,$A$1,1))+1)/DAY(EOMONTH(DATE(EINSTELLUNG!$C$35,$A$1,1),0))*F77,2),"")</f>
        <v/>
      </c>
      <c r="I77" s="50"/>
      <c r="J77" s="51"/>
      <c r="K77" s="281" t="str">
        <f t="shared" si="3"/>
        <v/>
      </c>
      <c r="L77" s="283"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52"/>
      <c r="N77" s="66"/>
    </row>
    <row r="78" spans="1:14" ht="22" customHeight="1">
      <c r="A78" s="280" t="s">
        <v>149</v>
      </c>
      <c r="B78" s="91"/>
      <c r="C78" s="39"/>
      <c r="D78" s="43"/>
      <c r="E78" s="41"/>
      <c r="F78" s="42"/>
      <c r="G78" s="281" t="str">
        <f>IF(OR(E78="",F78=""),"",PID_KVLohnLookup($A$1,E78,F78,LOHNTABELLE!$H$4))</f>
        <v/>
      </c>
      <c r="H78" s="282" t="str">
        <f>IF(AND(ISNUMBER(D78),ISNUMBER(F78)),ROUNDDOWN(MIN(IF(OR(ISBLANK(I78),I78=""),EOMONTH(DATE(EINSTELLUNG!$C$35,$A$1,1),0),I78)-MAX(D78,DATE(EINSTELLUNG!$C$35,$A$1,1))+1)/DAY(EOMONTH(DATE(EINSTELLUNG!$C$35,$A$1,1),0))*F78,2),"")</f>
        <v/>
      </c>
      <c r="I78" s="43"/>
      <c r="J78" s="44"/>
      <c r="K78" s="281" t="str">
        <f t="shared" si="3"/>
        <v/>
      </c>
      <c r="L78" s="283"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45"/>
      <c r="N78" s="65"/>
    </row>
    <row r="79" spans="1:14" ht="22" customHeight="1">
      <c r="A79" s="280" t="s">
        <v>150</v>
      </c>
      <c r="B79" s="92"/>
      <c r="C79" s="46"/>
      <c r="D79" s="50"/>
      <c r="E79" s="48"/>
      <c r="F79" s="49"/>
      <c r="G79" s="281" t="str">
        <f>IF(OR(E79="",F79=""),"",PID_KVLohnLookup($A$1,E79,F79,LOHNTABELLE!$H$4))</f>
        <v/>
      </c>
      <c r="H79" s="282" t="str">
        <f>IF(AND(ISNUMBER(D79),ISNUMBER(F79)),ROUNDDOWN(MIN(IF(OR(ISBLANK(I79),I79=""),EOMONTH(DATE(EINSTELLUNG!$C$35,$A$1,1),0),I79)-MAX(D79,DATE(EINSTELLUNG!$C$35,$A$1,1))+1)/DAY(EOMONTH(DATE(EINSTELLUNG!$C$35,$A$1,1),0))*F79,2),"")</f>
        <v/>
      </c>
      <c r="I79" s="50"/>
      <c r="J79" s="51"/>
      <c r="K79" s="281" t="str">
        <f t="shared" si="3"/>
        <v/>
      </c>
      <c r="L79" s="283"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52"/>
      <c r="N79" s="66"/>
    </row>
    <row r="80" spans="1:14" ht="22" customHeight="1">
      <c r="A80" s="280" t="s">
        <v>151</v>
      </c>
      <c r="B80" s="91"/>
      <c r="C80" s="39"/>
      <c r="D80" s="43"/>
      <c r="E80" s="41"/>
      <c r="F80" s="42"/>
      <c r="G80" s="281" t="str">
        <f>IF(OR(E80="",F80=""),"",PID_KVLohnLookup($A$1,E80,F80,LOHNTABELLE!$H$4))</f>
        <v/>
      </c>
      <c r="H80" s="282" t="str">
        <f>IF(AND(ISNUMBER(D80),ISNUMBER(F80)),ROUNDDOWN(MIN(IF(OR(ISBLANK(I80),I80=""),EOMONTH(DATE(EINSTELLUNG!$C$35,$A$1,1),0),I80)-MAX(D80,DATE(EINSTELLUNG!$C$35,$A$1,1))+1)/DAY(EOMONTH(DATE(EINSTELLUNG!$C$35,$A$1,1),0))*F80,2),"")</f>
        <v/>
      </c>
      <c r="I80" s="43"/>
      <c r="J80" s="44"/>
      <c r="K80" s="281" t="str">
        <f t="shared" si="3"/>
        <v/>
      </c>
      <c r="L80" s="283"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45"/>
      <c r="N80" s="65"/>
    </row>
    <row r="81" spans="1:14" ht="22" customHeight="1">
      <c r="A81" s="280" t="s">
        <v>152</v>
      </c>
      <c r="B81" s="92"/>
      <c r="C81" s="46"/>
      <c r="D81" s="50"/>
      <c r="E81" s="48"/>
      <c r="F81" s="49"/>
      <c r="G81" s="281" t="str">
        <f>IF(OR(E81="",F81=""),"",PID_KVLohnLookup($A$1,E81,F81,LOHNTABELLE!$H$4))</f>
        <v/>
      </c>
      <c r="H81" s="282" t="str">
        <f>IF(AND(ISNUMBER(D81),ISNUMBER(F81)),ROUNDDOWN(MIN(IF(OR(ISBLANK(I81),I81=""),EOMONTH(DATE(EINSTELLUNG!$C$35,$A$1,1),0),I81)-MAX(D81,DATE(EINSTELLUNG!$C$35,$A$1,1))+1)/DAY(EOMONTH(DATE(EINSTELLUNG!$C$35,$A$1,1),0))*F81,2),"")</f>
        <v/>
      </c>
      <c r="I81" s="50"/>
      <c r="J81" s="51"/>
      <c r="K81" s="281" t="str">
        <f t="shared" si="3"/>
        <v/>
      </c>
      <c r="L81" s="283"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52"/>
      <c r="N81" s="66"/>
    </row>
    <row r="82" spans="1:14" ht="22" customHeight="1" thickBot="1">
      <c r="A82" s="343" t="s">
        <v>153</v>
      </c>
      <c r="B82" s="93"/>
      <c r="C82" s="54"/>
      <c r="D82" s="55"/>
      <c r="E82" s="56"/>
      <c r="F82" s="57"/>
      <c r="G82" s="344" t="str">
        <f>IF(OR(E82="",F82=""),"",PID_KVLohnLookup($A$1,E82,F82,LOHNTABELLE!$H$4))</f>
        <v/>
      </c>
      <c r="H82" s="345" t="str">
        <f>IF(AND(ISNUMBER(D82),ISNUMBER(F82)),ROUNDDOWN(MIN(IF(OR(ISBLANK(I82),I82=""),EOMONTH(DATE(EINSTELLUNG!$C$35,$A$1,1),0),I82)-MAX(D82,DATE(EINSTELLUNG!$C$35,$A$1,1))+1)/DAY(EOMONTH(DATE(EINSTELLUNG!$C$35,$A$1,1),0))*F82,2),"")</f>
        <v/>
      </c>
      <c r="I82" s="55"/>
      <c r="J82" s="58"/>
      <c r="K82" s="344" t="str">
        <f t="shared" si="3"/>
        <v/>
      </c>
      <c r="L82" s="346"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59"/>
      <c r="N82" s="69"/>
    </row>
    <row r="83" spans="1:14" ht="16" customHeight="1">
      <c r="A83" s="374"/>
      <c r="B83" s="374"/>
    </row>
    <row r="100" spans="26:26" ht="16" customHeight="1">
      <c r="Z100" s="259"/>
    </row>
  </sheetData>
  <sheetProtection algorithmName="SHA-512" hashValue="RhRRZRTXIdwD5h9qmuWxEcv/f/S1kxOhos48t64eii3LMPAYX1p/7QZQXiA7wvaPM91WTTP3SkT9kMJqE5zxYg==" saltValue="U67bFqXhsnEZyteDxMSTdA==" spinCount="100000" sheet="1" objects="1" scenarios="1" autoFilter="0"/>
  <sortState xmlns:xlrd2="http://schemas.microsoft.com/office/spreadsheetml/2017/richdata2" ref="B3:N82">
    <sortCondition ref="B3:B82"/>
    <sortCondition ref="C3:C82"/>
  </sortState>
  <mergeCells count="102">
    <mergeCell ref="N1:N2"/>
    <mergeCell ref="A1:A2"/>
    <mergeCell ref="E1:E2"/>
    <mergeCell ref="F1:F2"/>
    <mergeCell ref="G1:G2"/>
    <mergeCell ref="H1:H2"/>
    <mergeCell ref="M1:M2"/>
    <mergeCell ref="S2:V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Q28:R28"/>
    <mergeCell ref="U36:V36"/>
    <mergeCell ref="O29:P29"/>
    <mergeCell ref="Q29:R29"/>
    <mergeCell ref="O31:P31"/>
    <mergeCell ref="Q31:R31"/>
    <mergeCell ref="O33:P34"/>
    <mergeCell ref="Q33:R34"/>
    <mergeCell ref="S33:T34"/>
    <mergeCell ref="U33:V34"/>
    <mergeCell ref="Q35:R35"/>
    <mergeCell ref="S35:T35"/>
    <mergeCell ref="U35:V35"/>
    <mergeCell ref="Q26:R26"/>
    <mergeCell ref="Q27:R27"/>
    <mergeCell ref="O22:P22"/>
    <mergeCell ref="O14:P14"/>
    <mergeCell ref="Q14:R14"/>
    <mergeCell ref="O17:P17"/>
    <mergeCell ref="Q17:R17"/>
    <mergeCell ref="O18:P18"/>
    <mergeCell ref="Q18:R18"/>
    <mergeCell ref="O25:P25"/>
    <mergeCell ref="Q25:R25"/>
    <mergeCell ref="Q19:R19"/>
    <mergeCell ref="Q22:R22"/>
    <mergeCell ref="O23:P23"/>
    <mergeCell ref="Q20:R20"/>
    <mergeCell ref="O21:P21"/>
    <mergeCell ref="Q21:R21"/>
    <mergeCell ref="C1:C2"/>
    <mergeCell ref="D1:D2"/>
    <mergeCell ref="O44:V44"/>
    <mergeCell ref="O38:P38"/>
    <mergeCell ref="Q38:R38"/>
    <mergeCell ref="S38:T38"/>
    <mergeCell ref="O37:P37"/>
    <mergeCell ref="O35:P35"/>
    <mergeCell ref="O36:P36"/>
    <mergeCell ref="Q36:R36"/>
    <mergeCell ref="S36:T36"/>
    <mergeCell ref="O3:O4"/>
    <mergeCell ref="P3:P4"/>
    <mergeCell ref="O9:P9"/>
    <mergeCell ref="O20:P20"/>
    <mergeCell ref="O19:P19"/>
    <mergeCell ref="O28:P28"/>
    <mergeCell ref="O11:P11"/>
    <mergeCell ref="Q11:R11"/>
    <mergeCell ref="O12:P12"/>
    <mergeCell ref="Q12:R12"/>
    <mergeCell ref="O13:P13"/>
    <mergeCell ref="Q13:R13"/>
    <mergeCell ref="O26:P26"/>
    <mergeCell ref="O45:U45"/>
    <mergeCell ref="B1:B2"/>
    <mergeCell ref="O16:R16"/>
    <mergeCell ref="Q9:R9"/>
    <mergeCell ref="O10:P10"/>
    <mergeCell ref="Q10:R10"/>
    <mergeCell ref="O15:P15"/>
    <mergeCell ref="Q3:Q4"/>
    <mergeCell ref="R3:R4"/>
    <mergeCell ref="O6:R6"/>
    <mergeCell ref="O8:P8"/>
    <mergeCell ref="Q8:R8"/>
    <mergeCell ref="Q15:R15"/>
    <mergeCell ref="O42:P42"/>
    <mergeCell ref="I1:I2"/>
    <mergeCell ref="J1:J2"/>
    <mergeCell ref="K1:K2"/>
    <mergeCell ref="L1:L2"/>
    <mergeCell ref="O39:P39"/>
    <mergeCell ref="O40:P40"/>
    <mergeCell ref="O41:P41"/>
    <mergeCell ref="Q23:R23"/>
    <mergeCell ref="O24:P24"/>
    <mergeCell ref="Q24:R24"/>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A0F41737-EF39-6044-A0F1-F54223658BB7}">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15622EDB-1F57-4644-8874-FE3EA638CB5F}">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3D3B2A0E-D92E-5747-95B1-00059EF231C2}">
          <x14:formula1>
            <xm:f>KV_DROPDOWN_HELPER!$XR$1:$XR$13</xm:f>
          </x14:formula1>
          <xm:sqref>F4 F7</xm:sqref>
        </x14:dataValidation>
        <x14:dataValidation type="list" allowBlank="1" showInputMessage="1" showErrorMessage="1" xr:uid="{6F4C9E0C-FFD4-6C48-83E0-67357C03E852}">
          <x14:formula1>
            <xm:f>KV_DROPDOWN_HELPER!$XS$1:$XS$13</xm:f>
          </x14:formula1>
          <xm:sqref>F6 F8 F9 F10 F13 F55</xm:sqref>
        </x14:dataValidation>
        <x14:dataValidation type="list" allowBlank="1" showInputMessage="1" showErrorMessage="1" xr:uid="{06D7D3F2-06CB-3A40-B34B-5555628B189D}">
          <x14:formula1>
            <xm:f>KV_DROPDOWN_HELPER!$XV$1:$XV$13</xm:f>
          </x14:formula1>
          <xm:sqref>F19 F22 F24</xm:sqref>
        </x14:dataValidation>
        <x14:dataValidation type="list" allowBlank="1" showInputMessage="1" showErrorMessage="1" xr:uid="{E69CC798-767E-4549-849E-4EA6C2023E32}">
          <x14:formula1>
            <xm:f>KV_DROPDOWN_HELPER!$XW$1:$XW$13</xm:f>
          </x14:formula1>
          <xm:sqref>F60 F61 F62 F63 F64 F65 F66 F67 F68 F69 F70 F71 F72 F73 F74 F75 F76 F77 F78 F79 F80 F81 F82</xm:sqref>
        </x14:dataValidation>
        <x14:dataValidation type="list" allowBlank="1" showInputMessage="1" showErrorMessage="1" xr:uid="{285CDD87-12C5-DD49-859B-F419BD7988B4}">
          <x14:formula1>
            <xm:f>KV_DROPDOWN_HELPER!$XU$1:$XU$13</xm:f>
          </x14:formula1>
          <xm:sqref>F18</xm:sqref>
        </x14:dataValidation>
        <x14:dataValidation type="list" allowBlank="1" showInputMessage="1" showErrorMessage="1" xr:uid="{E138E253-B4CB-471F-ABDA-C1BEC6F664A8}">
          <x14:formula1>
            <xm:f>KV_DROPDOWN_HELPER!$XT$1:$XT$13</xm:f>
          </x14:formula1>
          <xm:sqref>F15</xm:sqref>
        </x14:dataValidation>
        <x14:dataValidation type="list" allowBlank="1" showInputMessage="1" showErrorMessage="1" xr:uid="{D4399E3F-C669-4421-85BF-EE5E4E659512}">
          <x14:formula1>
            <xm:f>KV_DROPDOWN_HELPER!$XQ$1:$XQ$16</xm:f>
          </x14:formula1>
          <xm:sqref>F3 F5 F11 F12 F14 F16 F17 F20 F21 F23 F25 F26 F27 F28 F29 F30 F31 F32 F33 F34 F35 F36 F37 F38 F39 F40 F41 F42 F43 F44 F45 F46 F47 F48 F49 F50 F51 F52 F53 F54 F56 F57 F58 F59</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4A82B2-7AD1-44B7-B6C2-31F6E26B51E1}">
  <sheetPr codeName="Tabelle12"/>
  <dimension ref="A1:AC100"/>
  <sheetViews>
    <sheetView showGridLines="0" showRowColHeaders="0" zoomScaleNormal="100" workbookViewId="0">
      <pane ySplit="2" topLeftCell="A3" activePane="bottomLeft" state="frozen"/>
      <selection activeCell="T24" sqref="T24"/>
      <selection pane="bottomLeft" activeCell="W3" sqref="W3:Y50"/>
    </sheetView>
  </sheetViews>
  <sheetFormatPr baseColWidth="10" defaultColWidth="9.1796875" defaultRowHeight="16" customHeight="1"/>
  <cols>
    <col min="1" max="1" width="4.453125" style="347" customWidth="1"/>
    <col min="2" max="2" width="9.1796875" style="347" customWidth="1"/>
    <col min="3" max="3" width="35.6328125" style="179" customWidth="1"/>
    <col min="4" max="4" width="13.6328125" style="179" customWidth="1"/>
    <col min="5" max="5" width="9.6328125" style="179" customWidth="1"/>
    <col min="6" max="6" width="10.6328125" style="179" customWidth="1"/>
    <col min="7" max="7" width="13.6328125" style="179" customWidth="1"/>
    <col min="8" max="8" width="11.6328125" style="179" customWidth="1"/>
    <col min="9" max="10" width="13.6328125" style="179" customWidth="1"/>
    <col min="11" max="11" width="14.6328125" style="179" customWidth="1"/>
    <col min="12" max="12" width="14.6328125" style="306" customWidth="1"/>
    <col min="13" max="13" width="17.81640625" style="179" customWidth="1"/>
    <col min="14" max="14" width="34.6328125" style="179" customWidth="1"/>
    <col min="15" max="15" width="12.6328125" style="179" customWidth="1"/>
    <col min="16" max="16" width="16.6328125" style="179" customWidth="1"/>
    <col min="17" max="17" width="14.6328125" style="179" customWidth="1"/>
    <col min="18" max="18" width="13.6328125" style="179" customWidth="1"/>
    <col min="19" max="19" width="9.6328125" style="179" customWidth="1"/>
    <col min="20" max="20" width="10.6328125" style="179" customWidth="1"/>
    <col min="21" max="21" width="7.6328125" style="179" customWidth="1"/>
    <col min="22" max="27" width="9.1796875" style="179"/>
    <col min="28" max="28" width="10.6328125" style="179" bestFit="1" customWidth="1"/>
    <col min="29" max="16384" width="9.1796875" style="179"/>
  </cols>
  <sheetData>
    <row r="1" spans="1:28" ht="18" customHeight="1">
      <c r="A1" s="261">
        <v>10</v>
      </c>
      <c r="B1" s="262" t="s">
        <v>180</v>
      </c>
      <c r="C1" s="263" t="s">
        <v>39</v>
      </c>
      <c r="D1" s="263" t="s">
        <v>181</v>
      </c>
      <c r="E1" s="263" t="s">
        <v>0</v>
      </c>
      <c r="F1" s="263" t="s">
        <v>40</v>
      </c>
      <c r="G1" s="263" t="s">
        <v>41</v>
      </c>
      <c r="H1" s="263" t="s">
        <v>42</v>
      </c>
      <c r="I1" s="263" t="s">
        <v>182</v>
      </c>
      <c r="J1" s="263" t="s">
        <v>43</v>
      </c>
      <c r="K1" s="263" t="s">
        <v>44</v>
      </c>
      <c r="L1" s="263" t="s">
        <v>45</v>
      </c>
      <c r="M1" s="263" t="s">
        <v>46</v>
      </c>
      <c r="N1" s="264" t="s">
        <v>183</v>
      </c>
      <c r="AB1" s="265">
        <f>DATE(EINSTELLUNG!$C$35,$A$1,1)</f>
        <v>46296</v>
      </c>
    </row>
    <row r="2" spans="1:28" ht="18" customHeight="1" thickBot="1">
      <c r="A2" s="266"/>
      <c r="B2" s="267"/>
      <c r="C2" s="268"/>
      <c r="D2" s="268"/>
      <c r="E2" s="268"/>
      <c r="F2" s="268"/>
      <c r="G2" s="268"/>
      <c r="H2" s="268"/>
      <c r="I2" s="268"/>
      <c r="J2" s="268"/>
      <c r="K2" s="268"/>
      <c r="L2" s="268"/>
      <c r="M2" s="268"/>
      <c r="N2" s="269"/>
      <c r="O2" s="270"/>
      <c r="P2" s="270"/>
      <c r="Q2" s="270"/>
      <c r="S2" s="271" t="s">
        <v>378</v>
      </c>
      <c r="T2" s="271"/>
      <c r="U2" s="271"/>
      <c r="V2" s="271"/>
      <c r="AB2" s="265">
        <f>EOMONTH(DATE(EINSTELLUNG!$C$35,$A$1,1),0)</f>
        <v>46326</v>
      </c>
    </row>
    <row r="3" spans="1:28" ht="22" customHeight="1">
      <c r="A3" s="272" t="s">
        <v>383</v>
      </c>
      <c r="B3" s="90">
        <v>401010</v>
      </c>
      <c r="C3" s="32" t="s">
        <v>223</v>
      </c>
      <c r="D3" s="33">
        <v>39388</v>
      </c>
      <c r="E3" s="34" t="s">
        <v>2</v>
      </c>
      <c r="F3" s="60">
        <v>129.75</v>
      </c>
      <c r="G3" s="273">
        <f>IF(OR(E3="",F3=""),"",PID_KVLohnLookup($A$1,E3,F3,LOHNTABELLE!$H$4))</f>
        <v>1515.75</v>
      </c>
      <c r="H3" s="274">
        <f>IF(AND(ISNUMBER(D3),ISNUMBER(F3)),ROUNDDOWN(MIN(IF(OR(ISBLANK(I3),I3=""),EOMONTH(DATE(EINSTELLUNG!$C$35,$A$1,1),0),I3)-MAX(D3,DATE(EINSTELLUNG!$C$35,$A$1,1))+1)/DAY(EOMONTH(DATE(EINSTELLUNG!$C$35,$A$1,1),0))*F3,2),"")</f>
        <v>129.75</v>
      </c>
      <c r="I3" s="36"/>
      <c r="J3" s="37"/>
      <c r="K3" s="273">
        <f t="shared" ref="K3:K34" si="0">IF(OR(B3="",C3=""),"",IFERROR(IF(OR(MONTH(D3)=1,MONTH(D3)=3,MONTH(D3)=5,MONTH(D3)=7,MONTH(D3)=8,MONTH(D3)=10,MONTH(D3)=12),(G3/31)*J3,IF(OR(MONTH(D3)=4,MONTH(D3)=6,MONTH(D3)=9,MONTH(D3)=11),(G3/30)*J3,(G3/DAY(EOMONTH(D3,0)))*J3)),0))</f>
        <v>0</v>
      </c>
      <c r="L3" s="275">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1515.75</v>
      </c>
      <c r="M3" s="38"/>
      <c r="N3" s="64"/>
      <c r="O3" s="276" t="s">
        <v>47</v>
      </c>
      <c r="P3" s="276" t="s">
        <v>48</v>
      </c>
      <c r="Q3" s="276" t="s">
        <v>49</v>
      </c>
      <c r="R3" s="277" t="s">
        <v>50</v>
      </c>
      <c r="S3" s="278"/>
      <c r="T3" s="278"/>
      <c r="U3" s="278"/>
      <c r="V3" s="278"/>
      <c r="AB3" s="279"/>
    </row>
    <row r="4" spans="1:28" ht="22" customHeight="1">
      <c r="A4" s="280" t="s">
        <v>51</v>
      </c>
      <c r="B4" s="91">
        <v>401049</v>
      </c>
      <c r="C4" s="39" t="s">
        <v>224</v>
      </c>
      <c r="D4" s="40">
        <v>41130</v>
      </c>
      <c r="E4" s="41" t="s">
        <v>4</v>
      </c>
      <c r="F4" s="42">
        <v>173</v>
      </c>
      <c r="G4" s="281">
        <f>IF(OR(E4="",F4=""),"",PID_KVLohnLookup($A$1,E4,F4,LOHNTABELLE!$H$4))</f>
        <v>2123</v>
      </c>
      <c r="H4" s="282">
        <f>IF(AND(ISNUMBER(D4),ISNUMBER(F4)),ROUNDDOWN(MIN(IF(OR(ISBLANK(I4),I4=""),EOMONTH(DATE(EINSTELLUNG!$C$35,$A$1,1),0),I4)-MAX(D4,DATE(EINSTELLUNG!$C$35,$A$1,1))+1)/DAY(EOMONTH(DATE(EINSTELLUNG!$C$35,$A$1,1),0))*F4,2),"")</f>
        <v>173</v>
      </c>
      <c r="I4" s="43"/>
      <c r="J4" s="44"/>
      <c r="K4" s="281">
        <f t="shared" si="0"/>
        <v>0</v>
      </c>
      <c r="L4" s="283">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45"/>
      <c r="N4" s="65"/>
      <c r="O4" s="284"/>
      <c r="P4" s="284"/>
      <c r="Q4" s="284"/>
      <c r="R4" s="285"/>
      <c r="S4" s="278"/>
      <c r="T4" s="278"/>
      <c r="U4" s="278"/>
      <c r="V4" s="278"/>
    </row>
    <row r="5" spans="1:28" ht="22" customHeight="1">
      <c r="A5" s="280" t="s">
        <v>52</v>
      </c>
      <c r="B5" s="92">
        <v>401051</v>
      </c>
      <c r="C5" s="46" t="s">
        <v>226</v>
      </c>
      <c r="D5" s="47">
        <v>41176</v>
      </c>
      <c r="E5" s="48" t="s">
        <v>2</v>
      </c>
      <c r="F5" s="49">
        <v>173</v>
      </c>
      <c r="G5" s="281">
        <f>IF(OR(E5="",F5=""),"",PID_KVLohnLookup($A$1,E5,F5,LOHNTABELLE!$H$4))</f>
        <v>2021</v>
      </c>
      <c r="H5" s="282">
        <f>IF(AND(ISNUMBER(D5),ISNUMBER(F5)),ROUNDDOWN(MIN(IF(OR(ISBLANK(I5),I5=""),EOMONTH(DATE(EINSTELLUNG!$C$35,$A$1,1),0),I5)-MAX(D5,DATE(EINSTELLUNG!$C$35,$A$1,1))+1)/DAY(EOMONTH(DATE(EINSTELLUNG!$C$35,$A$1,1),0))*F5,2),"")</f>
        <v>173</v>
      </c>
      <c r="I5" s="50"/>
      <c r="J5" s="51"/>
      <c r="K5" s="281">
        <f t="shared" si="0"/>
        <v>0</v>
      </c>
      <c r="L5" s="283">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2021</v>
      </c>
      <c r="M5" s="52"/>
      <c r="N5" s="66"/>
      <c r="O5" s="286" cm="1">
        <f t="array" ref="O5">SUMPRODUCT((F3:F82/4.310808)/5*2.08)</f>
        <v>768.17420771233651</v>
      </c>
      <c r="P5" s="287">
        <f>EINSTELLUNG!I15</f>
        <v>600</v>
      </c>
      <c r="Q5" s="287">
        <f>P5-O5</f>
        <v>-168.17420771233651</v>
      </c>
      <c r="R5" s="288">
        <f>IFERROR(Q5*Q42, 0)</f>
        <v>-1976.3426435123313</v>
      </c>
      <c r="S5" s="278"/>
      <c r="T5" s="278"/>
      <c r="U5" s="278"/>
      <c r="V5" s="278"/>
    </row>
    <row r="6" spans="1:28" ht="22" customHeight="1">
      <c r="A6" s="280" t="s">
        <v>53</v>
      </c>
      <c r="B6" s="91">
        <v>401089</v>
      </c>
      <c r="C6" s="39" t="s">
        <v>240</v>
      </c>
      <c r="D6" s="40">
        <v>44868</v>
      </c>
      <c r="E6" s="41" t="s">
        <v>3</v>
      </c>
      <c r="F6" s="42">
        <v>173</v>
      </c>
      <c r="G6" s="281">
        <f>IF(OR(E6="",F6=""),"",PID_KVLohnLookup($A$1,E6,F6,LOHNTABELLE!$H$4))</f>
        <v>2082</v>
      </c>
      <c r="H6" s="282">
        <f>IF(AND(ISNUMBER(D6),ISNUMBER(F6)),ROUNDDOWN(MIN(IF(OR(ISBLANK(I6),I6=""),EOMONTH(DATE(EINSTELLUNG!$C$35,$A$1,1),0),I6)-MAX(D6,DATE(EINSTELLUNG!$C$35,$A$1,1))+1)/DAY(EOMONTH(DATE(EINSTELLUNG!$C$35,$A$1,1),0))*F6,2),"")</f>
        <v>173</v>
      </c>
      <c r="I6" s="43"/>
      <c r="J6" s="44"/>
      <c r="K6" s="281">
        <f t="shared" si="0"/>
        <v>0</v>
      </c>
      <c r="L6" s="283">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2082</v>
      </c>
      <c r="M6" s="45"/>
      <c r="N6" s="65"/>
      <c r="O6" s="289" t="str">
        <f>IF(Q5&lt;0, "Schlecht! Zu wenig Urlaub abgebaut.", IF(Q5&gt;0, "Gut! Mehr Urlaub abgebaut als aufgebaut.", ""))</f>
        <v>Schlecht! Zu wenig Urlaub abgebaut.</v>
      </c>
      <c r="P6" s="290"/>
      <c r="Q6" s="290"/>
      <c r="R6" s="291"/>
      <c r="S6" s="278"/>
      <c r="T6" s="278"/>
      <c r="U6" s="278"/>
      <c r="V6" s="278"/>
    </row>
    <row r="7" spans="1:28" ht="22" customHeight="1" thickBot="1">
      <c r="A7" s="280" t="s">
        <v>54</v>
      </c>
      <c r="B7" s="92">
        <v>401138</v>
      </c>
      <c r="C7" s="46" t="s">
        <v>227</v>
      </c>
      <c r="D7" s="47">
        <v>42006</v>
      </c>
      <c r="E7" s="48" t="s">
        <v>4</v>
      </c>
      <c r="F7" s="49">
        <v>173</v>
      </c>
      <c r="G7" s="281">
        <f>IF(OR(E7="",F7=""),"",PID_KVLohnLookup($A$1,E7,F7,LOHNTABELLE!$H$4))</f>
        <v>2123</v>
      </c>
      <c r="H7" s="282">
        <f>IF(AND(ISNUMBER(D7),ISNUMBER(F7)),ROUNDDOWN(MIN(IF(OR(ISBLANK(I7),I7=""),EOMONTH(DATE(EINSTELLUNG!$C$35,$A$1,1),0),I7)-MAX(D7,DATE(EINSTELLUNG!$C$35,$A$1,1))+1)/DAY(EOMONTH(DATE(EINSTELLUNG!$C$35,$A$1,1),0))*F7,2),"")</f>
        <v>173</v>
      </c>
      <c r="I7" s="50"/>
      <c r="J7" s="51"/>
      <c r="K7" s="281">
        <f t="shared" si="0"/>
        <v>0</v>
      </c>
      <c r="L7" s="283">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2123</v>
      </c>
      <c r="M7" s="52"/>
      <c r="N7" s="66"/>
      <c r="O7" s="278"/>
      <c r="P7" s="278"/>
      <c r="Q7" s="278"/>
      <c r="R7" s="278"/>
      <c r="S7" s="278"/>
      <c r="T7" s="278"/>
      <c r="U7" s="278"/>
      <c r="V7" s="278"/>
    </row>
    <row r="8" spans="1:28" ht="22" customHeight="1">
      <c r="A8" s="280" t="s">
        <v>55</v>
      </c>
      <c r="B8" s="91">
        <v>401197</v>
      </c>
      <c r="C8" s="39" t="s">
        <v>228</v>
      </c>
      <c r="D8" s="40">
        <v>42644</v>
      </c>
      <c r="E8" s="41" t="s">
        <v>3</v>
      </c>
      <c r="F8" s="42">
        <v>173</v>
      </c>
      <c r="G8" s="281">
        <f>IF(OR(E8="",F8=""),"",PID_KVLohnLookup($A$1,E8,F8,LOHNTABELLE!$H$4))</f>
        <v>2082</v>
      </c>
      <c r="H8" s="282">
        <f>IF(AND(ISNUMBER(D8),ISNUMBER(F8)),ROUNDDOWN(MIN(IF(OR(ISBLANK(I8),I8=""),EOMONTH(DATE(EINSTELLUNG!$C$35,$A$1,1),0),I8)-MAX(D8,DATE(EINSTELLUNG!$C$35,$A$1,1))+1)/DAY(EOMONTH(DATE(EINSTELLUNG!$C$35,$A$1,1),0))*F8,2),"")</f>
        <v>173</v>
      </c>
      <c r="I8" s="43"/>
      <c r="J8" s="44"/>
      <c r="K8" s="281">
        <f t="shared" si="0"/>
        <v>0</v>
      </c>
      <c r="L8" s="283">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2082</v>
      </c>
      <c r="M8" s="45"/>
      <c r="N8" s="65"/>
      <c r="O8" s="357" t="s">
        <v>56</v>
      </c>
      <c r="P8" s="293"/>
      <c r="Q8" s="294">
        <f>SUM(H3:H82)</f>
        <v>7843.0199999999995</v>
      </c>
      <c r="R8" s="295"/>
      <c r="S8" s="278"/>
      <c r="T8" s="278"/>
      <c r="U8" s="278"/>
      <c r="V8" s="278"/>
    </row>
    <row r="9" spans="1:28" ht="22" customHeight="1">
      <c r="A9" s="280" t="s">
        <v>57</v>
      </c>
      <c r="B9" s="92">
        <v>401214</v>
      </c>
      <c r="C9" s="46" t="s">
        <v>254</v>
      </c>
      <c r="D9" s="47">
        <v>45636</v>
      </c>
      <c r="E9" s="48" t="s">
        <v>3</v>
      </c>
      <c r="F9" s="49">
        <v>173</v>
      </c>
      <c r="G9" s="281">
        <f>IF(OR(E9="",F9=""),"",PID_KVLohnLookup($A$1,E9,F9,LOHNTABELLE!$H$4))</f>
        <v>2082</v>
      </c>
      <c r="H9" s="282">
        <f>IF(AND(ISNUMBER(D9),ISNUMBER(F9)),ROUNDDOWN(MIN(IF(OR(ISBLANK(I9),I9=""),EOMONTH(DATE(EINSTELLUNG!$C$35,$A$1,1),0),I9)-MAX(D9,DATE(EINSTELLUNG!$C$35,$A$1,1))+1)/DAY(EOMONTH(DATE(EINSTELLUNG!$C$35,$A$1,1),0))*F9,2),"")</f>
        <v>173</v>
      </c>
      <c r="I9" s="50"/>
      <c r="J9" s="51"/>
      <c r="K9" s="281">
        <f t="shared" si="0"/>
        <v>0</v>
      </c>
      <c r="L9" s="283">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52"/>
      <c r="N9" s="66"/>
      <c r="O9" s="358" t="s">
        <v>58</v>
      </c>
      <c r="P9" s="297"/>
      <c r="Q9" s="298">
        <f>EINSTELLUNG!L31</f>
        <v>10</v>
      </c>
      <c r="R9" s="299"/>
      <c r="S9" s="300">
        <f>IFERROR(Q9/Q8, 0)</f>
        <v>1.2750190615349701E-3</v>
      </c>
      <c r="T9" s="278"/>
      <c r="U9" s="278"/>
      <c r="V9" s="278"/>
    </row>
    <row r="10" spans="1:28" ht="22" customHeight="1">
      <c r="A10" s="280" t="s">
        <v>59</v>
      </c>
      <c r="B10" s="91">
        <v>401276</v>
      </c>
      <c r="C10" s="39" t="s">
        <v>229</v>
      </c>
      <c r="D10" s="40">
        <v>43252</v>
      </c>
      <c r="E10" s="41" t="s">
        <v>3</v>
      </c>
      <c r="F10" s="42">
        <v>173</v>
      </c>
      <c r="G10" s="281">
        <f>IF(OR(E10="",F10=""),"",PID_KVLohnLookup($A$1,E10,F10,LOHNTABELLE!$H$4))</f>
        <v>2082</v>
      </c>
      <c r="H10" s="282">
        <f>IF(AND(ISNUMBER(D10),ISNUMBER(F10)),ROUNDDOWN(MIN(IF(OR(ISBLANK(I10),I10=""),EOMONTH(DATE(EINSTELLUNG!$C$35,$A$1,1),0),I10)-MAX(D10,DATE(EINSTELLUNG!$C$35,$A$1,1))+1)/DAY(EOMONTH(DATE(EINSTELLUNG!$C$35,$A$1,1),0))*F10,2),"")</f>
        <v>173</v>
      </c>
      <c r="I10" s="43"/>
      <c r="J10" s="44"/>
      <c r="K10" s="281">
        <f t="shared" si="0"/>
        <v>0</v>
      </c>
      <c r="L10" s="283">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45"/>
      <c r="N10" s="65"/>
      <c r="O10" s="358" t="s">
        <v>60</v>
      </c>
      <c r="P10" s="297"/>
      <c r="Q10" s="298">
        <f>EINSTELLUNG!I31</f>
        <v>0</v>
      </c>
      <c r="R10" s="299"/>
      <c r="S10" s="278"/>
      <c r="T10" s="278"/>
      <c r="U10" s="278"/>
      <c r="V10" s="278"/>
    </row>
    <row r="11" spans="1:28" ht="22" customHeight="1">
      <c r="A11" s="280" t="s">
        <v>61</v>
      </c>
      <c r="B11" s="92">
        <v>401276</v>
      </c>
      <c r="C11" s="46" t="s">
        <v>386</v>
      </c>
      <c r="D11" s="47">
        <v>38899</v>
      </c>
      <c r="E11" s="48" t="s">
        <v>2</v>
      </c>
      <c r="F11" s="49">
        <v>55</v>
      </c>
      <c r="G11" s="281" t="str">
        <f>IF(OR(E11="",F11=""),"",PID_KVLohnLookup($A$1,E11,F11,LOHNTABELLE!$H$4))</f>
        <v>Nicht gefunden</v>
      </c>
      <c r="H11" s="282">
        <f>IF(AND(ISNUMBER(D11),ISNUMBER(F11)),ROUNDDOWN(MIN(IF(OR(ISBLANK(I11),I11=""),EOMONTH(DATE(EINSTELLUNG!$C$35,$A$1,1),0),I11)-MAX(D11,DATE(EINSTELLUNG!$C$35,$A$1,1))+1)/DAY(EOMONTH(DATE(EINSTELLUNG!$C$35,$A$1,1),0))*F11,2),"")</f>
        <v>55</v>
      </c>
      <c r="I11" s="50"/>
      <c r="J11" s="51"/>
      <c r="K11" s="281">
        <f t="shared" si="0"/>
        <v>0</v>
      </c>
      <c r="L11" s="283" t="str">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
      </c>
      <c r="M11" s="52"/>
      <c r="N11" s="66"/>
      <c r="O11" s="358" t="s">
        <v>62</v>
      </c>
      <c r="P11" s="297"/>
      <c r="Q11" s="298">
        <f>P5</f>
        <v>600</v>
      </c>
      <c r="R11" s="299"/>
      <c r="S11" s="278"/>
      <c r="T11" s="278"/>
      <c r="U11" s="278"/>
      <c r="V11" s="278"/>
    </row>
    <row r="12" spans="1:28" ht="22" customHeight="1">
      <c r="A12" s="280" t="s">
        <v>63</v>
      </c>
      <c r="B12" s="91">
        <v>401307</v>
      </c>
      <c r="C12" s="39" t="s">
        <v>230</v>
      </c>
      <c r="D12" s="40">
        <v>43571</v>
      </c>
      <c r="E12" s="41" t="s">
        <v>2</v>
      </c>
      <c r="F12" s="42">
        <v>55</v>
      </c>
      <c r="G12" s="281" t="str">
        <f>IF(OR(E12="",F12=""),"",PID_KVLohnLookup($A$1,E12,F12,LOHNTABELLE!$H$4))</f>
        <v>Nicht gefunden</v>
      </c>
      <c r="H12" s="282">
        <f>IF(AND(ISNUMBER(D12),ISNUMBER(F12)),ROUNDDOWN(MIN(IF(OR(ISBLANK(I12),I12=""),EOMONTH(DATE(EINSTELLUNG!$C$35,$A$1,1),0),I12)-MAX(D12,DATE(EINSTELLUNG!$C$35,$A$1,1))+1)/DAY(EOMONTH(DATE(EINSTELLUNG!$C$35,$A$1,1),0))*F12,2),"")</f>
        <v>55</v>
      </c>
      <c r="I12" s="43"/>
      <c r="J12" s="44"/>
      <c r="K12" s="281">
        <f t="shared" si="0"/>
        <v>0</v>
      </c>
      <c r="L12" s="283" t="str">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
      </c>
      <c r="M12" s="45"/>
      <c r="N12" s="65"/>
      <c r="O12" s="358" t="s">
        <v>64</v>
      </c>
      <c r="P12" s="297"/>
      <c r="Q12" s="172">
        <v>-121</v>
      </c>
      <c r="R12" s="173"/>
      <c r="S12" s="278"/>
      <c r="T12" s="278"/>
      <c r="U12" s="278"/>
      <c r="V12" s="278"/>
    </row>
    <row r="13" spans="1:28" ht="22" customHeight="1">
      <c r="A13" s="280" t="s">
        <v>65</v>
      </c>
      <c r="B13" s="92">
        <v>401308</v>
      </c>
      <c r="C13" s="46" t="s">
        <v>231</v>
      </c>
      <c r="D13" s="47">
        <v>43579</v>
      </c>
      <c r="E13" s="48" t="s">
        <v>3</v>
      </c>
      <c r="F13" s="49">
        <v>173</v>
      </c>
      <c r="G13" s="281">
        <f>IF(OR(E13="",F13=""),"",PID_KVLohnLookup($A$1,E13,F13,LOHNTABELLE!$H$4))</f>
        <v>2082</v>
      </c>
      <c r="H13" s="282">
        <f>IF(AND(ISNUMBER(D13),ISNUMBER(F13)),ROUNDDOWN(MIN(IF(OR(ISBLANK(I13),I13=""),EOMONTH(DATE(EINSTELLUNG!$C$35,$A$1,1),0),I13)-MAX(D13,DATE(EINSTELLUNG!$C$35,$A$1,1))+1)/DAY(EOMONTH(DATE(EINSTELLUNG!$C$35,$A$1,1),0))*F13,2),"")</f>
        <v>173</v>
      </c>
      <c r="I13" s="50"/>
      <c r="J13" s="51"/>
      <c r="K13" s="281">
        <f t="shared" si="0"/>
        <v>0</v>
      </c>
      <c r="L13" s="283">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2082</v>
      </c>
      <c r="M13" s="52"/>
      <c r="N13" s="66"/>
      <c r="O13" s="358" t="s">
        <v>66</v>
      </c>
      <c r="P13" s="297"/>
      <c r="Q13" s="298">
        <f>Q8-Q9-Q10-Q11-Q12</f>
        <v>7354.0199999999995</v>
      </c>
      <c r="R13" s="299"/>
      <c r="S13" s="278"/>
      <c r="T13" s="278"/>
      <c r="U13" s="278"/>
      <c r="V13" s="278"/>
    </row>
    <row r="14" spans="1:28" ht="22" customHeight="1">
      <c r="A14" s="280" t="s">
        <v>67</v>
      </c>
      <c r="B14" s="91">
        <v>401394</v>
      </c>
      <c r="C14" s="39" t="s">
        <v>232</v>
      </c>
      <c r="D14" s="40">
        <v>44379</v>
      </c>
      <c r="E14" s="41" t="s">
        <v>2</v>
      </c>
      <c r="F14" s="42">
        <v>173</v>
      </c>
      <c r="G14" s="281">
        <f>IF(OR(E14="",F14=""),"",PID_KVLohnLookup($A$1,E14,F14,LOHNTABELLE!$H$4))</f>
        <v>2021</v>
      </c>
      <c r="H14" s="282">
        <f>IF(AND(ISNUMBER(D14),ISNUMBER(F14)),ROUNDDOWN(MIN(IF(OR(ISBLANK(I14),I14=""),EOMONTH(DATE(EINSTELLUNG!$C$35,$A$1,1),0),I14)-MAX(D14,DATE(EINSTELLUNG!$C$35,$A$1,1))+1)/DAY(EOMONTH(DATE(EINSTELLUNG!$C$35,$A$1,1),0))*F14,2),"")</f>
        <v>173</v>
      </c>
      <c r="I14" s="43"/>
      <c r="J14" s="44"/>
      <c r="K14" s="281">
        <f t="shared" si="0"/>
        <v>0</v>
      </c>
      <c r="L14" s="283">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2021</v>
      </c>
      <c r="M14" s="45"/>
      <c r="N14" s="65"/>
      <c r="O14" s="358" t="s">
        <v>68</v>
      </c>
      <c r="P14" s="297"/>
      <c r="Q14" s="298">
        <f>EINSTELLUNG!L15</f>
        <v>9300</v>
      </c>
      <c r="R14" s="299"/>
      <c r="S14" s="278"/>
      <c r="T14" s="278"/>
      <c r="U14" s="278"/>
      <c r="V14" s="278"/>
    </row>
    <row r="15" spans="1:28" ht="22" customHeight="1">
      <c r="A15" s="280" t="s">
        <v>69</v>
      </c>
      <c r="B15" s="92">
        <v>401479</v>
      </c>
      <c r="C15" s="46" t="s">
        <v>237</v>
      </c>
      <c r="D15" s="47">
        <v>44511</v>
      </c>
      <c r="E15" s="48" t="s">
        <v>6</v>
      </c>
      <c r="F15" s="49">
        <v>173</v>
      </c>
      <c r="G15" s="281">
        <f>IF(OR(E15="",F15=""),"",PID_KVLohnLookup($A$1,E15,F15,LOHNTABELLE!$H$4))</f>
        <v>2160</v>
      </c>
      <c r="H15" s="282">
        <f>IF(AND(ISNUMBER(D15),ISNUMBER(F15)),ROUNDDOWN(MIN(IF(OR(ISBLANK(I15),I15=""),EOMONTH(DATE(EINSTELLUNG!$C$35,$A$1,1),0),I15)-MAX(D15,DATE(EINSTELLUNG!$C$35,$A$1,1))+1)/DAY(EOMONTH(DATE(EINSTELLUNG!$C$35,$A$1,1),0))*F15,2),"")</f>
        <v>173</v>
      </c>
      <c r="I15" s="50"/>
      <c r="J15" s="51"/>
      <c r="K15" s="281">
        <f t="shared" si="0"/>
        <v>0</v>
      </c>
      <c r="L15" s="283">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2160</v>
      </c>
      <c r="M15" s="52"/>
      <c r="N15" s="66"/>
      <c r="O15" s="358" t="s">
        <v>70</v>
      </c>
      <c r="P15" s="297"/>
      <c r="Q15" s="298">
        <f>Q13-Q14</f>
        <v>-1945.9800000000005</v>
      </c>
      <c r="R15" s="299"/>
      <c r="S15" s="301"/>
      <c r="T15" s="301"/>
      <c r="U15" s="301"/>
      <c r="V15" s="278"/>
    </row>
    <row r="16" spans="1:28" ht="22" customHeight="1" thickBot="1">
      <c r="A16" s="280" t="s">
        <v>71</v>
      </c>
      <c r="B16" s="91">
        <v>401564</v>
      </c>
      <c r="C16" s="39" t="s">
        <v>239</v>
      </c>
      <c r="D16" s="40">
        <v>44824</v>
      </c>
      <c r="E16" s="41" t="s">
        <v>2</v>
      </c>
      <c r="F16" s="42">
        <v>151.38</v>
      </c>
      <c r="G16" s="281">
        <f>IF(OR(E16="",F16=""),"",PID_KVLohnLookup($A$1,E16,F16,LOHNTABELLE!$H$4))</f>
        <v>1768.38</v>
      </c>
      <c r="H16" s="282">
        <f>IF(AND(ISNUMBER(D16),ISNUMBER(F16)),ROUNDDOWN(MIN(IF(OR(ISBLANK(I16),I16=""),EOMONTH(DATE(EINSTELLUNG!$C$35,$A$1,1),0),I16)-MAX(D16,DATE(EINSTELLUNG!$C$35,$A$1,1))+1)/DAY(EOMONTH(DATE(EINSTELLUNG!$C$35,$A$1,1),0))*F16,2),"")</f>
        <v>151.38</v>
      </c>
      <c r="I16" s="43"/>
      <c r="J16" s="44"/>
      <c r="K16" s="281">
        <f t="shared" si="0"/>
        <v>0</v>
      </c>
      <c r="L16" s="283">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1768.38</v>
      </c>
      <c r="M16" s="45"/>
      <c r="N16" s="65"/>
      <c r="O16" s="373" t="str">
        <f>IF(Q15&lt;0, "Schlecht! Zu wenig Stunden für Dienstplan.", IF(Q15&gt;0, "Du hast mehr als genug Stunden für Dienstplan.", ""))</f>
        <v>Schlecht! Zu wenig Stunden für Dienstplan.</v>
      </c>
      <c r="P16" s="303"/>
      <c r="Q16" s="303"/>
      <c r="R16" s="304"/>
      <c r="S16" s="305"/>
      <c r="T16" s="305"/>
      <c r="U16" s="305"/>
      <c r="V16" s="305"/>
      <c r="W16" s="306"/>
    </row>
    <row r="17" spans="1:29" ht="22" customHeight="1">
      <c r="A17" s="280" t="s">
        <v>72</v>
      </c>
      <c r="B17" s="92">
        <v>401583</v>
      </c>
      <c r="C17" s="46" t="s">
        <v>241</v>
      </c>
      <c r="D17" s="47">
        <v>44900</v>
      </c>
      <c r="E17" s="48" t="s">
        <v>13</v>
      </c>
      <c r="F17" s="49">
        <v>173</v>
      </c>
      <c r="G17" s="281">
        <f>IF(OR(E17="",F17=""),"",PID_KVLohnLookup($A$1,E17,F17,LOHNTABELLE!$H$4))</f>
        <v>2328</v>
      </c>
      <c r="H17" s="282">
        <f>IF(AND(ISNUMBER(D17),ISNUMBER(F17)),ROUNDDOWN(MIN(IF(OR(ISBLANK(I17),I17=""),EOMONTH(DATE(EINSTELLUNG!$C$35,$A$1,1),0),I17)-MAX(D17,DATE(EINSTELLUNG!$C$35,$A$1,1))+1)/DAY(EOMONTH(DATE(EINSTELLUNG!$C$35,$A$1,1),0))*F17,2),"")</f>
        <v>173</v>
      </c>
      <c r="I17" s="50"/>
      <c r="J17" s="51"/>
      <c r="K17" s="281">
        <f t="shared" si="0"/>
        <v>0</v>
      </c>
      <c r="L17" s="283">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2328</v>
      </c>
      <c r="M17" s="52"/>
      <c r="N17" s="66"/>
      <c r="O17" s="357" t="s">
        <v>73</v>
      </c>
      <c r="P17" s="293"/>
      <c r="Q17" s="307">
        <f>SUM(L3:L82)</f>
        <v>92169.275483870981</v>
      </c>
      <c r="R17" s="308"/>
      <c r="S17" s="278"/>
      <c r="T17" s="278"/>
      <c r="U17" s="278"/>
      <c r="V17" s="278"/>
      <c r="W17" s="306"/>
    </row>
    <row r="18" spans="1:29" ht="22" customHeight="1">
      <c r="A18" s="280" t="s">
        <v>74</v>
      </c>
      <c r="B18" s="91">
        <v>401589</v>
      </c>
      <c r="C18" s="39" t="s">
        <v>242</v>
      </c>
      <c r="D18" s="40">
        <v>44926</v>
      </c>
      <c r="E18" s="41" t="s">
        <v>10</v>
      </c>
      <c r="F18" s="42">
        <v>173</v>
      </c>
      <c r="G18" s="281">
        <f>IF(OR(E18="",F18=""),"",PID_KVLohnLookup($A$1,E18,F18,LOHNTABELLE!$H$4))</f>
        <v>2300</v>
      </c>
      <c r="H18" s="282">
        <f>IF(AND(ISNUMBER(D18),ISNUMBER(F18)),ROUNDDOWN(MIN(IF(OR(ISBLANK(I18),I18=""),EOMONTH(DATE(EINSTELLUNG!$C$35,$A$1,1),0),I18)-MAX(D18,DATE(EINSTELLUNG!$C$35,$A$1,1))+1)/DAY(EOMONTH(DATE(EINSTELLUNG!$C$35,$A$1,1),0))*F18,2),"")</f>
        <v>173</v>
      </c>
      <c r="I18" s="43"/>
      <c r="J18" s="44"/>
      <c r="K18" s="281">
        <f t="shared" si="0"/>
        <v>0</v>
      </c>
      <c r="L18" s="283">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2300</v>
      </c>
      <c r="M18" s="45"/>
      <c r="N18" s="65"/>
      <c r="O18" s="366" t="s">
        <v>371</v>
      </c>
      <c r="P18" s="310"/>
      <c r="Q18" s="311">
        <v>20</v>
      </c>
      <c r="R18" s="312"/>
      <c r="S18" s="278"/>
      <c r="T18" s="278"/>
      <c r="U18" s="278"/>
      <c r="V18" s="278"/>
    </row>
    <row r="19" spans="1:29" ht="22" customHeight="1">
      <c r="A19" s="280" t="s">
        <v>75</v>
      </c>
      <c r="B19" s="92">
        <v>401602</v>
      </c>
      <c r="C19" s="46" t="s">
        <v>243</v>
      </c>
      <c r="D19" s="47">
        <v>45975</v>
      </c>
      <c r="E19" s="48" t="s">
        <v>2</v>
      </c>
      <c r="F19" s="49">
        <v>169</v>
      </c>
      <c r="G19" s="281">
        <f>IF(OR(E19="",F19=""),"",PID_KVLohnLookup($A$1,E19,F19,LOHNTABELLE!$H$4))</f>
        <v>2000</v>
      </c>
      <c r="H19" s="282">
        <f>IF(AND(ISNUMBER(D19),ISNUMBER(F19)),ROUNDDOWN(MIN(IF(OR(ISBLANK(I19),I19=""),EOMONTH(DATE(EINSTELLUNG!$C$35,$A$1,1),0),I19)-MAX(D19,DATE(EINSTELLUNG!$C$35,$A$1,1))+1)/DAY(EOMONTH(DATE(EINSTELLUNG!$C$35,$A$1,1),0))*F19,2),"")</f>
        <v>169</v>
      </c>
      <c r="I19" s="50"/>
      <c r="J19" s="51"/>
      <c r="K19" s="281">
        <f t="shared" si="0"/>
        <v>0</v>
      </c>
      <c r="L19" s="283">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2000</v>
      </c>
      <c r="M19" s="52"/>
      <c r="N19" s="66"/>
      <c r="O19" s="366" t="s">
        <v>293</v>
      </c>
      <c r="P19" s="310"/>
      <c r="Q19" s="311">
        <v>333</v>
      </c>
      <c r="R19" s="312"/>
      <c r="S19" s="278"/>
      <c r="T19" s="278"/>
      <c r="U19" s="278"/>
      <c r="V19" s="278"/>
    </row>
    <row r="20" spans="1:29" ht="22" customHeight="1">
      <c r="A20" s="280" t="s">
        <v>76</v>
      </c>
      <c r="B20" s="91">
        <v>401605</v>
      </c>
      <c r="C20" s="39" t="s">
        <v>244</v>
      </c>
      <c r="D20" s="40">
        <v>44986</v>
      </c>
      <c r="E20" s="41" t="s">
        <v>2</v>
      </c>
      <c r="F20" s="42">
        <v>173</v>
      </c>
      <c r="G20" s="281">
        <f>IF(OR(E20="",F20=""),"",PID_KVLohnLookup($A$1,E20,F20,LOHNTABELLE!$H$4))</f>
        <v>2021</v>
      </c>
      <c r="H20" s="282">
        <f>IF(AND(ISNUMBER(D20),ISNUMBER(F20)),ROUNDDOWN(MIN(IF(OR(ISBLANK(I20),I20=""),EOMONTH(DATE(EINSTELLUNG!$C$35,$A$1,1),0),I20)-MAX(D20,DATE(EINSTELLUNG!$C$35,$A$1,1))+1)/DAY(EOMONTH(DATE(EINSTELLUNG!$C$35,$A$1,1),0))*F20,2),"")</f>
        <v>173</v>
      </c>
      <c r="I20" s="43"/>
      <c r="J20" s="44"/>
      <c r="K20" s="281">
        <f t="shared" si="0"/>
        <v>0</v>
      </c>
      <c r="L20" s="283">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2021</v>
      </c>
      <c r="M20" s="45"/>
      <c r="N20" s="65"/>
      <c r="O20" s="366" t="s">
        <v>293</v>
      </c>
      <c r="P20" s="310"/>
      <c r="Q20" s="311">
        <v>35</v>
      </c>
      <c r="R20" s="312"/>
      <c r="S20" s="278"/>
      <c r="T20" s="278"/>
      <c r="U20" s="278"/>
      <c r="V20" s="278"/>
    </row>
    <row r="21" spans="1:29" ht="22" customHeight="1">
      <c r="A21" s="280" t="s">
        <v>77</v>
      </c>
      <c r="B21" s="92">
        <v>401605</v>
      </c>
      <c r="C21" s="46" t="s">
        <v>387</v>
      </c>
      <c r="D21" s="47">
        <v>36850</v>
      </c>
      <c r="E21" s="48" t="s">
        <v>10</v>
      </c>
      <c r="F21" s="49">
        <v>151.38</v>
      </c>
      <c r="G21" s="281">
        <f>IF(OR(E21="",F21=""),"",PID_KVLohnLookup($A$1,E21,F21,LOHNTABELLE!$H$4))</f>
        <v>2012.5</v>
      </c>
      <c r="H21" s="282">
        <f>IF(AND(ISNUMBER(D21),ISNUMBER(F21)),ROUNDDOWN(MIN(IF(OR(ISBLANK(I21),I21=""),EOMONTH(DATE(EINSTELLUNG!$C$35,$A$1,1),0),I21)-MAX(D21,DATE(EINSTELLUNG!$C$35,$A$1,1))+1)/DAY(EOMONTH(DATE(EINSTELLUNG!$C$35,$A$1,1),0))*F21,2),"")</f>
        <v>151.38</v>
      </c>
      <c r="I21" s="50"/>
      <c r="J21" s="51"/>
      <c r="K21" s="281">
        <f t="shared" si="0"/>
        <v>0</v>
      </c>
      <c r="L21" s="283">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2012.5</v>
      </c>
      <c r="M21" s="52"/>
      <c r="N21" s="66"/>
      <c r="O21" s="366" t="s">
        <v>293</v>
      </c>
      <c r="P21" s="310"/>
      <c r="Q21" s="311">
        <v>100</v>
      </c>
      <c r="R21" s="312"/>
      <c r="S21" s="278"/>
      <c r="T21" s="278"/>
      <c r="U21" s="278"/>
      <c r="V21" s="278"/>
    </row>
    <row r="22" spans="1:29" ht="22" customHeight="1">
      <c r="A22" s="280" t="s">
        <v>78</v>
      </c>
      <c r="B22" s="91">
        <v>401626</v>
      </c>
      <c r="C22" s="39" t="s">
        <v>245</v>
      </c>
      <c r="D22" s="40">
        <v>45063</v>
      </c>
      <c r="E22" s="41" t="s">
        <v>2</v>
      </c>
      <c r="F22" s="42">
        <v>173</v>
      </c>
      <c r="G22" s="281">
        <f>IF(OR(E22="",F22=""),"",PID_KVLohnLookup($A$1,E22,F22,LOHNTABELLE!$H$4))</f>
        <v>2021</v>
      </c>
      <c r="H22" s="282">
        <f>IF(AND(ISNUMBER(D22),ISNUMBER(F22)),ROUNDDOWN(MIN(IF(OR(ISBLANK(I22),I22=""),EOMONTH(DATE(EINSTELLUNG!$C$35,$A$1,1),0),I22)-MAX(D22,DATE(EINSTELLUNG!$C$35,$A$1,1))+1)/DAY(EOMONTH(DATE(EINSTELLUNG!$C$35,$A$1,1),0))*F22,2),"")</f>
        <v>173</v>
      </c>
      <c r="I22" s="43"/>
      <c r="J22" s="44"/>
      <c r="K22" s="281">
        <f t="shared" si="0"/>
        <v>0</v>
      </c>
      <c r="L22" s="283">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2021</v>
      </c>
      <c r="M22" s="45"/>
      <c r="N22" s="65"/>
      <c r="O22" s="366" t="s">
        <v>293</v>
      </c>
      <c r="P22" s="310"/>
      <c r="Q22" s="311"/>
      <c r="R22" s="312"/>
      <c r="S22" s="278"/>
      <c r="T22" s="278"/>
      <c r="U22" s="278"/>
      <c r="V22" s="278"/>
    </row>
    <row r="23" spans="1:29" ht="22" customHeight="1">
      <c r="A23" s="280" t="s">
        <v>79</v>
      </c>
      <c r="B23" s="92">
        <v>401633</v>
      </c>
      <c r="C23" s="46" t="s">
        <v>246</v>
      </c>
      <c r="D23" s="47">
        <v>45089</v>
      </c>
      <c r="E23" s="48" t="s">
        <v>10</v>
      </c>
      <c r="F23" s="49">
        <v>173</v>
      </c>
      <c r="G23" s="281">
        <f>IF(OR(E23="",F23=""),"",PID_KVLohnLookup($A$1,E23,F23,LOHNTABELLE!$H$4))</f>
        <v>2300</v>
      </c>
      <c r="H23" s="282">
        <f>IF(AND(ISNUMBER(D23),ISNUMBER(F23)),ROUNDDOWN(MIN(IF(OR(ISBLANK(I23),I23=""),EOMONTH(DATE(EINSTELLUNG!$C$35,$A$1,1),0),I23)-MAX(D23,DATE(EINSTELLUNG!$C$35,$A$1,1))+1)/DAY(EOMONTH(DATE(EINSTELLUNG!$C$35,$A$1,1),0))*F23,2),"")</f>
        <v>173</v>
      </c>
      <c r="I23" s="50"/>
      <c r="J23" s="51"/>
      <c r="K23" s="281">
        <f t="shared" si="0"/>
        <v>0</v>
      </c>
      <c r="L23" s="283">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2300</v>
      </c>
      <c r="M23" s="52"/>
      <c r="N23" s="66"/>
      <c r="O23" s="366" t="s">
        <v>293</v>
      </c>
      <c r="P23" s="310"/>
      <c r="Q23" s="311">
        <v>5000</v>
      </c>
      <c r="R23" s="312"/>
      <c r="S23" s="278"/>
      <c r="T23" s="278"/>
      <c r="U23" s="278"/>
      <c r="V23" s="278"/>
      <c r="W23" s="306"/>
    </row>
    <row r="24" spans="1:29" ht="22" customHeight="1">
      <c r="A24" s="280" t="s">
        <v>80</v>
      </c>
      <c r="B24" s="91">
        <v>401647</v>
      </c>
      <c r="C24" s="39" t="s">
        <v>247</v>
      </c>
      <c r="D24" s="40">
        <v>45182</v>
      </c>
      <c r="E24" s="41" t="s">
        <v>2</v>
      </c>
      <c r="F24" s="42">
        <v>173</v>
      </c>
      <c r="G24" s="281">
        <f>IF(OR(E24="",F24=""),"",PID_KVLohnLookup($A$1,E24,F24,LOHNTABELLE!$H$4))</f>
        <v>2021</v>
      </c>
      <c r="H24" s="282">
        <f>IF(AND(ISNUMBER(D24),ISNUMBER(F24)),ROUNDDOWN(MIN(IF(OR(ISBLANK(I24),I24=""),EOMONTH(DATE(EINSTELLUNG!$C$35,$A$1,1),0),I24)-MAX(D24,DATE(EINSTELLUNG!$C$35,$A$1,1))+1)/DAY(EOMONTH(DATE(EINSTELLUNG!$C$35,$A$1,1),0))*F24,2),"")</f>
        <v>173</v>
      </c>
      <c r="I24" s="43"/>
      <c r="J24" s="44"/>
      <c r="K24" s="281">
        <f t="shared" si="0"/>
        <v>0</v>
      </c>
      <c r="L24" s="283">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2021</v>
      </c>
      <c r="M24" s="45"/>
      <c r="N24" s="65"/>
      <c r="O24" s="366"/>
      <c r="P24" s="310"/>
      <c r="Q24" s="311"/>
      <c r="R24" s="312"/>
      <c r="S24" s="278"/>
      <c r="T24" s="278"/>
      <c r="U24" s="278"/>
      <c r="V24" s="278"/>
      <c r="W24" s="306"/>
    </row>
    <row r="25" spans="1:29" ht="22" customHeight="1">
      <c r="A25" s="280" t="s">
        <v>81</v>
      </c>
      <c r="B25" s="92">
        <v>401661</v>
      </c>
      <c r="C25" s="46" t="s">
        <v>248</v>
      </c>
      <c r="D25" s="47">
        <v>45261</v>
      </c>
      <c r="E25" s="48" t="s">
        <v>2</v>
      </c>
      <c r="F25" s="49">
        <v>173</v>
      </c>
      <c r="G25" s="281">
        <f>IF(OR(E25="",F25=""),"",PID_KVLohnLookup($A$1,E25,F25,LOHNTABELLE!$H$4))</f>
        <v>2021</v>
      </c>
      <c r="H25" s="282">
        <f>IF(AND(ISNUMBER(D25),ISNUMBER(F25)),ROUNDDOWN(MIN(IF(OR(ISBLANK(I25),I25=""),EOMONTH(DATE(EINSTELLUNG!$C$35,$A$1,1),0),I25)-MAX(D25,DATE(EINSTELLUNG!$C$35,$A$1,1))+1)/DAY(EOMONTH(DATE(EINSTELLUNG!$C$35,$A$1,1),0))*F25,2),"")</f>
        <v>173</v>
      </c>
      <c r="I25" s="50"/>
      <c r="J25" s="51"/>
      <c r="K25" s="281">
        <f t="shared" si="0"/>
        <v>0</v>
      </c>
      <c r="L25" s="283">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2021</v>
      </c>
      <c r="M25" s="52"/>
      <c r="N25" s="66"/>
      <c r="O25" s="366"/>
      <c r="P25" s="310"/>
      <c r="Q25" s="311"/>
      <c r="R25" s="312"/>
      <c r="S25" s="278"/>
      <c r="T25" s="278"/>
      <c r="U25" s="278"/>
      <c r="V25" s="278"/>
    </row>
    <row r="26" spans="1:29" ht="22" customHeight="1">
      <c r="A26" s="280" t="s">
        <v>82</v>
      </c>
      <c r="B26" s="91">
        <v>401670</v>
      </c>
      <c r="C26" s="39" t="s">
        <v>249</v>
      </c>
      <c r="D26" s="40">
        <v>45358</v>
      </c>
      <c r="E26" s="41" t="s">
        <v>2</v>
      </c>
      <c r="F26" s="42">
        <v>173</v>
      </c>
      <c r="G26" s="281">
        <f>IF(OR(E26="",F26=""),"",PID_KVLohnLookup($A$1,E26,F26,LOHNTABELLE!$H$4))</f>
        <v>2021</v>
      </c>
      <c r="H26" s="282">
        <f>IF(AND(ISNUMBER(D26),ISNUMBER(F26)),ROUNDDOWN(MIN(IF(OR(ISBLANK(I26),I26=""),EOMONTH(DATE(EINSTELLUNG!$C$35,$A$1,1),0),I26)-MAX(D26,DATE(EINSTELLUNG!$C$35,$A$1,1))+1)/DAY(EOMONTH(DATE(EINSTELLUNG!$C$35,$A$1,1),0))*F26,2),"")</f>
        <v>173</v>
      </c>
      <c r="I26" s="43"/>
      <c r="J26" s="44"/>
      <c r="K26" s="281">
        <f t="shared" si="0"/>
        <v>0</v>
      </c>
      <c r="L26" s="283">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2021</v>
      </c>
      <c r="M26" s="45"/>
      <c r="N26" s="65"/>
      <c r="O26" s="366"/>
      <c r="P26" s="310"/>
      <c r="Q26" s="311"/>
      <c r="R26" s="312"/>
      <c r="S26" s="278"/>
      <c r="T26" s="278"/>
      <c r="U26" s="278"/>
      <c r="V26" s="278"/>
    </row>
    <row r="27" spans="1:29" ht="22" customHeight="1">
      <c r="A27" s="280" t="s">
        <v>83</v>
      </c>
      <c r="B27" s="92">
        <v>401678</v>
      </c>
      <c r="C27" s="46" t="s">
        <v>250</v>
      </c>
      <c r="D27" s="47">
        <v>45414</v>
      </c>
      <c r="E27" s="48" t="s">
        <v>2</v>
      </c>
      <c r="F27" s="49">
        <v>173</v>
      </c>
      <c r="G27" s="281">
        <f>IF(OR(E27="",F27=""),"",PID_KVLohnLookup($A$1,E27,F27,LOHNTABELLE!$H$4))</f>
        <v>2021</v>
      </c>
      <c r="H27" s="282">
        <f>IF(AND(ISNUMBER(D27),ISNUMBER(F27)),ROUNDDOWN(MIN(IF(OR(ISBLANK(I27),I27=""),EOMONTH(DATE(EINSTELLUNG!$C$35,$A$1,1),0),I27)-MAX(D27,DATE(EINSTELLUNG!$C$35,$A$1,1))+1)/DAY(EOMONTH(DATE(EINSTELLUNG!$C$35,$A$1,1),0))*F27,2),"")</f>
        <v>173</v>
      </c>
      <c r="I27" s="50"/>
      <c r="J27" s="51"/>
      <c r="K27" s="281">
        <f t="shared" si="0"/>
        <v>0</v>
      </c>
      <c r="L27" s="283">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2021</v>
      </c>
      <c r="M27" s="52"/>
      <c r="N27" s="66"/>
      <c r="O27" s="366"/>
      <c r="P27" s="310"/>
      <c r="Q27" s="311"/>
      <c r="R27" s="312"/>
      <c r="S27" s="313" t="s">
        <v>84</v>
      </c>
      <c r="T27" s="313"/>
      <c r="U27" s="313"/>
      <c r="V27" s="313"/>
    </row>
    <row r="28" spans="1:29" ht="22" customHeight="1">
      <c r="A28" s="280" t="s">
        <v>85</v>
      </c>
      <c r="B28" s="91">
        <v>401690</v>
      </c>
      <c r="C28" s="39" t="s">
        <v>252</v>
      </c>
      <c r="D28" s="40">
        <v>45536</v>
      </c>
      <c r="E28" s="41" t="s">
        <v>2</v>
      </c>
      <c r="F28" s="42">
        <v>151.38</v>
      </c>
      <c r="G28" s="281">
        <f>IF(OR(E28="",F28=""),"",PID_KVLohnLookup($A$1,E28,F28,LOHNTABELLE!$H$4))</f>
        <v>1768.38</v>
      </c>
      <c r="H28" s="282">
        <f>IF(AND(ISNUMBER(D28),ISNUMBER(F28)),ROUNDDOWN(MIN(IF(OR(ISBLANK(I28),I28=""),EOMONTH(DATE(EINSTELLUNG!$C$35,$A$1,1),0),I28)-MAX(D28,DATE(EINSTELLUNG!$C$35,$A$1,1))+1)/DAY(EOMONTH(DATE(EINSTELLUNG!$C$35,$A$1,1),0))*F28,2),"")</f>
        <v>151.38</v>
      </c>
      <c r="I28" s="43"/>
      <c r="J28" s="44"/>
      <c r="K28" s="281">
        <f t="shared" si="0"/>
        <v>0</v>
      </c>
      <c r="L28" s="283">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1768.38</v>
      </c>
      <c r="M28" s="45"/>
      <c r="N28" s="65"/>
      <c r="O28" s="366"/>
      <c r="P28" s="310"/>
      <c r="Q28" s="311"/>
      <c r="R28" s="312"/>
      <c r="S28" s="278"/>
      <c r="T28" s="278"/>
      <c r="U28" s="278"/>
      <c r="V28" s="278"/>
    </row>
    <row r="29" spans="1:29" ht="22" customHeight="1" thickBot="1">
      <c r="A29" s="280" t="s">
        <v>86</v>
      </c>
      <c r="B29" s="92">
        <v>401715</v>
      </c>
      <c r="C29" s="46" t="s">
        <v>255</v>
      </c>
      <c r="D29" s="47">
        <v>45755</v>
      </c>
      <c r="E29" s="48" t="s">
        <v>2</v>
      </c>
      <c r="F29" s="49">
        <v>173</v>
      </c>
      <c r="G29" s="281">
        <f>IF(OR(E29="",F29=""),"",PID_KVLohnLookup($A$1,E29,F29,LOHNTABELLE!$H$4))</f>
        <v>2021</v>
      </c>
      <c r="H29" s="282">
        <f>IF(AND(ISNUMBER(D29),ISNUMBER(F29)),ROUNDDOWN(MIN(IF(OR(ISBLANK(I29),I29=""),EOMONTH(DATE(EINSTELLUNG!$C$35,$A$1,1),0),I29)-MAX(D29,DATE(EINSTELLUNG!$C$35,$A$1,1))+1)/DAY(EOMONTH(DATE(EINSTELLUNG!$C$35,$A$1,1),0))*F29,2),"")</f>
        <v>173</v>
      </c>
      <c r="I29" s="50"/>
      <c r="J29" s="51"/>
      <c r="K29" s="281">
        <f t="shared" si="0"/>
        <v>0</v>
      </c>
      <c r="L29" s="283">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2021</v>
      </c>
      <c r="M29" s="52"/>
      <c r="N29" s="66"/>
      <c r="O29" s="367" t="s">
        <v>87</v>
      </c>
      <c r="P29" s="315"/>
      <c r="Q29" s="316">
        <f>EINSTELLUNG!O15</f>
        <v>1250</v>
      </c>
      <c r="R29" s="317"/>
      <c r="S29" s="278"/>
      <c r="T29" s="278"/>
      <c r="U29" s="278"/>
      <c r="V29" s="278"/>
    </row>
    <row r="30" spans="1:29" ht="22" customHeight="1" thickBot="1">
      <c r="A30" s="280" t="s">
        <v>88</v>
      </c>
      <c r="B30" s="91">
        <v>401716</v>
      </c>
      <c r="C30" s="39" t="s">
        <v>256</v>
      </c>
      <c r="D30" s="40">
        <v>45800</v>
      </c>
      <c r="E30" s="41" t="s">
        <v>2</v>
      </c>
      <c r="F30" s="42">
        <v>173</v>
      </c>
      <c r="G30" s="281">
        <f>IF(OR(E30="",F30=""),"",PID_KVLohnLookup($A$1,E30,F30,LOHNTABELLE!$H$4))</f>
        <v>2021</v>
      </c>
      <c r="H30" s="282">
        <f>IF(AND(ISNUMBER(D30),ISNUMBER(F30)),ROUNDDOWN(MIN(IF(OR(ISBLANK(I30),I30=""),EOMONTH(DATE(EINSTELLUNG!$C$35,$A$1,1),0),I30)-MAX(D30,DATE(EINSTELLUNG!$C$35,$A$1,1))+1)/DAY(EOMONTH(DATE(EINSTELLUNG!$C$35,$A$1,1),0))*F30,2),"")</f>
        <v>173</v>
      </c>
      <c r="I30" s="43"/>
      <c r="J30" s="44"/>
      <c r="K30" s="281">
        <f t="shared" si="0"/>
        <v>0</v>
      </c>
      <c r="L30" s="283">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2021</v>
      </c>
      <c r="M30" s="45"/>
      <c r="N30" s="65"/>
      <c r="O30" s="278"/>
      <c r="P30" s="278"/>
      <c r="Q30" s="278"/>
      <c r="R30" s="278"/>
      <c r="S30" s="278"/>
      <c r="T30" s="278"/>
      <c r="U30" s="278"/>
      <c r="V30" s="278"/>
      <c r="W30" s="318"/>
      <c r="X30" s="318"/>
      <c r="Y30" s="318"/>
      <c r="Z30" s="318"/>
      <c r="AA30" s="318"/>
      <c r="AB30" s="318"/>
      <c r="AC30" s="318"/>
    </row>
    <row r="31" spans="1:29" ht="22" customHeight="1" thickBot="1">
      <c r="A31" s="280" t="s">
        <v>89</v>
      </c>
      <c r="B31" s="92">
        <v>401717</v>
      </c>
      <c r="C31" s="46" t="s">
        <v>257</v>
      </c>
      <c r="D31" s="47">
        <v>45814</v>
      </c>
      <c r="E31" s="48" t="s">
        <v>2</v>
      </c>
      <c r="F31" s="49">
        <v>86.5</v>
      </c>
      <c r="G31" s="281">
        <f>IF(OR(E31="",F31=""),"",PID_KVLohnLookup($A$1,E31,F31,LOHNTABELLE!$H$4))</f>
        <v>1010.5</v>
      </c>
      <c r="H31" s="282">
        <f>IF(AND(ISNUMBER(D31),ISNUMBER(F31)),ROUNDDOWN(MIN(IF(OR(ISBLANK(I31),I31=""),EOMONTH(DATE(EINSTELLUNG!$C$35,$A$1,1),0),I31)-MAX(D31,DATE(EINSTELLUNG!$C$35,$A$1,1))+1)/DAY(EOMONTH(DATE(EINSTELLUNG!$C$35,$A$1,1),0))*F31,2),"")</f>
        <v>86.5</v>
      </c>
      <c r="I31" s="50"/>
      <c r="J31" s="51"/>
      <c r="K31" s="281">
        <f t="shared" si="0"/>
        <v>0</v>
      </c>
      <c r="L31" s="283">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1010.5</v>
      </c>
      <c r="M31" s="52"/>
      <c r="N31" s="66"/>
      <c r="O31" s="368" t="s">
        <v>415</v>
      </c>
      <c r="P31" s="320"/>
      <c r="Q31" s="321">
        <v>0</v>
      </c>
      <c r="R31" s="322"/>
      <c r="S31" s="278"/>
      <c r="T31" s="278"/>
      <c r="U31" s="278"/>
      <c r="V31" s="278"/>
    </row>
    <row r="32" spans="1:29" ht="22" customHeight="1" thickBot="1">
      <c r="A32" s="280" t="s">
        <v>91</v>
      </c>
      <c r="B32" s="91">
        <v>401722</v>
      </c>
      <c r="C32" s="39" t="s">
        <v>258</v>
      </c>
      <c r="D32" s="40">
        <v>45848</v>
      </c>
      <c r="E32" s="41" t="s">
        <v>2</v>
      </c>
      <c r="F32" s="42">
        <v>86.5</v>
      </c>
      <c r="G32" s="281">
        <f>IF(OR(E32="",F32=""),"",PID_KVLohnLookup($A$1,E32,F32,LOHNTABELLE!$H$4))</f>
        <v>1010.5</v>
      </c>
      <c r="H32" s="282">
        <f>IF(AND(ISNUMBER(D32),ISNUMBER(F32)),ROUNDDOWN(MIN(IF(OR(ISBLANK(I32),I32=""),EOMONTH(DATE(EINSTELLUNG!$C$35,$A$1,1),0),I32)-MAX(D32,DATE(EINSTELLUNG!$C$35,$A$1,1))+1)/DAY(EOMONTH(DATE(EINSTELLUNG!$C$35,$A$1,1),0))*F32,2),"")</f>
        <v>86.5</v>
      </c>
      <c r="I32" s="43"/>
      <c r="J32" s="44"/>
      <c r="K32" s="281">
        <f t="shared" si="0"/>
        <v>0</v>
      </c>
      <c r="L32" s="283">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1010.5</v>
      </c>
      <c r="M32" s="45"/>
      <c r="N32" s="65"/>
      <c r="O32" s="278"/>
      <c r="P32" s="278"/>
      <c r="Q32" s="278"/>
      <c r="R32" s="278"/>
      <c r="S32" s="278"/>
      <c r="T32" s="278"/>
      <c r="U32" s="278"/>
      <c r="V32" s="278"/>
    </row>
    <row r="33" spans="1:22" ht="22" customHeight="1">
      <c r="A33" s="280" t="s">
        <v>92</v>
      </c>
      <c r="B33" s="92">
        <v>401723</v>
      </c>
      <c r="C33" s="46" t="s">
        <v>259</v>
      </c>
      <c r="D33" s="47">
        <v>45852</v>
      </c>
      <c r="E33" s="48" t="s">
        <v>2</v>
      </c>
      <c r="F33" s="49">
        <v>86.5</v>
      </c>
      <c r="G33" s="281">
        <f>IF(OR(E33="",F33=""),"",PID_KVLohnLookup($A$1,E33,F33,LOHNTABELLE!$H$4))</f>
        <v>1010.5</v>
      </c>
      <c r="H33" s="282">
        <f>IF(AND(ISNUMBER(D33),ISNUMBER(F33)),ROUNDDOWN(MIN(IF(OR(ISBLANK(I33),I33=""),EOMONTH(DATE(EINSTELLUNG!$C$35,$A$1,1),0),I33)-MAX(D33,DATE(EINSTELLUNG!$C$35,$A$1,1))+1)/DAY(EOMONTH(DATE(EINSTELLUNG!$C$35,$A$1,1),0))*F33,2),"")</f>
        <v>86.5</v>
      </c>
      <c r="I33" s="50"/>
      <c r="J33" s="51"/>
      <c r="K33" s="281">
        <f t="shared" si="0"/>
        <v>0</v>
      </c>
      <c r="L33" s="283">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1010.5</v>
      </c>
      <c r="M33" s="52"/>
      <c r="N33" s="66"/>
      <c r="O33" s="369"/>
      <c r="P33" s="324"/>
      <c r="Q33" s="263" t="str">
        <f>EINSTELLUNG!B3</f>
        <v>Budget</v>
      </c>
      <c r="R33" s="263"/>
      <c r="S33" s="263" t="str">
        <f>EINSTELLUNG!B19</f>
        <v>Projection/Aktuell Zahlen</v>
      </c>
      <c r="T33" s="263"/>
      <c r="U33" s="263" t="s">
        <v>95</v>
      </c>
      <c r="V33" s="264"/>
    </row>
    <row r="34" spans="1:22" ht="22" customHeight="1">
      <c r="A34" s="280" t="s">
        <v>96</v>
      </c>
      <c r="B34" s="91">
        <v>401726</v>
      </c>
      <c r="C34" s="39" t="s">
        <v>260</v>
      </c>
      <c r="D34" s="40">
        <v>45870</v>
      </c>
      <c r="E34" s="41" t="s">
        <v>2</v>
      </c>
      <c r="F34" s="42">
        <v>86.5</v>
      </c>
      <c r="G34" s="281">
        <f>IF(OR(E34="",F34=""),"",PID_KVLohnLookup($A$1,E34,F34,LOHNTABELLE!$H$4))</f>
        <v>1010.5</v>
      </c>
      <c r="H34" s="282">
        <f>IF(AND(ISNUMBER(D34),ISNUMBER(F34)),ROUNDDOWN(MIN(IF(OR(ISBLANK(I34),I34=""),EOMONTH(DATE(EINSTELLUNG!$C$35,$A$1,1),0),I34)-MAX(D34,DATE(EINSTELLUNG!$C$35,$A$1,1))+1)/DAY(EOMONTH(DATE(EINSTELLUNG!$C$35,$A$1,1),0))*F34,2),"")</f>
        <v>86.5</v>
      </c>
      <c r="I34" s="43"/>
      <c r="J34" s="44"/>
      <c r="K34" s="281">
        <f t="shared" si="0"/>
        <v>0</v>
      </c>
      <c r="L34" s="283">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1010.5</v>
      </c>
      <c r="M34" s="45"/>
      <c r="N34" s="65"/>
      <c r="O34" s="370"/>
      <c r="P34" s="326"/>
      <c r="Q34" s="327"/>
      <c r="R34" s="327"/>
      <c r="S34" s="327"/>
      <c r="T34" s="327"/>
      <c r="U34" s="327"/>
      <c r="V34" s="328"/>
    </row>
    <row r="35" spans="1:22" ht="22" customHeight="1">
      <c r="A35" s="280" t="s">
        <v>97</v>
      </c>
      <c r="B35" s="92">
        <v>401730</v>
      </c>
      <c r="C35" s="46" t="s">
        <v>262</v>
      </c>
      <c r="D35" s="47">
        <v>45895</v>
      </c>
      <c r="E35" s="48" t="s">
        <v>2</v>
      </c>
      <c r="F35" s="49">
        <v>86.5</v>
      </c>
      <c r="G35" s="281">
        <f>IF(OR(E35="",F35=""),"",PID_KVLohnLookup($A$1,E35,F35,LOHNTABELLE!$H$4))</f>
        <v>1010.5</v>
      </c>
      <c r="H35" s="282">
        <f>IF(AND(ISNUMBER(D35),ISNUMBER(F35)),ROUNDDOWN(MIN(IF(OR(ISBLANK(I35),I35=""),EOMONTH(DATE(EINSTELLUNG!$C$35,$A$1,1),0),I35)-MAX(D35,DATE(EINSTELLUNG!$C$35,$A$1,1))+1)/DAY(EOMONTH(DATE(EINSTELLUNG!$C$35,$A$1,1),0))*F35,2),"")</f>
        <v>86.5</v>
      </c>
      <c r="I35" s="50"/>
      <c r="J35" s="51"/>
      <c r="K35" s="281">
        <f t="shared" ref="K35:K66" si="1">IF(OR(B35="",C35=""),"",IFERROR(IF(OR(MONTH(D35)=1,MONTH(D35)=3,MONTH(D35)=5,MONTH(D35)=7,MONTH(D35)=8,MONTH(D35)=10,MONTH(D35)=12),(G35/31)*J35,IF(OR(MONTH(D35)=4,MONTH(D35)=6,MONTH(D35)=9,MONTH(D35)=11),(G35/30)*J35,(G35/DAY(EOMONTH(D35,0)))*J35)),0))</f>
        <v>0</v>
      </c>
      <c r="L35" s="283">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1010.5</v>
      </c>
      <c r="M35" s="52"/>
      <c r="N35" s="66"/>
      <c r="O35" s="358" t="s">
        <v>98</v>
      </c>
      <c r="P35" s="297"/>
      <c r="Q35" s="329">
        <f>EINSTELLUNG!C15</f>
        <v>400000</v>
      </c>
      <c r="R35" s="329"/>
      <c r="S35" s="329">
        <f>EINSTELLUNG!C31</f>
        <v>401000</v>
      </c>
      <c r="T35" s="329"/>
      <c r="U35" s="329">
        <f>S35-Q35</f>
        <v>1000</v>
      </c>
      <c r="V35" s="330"/>
    </row>
    <row r="36" spans="1:22" ht="22" customHeight="1">
      <c r="A36" s="280" t="s">
        <v>99</v>
      </c>
      <c r="B36" s="91">
        <v>401731</v>
      </c>
      <c r="C36" s="39" t="s">
        <v>261</v>
      </c>
      <c r="D36" s="40">
        <v>45899</v>
      </c>
      <c r="E36" s="41" t="s">
        <v>2</v>
      </c>
      <c r="F36" s="42">
        <v>86.5</v>
      </c>
      <c r="G36" s="281">
        <f>IF(OR(E36="",F36=""),"",PID_KVLohnLookup($A$1,E36,F36,LOHNTABELLE!$H$4))</f>
        <v>1010.5</v>
      </c>
      <c r="H36" s="282">
        <f>IF(AND(ISNUMBER(D36),ISNUMBER(F36)),ROUNDDOWN(MIN(IF(OR(ISBLANK(I36),I36=""),EOMONTH(DATE(EINSTELLUNG!$C$35,$A$1,1),0),I36)-MAX(D36,DATE(EINSTELLUNG!$C$35,$A$1,1))+1)/DAY(EOMONTH(DATE(EINSTELLUNG!$C$35,$A$1,1),0))*F36,2),"")</f>
        <v>86.5</v>
      </c>
      <c r="I36" s="43"/>
      <c r="J36" s="44"/>
      <c r="K36" s="281">
        <f t="shared" si="1"/>
        <v>0</v>
      </c>
      <c r="L36" s="283">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1010.5</v>
      </c>
      <c r="M36" s="45"/>
      <c r="N36" s="65"/>
      <c r="O36" s="358" t="s">
        <v>100</v>
      </c>
      <c r="P36" s="297"/>
      <c r="Q36" s="329">
        <f>EINSTELLUNG!D15</f>
        <v>100000</v>
      </c>
      <c r="R36" s="329"/>
      <c r="S36" s="329">
        <f ca="1">SumMergedCells(Q17:R29)</f>
        <v>98907.275500000003</v>
      </c>
      <c r="T36" s="329"/>
      <c r="U36" s="329">
        <f t="shared" ref="U36:U41" ca="1" si="2">S36-Q36</f>
        <v>-1092.7244999999966</v>
      </c>
      <c r="V36" s="330"/>
    </row>
    <row r="37" spans="1:22" ht="22" customHeight="1">
      <c r="A37" s="280" t="s">
        <v>101</v>
      </c>
      <c r="B37" s="92">
        <v>401734</v>
      </c>
      <c r="C37" s="46" t="s">
        <v>263</v>
      </c>
      <c r="D37" s="47">
        <v>45904</v>
      </c>
      <c r="E37" s="48" t="s">
        <v>2</v>
      </c>
      <c r="F37" s="49">
        <v>86.5</v>
      </c>
      <c r="G37" s="281">
        <f>IF(OR(E37="",F37=""),"",PID_KVLohnLookup($A$1,E37,F37,LOHNTABELLE!$H$4))</f>
        <v>1010.5</v>
      </c>
      <c r="H37" s="282">
        <f>IF(AND(ISNUMBER(D37),ISNUMBER(F37)),ROUNDDOWN(MIN(IF(OR(ISBLANK(I37),I37=""),EOMONTH(DATE(EINSTELLUNG!$C$35,$A$1,1),0),I37)-MAX(D37,DATE(EINSTELLUNG!$C$35,$A$1,1))+1)/DAY(EOMONTH(DATE(EINSTELLUNG!$C$35,$A$1,1),0))*F37,2),"")</f>
        <v>86.5</v>
      </c>
      <c r="I37" s="50"/>
      <c r="J37" s="51"/>
      <c r="K37" s="281">
        <f t="shared" si="1"/>
        <v>0</v>
      </c>
      <c r="L37" s="283">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1010.5</v>
      </c>
      <c r="M37" s="52"/>
      <c r="N37" s="66"/>
      <c r="O37" s="358" t="s">
        <v>102</v>
      </c>
      <c r="P37" s="297"/>
      <c r="Q37" s="331">
        <f>IF(ISERROR(Q36/Q35), 0, Q36/Q35)</f>
        <v>0.25</v>
      </c>
      <c r="R37" s="331"/>
      <c r="S37" s="331">
        <f ca="1">IF(ISERROR(S36/S35), 0, S36/S35)</f>
        <v>0.24665155985037407</v>
      </c>
      <c r="T37" s="331"/>
      <c r="U37" s="331">
        <f t="shared" ca="1" si="2"/>
        <v>-3.3484401496259308E-3</v>
      </c>
      <c r="V37" s="332"/>
    </row>
    <row r="38" spans="1:22" ht="22" customHeight="1">
      <c r="A38" s="280" t="s">
        <v>103</v>
      </c>
      <c r="B38" s="91">
        <v>401737</v>
      </c>
      <c r="C38" s="39" t="s">
        <v>265</v>
      </c>
      <c r="D38" s="40">
        <v>45906</v>
      </c>
      <c r="E38" s="41" t="s">
        <v>2</v>
      </c>
      <c r="F38" s="42">
        <v>86.5</v>
      </c>
      <c r="G38" s="281">
        <f>IF(OR(E38="",F38=""),"",PID_KVLohnLookup($A$1,E38,F38,LOHNTABELLE!$H$4))</f>
        <v>1010.5</v>
      </c>
      <c r="H38" s="282">
        <f>IF(AND(ISNUMBER(D38),ISNUMBER(F38)),ROUNDDOWN(MIN(IF(OR(ISBLANK(I38),I38=""),EOMONTH(DATE(EINSTELLUNG!$C$35,$A$1,1),0),I38)-MAX(D38,DATE(EINSTELLUNG!$C$35,$A$1,1))+1)/DAY(EOMONTH(DATE(EINSTELLUNG!$C$35,$A$1,1),0))*F38,2),"")</f>
        <v>86.5</v>
      </c>
      <c r="I38" s="43"/>
      <c r="J38" s="44"/>
      <c r="K38" s="281">
        <f t="shared" si="1"/>
        <v>0</v>
      </c>
      <c r="L38" s="283">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1010.5</v>
      </c>
      <c r="M38" s="45"/>
      <c r="N38" s="65"/>
      <c r="O38" s="358" t="s">
        <v>104</v>
      </c>
      <c r="P38" s="297"/>
      <c r="Q38" s="298">
        <f>EINSTELLUNG!F15</f>
        <v>30000</v>
      </c>
      <c r="R38" s="298"/>
      <c r="S38" s="298">
        <f>EINSTELLUNG!F31</f>
        <v>31000</v>
      </c>
      <c r="T38" s="298"/>
      <c r="U38" s="298">
        <f t="shared" si="2"/>
        <v>1000</v>
      </c>
      <c r="V38" s="299"/>
    </row>
    <row r="39" spans="1:22" ht="22" customHeight="1">
      <c r="A39" s="280" t="s">
        <v>105</v>
      </c>
      <c r="B39" s="92">
        <v>401738</v>
      </c>
      <c r="C39" s="46" t="s">
        <v>266</v>
      </c>
      <c r="D39" s="47">
        <v>45909</v>
      </c>
      <c r="E39" s="48" t="s">
        <v>2</v>
      </c>
      <c r="F39" s="49">
        <v>86.5</v>
      </c>
      <c r="G39" s="281">
        <f>IF(OR(E39="",F39=""),"",PID_KVLohnLookup($A$1,E39,F39,LOHNTABELLE!$H$4))</f>
        <v>1010.5</v>
      </c>
      <c r="H39" s="282">
        <f>IF(AND(ISNUMBER(D39),ISNUMBER(F39)),ROUNDDOWN(MIN(IF(OR(ISBLANK(I39),I39=""),EOMONTH(DATE(EINSTELLUNG!$C$35,$A$1,1),0),I39)-MAX(D39,DATE(EINSTELLUNG!$C$35,$A$1,1))+1)/DAY(EOMONTH(DATE(EINSTELLUNG!$C$35,$A$1,1),0))*F39,2),"")</f>
        <v>86.5</v>
      </c>
      <c r="I39" s="50"/>
      <c r="J39" s="51"/>
      <c r="K39" s="281">
        <f t="shared" si="1"/>
        <v>0</v>
      </c>
      <c r="L39" s="283">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52"/>
      <c r="N39" s="66"/>
      <c r="O39" s="358" t="s">
        <v>106</v>
      </c>
      <c r="P39" s="297"/>
      <c r="Q39" s="329">
        <f>IF(Q38=0, 0, Q35/Q38)</f>
        <v>13.333333333333334</v>
      </c>
      <c r="R39" s="329"/>
      <c r="S39" s="329">
        <f>IF(S38=0, 0, S35/S38)</f>
        <v>12.935483870967742</v>
      </c>
      <c r="T39" s="329"/>
      <c r="U39" s="329">
        <f t="shared" si="2"/>
        <v>-0.39784946236559193</v>
      </c>
      <c r="V39" s="330"/>
    </row>
    <row r="40" spans="1:22" ht="22" customHeight="1">
      <c r="A40" s="280" t="s">
        <v>107</v>
      </c>
      <c r="B40" s="91">
        <v>401745</v>
      </c>
      <c r="C40" s="39" t="s">
        <v>270</v>
      </c>
      <c r="D40" s="40">
        <v>45934</v>
      </c>
      <c r="E40" s="41" t="s">
        <v>2</v>
      </c>
      <c r="F40" s="42">
        <v>86.5</v>
      </c>
      <c r="G40" s="281">
        <f>IF(OR(E40="",F40=""),"",PID_KVLohnLookup($A$1,E40,F40,LOHNTABELLE!$H$4))</f>
        <v>1010.5</v>
      </c>
      <c r="H40" s="282">
        <f>IF(AND(ISNUMBER(D40),ISNUMBER(F40)),ROUNDDOWN(MIN(IF(OR(ISBLANK(I40),I40=""),EOMONTH(DATE(EINSTELLUNG!$C$35,$A$1,1),0),I40)-MAX(D40,DATE(EINSTELLUNG!$C$35,$A$1,1))+1)/DAY(EOMONTH(DATE(EINSTELLUNG!$C$35,$A$1,1),0))*F40,2),"")</f>
        <v>86.5</v>
      </c>
      <c r="I40" s="43"/>
      <c r="J40" s="44"/>
      <c r="K40" s="281">
        <f t="shared" si="1"/>
        <v>0</v>
      </c>
      <c r="L40" s="283">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45"/>
      <c r="N40" s="65"/>
      <c r="O40" s="358" t="s">
        <v>108</v>
      </c>
      <c r="P40" s="297"/>
      <c r="Q40" s="329">
        <f>IF(Q13=0, 0, Q35/Q13)</f>
        <v>54.39201960288387</v>
      </c>
      <c r="R40" s="329"/>
      <c r="S40" s="329">
        <f>IF(Q13=0, 0, S35/Q13)</f>
        <v>54.527999651891079</v>
      </c>
      <c r="T40" s="329"/>
      <c r="U40" s="329">
        <f t="shared" si="2"/>
        <v>0.13598004900720895</v>
      </c>
      <c r="V40" s="330"/>
    </row>
    <row r="41" spans="1:22" ht="22" customHeight="1">
      <c r="A41" s="280" t="s">
        <v>109</v>
      </c>
      <c r="B41" s="92">
        <v>401746</v>
      </c>
      <c r="C41" s="46" t="s">
        <v>269</v>
      </c>
      <c r="D41" s="47">
        <v>45941</v>
      </c>
      <c r="E41" s="48" t="s">
        <v>2</v>
      </c>
      <c r="F41" s="49">
        <v>86.5</v>
      </c>
      <c r="G41" s="281">
        <f>IF(OR(E41="",F41=""),"",PID_KVLohnLookup($A$1,E41,F41,LOHNTABELLE!$H$4))</f>
        <v>1010.5</v>
      </c>
      <c r="H41" s="282">
        <f>IF(AND(ISNUMBER(D41),ISNUMBER(F41)),ROUNDDOWN(MIN(IF(OR(ISBLANK(I41),I41=""),EOMONTH(DATE(EINSTELLUNG!$C$35,$A$1,1),0),I41)-MAX(D41,DATE(EINSTELLUNG!$C$35,$A$1,1))+1)/DAY(EOMONTH(DATE(EINSTELLUNG!$C$35,$A$1,1),0))*F41,2),"")</f>
        <v>86.5</v>
      </c>
      <c r="I41" s="50"/>
      <c r="J41" s="51"/>
      <c r="K41" s="281">
        <f t="shared" si="1"/>
        <v>0</v>
      </c>
      <c r="L41" s="283">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52"/>
      <c r="N41" s="66"/>
      <c r="O41" s="371" t="s">
        <v>110</v>
      </c>
      <c r="P41" s="334"/>
      <c r="Q41" s="335">
        <f>IF(Q13=0, 0, Q38/Q13)</f>
        <v>4.0794014702162897</v>
      </c>
      <c r="R41" s="335"/>
      <c r="S41" s="335">
        <f>IF(Q13=0, 0, S38/Q13)</f>
        <v>4.2153815192234996</v>
      </c>
      <c r="T41" s="335"/>
      <c r="U41" s="335">
        <f t="shared" si="2"/>
        <v>0.13598004900720984</v>
      </c>
      <c r="V41" s="336"/>
    </row>
    <row r="42" spans="1:22" ht="22" customHeight="1" thickBot="1">
      <c r="A42" s="280" t="s">
        <v>111</v>
      </c>
      <c r="B42" s="91">
        <v>401747</v>
      </c>
      <c r="C42" s="39" t="s">
        <v>267</v>
      </c>
      <c r="D42" s="40">
        <v>45941</v>
      </c>
      <c r="E42" s="41" t="s">
        <v>2</v>
      </c>
      <c r="F42" s="42">
        <v>86.5</v>
      </c>
      <c r="G42" s="281">
        <f>IF(OR(E42="",F42=""),"",PID_KVLohnLookup($A$1,E42,F42,LOHNTABELLE!$H$4))</f>
        <v>1010.5</v>
      </c>
      <c r="H42" s="282">
        <f>IF(AND(ISNUMBER(D42),ISNUMBER(F42)),ROUNDDOWN(MIN(IF(OR(ISBLANK(I42),I42=""),EOMONTH(DATE(EINSTELLUNG!$C$35,$A$1,1),0),I42)-MAX(D42,DATE(EINSTELLUNG!$C$35,$A$1,1))+1)/DAY(EOMONTH(DATE(EINSTELLUNG!$C$35,$A$1,1),0))*F42,2),"")</f>
        <v>86.5</v>
      </c>
      <c r="I42" s="43"/>
      <c r="J42" s="44"/>
      <c r="K42" s="281">
        <f t="shared" si="1"/>
        <v>0</v>
      </c>
      <c r="L42" s="283">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45"/>
      <c r="N42" s="130"/>
      <c r="O42" s="314" t="s">
        <v>112</v>
      </c>
      <c r="P42" s="315"/>
      <c r="Q42" s="337">
        <f>IFERROR(Q17/Q8, 0)</f>
        <v>11.75175831298033</v>
      </c>
      <c r="R42" s="338"/>
      <c r="S42" s="337"/>
      <c r="T42" s="337"/>
      <c r="U42" s="337"/>
      <c r="V42" s="317"/>
    </row>
    <row r="43" spans="1:22" ht="22" customHeight="1">
      <c r="A43" s="280" t="s">
        <v>113</v>
      </c>
      <c r="B43" s="92">
        <v>401748</v>
      </c>
      <c r="C43" s="46" t="s">
        <v>268</v>
      </c>
      <c r="D43" s="47">
        <v>45941</v>
      </c>
      <c r="E43" s="48" t="s">
        <v>2</v>
      </c>
      <c r="F43" s="49">
        <v>138.4</v>
      </c>
      <c r="G43" s="281">
        <f>IF(OR(E43="",F43=""),"",PID_KVLohnLookup($A$1,E43,F43,LOHNTABELLE!$H$4))</f>
        <v>1616.8</v>
      </c>
      <c r="H43" s="282">
        <f>IF(AND(ISNUMBER(D43),ISNUMBER(F43)),ROUNDDOWN(MIN(IF(OR(ISBLANK(I43),I43=""),EOMONTH(DATE(EINSTELLUNG!$C$35,$A$1,1),0),I43)-MAX(D43,DATE(EINSTELLUNG!$C$35,$A$1,1))+1)/DAY(EOMONTH(DATE(EINSTELLUNG!$C$35,$A$1,1),0))*F43,2),"")</f>
        <v>138.4</v>
      </c>
      <c r="I43" s="50"/>
      <c r="J43" s="51"/>
      <c r="K43" s="281">
        <f t="shared" si="1"/>
        <v>0</v>
      </c>
      <c r="L43" s="283">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1616.8</v>
      </c>
      <c r="M43" s="128"/>
      <c r="N43" s="66"/>
      <c r="O43" s="339"/>
      <c r="P43" s="339"/>
      <c r="Q43" s="339"/>
      <c r="R43" s="278"/>
      <c r="S43" s="278"/>
      <c r="T43" s="278"/>
      <c r="U43" s="278"/>
      <c r="V43" s="278"/>
    </row>
    <row r="44" spans="1:22" ht="22" customHeight="1">
      <c r="A44" s="280" t="s">
        <v>114</v>
      </c>
      <c r="B44" s="91">
        <v>401751</v>
      </c>
      <c r="C44" s="39" t="s">
        <v>271</v>
      </c>
      <c r="D44" s="40">
        <v>45961</v>
      </c>
      <c r="E44" s="41" t="s">
        <v>2</v>
      </c>
      <c r="F44" s="42">
        <v>86.5</v>
      </c>
      <c r="G44" s="281">
        <f>IF(OR(E44="",F44=""),"",PID_KVLohnLookup($A$1,E44,F44,LOHNTABELLE!$H$4))</f>
        <v>1010.5</v>
      </c>
      <c r="H44" s="282">
        <f>IF(AND(ISNUMBER(D44),ISNUMBER(F44)),ROUNDDOWN(MIN(IF(OR(ISBLANK(I44),I44=""),EOMONTH(DATE(EINSTELLUNG!$C$35,$A$1,1),0),I44)-MAX(D44,DATE(EINSTELLUNG!$C$35,$A$1,1))+1)/DAY(EOMONTH(DATE(EINSTELLUNG!$C$35,$A$1,1),0))*F44,2),"")</f>
        <v>86.5</v>
      </c>
      <c r="I44" s="43"/>
      <c r="J44" s="44"/>
      <c r="K44" s="281">
        <f t="shared" si="1"/>
        <v>0</v>
      </c>
      <c r="L44" s="283">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1010.5</v>
      </c>
      <c r="M44" s="129"/>
      <c r="N44" s="65"/>
      <c r="O44" s="340" t="s">
        <v>115</v>
      </c>
      <c r="P44" s="340"/>
      <c r="Q44" s="340"/>
      <c r="R44" s="340"/>
      <c r="S44" s="340"/>
      <c r="T44" s="340"/>
      <c r="U44" s="340"/>
      <c r="V44" s="340"/>
    </row>
    <row r="45" spans="1:22" ht="22" customHeight="1">
      <c r="A45" s="280" t="s">
        <v>116</v>
      </c>
      <c r="B45" s="92">
        <v>401752</v>
      </c>
      <c r="C45" s="46" t="s">
        <v>272</v>
      </c>
      <c r="D45" s="47">
        <v>45986</v>
      </c>
      <c r="E45" s="48" t="s">
        <v>2</v>
      </c>
      <c r="F45" s="49">
        <v>173</v>
      </c>
      <c r="G45" s="281">
        <f>IF(OR(E45="",F45=""),"",PID_KVLohnLookup($A$1,E45,F45,LOHNTABELLE!$H$4))</f>
        <v>2021</v>
      </c>
      <c r="H45" s="282">
        <f>IF(AND(ISNUMBER(D45),ISNUMBER(F45)),ROUNDDOWN(MIN(IF(OR(ISBLANK(I45),I45=""),EOMONTH(DATE(EINSTELLUNG!$C$35,$A$1,1),0),I45)-MAX(D45,DATE(EINSTELLUNG!$C$35,$A$1,1))+1)/DAY(EOMONTH(DATE(EINSTELLUNG!$C$35,$A$1,1),0))*F45,2),"")</f>
        <v>173</v>
      </c>
      <c r="I45" s="50"/>
      <c r="J45" s="51"/>
      <c r="K45" s="281">
        <f t="shared" si="1"/>
        <v>0</v>
      </c>
      <c r="L45" s="283">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2021</v>
      </c>
      <c r="M45" s="128"/>
      <c r="N45" s="66"/>
      <c r="O45" s="341"/>
      <c r="P45" s="341"/>
      <c r="Q45" s="341"/>
      <c r="R45" s="342"/>
      <c r="S45" s="342"/>
      <c r="T45" s="342"/>
      <c r="U45" s="342"/>
      <c r="V45" s="278"/>
    </row>
    <row r="46" spans="1:22" ht="22" customHeight="1">
      <c r="A46" s="280" t="s">
        <v>117</v>
      </c>
      <c r="B46" s="91">
        <v>401999</v>
      </c>
      <c r="C46" s="39" t="s">
        <v>354</v>
      </c>
      <c r="D46" s="40">
        <v>46041</v>
      </c>
      <c r="E46" s="41" t="s">
        <v>2</v>
      </c>
      <c r="F46" s="42">
        <v>151.38</v>
      </c>
      <c r="G46" s="281">
        <f>IF(OR(E46="",F46=""),"",PID_KVLohnLookup($A$1,E46,F46,LOHNTABELLE!$H$4))</f>
        <v>1768.38</v>
      </c>
      <c r="H46" s="282">
        <f>IF(AND(ISNUMBER(D46),ISNUMBER(F46)),ROUNDDOWN(MIN(IF(OR(ISBLANK(I46),I46=""),EOMONTH(DATE(EINSTELLUNG!$C$35,$A$1,1),0),I46)-MAX(D46,DATE(EINSTELLUNG!$C$35,$A$1,1))+1)/DAY(EOMONTH(DATE(EINSTELLUNG!$C$35,$A$1,1),0))*F46,2),"")</f>
        <v>151.38</v>
      </c>
      <c r="I46" s="43"/>
      <c r="J46" s="44"/>
      <c r="K46" s="281">
        <f t="shared" si="1"/>
        <v>0</v>
      </c>
      <c r="L46" s="283">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1768.38</v>
      </c>
      <c r="M46" s="129"/>
      <c r="N46" s="65"/>
      <c r="O46" s="278"/>
      <c r="P46" s="278"/>
      <c r="Q46" s="278"/>
      <c r="R46" s="278"/>
      <c r="S46" s="278"/>
      <c r="T46" s="278"/>
      <c r="U46" s="278"/>
      <c r="V46" s="278"/>
    </row>
    <row r="47" spans="1:22" ht="22" customHeight="1">
      <c r="A47" s="280" t="s">
        <v>118</v>
      </c>
      <c r="B47" s="92">
        <v>401999</v>
      </c>
      <c r="C47" s="46" t="s">
        <v>292</v>
      </c>
      <c r="D47" s="47">
        <v>46082</v>
      </c>
      <c r="E47" s="48" t="s">
        <v>2</v>
      </c>
      <c r="F47" s="49">
        <v>173</v>
      </c>
      <c r="G47" s="281">
        <f>IF(OR(E47="",F47=""),"",PID_KVLohnLookup($A$1,E47,F47,LOHNTABELLE!$H$4))</f>
        <v>2021</v>
      </c>
      <c r="H47" s="282">
        <f>IF(AND(ISNUMBER(D47),ISNUMBER(F47)),ROUNDDOWN(MIN(IF(OR(ISBLANK(I47),I47=""),EOMONTH(DATE(EINSTELLUNG!$C$35,$A$1,1),0),I47)-MAX(D47,DATE(EINSTELLUNG!$C$35,$A$1,1))+1)/DAY(EOMONTH(DATE(EINSTELLUNG!$C$35,$A$1,1),0))*F47,2),"")</f>
        <v>173</v>
      </c>
      <c r="I47" s="50"/>
      <c r="J47" s="51"/>
      <c r="K47" s="281">
        <f t="shared" si="1"/>
        <v>0</v>
      </c>
      <c r="L47" s="283">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2021</v>
      </c>
      <c r="M47" s="128"/>
      <c r="N47" s="66"/>
      <c r="O47" s="278"/>
      <c r="P47" s="278"/>
      <c r="Q47" s="278"/>
      <c r="R47" s="278"/>
      <c r="S47" s="278"/>
      <c r="T47" s="278"/>
      <c r="U47" s="278"/>
      <c r="V47" s="278"/>
    </row>
    <row r="48" spans="1:22" ht="18" customHeight="1">
      <c r="A48" s="280" t="s">
        <v>119</v>
      </c>
      <c r="B48" s="91">
        <v>402000</v>
      </c>
      <c r="C48" s="39" t="s">
        <v>294</v>
      </c>
      <c r="D48" s="43">
        <v>46143</v>
      </c>
      <c r="E48" s="41" t="s">
        <v>2</v>
      </c>
      <c r="F48" s="42">
        <v>173</v>
      </c>
      <c r="G48" s="281">
        <f>IF(OR(E48="",F48=""),"",PID_KVLohnLookup($A$1,E48,F48,LOHNTABELLE!$H$4))</f>
        <v>2021</v>
      </c>
      <c r="H48" s="282">
        <f>IF(AND(ISNUMBER(D48),ISNUMBER(F48)),ROUNDDOWN(MIN(IF(OR(ISBLANK(I48),I48=""),EOMONTH(DATE(EINSTELLUNG!$C$35,$A$1,1),0),I48)-MAX(D48,DATE(EINSTELLUNG!$C$35,$A$1,1))+1)/DAY(EOMONTH(DATE(EINSTELLUNG!$C$35,$A$1,1),0))*F48,2),"")</f>
        <v>55.8</v>
      </c>
      <c r="I48" s="43">
        <v>46305</v>
      </c>
      <c r="J48" s="44"/>
      <c r="K48" s="281">
        <f t="shared" si="1"/>
        <v>0</v>
      </c>
      <c r="L48" s="283">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651.93548387096769</v>
      </c>
      <c r="M48" s="129"/>
      <c r="N48" s="65" t="s">
        <v>188</v>
      </c>
      <c r="O48" s="278"/>
      <c r="P48" s="278"/>
      <c r="Q48" s="278"/>
      <c r="R48" s="278"/>
      <c r="S48" s="278"/>
      <c r="T48" s="278"/>
      <c r="U48" s="278"/>
      <c r="V48" s="278"/>
    </row>
    <row r="49" spans="1:22" ht="22" customHeight="1">
      <c r="A49" s="280" t="s">
        <v>120</v>
      </c>
      <c r="B49" s="92">
        <v>402004</v>
      </c>
      <c r="C49" s="46" t="s">
        <v>295</v>
      </c>
      <c r="D49" s="50">
        <v>46122</v>
      </c>
      <c r="E49" s="48" t="s">
        <v>2</v>
      </c>
      <c r="F49" s="95">
        <v>173</v>
      </c>
      <c r="G49" s="281">
        <f>IF(OR(E49="",F49=""),"",PID_KVLohnLookup($A$1,E49,F49,LOHNTABELLE!$H$4))</f>
        <v>2021</v>
      </c>
      <c r="H49" s="282">
        <f>IF(AND(ISNUMBER(D49),ISNUMBER(F49)),ROUNDDOWN(MIN(IF(OR(ISBLANK(I49),I49=""),EOMONTH(DATE(EINSTELLUNG!$C$35,$A$1,1),0),I49)-MAX(D49,DATE(EINSTELLUNG!$C$35,$A$1,1))+1)/DAY(EOMONTH(DATE(EINSTELLUNG!$C$35,$A$1,1),0))*F49,2),"")</f>
        <v>173</v>
      </c>
      <c r="I49" s="50"/>
      <c r="J49" s="51"/>
      <c r="K49" s="281">
        <f t="shared" si="1"/>
        <v>0</v>
      </c>
      <c r="L49" s="283">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2021</v>
      </c>
      <c r="M49" s="128"/>
      <c r="N49" s="66"/>
      <c r="O49" s="278"/>
      <c r="P49" s="278"/>
      <c r="Q49" s="278"/>
      <c r="R49" s="278"/>
      <c r="S49" s="278"/>
      <c r="T49" s="278"/>
      <c r="U49" s="278"/>
      <c r="V49" s="278"/>
    </row>
    <row r="50" spans="1:22" ht="22" customHeight="1">
      <c r="A50" s="280" t="s">
        <v>121</v>
      </c>
      <c r="B50" s="91">
        <v>402405</v>
      </c>
      <c r="C50" s="53" t="s">
        <v>297</v>
      </c>
      <c r="D50" s="43">
        <v>46054</v>
      </c>
      <c r="E50" s="41" t="s">
        <v>2</v>
      </c>
      <c r="F50" s="42">
        <v>173</v>
      </c>
      <c r="G50" s="281">
        <f>IF(OR(E50="",F50=""),"",PID_KVLohnLookup($A$1,E50,F50,LOHNTABELLE!$H$4))</f>
        <v>2021</v>
      </c>
      <c r="H50" s="282">
        <f>IF(AND(ISNUMBER(D50),ISNUMBER(F50)),ROUNDDOWN(MIN(IF(OR(ISBLANK(I50),I50=""),EOMONTH(DATE(EINSTELLUNG!$C$35,$A$1,1),0),I50)-MAX(D50,DATE(EINSTELLUNG!$C$35,$A$1,1))+1)/DAY(EOMONTH(DATE(EINSTELLUNG!$C$35,$A$1,1),0))*F50,2),"")</f>
        <v>173</v>
      </c>
      <c r="I50" s="43"/>
      <c r="J50" s="44"/>
      <c r="K50" s="281">
        <f t="shared" si="1"/>
        <v>0</v>
      </c>
      <c r="L50" s="283">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2021</v>
      </c>
      <c r="M50" s="129"/>
      <c r="N50" s="65"/>
      <c r="O50" s="278"/>
      <c r="P50" s="278"/>
      <c r="Q50" s="278"/>
      <c r="R50" s="278"/>
      <c r="S50" s="278"/>
      <c r="T50" s="278"/>
      <c r="U50" s="278"/>
      <c r="V50" s="278"/>
    </row>
    <row r="51" spans="1:22" ht="22" customHeight="1">
      <c r="A51" s="280" t="s">
        <v>122</v>
      </c>
      <c r="B51" s="92">
        <v>500600</v>
      </c>
      <c r="C51" s="46" t="s">
        <v>301</v>
      </c>
      <c r="D51" s="50">
        <v>46054</v>
      </c>
      <c r="E51" s="48" t="s">
        <v>2</v>
      </c>
      <c r="F51" s="49">
        <v>173</v>
      </c>
      <c r="G51" s="281">
        <f>IF(OR(E51="",F51=""),"",PID_KVLohnLookup($A$1,E51,F51,LOHNTABELLE!$H$4))</f>
        <v>2021</v>
      </c>
      <c r="H51" s="282">
        <f>IF(AND(ISNUMBER(D51),ISNUMBER(F51)),ROUNDDOWN(MIN(IF(OR(ISBLANK(I51),I51=""),EOMONTH(DATE(EINSTELLUNG!$C$35,$A$1,1),0),I51)-MAX(D51,DATE(EINSTELLUNG!$C$35,$A$1,1))+1)/DAY(EOMONTH(DATE(EINSTELLUNG!$C$35,$A$1,1),0))*F51,2),"")</f>
        <v>173</v>
      </c>
      <c r="I51" s="50"/>
      <c r="J51" s="51"/>
      <c r="K51" s="281">
        <f t="shared" si="1"/>
        <v>0</v>
      </c>
      <c r="L51" s="283">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2021</v>
      </c>
      <c r="M51" s="52"/>
      <c r="N51" s="127"/>
    </row>
    <row r="52" spans="1:22" ht="22" customHeight="1">
      <c r="A52" s="280" t="s">
        <v>123</v>
      </c>
      <c r="B52" s="91">
        <v>502000</v>
      </c>
      <c r="C52" s="39" t="s">
        <v>296</v>
      </c>
      <c r="D52" s="43">
        <v>46147</v>
      </c>
      <c r="E52" s="41" t="s">
        <v>2</v>
      </c>
      <c r="F52" s="42">
        <v>173</v>
      </c>
      <c r="G52" s="281">
        <f>IF(OR(E52="",F52=""),"",PID_KVLohnLookup($A$1,E52,F52,LOHNTABELLE!$H$4))</f>
        <v>2021</v>
      </c>
      <c r="H52" s="282">
        <f>IF(AND(ISNUMBER(D52),ISNUMBER(F52)),ROUNDDOWN(MIN(IF(OR(ISBLANK(I52),I52=""),EOMONTH(DATE(EINSTELLUNG!$C$35,$A$1,1),0),I52)-MAX(D52,DATE(EINSTELLUNG!$C$35,$A$1,1))+1)/DAY(EOMONTH(DATE(EINSTELLUNG!$C$35,$A$1,1),0))*F52,2),"")</f>
        <v>173</v>
      </c>
      <c r="I52" s="43"/>
      <c r="J52" s="44"/>
      <c r="K52" s="281">
        <f t="shared" si="1"/>
        <v>0</v>
      </c>
      <c r="L52" s="283">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2021</v>
      </c>
      <c r="M52" s="45"/>
      <c r="N52" s="65"/>
    </row>
    <row r="53" spans="1:22" ht="22" customHeight="1">
      <c r="A53" s="280" t="s">
        <v>124</v>
      </c>
      <c r="B53" s="92">
        <v>503000</v>
      </c>
      <c r="C53" s="46" t="s">
        <v>298</v>
      </c>
      <c r="D53" s="50">
        <v>42401</v>
      </c>
      <c r="E53" s="48" t="s">
        <v>2</v>
      </c>
      <c r="F53" s="49">
        <v>173</v>
      </c>
      <c r="G53" s="281">
        <f>IF(OR(E53="",F53=""),"",PID_KVLohnLookup($A$1,E53,F53,LOHNTABELLE!$H$4))</f>
        <v>2021</v>
      </c>
      <c r="H53" s="282">
        <f>IF(AND(ISNUMBER(D53),ISNUMBER(F53)),ROUNDDOWN(MIN(IF(OR(ISBLANK(I53),I53=""),EOMONTH(DATE(EINSTELLUNG!$C$35,$A$1,1),0),I53)-MAX(D53,DATE(EINSTELLUNG!$C$35,$A$1,1))+1)/DAY(EOMONTH(DATE(EINSTELLUNG!$C$35,$A$1,1),0))*F53,2),"")</f>
        <v>173</v>
      </c>
      <c r="I53" s="50"/>
      <c r="J53" s="51"/>
      <c r="K53" s="281">
        <f t="shared" si="1"/>
        <v>0</v>
      </c>
      <c r="L53" s="283">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2021</v>
      </c>
      <c r="M53" s="52"/>
      <c r="N53" s="66"/>
    </row>
    <row r="54" spans="1:22" ht="22" customHeight="1">
      <c r="A54" s="280" t="s">
        <v>125</v>
      </c>
      <c r="B54" s="91">
        <v>504000</v>
      </c>
      <c r="C54" s="39" t="s">
        <v>299</v>
      </c>
      <c r="D54" s="43">
        <v>46054</v>
      </c>
      <c r="E54" s="41" t="s">
        <v>3</v>
      </c>
      <c r="F54" s="42">
        <v>138.4</v>
      </c>
      <c r="G54" s="281">
        <f>IF(OR(E54="",F54=""),"",PID_KVLohnLookup($A$1,E54,F54,LOHNTABELLE!$H$4))</f>
        <v>1665.6</v>
      </c>
      <c r="H54" s="282">
        <f>IF(AND(ISNUMBER(D54),ISNUMBER(F54)),ROUNDDOWN(MIN(IF(OR(ISBLANK(I54),I54=""),EOMONTH(DATE(EINSTELLUNG!$C$35,$A$1,1),0),I54)-MAX(D54,DATE(EINSTELLUNG!$C$35,$A$1,1))+1)/DAY(EOMONTH(DATE(EINSTELLUNG!$C$35,$A$1,1),0))*F54,2),"")</f>
        <v>138.4</v>
      </c>
      <c r="I54" s="43"/>
      <c r="J54" s="44"/>
      <c r="K54" s="281">
        <f t="shared" si="1"/>
        <v>0</v>
      </c>
      <c r="L54" s="283">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1665.6</v>
      </c>
      <c r="M54" s="45"/>
      <c r="N54" s="65"/>
    </row>
    <row r="55" spans="1:22" ht="22" customHeight="1">
      <c r="A55" s="280" t="s">
        <v>126</v>
      </c>
      <c r="B55" s="92">
        <v>505000</v>
      </c>
      <c r="C55" s="46" t="s">
        <v>300</v>
      </c>
      <c r="D55" s="50">
        <v>46054</v>
      </c>
      <c r="E55" s="48" t="s">
        <v>2</v>
      </c>
      <c r="F55" s="49">
        <v>138.4</v>
      </c>
      <c r="G55" s="281">
        <f>IF(OR(E55="",F55=""),"",PID_KVLohnLookup($A$1,E55,F55,LOHNTABELLE!$H$4))</f>
        <v>1616.8</v>
      </c>
      <c r="H55" s="282">
        <f>IF(AND(ISNUMBER(D55),ISNUMBER(F55)),ROUNDDOWN(MIN(IF(OR(ISBLANK(I55),I55=""),EOMONTH(DATE(EINSTELLUNG!$C$35,$A$1,1),0),I55)-MAX(D55,DATE(EINSTELLUNG!$C$35,$A$1,1))+1)/DAY(EOMONTH(DATE(EINSTELLUNG!$C$35,$A$1,1),0))*F55,2),"")</f>
        <v>138.4</v>
      </c>
      <c r="I55" s="50"/>
      <c r="J55" s="51"/>
      <c r="K55" s="281">
        <f t="shared" si="1"/>
        <v>0</v>
      </c>
      <c r="L55" s="283">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1616.8</v>
      </c>
      <c r="M55" s="52"/>
      <c r="N55" s="66"/>
    </row>
    <row r="56" spans="1:22" ht="22" customHeight="1">
      <c r="A56" s="280" t="s">
        <v>127</v>
      </c>
      <c r="B56" s="91">
        <v>525025</v>
      </c>
      <c r="C56" s="39" t="s">
        <v>355</v>
      </c>
      <c r="D56" s="43">
        <v>46040</v>
      </c>
      <c r="E56" s="41" t="s">
        <v>2</v>
      </c>
      <c r="F56" s="42">
        <v>129.75</v>
      </c>
      <c r="G56" s="281">
        <f>IF(OR(E56="",F56=""),"",PID_KVLohnLookup($A$1,E56,F56,LOHNTABELLE!$H$4))</f>
        <v>1515.75</v>
      </c>
      <c r="H56" s="282">
        <f>IF(AND(ISNUMBER(D56),ISNUMBER(F56)),ROUNDDOWN(MIN(IF(OR(ISBLANK(I56),I56=""),EOMONTH(DATE(EINSTELLUNG!$C$35,$A$1,1),0),I56)-MAX(D56,DATE(EINSTELLUNG!$C$35,$A$1,1))+1)/DAY(EOMONTH(DATE(EINSTELLUNG!$C$35,$A$1,1),0))*F56,2),"")</f>
        <v>129.75</v>
      </c>
      <c r="I56" s="43"/>
      <c r="J56" s="44"/>
      <c r="K56" s="281">
        <f t="shared" si="1"/>
        <v>0</v>
      </c>
      <c r="L56" s="283">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1515.75</v>
      </c>
      <c r="M56" s="45"/>
      <c r="N56" s="65"/>
    </row>
    <row r="57" spans="1:22" ht="22" customHeight="1">
      <c r="A57" s="280" t="s">
        <v>128</v>
      </c>
      <c r="B57" s="92">
        <v>700000</v>
      </c>
      <c r="C57" s="46" t="s">
        <v>308</v>
      </c>
      <c r="D57" s="50">
        <v>46054</v>
      </c>
      <c r="E57" s="48" t="s">
        <v>2</v>
      </c>
      <c r="F57" s="49">
        <v>173</v>
      </c>
      <c r="G57" s="281">
        <f>IF(OR(E57="",F57=""),"",PID_KVLohnLookup($A$1,E57,F57,LOHNTABELLE!$H$4))</f>
        <v>2021</v>
      </c>
      <c r="H57" s="282">
        <f>IF(AND(ISNUMBER(D57),ISNUMBER(F57)),ROUNDDOWN(MIN(IF(OR(ISBLANK(I57),I57=""),EOMONTH(DATE(EINSTELLUNG!$C$35,$A$1,1),0),I57)-MAX(D57,DATE(EINSTELLUNG!$C$35,$A$1,1))+1)/DAY(EOMONTH(DATE(EINSTELLUNG!$C$35,$A$1,1),0))*F57,2),"")</f>
        <v>173</v>
      </c>
      <c r="I57" s="50"/>
      <c r="J57" s="51"/>
      <c r="K57" s="281">
        <f t="shared" si="1"/>
        <v>0</v>
      </c>
      <c r="L57" s="283">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2021</v>
      </c>
      <c r="M57" s="52"/>
      <c r="N57" s="66"/>
    </row>
    <row r="58" spans="1:22" ht="22" customHeight="1">
      <c r="A58" s="280" t="s">
        <v>129</v>
      </c>
      <c r="B58" s="91">
        <v>800000</v>
      </c>
      <c r="C58" s="39" t="s">
        <v>309</v>
      </c>
      <c r="D58" s="43">
        <v>46096</v>
      </c>
      <c r="E58" s="41" t="s">
        <v>2</v>
      </c>
      <c r="F58" s="42">
        <v>86.5</v>
      </c>
      <c r="G58" s="281">
        <f>IF(OR(E58="",F58=""),"",PID_KVLohnLookup($A$1,E58,F58,LOHNTABELLE!$H$4))</f>
        <v>1010.5</v>
      </c>
      <c r="H58" s="282">
        <f>IF(AND(ISNUMBER(D58),ISNUMBER(F58)),ROUNDDOWN(MIN(IF(OR(ISBLANK(I58),I58=""),EOMONTH(DATE(EINSTELLUNG!$C$35,$A$1,1),0),I58)-MAX(D58,DATE(EINSTELLUNG!$C$35,$A$1,1))+1)/DAY(EOMONTH(DATE(EINSTELLUNG!$C$35,$A$1,1),0))*F58,2),"")</f>
        <v>86.5</v>
      </c>
      <c r="I58" s="43"/>
      <c r="J58" s="44"/>
      <c r="K58" s="281">
        <f t="shared" si="1"/>
        <v>0</v>
      </c>
      <c r="L58" s="283">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1010.5</v>
      </c>
      <c r="M58" s="45"/>
      <c r="N58" s="65"/>
    </row>
    <row r="59" spans="1:22" ht="22" customHeight="1">
      <c r="A59" s="280" t="s">
        <v>130</v>
      </c>
      <c r="B59" s="92"/>
      <c r="C59" s="46"/>
      <c r="D59" s="50"/>
      <c r="E59" s="48"/>
      <c r="F59" s="49"/>
      <c r="G59" s="281" t="str">
        <f>IF(OR(E59="",F59=""),"",PID_KVLohnLookup($A$1,E59,F59,LOHNTABELLE!$H$4))</f>
        <v/>
      </c>
      <c r="H59" s="282" t="str">
        <f>IF(AND(ISNUMBER(D59),ISNUMBER(F59)),ROUNDDOWN(MIN(IF(OR(ISBLANK(I59),I59=""),EOMONTH(DATE(EINSTELLUNG!$C$35,$A$1,1),0),I59)-MAX(D59,DATE(EINSTELLUNG!$C$35,$A$1,1))+1)/DAY(EOMONTH(DATE(EINSTELLUNG!$C$35,$A$1,1),0))*F59,2),"")</f>
        <v/>
      </c>
      <c r="I59" s="50"/>
      <c r="J59" s="51"/>
      <c r="K59" s="281" t="str">
        <f t="shared" si="1"/>
        <v/>
      </c>
      <c r="L59" s="283" t="str">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
      </c>
      <c r="M59" s="52"/>
      <c r="N59" s="66"/>
    </row>
    <row r="60" spans="1:22" ht="22" customHeight="1">
      <c r="A60" s="280" t="s">
        <v>131</v>
      </c>
      <c r="B60" s="91"/>
      <c r="C60" s="39"/>
      <c r="D60" s="43"/>
      <c r="E60" s="41"/>
      <c r="F60" s="42"/>
      <c r="G60" s="281" t="str">
        <f>IF(OR(E60="",F60=""),"",PID_KVLohnLookup($A$1,E60,F60,LOHNTABELLE!$H$4))</f>
        <v/>
      </c>
      <c r="H60" s="282" t="str">
        <f>IF(AND(ISNUMBER(D60),ISNUMBER(F60)),ROUNDDOWN(MIN(IF(OR(ISBLANK(I60),I60=""),EOMONTH(DATE(EINSTELLUNG!$C$35,$A$1,1),0),I60)-MAX(D60,DATE(EINSTELLUNG!$C$35,$A$1,1))+1)/DAY(EOMONTH(DATE(EINSTELLUNG!$C$35,$A$1,1),0))*F60,2),"")</f>
        <v/>
      </c>
      <c r="I60" s="43"/>
      <c r="J60" s="44"/>
      <c r="K60" s="281" t="str">
        <f t="shared" si="1"/>
        <v/>
      </c>
      <c r="L60" s="283" t="str">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
      </c>
      <c r="M60" s="45"/>
      <c r="N60" s="65"/>
    </row>
    <row r="61" spans="1:22" ht="22" customHeight="1">
      <c r="A61" s="280" t="s">
        <v>132</v>
      </c>
      <c r="B61" s="92"/>
      <c r="C61" s="46"/>
      <c r="D61" s="50"/>
      <c r="E61" s="48"/>
      <c r="F61" s="49"/>
      <c r="G61" s="281" t="str">
        <f>IF(OR(E61="",F61=""),"",PID_KVLohnLookup($A$1,E61,F61,LOHNTABELLE!$H$4))</f>
        <v/>
      </c>
      <c r="H61" s="282" t="str">
        <f>IF(AND(ISNUMBER(D61),ISNUMBER(F61)),ROUNDDOWN(MIN(IF(OR(ISBLANK(I61),I61=""),EOMONTH(DATE(EINSTELLUNG!$C$35,$A$1,1),0),I61)-MAX(D61,DATE(EINSTELLUNG!$C$35,$A$1,1))+1)/DAY(EOMONTH(DATE(EINSTELLUNG!$C$35,$A$1,1),0))*F61,2),"")</f>
        <v/>
      </c>
      <c r="I61" s="50"/>
      <c r="J61" s="51"/>
      <c r="K61" s="281" t="str">
        <f t="shared" si="1"/>
        <v/>
      </c>
      <c r="L61" s="283" t="str">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52"/>
      <c r="N61" s="66"/>
    </row>
    <row r="62" spans="1:22" ht="22" customHeight="1">
      <c r="A62" s="280" t="s">
        <v>133</v>
      </c>
      <c r="B62" s="91"/>
      <c r="C62" s="39"/>
      <c r="D62" s="43"/>
      <c r="E62" s="41"/>
      <c r="F62" s="42"/>
      <c r="G62" s="281" t="str">
        <f>IF(OR(E62="",F62=""),"",PID_KVLohnLookup($A$1,E62,F62,LOHNTABELLE!$H$4))</f>
        <v/>
      </c>
      <c r="H62" s="282" t="str">
        <f>IF(AND(ISNUMBER(D62),ISNUMBER(F62)),ROUNDDOWN(MIN(IF(OR(ISBLANK(I62),I62=""),EOMONTH(DATE(EINSTELLUNG!$C$35,$A$1,1),0),I62)-MAX(D62,DATE(EINSTELLUNG!$C$35,$A$1,1))+1)/DAY(EOMONTH(DATE(EINSTELLUNG!$C$35,$A$1,1),0))*F62,2),"")</f>
        <v/>
      </c>
      <c r="I62" s="43"/>
      <c r="J62" s="44"/>
      <c r="K62" s="281" t="str">
        <f t="shared" si="1"/>
        <v/>
      </c>
      <c r="L62" s="283"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45"/>
      <c r="N62" s="65"/>
    </row>
    <row r="63" spans="1:22" ht="22" customHeight="1">
      <c r="A63" s="280" t="s">
        <v>134</v>
      </c>
      <c r="B63" s="92"/>
      <c r="C63" s="46"/>
      <c r="D63" s="50"/>
      <c r="E63" s="48"/>
      <c r="F63" s="49"/>
      <c r="G63" s="281" t="str">
        <f>IF(OR(E63="",F63=""),"",PID_KVLohnLookup($A$1,E63,F63,LOHNTABELLE!$H$4))</f>
        <v/>
      </c>
      <c r="H63" s="282" t="str">
        <f>IF(AND(ISNUMBER(D63),ISNUMBER(F63)),ROUNDDOWN(MIN(IF(OR(ISBLANK(I63),I63=""),EOMONTH(DATE(EINSTELLUNG!$C$35,$A$1,1),0),I63)-MAX(D63,DATE(EINSTELLUNG!$C$35,$A$1,1))+1)/DAY(EOMONTH(DATE(EINSTELLUNG!$C$35,$A$1,1),0))*F63,2),"")</f>
        <v/>
      </c>
      <c r="I63" s="50"/>
      <c r="J63" s="51"/>
      <c r="K63" s="281" t="str">
        <f t="shared" si="1"/>
        <v/>
      </c>
      <c r="L63" s="283"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52"/>
      <c r="N63" s="66"/>
    </row>
    <row r="64" spans="1:22" ht="22" customHeight="1">
      <c r="A64" s="280" t="s">
        <v>135</v>
      </c>
      <c r="B64" s="91"/>
      <c r="C64" s="39"/>
      <c r="D64" s="43"/>
      <c r="E64" s="41"/>
      <c r="F64" s="42"/>
      <c r="G64" s="281" t="str">
        <f>IF(OR(E64="",F64=""),"",PID_KVLohnLookup($A$1,E64,F64,LOHNTABELLE!$H$4))</f>
        <v/>
      </c>
      <c r="H64" s="282" t="str">
        <f>IF(AND(ISNUMBER(D64),ISNUMBER(F64)),ROUNDDOWN(MIN(IF(OR(ISBLANK(I64),I64=""),EOMONTH(DATE(EINSTELLUNG!$C$35,$A$1,1),0),I64)-MAX(D64,DATE(EINSTELLUNG!$C$35,$A$1,1))+1)/DAY(EOMONTH(DATE(EINSTELLUNG!$C$35,$A$1,1),0))*F64,2),"")</f>
        <v/>
      </c>
      <c r="I64" s="43"/>
      <c r="J64" s="44"/>
      <c r="K64" s="281" t="str">
        <f t="shared" si="1"/>
        <v/>
      </c>
      <c r="L64" s="283"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45"/>
      <c r="N64" s="65"/>
    </row>
    <row r="65" spans="1:14" ht="22" customHeight="1">
      <c r="A65" s="280" t="s">
        <v>136</v>
      </c>
      <c r="B65" s="92"/>
      <c r="C65" s="46"/>
      <c r="D65" s="50"/>
      <c r="E65" s="48"/>
      <c r="F65" s="49"/>
      <c r="G65" s="281" t="str">
        <f>IF(OR(E65="",F65=""),"",PID_KVLohnLookup($A$1,E65,F65,LOHNTABELLE!$H$4))</f>
        <v/>
      </c>
      <c r="H65" s="282" t="str">
        <f>IF(AND(ISNUMBER(D65),ISNUMBER(F65)),ROUNDDOWN(MIN(IF(OR(ISBLANK(I65),I65=""),EOMONTH(DATE(EINSTELLUNG!$C$35,$A$1,1),0),I65)-MAX(D65,DATE(EINSTELLUNG!$C$35,$A$1,1))+1)/DAY(EOMONTH(DATE(EINSTELLUNG!$C$35,$A$1,1),0))*F65,2),"")</f>
        <v/>
      </c>
      <c r="I65" s="50"/>
      <c r="J65" s="51"/>
      <c r="K65" s="281" t="str">
        <f t="shared" si="1"/>
        <v/>
      </c>
      <c r="L65" s="283"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52"/>
      <c r="N65" s="66"/>
    </row>
    <row r="66" spans="1:14" ht="22" customHeight="1">
      <c r="A66" s="280" t="s">
        <v>137</v>
      </c>
      <c r="B66" s="91"/>
      <c r="C66" s="39"/>
      <c r="D66" s="43"/>
      <c r="E66" s="41"/>
      <c r="F66" s="42"/>
      <c r="G66" s="281" t="str">
        <f>IF(OR(E66="",F66=""),"",PID_KVLohnLookup($A$1,E66,F66,LOHNTABELLE!$H$4))</f>
        <v/>
      </c>
      <c r="H66" s="282" t="str">
        <f>IF(AND(ISNUMBER(D66),ISNUMBER(F66)),ROUNDDOWN(MIN(IF(OR(ISBLANK(I66),I66=""),EOMONTH(DATE(EINSTELLUNG!$C$35,$A$1,1),0),I66)-MAX(D66,DATE(EINSTELLUNG!$C$35,$A$1,1))+1)/DAY(EOMONTH(DATE(EINSTELLUNG!$C$35,$A$1,1),0))*F66,2),"")</f>
        <v/>
      </c>
      <c r="I66" s="43"/>
      <c r="J66" s="44"/>
      <c r="K66" s="281" t="str">
        <f t="shared" si="1"/>
        <v/>
      </c>
      <c r="L66" s="283"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45"/>
      <c r="N66" s="65"/>
    </row>
    <row r="67" spans="1:14" ht="22" customHeight="1">
      <c r="A67" s="280" t="s">
        <v>138</v>
      </c>
      <c r="B67" s="92"/>
      <c r="C67" s="46"/>
      <c r="D67" s="50"/>
      <c r="E67" s="48"/>
      <c r="F67" s="49"/>
      <c r="G67" s="281" t="str">
        <f>IF(OR(E67="",F67=""),"",PID_KVLohnLookup($A$1,E67,F67,LOHNTABELLE!$H$4))</f>
        <v/>
      </c>
      <c r="H67" s="282" t="str">
        <f>IF(AND(ISNUMBER(D67),ISNUMBER(F67)),ROUNDDOWN(MIN(IF(OR(ISBLANK(I67),I67=""),EOMONTH(DATE(EINSTELLUNG!$C$35,$A$1,1),0),I67)-MAX(D67,DATE(EINSTELLUNG!$C$35,$A$1,1))+1)/DAY(EOMONTH(DATE(EINSTELLUNG!$C$35,$A$1,1),0))*F67,2),"")</f>
        <v/>
      </c>
      <c r="I67" s="50"/>
      <c r="J67" s="51"/>
      <c r="K67" s="281" t="str">
        <f t="shared" ref="K67:K82" si="3">IF(OR(B67="",C67=""),"",IFERROR(IF(OR(MONTH(D67)=1,MONTH(D67)=3,MONTH(D67)=5,MONTH(D67)=7,MONTH(D67)=8,MONTH(D67)=10,MONTH(D67)=12),(G67/31)*J67,IF(OR(MONTH(D67)=4,MONTH(D67)=6,MONTH(D67)=9,MONTH(D67)=11),(G67/30)*J67,(G67/DAY(EOMONTH(D67,0)))*J67)),0))</f>
        <v/>
      </c>
      <c r="L67" s="283"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52"/>
      <c r="N67" s="66"/>
    </row>
    <row r="68" spans="1:14" ht="22" customHeight="1">
      <c r="A68" s="280" t="s">
        <v>139</v>
      </c>
      <c r="B68" s="91"/>
      <c r="C68" s="39"/>
      <c r="D68" s="43"/>
      <c r="E68" s="41"/>
      <c r="F68" s="42"/>
      <c r="G68" s="281" t="str">
        <f>IF(OR(E68="",F68=""),"",PID_KVLohnLookup($A$1,E68,F68,LOHNTABELLE!$H$4))</f>
        <v/>
      </c>
      <c r="H68" s="282" t="str">
        <f>IF(AND(ISNUMBER(D68),ISNUMBER(F68)),ROUNDDOWN(MIN(IF(OR(ISBLANK(I68),I68=""),EOMONTH(DATE(EINSTELLUNG!$C$35,$A$1,1),0),I68)-MAX(D68,DATE(EINSTELLUNG!$C$35,$A$1,1))+1)/DAY(EOMONTH(DATE(EINSTELLUNG!$C$35,$A$1,1),0))*F68,2),"")</f>
        <v/>
      </c>
      <c r="I68" s="43"/>
      <c r="J68" s="44"/>
      <c r="K68" s="281" t="str">
        <f t="shared" si="3"/>
        <v/>
      </c>
      <c r="L68" s="283"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45"/>
      <c r="N68" s="65"/>
    </row>
    <row r="69" spans="1:14" ht="22" customHeight="1">
      <c r="A69" s="280" t="s">
        <v>140</v>
      </c>
      <c r="B69" s="92"/>
      <c r="C69" s="46"/>
      <c r="D69" s="50"/>
      <c r="E69" s="48"/>
      <c r="F69" s="49"/>
      <c r="G69" s="281" t="str">
        <f>IF(OR(E69="",F69=""),"",PID_KVLohnLookup($A$1,E69,F69,LOHNTABELLE!$H$4))</f>
        <v/>
      </c>
      <c r="H69" s="282" t="str">
        <f>IF(AND(ISNUMBER(D69),ISNUMBER(F69)),ROUNDDOWN(MIN(IF(OR(ISBLANK(I69),I69=""),EOMONTH(DATE(EINSTELLUNG!$C$35,$A$1,1),0),I69)-MAX(D69,DATE(EINSTELLUNG!$C$35,$A$1,1))+1)/DAY(EOMONTH(DATE(EINSTELLUNG!$C$35,$A$1,1),0))*F69,2),"")</f>
        <v/>
      </c>
      <c r="I69" s="50"/>
      <c r="J69" s="51"/>
      <c r="K69" s="281" t="str">
        <f t="shared" si="3"/>
        <v/>
      </c>
      <c r="L69" s="283"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52"/>
      <c r="N69" s="66"/>
    </row>
    <row r="70" spans="1:14" ht="22" customHeight="1">
      <c r="A70" s="280" t="s">
        <v>141</v>
      </c>
      <c r="B70" s="91"/>
      <c r="C70" s="39"/>
      <c r="D70" s="43"/>
      <c r="E70" s="41"/>
      <c r="F70" s="42"/>
      <c r="G70" s="281" t="str">
        <f>IF(OR(E70="",F70=""),"",PID_KVLohnLookup($A$1,E70,F70,LOHNTABELLE!$H$4))</f>
        <v/>
      </c>
      <c r="H70" s="282" t="str">
        <f>IF(AND(ISNUMBER(D70),ISNUMBER(F70)),ROUNDDOWN(MIN(IF(OR(ISBLANK(I70),I70=""),EOMONTH(DATE(EINSTELLUNG!$C$35,$A$1,1),0),I70)-MAX(D70,DATE(EINSTELLUNG!$C$35,$A$1,1))+1)/DAY(EOMONTH(DATE(EINSTELLUNG!$C$35,$A$1,1),0))*F70,2),"")</f>
        <v/>
      </c>
      <c r="I70" s="43"/>
      <c r="J70" s="44"/>
      <c r="K70" s="281" t="str">
        <f t="shared" si="3"/>
        <v/>
      </c>
      <c r="L70" s="283"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45"/>
      <c r="N70" s="65"/>
    </row>
    <row r="71" spans="1:14" ht="22" customHeight="1">
      <c r="A71" s="280" t="s">
        <v>142</v>
      </c>
      <c r="B71" s="92"/>
      <c r="C71" s="46"/>
      <c r="D71" s="50"/>
      <c r="E71" s="48"/>
      <c r="F71" s="49"/>
      <c r="G71" s="281" t="str">
        <f>IF(OR(E71="",F71=""),"",PID_KVLohnLookup($A$1,E71,F71,LOHNTABELLE!$H$4))</f>
        <v/>
      </c>
      <c r="H71" s="282" t="str">
        <f>IF(AND(ISNUMBER(D71),ISNUMBER(F71)),ROUNDDOWN(MIN(IF(OR(ISBLANK(I71),I71=""),EOMONTH(DATE(EINSTELLUNG!$C$35,$A$1,1),0),I71)-MAX(D71,DATE(EINSTELLUNG!$C$35,$A$1,1))+1)/DAY(EOMONTH(DATE(EINSTELLUNG!$C$35,$A$1,1),0))*F71,2),"")</f>
        <v/>
      </c>
      <c r="I71" s="50"/>
      <c r="J71" s="51"/>
      <c r="K71" s="281" t="str">
        <f t="shared" si="3"/>
        <v/>
      </c>
      <c r="L71" s="283"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52"/>
      <c r="N71" s="66"/>
    </row>
    <row r="72" spans="1:14" ht="22" customHeight="1">
      <c r="A72" s="280" t="s">
        <v>143</v>
      </c>
      <c r="B72" s="91"/>
      <c r="C72" s="39"/>
      <c r="D72" s="43"/>
      <c r="E72" s="41"/>
      <c r="F72" s="42"/>
      <c r="G72" s="281" t="str">
        <f>IF(OR(E72="",F72=""),"",PID_KVLohnLookup($A$1,E72,F72,LOHNTABELLE!$H$4))</f>
        <v/>
      </c>
      <c r="H72" s="282" t="str">
        <f>IF(AND(ISNUMBER(D72),ISNUMBER(F72)),ROUNDDOWN(MIN(IF(OR(ISBLANK(I72),I72=""),EOMONTH(DATE(EINSTELLUNG!$C$35,$A$1,1),0),I72)-MAX(D72,DATE(EINSTELLUNG!$C$35,$A$1,1))+1)/DAY(EOMONTH(DATE(EINSTELLUNG!$C$35,$A$1,1),0))*F72,2),"")</f>
        <v/>
      </c>
      <c r="I72" s="43"/>
      <c r="J72" s="44"/>
      <c r="K72" s="281" t="str">
        <f t="shared" si="3"/>
        <v/>
      </c>
      <c r="L72" s="283"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45"/>
      <c r="N72" s="65"/>
    </row>
    <row r="73" spans="1:14" ht="22" customHeight="1">
      <c r="A73" s="280" t="s">
        <v>144</v>
      </c>
      <c r="B73" s="92"/>
      <c r="C73" s="46"/>
      <c r="D73" s="50"/>
      <c r="E73" s="48"/>
      <c r="F73" s="49"/>
      <c r="G73" s="281" t="str">
        <f>IF(OR(E73="",F73=""),"",PID_KVLohnLookup($A$1,E73,F73,LOHNTABELLE!$H$4))</f>
        <v/>
      </c>
      <c r="H73" s="282" t="str">
        <f>IF(AND(ISNUMBER(D73),ISNUMBER(F73)),ROUNDDOWN(MIN(IF(OR(ISBLANK(I73),I73=""),EOMONTH(DATE(EINSTELLUNG!$C$35,$A$1,1),0),I73)-MAX(D73,DATE(EINSTELLUNG!$C$35,$A$1,1))+1)/DAY(EOMONTH(DATE(EINSTELLUNG!$C$35,$A$1,1),0))*F73,2),"")</f>
        <v/>
      </c>
      <c r="I73" s="50"/>
      <c r="J73" s="51"/>
      <c r="K73" s="281" t="str">
        <f t="shared" si="3"/>
        <v/>
      </c>
      <c r="L73" s="283"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52"/>
      <c r="N73" s="66"/>
    </row>
    <row r="74" spans="1:14" ht="22" customHeight="1">
      <c r="A74" s="280" t="s">
        <v>145</v>
      </c>
      <c r="B74" s="91"/>
      <c r="C74" s="39"/>
      <c r="D74" s="43"/>
      <c r="E74" s="41"/>
      <c r="F74" s="42"/>
      <c r="G74" s="281" t="str">
        <f>IF(OR(E74="",F74=""),"",PID_KVLohnLookup($A$1,E74,F74,LOHNTABELLE!$H$4))</f>
        <v/>
      </c>
      <c r="H74" s="282" t="str">
        <f>IF(AND(ISNUMBER(D74),ISNUMBER(F74)),ROUNDDOWN(MIN(IF(OR(ISBLANK(I74),I74=""),EOMONTH(DATE(EINSTELLUNG!$C$35,$A$1,1),0),I74)-MAX(D74,DATE(EINSTELLUNG!$C$35,$A$1,1))+1)/DAY(EOMONTH(DATE(EINSTELLUNG!$C$35,$A$1,1),0))*F74,2),"")</f>
        <v/>
      </c>
      <c r="I74" s="43"/>
      <c r="J74" s="44"/>
      <c r="K74" s="281" t="str">
        <f t="shared" si="3"/>
        <v/>
      </c>
      <c r="L74" s="283"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45"/>
      <c r="N74" s="65"/>
    </row>
    <row r="75" spans="1:14" ht="22" customHeight="1">
      <c r="A75" s="280" t="s">
        <v>146</v>
      </c>
      <c r="B75" s="92"/>
      <c r="C75" s="46"/>
      <c r="D75" s="50"/>
      <c r="E75" s="48"/>
      <c r="F75" s="49"/>
      <c r="G75" s="281" t="str">
        <f>IF(OR(E75="",F75=""),"",PID_KVLohnLookup($A$1,E75,F75,LOHNTABELLE!$H$4))</f>
        <v/>
      </c>
      <c r="H75" s="282" t="str">
        <f>IF(AND(ISNUMBER(D75),ISNUMBER(F75)),ROUNDDOWN(MIN(IF(OR(ISBLANK(I75),I75=""),EOMONTH(DATE(EINSTELLUNG!$C$35,$A$1,1),0),I75)-MAX(D75,DATE(EINSTELLUNG!$C$35,$A$1,1))+1)/DAY(EOMONTH(DATE(EINSTELLUNG!$C$35,$A$1,1),0))*F75,2),"")</f>
        <v/>
      </c>
      <c r="I75" s="50"/>
      <c r="J75" s="51"/>
      <c r="K75" s="281" t="str">
        <f t="shared" si="3"/>
        <v/>
      </c>
      <c r="L75" s="283"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52"/>
      <c r="N75" s="66"/>
    </row>
    <row r="76" spans="1:14" ht="22" customHeight="1">
      <c r="A76" s="280" t="s">
        <v>147</v>
      </c>
      <c r="B76" s="91"/>
      <c r="C76" s="39"/>
      <c r="D76" s="43"/>
      <c r="E76" s="41"/>
      <c r="F76" s="42"/>
      <c r="G76" s="281" t="str">
        <f>IF(OR(E76="",F76=""),"",PID_KVLohnLookup($A$1,E76,F76,LOHNTABELLE!$H$4))</f>
        <v/>
      </c>
      <c r="H76" s="282" t="str">
        <f>IF(AND(ISNUMBER(D76),ISNUMBER(F76)),ROUNDDOWN(MIN(IF(OR(ISBLANK(I76),I76=""),EOMONTH(DATE(EINSTELLUNG!$C$35,$A$1,1),0),I76)-MAX(D76,DATE(EINSTELLUNG!$C$35,$A$1,1))+1)/DAY(EOMONTH(DATE(EINSTELLUNG!$C$35,$A$1,1),0))*F76,2),"")</f>
        <v/>
      </c>
      <c r="I76" s="43"/>
      <c r="J76" s="44"/>
      <c r="K76" s="281" t="str">
        <f t="shared" si="3"/>
        <v/>
      </c>
      <c r="L76" s="283"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45"/>
      <c r="N76" s="65"/>
    </row>
    <row r="77" spans="1:14" ht="22" customHeight="1">
      <c r="A77" s="280" t="s">
        <v>148</v>
      </c>
      <c r="B77" s="92"/>
      <c r="C77" s="46"/>
      <c r="D77" s="50"/>
      <c r="E77" s="48"/>
      <c r="F77" s="49"/>
      <c r="G77" s="281" t="str">
        <f>IF(OR(E77="",F77=""),"",PID_KVLohnLookup($A$1,E77,F77,LOHNTABELLE!$H$4))</f>
        <v/>
      </c>
      <c r="H77" s="282" t="str">
        <f>IF(AND(ISNUMBER(D77),ISNUMBER(F77)),ROUNDDOWN(MIN(IF(OR(ISBLANK(I77),I77=""),EOMONTH(DATE(EINSTELLUNG!$C$35,$A$1,1),0),I77)-MAX(D77,DATE(EINSTELLUNG!$C$35,$A$1,1))+1)/DAY(EOMONTH(DATE(EINSTELLUNG!$C$35,$A$1,1),0))*F77,2),"")</f>
        <v/>
      </c>
      <c r="I77" s="50"/>
      <c r="J77" s="51"/>
      <c r="K77" s="281" t="str">
        <f t="shared" si="3"/>
        <v/>
      </c>
      <c r="L77" s="283"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52"/>
      <c r="N77" s="66"/>
    </row>
    <row r="78" spans="1:14" ht="22" customHeight="1">
      <c r="A78" s="280" t="s">
        <v>149</v>
      </c>
      <c r="B78" s="91"/>
      <c r="C78" s="39"/>
      <c r="D78" s="43"/>
      <c r="E78" s="41"/>
      <c r="F78" s="42"/>
      <c r="G78" s="281" t="str">
        <f>IF(OR(E78="",F78=""),"",PID_KVLohnLookup($A$1,E78,F78,LOHNTABELLE!$H$4))</f>
        <v/>
      </c>
      <c r="H78" s="282" t="str">
        <f>IF(AND(ISNUMBER(D78),ISNUMBER(F78)),ROUNDDOWN(MIN(IF(OR(ISBLANK(I78),I78=""),EOMONTH(DATE(EINSTELLUNG!$C$35,$A$1,1),0),I78)-MAX(D78,DATE(EINSTELLUNG!$C$35,$A$1,1))+1)/DAY(EOMONTH(DATE(EINSTELLUNG!$C$35,$A$1,1),0))*F78,2),"")</f>
        <v/>
      </c>
      <c r="I78" s="43"/>
      <c r="J78" s="44"/>
      <c r="K78" s="281" t="str">
        <f t="shared" si="3"/>
        <v/>
      </c>
      <c r="L78" s="283"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45"/>
      <c r="N78" s="65"/>
    </row>
    <row r="79" spans="1:14" ht="22" customHeight="1">
      <c r="A79" s="280" t="s">
        <v>150</v>
      </c>
      <c r="B79" s="92"/>
      <c r="C79" s="46"/>
      <c r="D79" s="50"/>
      <c r="E79" s="48"/>
      <c r="F79" s="49"/>
      <c r="G79" s="281" t="str">
        <f>IF(OR(E79="",F79=""),"",PID_KVLohnLookup($A$1,E79,F79,LOHNTABELLE!$H$4))</f>
        <v/>
      </c>
      <c r="H79" s="282" t="str">
        <f>IF(AND(ISNUMBER(D79),ISNUMBER(F79)),ROUNDDOWN(MIN(IF(OR(ISBLANK(I79),I79=""),EOMONTH(DATE(EINSTELLUNG!$C$35,$A$1,1),0),I79)-MAX(D79,DATE(EINSTELLUNG!$C$35,$A$1,1))+1)/DAY(EOMONTH(DATE(EINSTELLUNG!$C$35,$A$1,1),0))*F79,2),"")</f>
        <v/>
      </c>
      <c r="I79" s="50"/>
      <c r="J79" s="51"/>
      <c r="K79" s="281" t="str">
        <f t="shared" si="3"/>
        <v/>
      </c>
      <c r="L79" s="283"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52"/>
      <c r="N79" s="66"/>
    </row>
    <row r="80" spans="1:14" ht="22" customHeight="1">
      <c r="A80" s="280" t="s">
        <v>151</v>
      </c>
      <c r="B80" s="91"/>
      <c r="C80" s="39"/>
      <c r="D80" s="43"/>
      <c r="E80" s="41"/>
      <c r="F80" s="42"/>
      <c r="G80" s="281" t="str">
        <f>IF(OR(E80="",F80=""),"",PID_KVLohnLookup($A$1,E80,F80,LOHNTABELLE!$H$4))</f>
        <v/>
      </c>
      <c r="H80" s="282" t="str">
        <f>IF(AND(ISNUMBER(D80),ISNUMBER(F80)),ROUNDDOWN(MIN(IF(OR(ISBLANK(I80),I80=""),EOMONTH(DATE(EINSTELLUNG!$C$35,$A$1,1),0),I80)-MAX(D80,DATE(EINSTELLUNG!$C$35,$A$1,1))+1)/DAY(EOMONTH(DATE(EINSTELLUNG!$C$35,$A$1,1),0))*F80,2),"")</f>
        <v/>
      </c>
      <c r="I80" s="43"/>
      <c r="J80" s="44"/>
      <c r="K80" s="281" t="str">
        <f t="shared" si="3"/>
        <v/>
      </c>
      <c r="L80" s="283"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45"/>
      <c r="N80" s="65"/>
    </row>
    <row r="81" spans="1:14" ht="22" customHeight="1">
      <c r="A81" s="280" t="s">
        <v>152</v>
      </c>
      <c r="B81" s="92"/>
      <c r="C81" s="46"/>
      <c r="D81" s="50"/>
      <c r="E81" s="48"/>
      <c r="F81" s="49"/>
      <c r="G81" s="281" t="str">
        <f>IF(OR(E81="",F81=""),"",PID_KVLohnLookup($A$1,E81,F81,LOHNTABELLE!$H$4))</f>
        <v/>
      </c>
      <c r="H81" s="282" t="str">
        <f>IF(AND(ISNUMBER(D81),ISNUMBER(F81)),ROUNDDOWN(MIN(IF(OR(ISBLANK(I81),I81=""),EOMONTH(DATE(EINSTELLUNG!$C$35,$A$1,1),0),I81)-MAX(D81,DATE(EINSTELLUNG!$C$35,$A$1,1))+1)/DAY(EOMONTH(DATE(EINSTELLUNG!$C$35,$A$1,1),0))*F81,2),"")</f>
        <v/>
      </c>
      <c r="I81" s="50"/>
      <c r="J81" s="51"/>
      <c r="K81" s="281" t="str">
        <f t="shared" si="3"/>
        <v/>
      </c>
      <c r="L81" s="283"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52"/>
      <c r="N81" s="66"/>
    </row>
    <row r="82" spans="1:14" ht="22" customHeight="1" thickBot="1">
      <c r="A82" s="343" t="s">
        <v>153</v>
      </c>
      <c r="B82" s="93"/>
      <c r="C82" s="54"/>
      <c r="D82" s="55"/>
      <c r="E82" s="56"/>
      <c r="F82" s="57"/>
      <c r="G82" s="344" t="str">
        <f>IF(OR(E82="",F82=""),"",PID_KVLohnLookup($A$1,E82,F82,LOHNTABELLE!$H$4))</f>
        <v/>
      </c>
      <c r="H82" s="345" t="str">
        <f>IF(AND(ISNUMBER(D82),ISNUMBER(F82)),ROUNDDOWN(MIN(IF(OR(ISBLANK(I82),I82=""),EOMONTH(DATE(EINSTELLUNG!$C$35,$A$1,1),0),I82)-MAX(D82,DATE(EINSTELLUNG!$C$35,$A$1,1))+1)/DAY(EOMONTH(DATE(EINSTELLUNG!$C$35,$A$1,1),0))*F82,2),"")</f>
        <v/>
      </c>
      <c r="I82" s="55"/>
      <c r="J82" s="58"/>
      <c r="K82" s="344" t="str">
        <f t="shared" si="3"/>
        <v/>
      </c>
      <c r="L82" s="346"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59"/>
      <c r="N82" s="69"/>
    </row>
    <row r="83" spans="1:14" ht="16" customHeight="1">
      <c r="A83" s="374"/>
      <c r="B83" s="374"/>
    </row>
    <row r="100" spans="26:26" ht="16" customHeight="1">
      <c r="Z100" s="259"/>
    </row>
  </sheetData>
  <sheetProtection algorithmName="SHA-512" hashValue="7IS3zToOsZc3u3QeH07pwvZw9a4g5VrYHkKWewqMb9YeQwbCSBfaafh+YlQL7w5DmSTNXqzqgSl5JKFWvyKC0w==" saltValue="016ZuVXS9avil1vrZ5+3vQ==" spinCount="100000" sheet="1" objects="1" scenarios="1" autoFilter="0"/>
  <sortState xmlns:xlrd2="http://schemas.microsoft.com/office/spreadsheetml/2017/richdata2" ref="B3:N82">
    <sortCondition ref="B3:B82"/>
    <sortCondition ref="C3:C82"/>
  </sortState>
  <mergeCells count="102">
    <mergeCell ref="N1:N2"/>
    <mergeCell ref="A1:A2"/>
    <mergeCell ref="E1:E2"/>
    <mergeCell ref="F1:F2"/>
    <mergeCell ref="G1:G2"/>
    <mergeCell ref="H1:H2"/>
    <mergeCell ref="M1:M2"/>
    <mergeCell ref="S2:V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Q28:R28"/>
    <mergeCell ref="U36:V36"/>
    <mergeCell ref="O29:P29"/>
    <mergeCell ref="Q29:R29"/>
    <mergeCell ref="O31:P31"/>
    <mergeCell ref="Q31:R31"/>
    <mergeCell ref="O33:P34"/>
    <mergeCell ref="Q33:R34"/>
    <mergeCell ref="S33:T34"/>
    <mergeCell ref="U33:V34"/>
    <mergeCell ref="Q35:R35"/>
    <mergeCell ref="S35:T35"/>
    <mergeCell ref="U35:V35"/>
    <mergeCell ref="Q26:R26"/>
    <mergeCell ref="Q27:R27"/>
    <mergeCell ref="O22:P22"/>
    <mergeCell ref="O14:P14"/>
    <mergeCell ref="Q14:R14"/>
    <mergeCell ref="O17:P17"/>
    <mergeCell ref="Q17:R17"/>
    <mergeCell ref="O18:P18"/>
    <mergeCell ref="Q18:R18"/>
    <mergeCell ref="O25:P25"/>
    <mergeCell ref="Q25:R25"/>
    <mergeCell ref="Q19:R19"/>
    <mergeCell ref="Q22:R22"/>
    <mergeCell ref="O23:P23"/>
    <mergeCell ref="Q20:R20"/>
    <mergeCell ref="O21:P21"/>
    <mergeCell ref="Q21:R21"/>
    <mergeCell ref="C1:C2"/>
    <mergeCell ref="D1:D2"/>
    <mergeCell ref="O44:V44"/>
    <mergeCell ref="O38:P38"/>
    <mergeCell ref="Q38:R38"/>
    <mergeCell ref="S38:T38"/>
    <mergeCell ref="O37:P37"/>
    <mergeCell ref="O35:P35"/>
    <mergeCell ref="O36:P36"/>
    <mergeCell ref="Q36:R36"/>
    <mergeCell ref="S36:T36"/>
    <mergeCell ref="O3:O4"/>
    <mergeCell ref="P3:P4"/>
    <mergeCell ref="O9:P9"/>
    <mergeCell ref="O20:P20"/>
    <mergeCell ref="O19:P19"/>
    <mergeCell ref="O28:P28"/>
    <mergeCell ref="O11:P11"/>
    <mergeCell ref="Q11:R11"/>
    <mergeCell ref="O12:P12"/>
    <mergeCell ref="Q12:R12"/>
    <mergeCell ref="O13:P13"/>
    <mergeCell ref="Q13:R13"/>
    <mergeCell ref="O26:P26"/>
    <mergeCell ref="O45:U45"/>
    <mergeCell ref="B1:B2"/>
    <mergeCell ref="O16:R16"/>
    <mergeCell ref="Q9:R9"/>
    <mergeCell ref="O10:P10"/>
    <mergeCell ref="Q10:R10"/>
    <mergeCell ref="O15:P15"/>
    <mergeCell ref="Q3:Q4"/>
    <mergeCell ref="R3:R4"/>
    <mergeCell ref="O6:R6"/>
    <mergeCell ref="O8:P8"/>
    <mergeCell ref="Q8:R8"/>
    <mergeCell ref="Q15:R15"/>
    <mergeCell ref="O42:P42"/>
    <mergeCell ref="I1:I2"/>
    <mergeCell ref="J1:J2"/>
    <mergeCell ref="K1:K2"/>
    <mergeCell ref="L1:L2"/>
    <mergeCell ref="O39:P39"/>
    <mergeCell ref="O40:P40"/>
    <mergeCell ref="O41:P41"/>
    <mergeCell ref="Q23:R23"/>
    <mergeCell ref="O24:P24"/>
    <mergeCell ref="Q24:R24"/>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B3352FA1-9B8E-1840-A02E-2F313A5494E2}">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E55DB546-6F68-2B41-8927-10B6CC7C80BB}">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53F18AE0-1668-2145-8470-4AE621A7F7FA}">
          <x14:formula1>
            <xm:f>KV_DROPDOWN_HELPER!$AAT$1:$AAT$13</xm:f>
          </x14:formula1>
          <xm:sqref>F4 F7</xm:sqref>
        </x14:dataValidation>
        <x14:dataValidation type="list" allowBlank="1" showInputMessage="1" showErrorMessage="1" xr:uid="{F23C6FEB-E856-914A-8DD3-DE6F46E94800}">
          <x14:formula1>
            <xm:f>KV_DROPDOWN_HELPER!$AAU$1:$AAU$13</xm:f>
          </x14:formula1>
          <xm:sqref>F6 F8 F9 F10 F13 F54</xm:sqref>
        </x14:dataValidation>
        <x14:dataValidation type="list" allowBlank="1" showInputMessage="1" showErrorMessage="1" xr:uid="{7E961C3B-2F1A-054D-804E-CEF26FC2E6E1}">
          <x14:formula1>
            <xm:f>KV_DROPDOWN_HELPER!$AAV$1:$AAV$13</xm:f>
          </x14:formula1>
          <xm:sqref>F15</xm:sqref>
        </x14:dataValidation>
        <x14:dataValidation type="list" allowBlank="1" showInputMessage="1" showErrorMessage="1" xr:uid="{1315ED99-AEB8-6E4E-9342-B14FFA75BBDB}">
          <x14:formula1>
            <xm:f>KV_DROPDOWN_HELPER!$AAX$1:$AAX$13</xm:f>
          </x14:formula1>
          <xm:sqref>F18 F21 F23</xm:sqref>
        </x14:dataValidation>
        <x14:dataValidation type="list" allowBlank="1" showInputMessage="1" showErrorMessage="1" xr:uid="{BB7533D5-0131-974A-9CCA-CFC9572377D5}">
          <x14:formula1>
            <xm:f>KV_DROPDOWN_HELPER!$AAY$1:$AAY$13</xm:f>
          </x14:formula1>
          <xm:sqref>F59 F60 F61 F62 F63 F64 F65 F66 F67 F68 F69 F70 F71 F72 F73 F74 F75 F76 F77 F78 F79 F80 F81 F82</xm:sqref>
        </x14:dataValidation>
        <x14:dataValidation type="list" allowBlank="1" showInputMessage="1" showErrorMessage="1" xr:uid="{17797DA0-16B5-4299-BFBF-4B963442EFB1}">
          <x14:formula1>
            <xm:f>KV_DROPDOWN_HELPER!$AAW$1:$AAW$13</xm:f>
          </x14:formula1>
          <xm:sqref>F17</xm:sqref>
        </x14:dataValidation>
        <x14:dataValidation type="list" allowBlank="1" showInputMessage="1" showErrorMessage="1" xr:uid="{B53062C5-7AD0-49DE-B51F-2D29609BB137}">
          <x14:formula1>
            <xm:f>KV_DROPDOWN_HELPER!$AAS$1:$AAS$16</xm:f>
          </x14:formula1>
          <xm:sqref>F3 F5 F11 F12 F14 F16 F19 F20 F22 F24 F25 F26 F27 F28 F29 F30 F31 F32 F33 F34 F35 F36 F37 F38 F39 F40 F41 F42 F43 F44 F45 F46 F47 F48 F49 F50 F51 F52 F53 F55 F56 F57 F58</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6EAD6F-1357-44DB-BA9B-30CCEAF4322F}">
  <sheetPr codeName="Tabelle19"/>
  <dimension ref="A1:AC100"/>
  <sheetViews>
    <sheetView showGridLines="0" showRowColHeaders="0" zoomScaleNormal="100" workbookViewId="0">
      <pane ySplit="2" topLeftCell="A3" activePane="bottomLeft" state="frozen"/>
      <selection activeCell="T24" sqref="T24"/>
      <selection pane="bottomLeft" activeCell="W3" sqref="W3:Y50"/>
    </sheetView>
  </sheetViews>
  <sheetFormatPr baseColWidth="10" defaultColWidth="9.1796875" defaultRowHeight="16" customHeight="1"/>
  <cols>
    <col min="1" max="1" width="4.453125" style="347" customWidth="1"/>
    <col min="2" max="2" width="9.1796875" style="347" customWidth="1"/>
    <col min="3" max="3" width="35.6328125" style="179" customWidth="1"/>
    <col min="4" max="4" width="13.6328125" style="179" customWidth="1"/>
    <col min="5" max="5" width="9.6328125" style="179" customWidth="1"/>
    <col min="6" max="6" width="10.6328125" style="179" customWidth="1"/>
    <col min="7" max="7" width="13.6328125" style="179" customWidth="1"/>
    <col min="8" max="8" width="11.6328125" style="179" customWidth="1"/>
    <col min="9" max="10" width="13.6328125" style="179" customWidth="1"/>
    <col min="11" max="11" width="14.6328125" style="179" customWidth="1"/>
    <col min="12" max="12" width="14.6328125" style="306" customWidth="1"/>
    <col min="13" max="13" width="17.81640625" style="179" customWidth="1"/>
    <col min="14" max="14" width="34.6328125" style="179" customWidth="1"/>
    <col min="15" max="15" width="12.6328125" style="179" customWidth="1"/>
    <col min="16" max="16" width="16.6328125" style="179" customWidth="1"/>
    <col min="17" max="17" width="14.6328125" style="179" customWidth="1"/>
    <col min="18" max="18" width="13.6328125" style="179" customWidth="1"/>
    <col min="19" max="19" width="9.6328125" style="179" customWidth="1"/>
    <col min="20" max="20" width="10.6328125" style="179" customWidth="1"/>
    <col min="21" max="21" width="7.6328125" style="179" customWidth="1"/>
    <col min="22" max="27" width="9.1796875" style="179"/>
    <col min="28" max="28" width="10.6328125" style="179" bestFit="1" customWidth="1"/>
    <col min="29" max="16384" width="9.1796875" style="179"/>
  </cols>
  <sheetData>
    <row r="1" spans="1:28" ht="18" customHeight="1">
      <c r="A1" s="261">
        <v>11</v>
      </c>
      <c r="B1" s="262" t="s">
        <v>180</v>
      </c>
      <c r="C1" s="263" t="s">
        <v>39</v>
      </c>
      <c r="D1" s="263" t="s">
        <v>181</v>
      </c>
      <c r="E1" s="263" t="s">
        <v>0</v>
      </c>
      <c r="F1" s="263" t="s">
        <v>40</v>
      </c>
      <c r="G1" s="263" t="s">
        <v>41</v>
      </c>
      <c r="H1" s="263" t="s">
        <v>42</v>
      </c>
      <c r="I1" s="263" t="s">
        <v>182</v>
      </c>
      <c r="J1" s="263" t="s">
        <v>43</v>
      </c>
      <c r="K1" s="263" t="s">
        <v>44</v>
      </c>
      <c r="L1" s="263" t="s">
        <v>45</v>
      </c>
      <c r="M1" s="263" t="s">
        <v>46</v>
      </c>
      <c r="N1" s="264" t="s">
        <v>183</v>
      </c>
      <c r="AB1" s="265">
        <f>DATE(EINSTELLUNG!$C$35,$A$1,1)</f>
        <v>46327</v>
      </c>
    </row>
    <row r="2" spans="1:28" ht="18" customHeight="1" thickBot="1">
      <c r="A2" s="266"/>
      <c r="B2" s="267"/>
      <c r="C2" s="268"/>
      <c r="D2" s="268"/>
      <c r="E2" s="268"/>
      <c r="F2" s="268"/>
      <c r="G2" s="268"/>
      <c r="H2" s="268"/>
      <c r="I2" s="268"/>
      <c r="J2" s="268"/>
      <c r="K2" s="268"/>
      <c r="L2" s="268"/>
      <c r="M2" s="268"/>
      <c r="N2" s="269"/>
      <c r="O2" s="270"/>
      <c r="P2" s="270"/>
      <c r="Q2" s="270"/>
      <c r="S2" s="271" t="s">
        <v>378</v>
      </c>
      <c r="T2" s="271"/>
      <c r="U2" s="271"/>
      <c r="V2" s="271"/>
      <c r="AB2" s="265">
        <f>EOMONTH(DATE(EINSTELLUNG!$C$35,$A$1,1),0)</f>
        <v>46356</v>
      </c>
    </row>
    <row r="3" spans="1:28" ht="22" customHeight="1">
      <c r="A3" s="272" t="s">
        <v>383</v>
      </c>
      <c r="B3" s="90">
        <v>401010</v>
      </c>
      <c r="C3" s="32" t="s">
        <v>223</v>
      </c>
      <c r="D3" s="33">
        <v>39388</v>
      </c>
      <c r="E3" s="34" t="s">
        <v>2</v>
      </c>
      <c r="F3" s="60">
        <v>173</v>
      </c>
      <c r="G3" s="273">
        <f>IF(OR(E3="",F3=""),"",PID_KVLohnLookup($A$1,E3,F3,LOHNTABELLE!$H$4))</f>
        <v>2021</v>
      </c>
      <c r="H3" s="274">
        <f>IF(AND(ISNUMBER(D3),ISNUMBER(F3)),ROUNDDOWN(MIN(IF(OR(ISBLANK(I3),I3=""),EOMONTH(DATE(EINSTELLUNG!$C$35,$A$1,1),0),I3)-MAX(D3,DATE(EINSTELLUNG!$C$35,$A$1,1))+1)/DAY(EOMONTH(DATE(EINSTELLUNG!$C$35,$A$1,1),0))*F3,2),"")</f>
        <v>173</v>
      </c>
      <c r="I3" s="36"/>
      <c r="J3" s="37"/>
      <c r="K3" s="273">
        <f t="shared" ref="K3:K34" si="0">IF(OR(B3="",C3=""),"",IFERROR(IF(OR(MONTH(D3)=1,MONTH(D3)=3,MONTH(D3)=5,MONTH(D3)=7,MONTH(D3)=8,MONTH(D3)=10,MONTH(D3)=12),(G3/31)*J3,IF(OR(MONTH(D3)=4,MONTH(D3)=6,MONTH(D3)=9,MONTH(D3)=11),(G3/30)*J3,(G3/DAY(EOMONTH(D3,0)))*J3)),0))</f>
        <v>0</v>
      </c>
      <c r="L3" s="275">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2021</v>
      </c>
      <c r="M3" s="38"/>
      <c r="N3" s="64"/>
      <c r="O3" s="276" t="s">
        <v>47</v>
      </c>
      <c r="P3" s="276" t="s">
        <v>48</v>
      </c>
      <c r="Q3" s="276" t="s">
        <v>49</v>
      </c>
      <c r="R3" s="277" t="s">
        <v>50</v>
      </c>
      <c r="S3" s="278"/>
      <c r="T3" s="278"/>
      <c r="U3" s="278"/>
      <c r="V3" s="278"/>
      <c r="AB3" s="279"/>
    </row>
    <row r="4" spans="1:28" ht="22" customHeight="1">
      <c r="A4" s="280" t="s">
        <v>51</v>
      </c>
      <c r="B4" s="91">
        <v>401049</v>
      </c>
      <c r="C4" s="39" t="s">
        <v>224</v>
      </c>
      <c r="D4" s="40">
        <v>41130</v>
      </c>
      <c r="E4" s="41" t="s">
        <v>4</v>
      </c>
      <c r="F4" s="42">
        <v>173</v>
      </c>
      <c r="G4" s="281">
        <f>IF(OR(E4="",F4=""),"",PID_KVLohnLookup($A$1,E4,F4,LOHNTABELLE!$H$4))</f>
        <v>2123</v>
      </c>
      <c r="H4" s="282">
        <f>IF(AND(ISNUMBER(D4),ISNUMBER(F4)),ROUNDDOWN(MIN(IF(OR(ISBLANK(I4),I4=""),EOMONTH(DATE(EINSTELLUNG!$C$35,$A$1,1),0),I4)-MAX(D4,DATE(EINSTELLUNG!$C$35,$A$1,1))+1)/DAY(EOMONTH(DATE(EINSTELLUNG!$C$35,$A$1,1),0))*F4,2),"")</f>
        <v>173</v>
      </c>
      <c r="I4" s="43"/>
      <c r="J4" s="44"/>
      <c r="K4" s="281">
        <f t="shared" si="0"/>
        <v>0</v>
      </c>
      <c r="L4" s="283">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45"/>
      <c r="N4" s="65"/>
      <c r="O4" s="284"/>
      <c r="P4" s="284"/>
      <c r="Q4" s="284"/>
      <c r="R4" s="285"/>
      <c r="S4" s="278"/>
      <c r="T4" s="278"/>
      <c r="U4" s="278"/>
      <c r="V4" s="278"/>
    </row>
    <row r="5" spans="1:28" ht="22" customHeight="1">
      <c r="A5" s="280" t="s">
        <v>52</v>
      </c>
      <c r="B5" s="92">
        <v>401051</v>
      </c>
      <c r="C5" s="46" t="s">
        <v>226</v>
      </c>
      <c r="D5" s="47">
        <v>41176</v>
      </c>
      <c r="E5" s="48" t="s">
        <v>2</v>
      </c>
      <c r="F5" s="49">
        <v>173</v>
      </c>
      <c r="G5" s="281">
        <f>IF(OR(E5="",F5=""),"",PID_KVLohnLookup($A$1,E5,F5,LOHNTABELLE!$H$4))</f>
        <v>2021</v>
      </c>
      <c r="H5" s="282">
        <f>IF(AND(ISNUMBER(D5),ISNUMBER(F5)),ROUNDDOWN(MIN(IF(OR(ISBLANK(I5),I5=""),EOMONTH(DATE(EINSTELLUNG!$C$35,$A$1,1),0),I5)-MAX(D5,DATE(EINSTELLUNG!$C$35,$A$1,1))+1)/DAY(EOMONTH(DATE(EINSTELLUNG!$C$35,$A$1,1),0))*F5,2),"")</f>
        <v>173</v>
      </c>
      <c r="I5" s="50"/>
      <c r="J5" s="51"/>
      <c r="K5" s="281">
        <f t="shared" si="0"/>
        <v>0</v>
      </c>
      <c r="L5" s="283">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2021</v>
      </c>
      <c r="M5" s="52"/>
      <c r="N5" s="66"/>
      <c r="O5" s="286" cm="1">
        <f t="array" ref="O5">SUMPRODUCT((F3:F82/4.310808)/5*2.08)</f>
        <v>780.01978283421613</v>
      </c>
      <c r="P5" s="287">
        <f>EINSTELLUNG!I16</f>
        <v>600</v>
      </c>
      <c r="Q5" s="287">
        <f>P5-O5</f>
        <v>-180.01978283421613</v>
      </c>
      <c r="R5" s="288">
        <f>IFERROR(Q5*Q42, 0)</f>
        <v>-2137.511450782371</v>
      </c>
      <c r="S5" s="278"/>
      <c r="T5" s="278"/>
      <c r="U5" s="278"/>
      <c r="V5" s="278"/>
    </row>
    <row r="6" spans="1:28" ht="22" customHeight="1">
      <c r="A6" s="280" t="s">
        <v>53</v>
      </c>
      <c r="B6" s="91">
        <v>401089</v>
      </c>
      <c r="C6" s="39" t="s">
        <v>240</v>
      </c>
      <c r="D6" s="40">
        <v>44868</v>
      </c>
      <c r="E6" s="41" t="s">
        <v>3</v>
      </c>
      <c r="F6" s="42">
        <v>173</v>
      </c>
      <c r="G6" s="281">
        <f>IF(OR(E6="",F6=""),"",PID_KVLohnLookup($A$1,E6,F6,LOHNTABELLE!$H$4))</f>
        <v>2082</v>
      </c>
      <c r="H6" s="282">
        <f>IF(AND(ISNUMBER(D6),ISNUMBER(F6)),ROUNDDOWN(MIN(IF(OR(ISBLANK(I6),I6=""),EOMONTH(DATE(EINSTELLUNG!$C$35,$A$1,1),0),I6)-MAX(D6,DATE(EINSTELLUNG!$C$35,$A$1,1))+1)/DAY(EOMONTH(DATE(EINSTELLUNG!$C$35,$A$1,1),0))*F6,2),"")</f>
        <v>173</v>
      </c>
      <c r="I6" s="43"/>
      <c r="J6" s="44"/>
      <c r="K6" s="281">
        <f t="shared" si="0"/>
        <v>0</v>
      </c>
      <c r="L6" s="283">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2082</v>
      </c>
      <c r="M6" s="45"/>
      <c r="N6" s="65"/>
      <c r="O6" s="289" t="str">
        <f>IF(Q5&lt;0, "Schlecht! Zu wenig Urlaub abgebaut.", IF(Q5&gt;0, "Gut! Mehr Urlaub abgebaut als aufgebaut.", ""))</f>
        <v>Schlecht! Zu wenig Urlaub abgebaut.</v>
      </c>
      <c r="P6" s="290"/>
      <c r="Q6" s="290"/>
      <c r="R6" s="291"/>
      <c r="S6" s="278"/>
      <c r="T6" s="278"/>
      <c r="U6" s="278"/>
      <c r="V6" s="278"/>
    </row>
    <row r="7" spans="1:28" ht="22" customHeight="1" thickBot="1">
      <c r="A7" s="280" t="s">
        <v>54</v>
      </c>
      <c r="B7" s="92">
        <v>401138</v>
      </c>
      <c r="C7" s="46" t="s">
        <v>227</v>
      </c>
      <c r="D7" s="47">
        <v>42006</v>
      </c>
      <c r="E7" s="48" t="s">
        <v>4</v>
      </c>
      <c r="F7" s="49">
        <v>173</v>
      </c>
      <c r="G7" s="281">
        <f>IF(OR(E7="",F7=""),"",PID_KVLohnLookup($A$1,E7,F7,LOHNTABELLE!$H$4))</f>
        <v>2123</v>
      </c>
      <c r="H7" s="282">
        <f>IF(AND(ISNUMBER(D7),ISNUMBER(F7)),ROUNDDOWN(MIN(IF(OR(ISBLANK(I7),I7=""),EOMONTH(DATE(EINSTELLUNG!$C$35,$A$1,1),0),I7)-MAX(D7,DATE(EINSTELLUNG!$C$35,$A$1,1))+1)/DAY(EOMONTH(DATE(EINSTELLUNG!$C$35,$A$1,1),0))*F7,2),"")</f>
        <v>173</v>
      </c>
      <c r="I7" s="50"/>
      <c r="J7" s="51"/>
      <c r="K7" s="281">
        <f t="shared" si="0"/>
        <v>0</v>
      </c>
      <c r="L7" s="283">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2123</v>
      </c>
      <c r="M7" s="52"/>
      <c r="N7" s="66"/>
      <c r="O7" s="278"/>
      <c r="P7" s="278"/>
      <c r="Q7" s="278"/>
      <c r="R7" s="278"/>
      <c r="S7" s="278"/>
      <c r="T7" s="278"/>
      <c r="U7" s="278"/>
      <c r="V7" s="278"/>
    </row>
    <row r="8" spans="1:28" ht="22" customHeight="1">
      <c r="A8" s="280" t="s">
        <v>55</v>
      </c>
      <c r="B8" s="91">
        <v>401197</v>
      </c>
      <c r="C8" s="39" t="s">
        <v>228</v>
      </c>
      <c r="D8" s="40">
        <v>42644</v>
      </c>
      <c r="E8" s="41" t="s">
        <v>3</v>
      </c>
      <c r="F8" s="42">
        <v>173</v>
      </c>
      <c r="G8" s="281">
        <f>IF(OR(E8="",F8=""),"",PID_KVLohnLookup($A$1,E8,F8,LOHNTABELLE!$H$4))</f>
        <v>2082</v>
      </c>
      <c r="H8" s="282">
        <f>IF(AND(ISNUMBER(D8),ISNUMBER(F8)),ROUNDDOWN(MIN(IF(OR(ISBLANK(I8),I8=""),EOMONTH(DATE(EINSTELLUNG!$C$35,$A$1,1),0),I8)-MAX(D8,DATE(EINSTELLUNG!$C$35,$A$1,1))+1)/DAY(EOMONTH(DATE(EINSTELLUNG!$C$35,$A$1,1),0))*F8,2),"")</f>
        <v>173</v>
      </c>
      <c r="I8" s="43"/>
      <c r="J8" s="44"/>
      <c r="K8" s="281">
        <f t="shared" si="0"/>
        <v>0</v>
      </c>
      <c r="L8" s="283">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2082</v>
      </c>
      <c r="M8" s="45"/>
      <c r="N8" s="65"/>
      <c r="O8" s="357" t="s">
        <v>56</v>
      </c>
      <c r="P8" s="293"/>
      <c r="Q8" s="294">
        <f>SUM(H3:H82)</f>
        <v>7494.7699999999986</v>
      </c>
      <c r="R8" s="295"/>
      <c r="S8" s="278"/>
      <c r="T8" s="278"/>
      <c r="U8" s="278"/>
      <c r="V8" s="278"/>
    </row>
    <row r="9" spans="1:28" ht="22" customHeight="1">
      <c r="A9" s="280" t="s">
        <v>57</v>
      </c>
      <c r="B9" s="92">
        <v>401214</v>
      </c>
      <c r="C9" s="46" t="s">
        <v>254</v>
      </c>
      <c r="D9" s="47">
        <v>45636</v>
      </c>
      <c r="E9" s="48" t="s">
        <v>3</v>
      </c>
      <c r="F9" s="49">
        <v>173</v>
      </c>
      <c r="G9" s="281">
        <f>IF(OR(E9="",F9=""),"",PID_KVLohnLookup($A$1,E9,F9,LOHNTABELLE!$H$4))</f>
        <v>2082</v>
      </c>
      <c r="H9" s="282">
        <f>IF(AND(ISNUMBER(D9),ISNUMBER(F9)),ROUNDDOWN(MIN(IF(OR(ISBLANK(I9),I9=""),EOMONTH(DATE(EINSTELLUNG!$C$35,$A$1,1),0),I9)-MAX(D9,DATE(EINSTELLUNG!$C$35,$A$1,1))+1)/DAY(EOMONTH(DATE(EINSTELLUNG!$C$35,$A$1,1),0))*F9,2),"")</f>
        <v>173</v>
      </c>
      <c r="I9" s="50"/>
      <c r="J9" s="51"/>
      <c r="K9" s="281">
        <f t="shared" si="0"/>
        <v>0</v>
      </c>
      <c r="L9" s="283">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52"/>
      <c r="N9" s="66"/>
      <c r="O9" s="358" t="s">
        <v>58</v>
      </c>
      <c r="P9" s="297"/>
      <c r="Q9" s="298">
        <f>EINSTELLUNG!L32</f>
        <v>11</v>
      </c>
      <c r="R9" s="299"/>
      <c r="S9" s="300">
        <f>IFERROR(Q9/Q8, 0)</f>
        <v>1.4676901359214495E-3</v>
      </c>
      <c r="T9" s="278"/>
      <c r="U9" s="278"/>
      <c r="V9" s="278"/>
    </row>
    <row r="10" spans="1:28" ht="22" customHeight="1">
      <c r="A10" s="280" t="s">
        <v>59</v>
      </c>
      <c r="B10" s="91">
        <v>401276</v>
      </c>
      <c r="C10" s="39" t="s">
        <v>229</v>
      </c>
      <c r="D10" s="40">
        <v>43252</v>
      </c>
      <c r="E10" s="41" t="s">
        <v>3</v>
      </c>
      <c r="F10" s="42">
        <v>173</v>
      </c>
      <c r="G10" s="281">
        <f>IF(OR(E10="",F10=""),"",PID_KVLohnLookup($A$1,E10,F10,LOHNTABELLE!$H$4))</f>
        <v>2082</v>
      </c>
      <c r="H10" s="282">
        <f>IF(AND(ISNUMBER(D10),ISNUMBER(F10)),ROUNDDOWN(MIN(IF(OR(ISBLANK(I10),I10=""),EOMONTH(DATE(EINSTELLUNG!$C$35,$A$1,1),0),I10)-MAX(D10,DATE(EINSTELLUNG!$C$35,$A$1,1))+1)/DAY(EOMONTH(DATE(EINSTELLUNG!$C$35,$A$1,1),0))*F10,2),"")</f>
        <v>173</v>
      </c>
      <c r="I10" s="43"/>
      <c r="J10" s="44"/>
      <c r="K10" s="281">
        <f t="shared" si="0"/>
        <v>0</v>
      </c>
      <c r="L10" s="283">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45"/>
      <c r="N10" s="65"/>
      <c r="O10" s="358" t="s">
        <v>60</v>
      </c>
      <c r="P10" s="297"/>
      <c r="Q10" s="298">
        <f>EINSTELLUNG!I32</f>
        <v>150</v>
      </c>
      <c r="R10" s="299"/>
      <c r="S10" s="278"/>
      <c r="T10" s="278"/>
      <c r="U10" s="278"/>
      <c r="V10" s="278"/>
    </row>
    <row r="11" spans="1:28" ht="22" customHeight="1">
      <c r="A11" s="280" t="s">
        <v>61</v>
      </c>
      <c r="B11" s="92">
        <v>401276</v>
      </c>
      <c r="C11" s="46" t="s">
        <v>386</v>
      </c>
      <c r="D11" s="47">
        <v>38899</v>
      </c>
      <c r="E11" s="48" t="s">
        <v>2</v>
      </c>
      <c r="F11" s="49">
        <v>55</v>
      </c>
      <c r="G11" s="281" t="str">
        <f>IF(OR(E11="",F11=""),"",PID_KVLohnLookup($A$1,E11,F11,LOHNTABELLE!$H$4))</f>
        <v>Nicht gefunden</v>
      </c>
      <c r="H11" s="282">
        <f>IF(AND(ISNUMBER(D11),ISNUMBER(F11)),ROUNDDOWN(MIN(IF(OR(ISBLANK(I11),I11=""),EOMONTH(DATE(EINSTELLUNG!$C$35,$A$1,1),0),I11)-MAX(D11,DATE(EINSTELLUNG!$C$35,$A$1,1))+1)/DAY(EOMONTH(DATE(EINSTELLUNG!$C$35,$A$1,1),0))*F11,2),"")</f>
        <v>55</v>
      </c>
      <c r="I11" s="50"/>
      <c r="J11" s="51"/>
      <c r="K11" s="281">
        <f t="shared" si="0"/>
        <v>0</v>
      </c>
      <c r="L11" s="283" t="str">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
      </c>
      <c r="M11" s="52"/>
      <c r="N11" s="66"/>
      <c r="O11" s="358" t="s">
        <v>62</v>
      </c>
      <c r="P11" s="297"/>
      <c r="Q11" s="298">
        <f>P5</f>
        <v>600</v>
      </c>
      <c r="R11" s="299"/>
      <c r="S11" s="278"/>
      <c r="T11" s="278"/>
      <c r="U11" s="278"/>
      <c r="V11" s="278"/>
    </row>
    <row r="12" spans="1:28" ht="22" customHeight="1">
      <c r="A12" s="280" t="s">
        <v>63</v>
      </c>
      <c r="B12" s="91">
        <v>401307</v>
      </c>
      <c r="C12" s="39" t="s">
        <v>230</v>
      </c>
      <c r="D12" s="40">
        <v>43571</v>
      </c>
      <c r="E12" s="41" t="s">
        <v>2</v>
      </c>
      <c r="F12" s="42">
        <v>55</v>
      </c>
      <c r="G12" s="281" t="str">
        <f>IF(OR(E12="",F12=""),"",PID_KVLohnLookup($A$1,E12,F12,LOHNTABELLE!$H$4))</f>
        <v>Nicht gefunden</v>
      </c>
      <c r="H12" s="282">
        <f>IF(AND(ISNUMBER(D12),ISNUMBER(F12)),ROUNDDOWN(MIN(IF(OR(ISBLANK(I12),I12=""),EOMONTH(DATE(EINSTELLUNG!$C$35,$A$1,1),0),I12)-MAX(D12,DATE(EINSTELLUNG!$C$35,$A$1,1))+1)/DAY(EOMONTH(DATE(EINSTELLUNG!$C$35,$A$1,1),0))*F12,2),"")</f>
        <v>55</v>
      </c>
      <c r="I12" s="43"/>
      <c r="J12" s="44"/>
      <c r="K12" s="281">
        <f t="shared" si="0"/>
        <v>0</v>
      </c>
      <c r="L12" s="283" t="str">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
      </c>
      <c r="M12" s="45"/>
      <c r="N12" s="65"/>
      <c r="O12" s="358" t="s">
        <v>66</v>
      </c>
      <c r="P12" s="297"/>
      <c r="Q12" s="298">
        <f>Q8-Q9-Q10-Q11</f>
        <v>6733.7699999999986</v>
      </c>
      <c r="R12" s="299"/>
      <c r="S12" s="278"/>
      <c r="T12" s="278"/>
      <c r="U12" s="278"/>
      <c r="V12" s="278"/>
    </row>
    <row r="13" spans="1:28" ht="22" customHeight="1">
      <c r="A13" s="280" t="s">
        <v>65</v>
      </c>
      <c r="B13" s="92">
        <v>401308</v>
      </c>
      <c r="C13" s="46" t="s">
        <v>231</v>
      </c>
      <c r="D13" s="47">
        <v>43579</v>
      </c>
      <c r="E13" s="48" t="s">
        <v>3</v>
      </c>
      <c r="F13" s="49">
        <v>173</v>
      </c>
      <c r="G13" s="281">
        <f>IF(OR(E13="",F13=""),"",PID_KVLohnLookup($A$1,E13,F13,LOHNTABELLE!$H$4))</f>
        <v>2082</v>
      </c>
      <c r="H13" s="282">
        <f>IF(AND(ISNUMBER(D13),ISNUMBER(F13)),ROUNDDOWN(MIN(IF(OR(ISBLANK(I13),I13=""),EOMONTH(DATE(EINSTELLUNG!$C$35,$A$1,1),0),I13)-MAX(D13,DATE(EINSTELLUNG!$C$35,$A$1,1))+1)/DAY(EOMONTH(DATE(EINSTELLUNG!$C$35,$A$1,1),0))*F13,2),"")</f>
        <v>173</v>
      </c>
      <c r="I13" s="50"/>
      <c r="J13" s="51"/>
      <c r="K13" s="281">
        <f t="shared" si="0"/>
        <v>0</v>
      </c>
      <c r="L13" s="283">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2082</v>
      </c>
      <c r="M13" s="52"/>
      <c r="N13" s="66"/>
      <c r="O13" s="358" t="s">
        <v>68</v>
      </c>
      <c r="P13" s="297"/>
      <c r="Q13" s="298">
        <f>EINSTELLUNG!L16</f>
        <v>9300</v>
      </c>
      <c r="R13" s="299"/>
      <c r="S13" s="278"/>
      <c r="T13" s="278"/>
      <c r="U13" s="278"/>
      <c r="V13" s="278"/>
    </row>
    <row r="14" spans="1:28" ht="22" customHeight="1">
      <c r="A14" s="280" t="s">
        <v>67</v>
      </c>
      <c r="B14" s="91">
        <v>401394</v>
      </c>
      <c r="C14" s="39" t="s">
        <v>232</v>
      </c>
      <c r="D14" s="40">
        <v>44379</v>
      </c>
      <c r="E14" s="41" t="s">
        <v>2</v>
      </c>
      <c r="F14" s="42">
        <v>173</v>
      </c>
      <c r="G14" s="281">
        <f>IF(OR(E14="",F14=""),"",PID_KVLohnLookup($A$1,E14,F14,LOHNTABELLE!$H$4))</f>
        <v>2021</v>
      </c>
      <c r="H14" s="282">
        <f>IF(AND(ISNUMBER(D14),ISNUMBER(F14)),ROUNDDOWN(MIN(IF(OR(ISBLANK(I14),I14=""),EOMONTH(DATE(EINSTELLUNG!$C$35,$A$1,1),0),I14)-MAX(D14,DATE(EINSTELLUNG!$C$35,$A$1,1))+1)/DAY(EOMONTH(DATE(EINSTELLUNG!$C$35,$A$1,1),0))*F14,2),"")</f>
        <v>173</v>
      </c>
      <c r="I14" s="43"/>
      <c r="J14" s="44"/>
      <c r="K14" s="281">
        <f t="shared" si="0"/>
        <v>0</v>
      </c>
      <c r="L14" s="283">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2021</v>
      </c>
      <c r="M14" s="45"/>
      <c r="N14" s="65"/>
      <c r="O14" s="358" t="s">
        <v>70</v>
      </c>
      <c r="P14" s="297"/>
      <c r="Q14" s="298">
        <f>Q12-Q13</f>
        <v>-2566.2300000000014</v>
      </c>
      <c r="R14" s="299"/>
      <c r="S14" s="278"/>
      <c r="T14" s="278"/>
      <c r="U14" s="278"/>
      <c r="V14" s="278"/>
    </row>
    <row r="15" spans="1:28" ht="22" customHeight="1">
      <c r="A15" s="280" t="s">
        <v>69</v>
      </c>
      <c r="B15" s="92">
        <v>401479</v>
      </c>
      <c r="C15" s="46" t="s">
        <v>237</v>
      </c>
      <c r="D15" s="47">
        <v>44511</v>
      </c>
      <c r="E15" s="48" t="s">
        <v>6</v>
      </c>
      <c r="F15" s="49">
        <v>173</v>
      </c>
      <c r="G15" s="281">
        <f>IF(OR(E15="",F15=""),"",PID_KVLohnLookup($A$1,E15,F15,LOHNTABELLE!$H$4))</f>
        <v>2160</v>
      </c>
      <c r="H15" s="282">
        <f>IF(AND(ISNUMBER(D15),ISNUMBER(F15)),ROUNDDOWN(MIN(IF(OR(ISBLANK(I15),I15=""),EOMONTH(DATE(EINSTELLUNG!$C$35,$A$1,1),0),I15)-MAX(D15,DATE(EINSTELLUNG!$C$35,$A$1,1))+1)/DAY(EOMONTH(DATE(EINSTELLUNG!$C$35,$A$1,1),0))*F15,2),"")</f>
        <v>173</v>
      </c>
      <c r="I15" s="50"/>
      <c r="J15" s="51"/>
      <c r="K15" s="281">
        <f t="shared" si="0"/>
        <v>0</v>
      </c>
      <c r="L15" s="283">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2160</v>
      </c>
      <c r="M15" s="52"/>
      <c r="N15" s="66"/>
      <c r="O15" s="360" t="str">
        <f>IF(Q14&lt;0, "Schlecht! Zu wenig Stunden für Dienstplan.", IF(Q14&gt;0, "Du hast mehr als genug Stunden für Dienstplan.", ""))</f>
        <v>Schlecht! Zu wenig Stunden für Dienstplan.</v>
      </c>
      <c r="P15" s="361"/>
      <c r="Q15" s="361"/>
      <c r="R15" s="362"/>
      <c r="S15" s="301"/>
      <c r="T15" s="301"/>
      <c r="U15" s="301"/>
      <c r="V15" s="278"/>
    </row>
    <row r="16" spans="1:28" ht="22" customHeight="1" thickBot="1">
      <c r="A16" s="280" t="s">
        <v>71</v>
      </c>
      <c r="B16" s="91">
        <v>401564</v>
      </c>
      <c r="C16" s="39" t="s">
        <v>239</v>
      </c>
      <c r="D16" s="40">
        <v>44824</v>
      </c>
      <c r="E16" s="41" t="s">
        <v>2</v>
      </c>
      <c r="F16" s="42">
        <v>151.38</v>
      </c>
      <c r="G16" s="281">
        <f>IF(OR(E16="",F16=""),"",PID_KVLohnLookup($A$1,E16,F16,LOHNTABELLE!$H$4))</f>
        <v>1768.38</v>
      </c>
      <c r="H16" s="282">
        <f>IF(AND(ISNUMBER(D16),ISNUMBER(F16)),ROUNDDOWN(MIN(IF(OR(ISBLANK(I16),I16=""),EOMONTH(DATE(EINSTELLUNG!$C$35,$A$1,1),0),I16)-MAX(D16,DATE(EINSTELLUNG!$C$35,$A$1,1))+1)/DAY(EOMONTH(DATE(EINSTELLUNG!$C$35,$A$1,1),0))*F16,2),"")</f>
        <v>151.38</v>
      </c>
      <c r="I16" s="43"/>
      <c r="J16" s="44"/>
      <c r="K16" s="281">
        <f t="shared" si="0"/>
        <v>0</v>
      </c>
      <c r="L16" s="283">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1768.38</v>
      </c>
      <c r="M16" s="45"/>
      <c r="N16" s="65"/>
      <c r="O16" s="363"/>
      <c r="P16" s="364"/>
      <c r="Q16" s="364"/>
      <c r="R16" s="365"/>
      <c r="S16" s="305"/>
      <c r="T16" s="305"/>
      <c r="U16" s="305"/>
      <c r="V16" s="305"/>
      <c r="W16" s="306"/>
    </row>
    <row r="17" spans="1:29" ht="22" customHeight="1">
      <c r="A17" s="280" t="s">
        <v>72</v>
      </c>
      <c r="B17" s="92">
        <v>401583</v>
      </c>
      <c r="C17" s="46" t="s">
        <v>241</v>
      </c>
      <c r="D17" s="47">
        <v>44900</v>
      </c>
      <c r="E17" s="48" t="s">
        <v>13</v>
      </c>
      <c r="F17" s="49">
        <v>173</v>
      </c>
      <c r="G17" s="281">
        <f>IF(OR(E17="",F17=""),"",PID_KVLohnLookup($A$1,E17,F17,LOHNTABELLE!$H$4))</f>
        <v>2328</v>
      </c>
      <c r="H17" s="282">
        <f>IF(AND(ISNUMBER(D17),ISNUMBER(F17)),ROUNDDOWN(MIN(IF(OR(ISBLANK(I17),I17=""),EOMONTH(DATE(EINSTELLUNG!$C$35,$A$1,1),0),I17)-MAX(D17,DATE(EINSTELLUNG!$C$35,$A$1,1))+1)/DAY(EOMONTH(DATE(EINSTELLUNG!$C$35,$A$1,1),0))*F17,2),"")</f>
        <v>173</v>
      </c>
      <c r="I17" s="50"/>
      <c r="J17" s="51"/>
      <c r="K17" s="281">
        <f t="shared" si="0"/>
        <v>0</v>
      </c>
      <c r="L17" s="283">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2328</v>
      </c>
      <c r="M17" s="52"/>
      <c r="N17" s="66"/>
      <c r="O17" s="357" t="s">
        <v>73</v>
      </c>
      <c r="P17" s="293"/>
      <c r="Q17" s="307">
        <f>SUM(L3:L82)</f>
        <v>88991.090000000026</v>
      </c>
      <c r="R17" s="308"/>
      <c r="S17" s="278"/>
      <c r="T17" s="278"/>
      <c r="U17" s="278"/>
      <c r="V17" s="278"/>
      <c r="W17" s="306"/>
    </row>
    <row r="18" spans="1:29" ht="22" customHeight="1">
      <c r="A18" s="280" t="s">
        <v>74</v>
      </c>
      <c r="B18" s="91">
        <v>401589</v>
      </c>
      <c r="C18" s="39" t="s">
        <v>242</v>
      </c>
      <c r="D18" s="40">
        <v>44926</v>
      </c>
      <c r="E18" s="41" t="s">
        <v>10</v>
      </c>
      <c r="F18" s="42">
        <v>173</v>
      </c>
      <c r="G18" s="281">
        <f>IF(OR(E18="",F18=""),"",PID_KVLohnLookup($A$1,E18,F18,LOHNTABELLE!$H$4))</f>
        <v>2300</v>
      </c>
      <c r="H18" s="282">
        <f>IF(AND(ISNUMBER(D18),ISNUMBER(F18)),ROUNDDOWN(MIN(IF(OR(ISBLANK(I18),I18=""),EOMONTH(DATE(EINSTELLUNG!$C$35,$A$1,1),0),I18)-MAX(D18,DATE(EINSTELLUNG!$C$35,$A$1,1))+1)/DAY(EOMONTH(DATE(EINSTELLUNG!$C$35,$A$1,1),0))*F18,2),"")</f>
        <v>173</v>
      </c>
      <c r="I18" s="43"/>
      <c r="J18" s="44"/>
      <c r="K18" s="281">
        <f t="shared" si="0"/>
        <v>0</v>
      </c>
      <c r="L18" s="283">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2300</v>
      </c>
      <c r="M18" s="45"/>
      <c r="N18" s="65"/>
      <c r="O18" s="366" t="s">
        <v>371</v>
      </c>
      <c r="P18" s="310"/>
      <c r="Q18" s="311">
        <v>20</v>
      </c>
      <c r="R18" s="312"/>
      <c r="S18" s="278"/>
      <c r="T18" s="278"/>
      <c r="U18" s="278"/>
      <c r="V18" s="278"/>
    </row>
    <row r="19" spans="1:29" ht="22" customHeight="1">
      <c r="A19" s="280" t="s">
        <v>75</v>
      </c>
      <c r="B19" s="92">
        <v>401602</v>
      </c>
      <c r="C19" s="46" t="s">
        <v>243</v>
      </c>
      <c r="D19" s="47">
        <v>45975</v>
      </c>
      <c r="E19" s="48" t="s">
        <v>2</v>
      </c>
      <c r="F19" s="49">
        <v>169</v>
      </c>
      <c r="G19" s="281">
        <f>IF(OR(E19="",F19=""),"",PID_KVLohnLookup($A$1,E19,F19,LOHNTABELLE!$H$4))</f>
        <v>2000</v>
      </c>
      <c r="H19" s="282">
        <f>IF(AND(ISNUMBER(D19),ISNUMBER(F19)),ROUNDDOWN(MIN(IF(OR(ISBLANK(I19),I19=""),EOMONTH(DATE(EINSTELLUNG!$C$35,$A$1,1),0),I19)-MAX(D19,DATE(EINSTELLUNG!$C$35,$A$1,1))+1)/DAY(EOMONTH(DATE(EINSTELLUNG!$C$35,$A$1,1),0))*F19,2),"")</f>
        <v>169</v>
      </c>
      <c r="I19" s="50"/>
      <c r="J19" s="51"/>
      <c r="K19" s="281">
        <f t="shared" si="0"/>
        <v>0</v>
      </c>
      <c r="L19" s="283">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2000</v>
      </c>
      <c r="M19" s="52"/>
      <c r="N19" s="66"/>
      <c r="O19" s="366" t="s">
        <v>293</v>
      </c>
      <c r="P19" s="310"/>
      <c r="Q19" s="311">
        <v>333</v>
      </c>
      <c r="R19" s="312"/>
      <c r="S19" s="278"/>
      <c r="T19" s="278"/>
      <c r="U19" s="278"/>
      <c r="V19" s="278"/>
    </row>
    <row r="20" spans="1:29" ht="22" customHeight="1">
      <c r="A20" s="280" t="s">
        <v>76</v>
      </c>
      <c r="B20" s="91">
        <v>401605</v>
      </c>
      <c r="C20" s="39" t="s">
        <v>244</v>
      </c>
      <c r="D20" s="40">
        <v>44986</v>
      </c>
      <c r="E20" s="41" t="s">
        <v>2</v>
      </c>
      <c r="F20" s="42">
        <v>173</v>
      </c>
      <c r="G20" s="281">
        <f>IF(OR(E20="",F20=""),"",PID_KVLohnLookup($A$1,E20,F20,LOHNTABELLE!$H$4))</f>
        <v>2021</v>
      </c>
      <c r="H20" s="282">
        <f>IF(AND(ISNUMBER(D20),ISNUMBER(F20)),ROUNDDOWN(MIN(IF(OR(ISBLANK(I20),I20=""),EOMONTH(DATE(EINSTELLUNG!$C$35,$A$1,1),0),I20)-MAX(D20,DATE(EINSTELLUNG!$C$35,$A$1,1))+1)/DAY(EOMONTH(DATE(EINSTELLUNG!$C$35,$A$1,1),0))*F20,2),"")</f>
        <v>173</v>
      </c>
      <c r="I20" s="43"/>
      <c r="J20" s="44"/>
      <c r="K20" s="281">
        <f t="shared" si="0"/>
        <v>0</v>
      </c>
      <c r="L20" s="283">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2021</v>
      </c>
      <c r="M20" s="45"/>
      <c r="N20" s="65"/>
      <c r="O20" s="366" t="s">
        <v>293</v>
      </c>
      <c r="P20" s="310"/>
      <c r="Q20" s="311">
        <v>35</v>
      </c>
      <c r="R20" s="312"/>
      <c r="S20" s="278"/>
      <c r="T20" s="278"/>
      <c r="U20" s="278"/>
      <c r="V20" s="278"/>
    </row>
    <row r="21" spans="1:29" ht="22" customHeight="1">
      <c r="A21" s="280" t="s">
        <v>77</v>
      </c>
      <c r="B21" s="92">
        <v>401605</v>
      </c>
      <c r="C21" s="46" t="s">
        <v>387</v>
      </c>
      <c r="D21" s="47">
        <v>36850</v>
      </c>
      <c r="E21" s="48" t="s">
        <v>10</v>
      </c>
      <c r="F21" s="49">
        <v>151.38</v>
      </c>
      <c r="G21" s="281">
        <f>IF(OR(E21="",F21=""),"",PID_KVLohnLookup($A$1,E21,F21,LOHNTABELLE!$H$4))</f>
        <v>2012.5</v>
      </c>
      <c r="H21" s="282">
        <f>IF(AND(ISNUMBER(D21),ISNUMBER(F21)),ROUNDDOWN(MIN(IF(OR(ISBLANK(I21),I21=""),EOMONTH(DATE(EINSTELLUNG!$C$35,$A$1,1),0),I21)-MAX(D21,DATE(EINSTELLUNG!$C$35,$A$1,1))+1)/DAY(EOMONTH(DATE(EINSTELLUNG!$C$35,$A$1,1),0))*F21,2),"")</f>
        <v>151.38</v>
      </c>
      <c r="I21" s="50"/>
      <c r="J21" s="51"/>
      <c r="K21" s="281">
        <f t="shared" si="0"/>
        <v>0</v>
      </c>
      <c r="L21" s="283">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2012.5</v>
      </c>
      <c r="M21" s="52"/>
      <c r="N21" s="66"/>
      <c r="O21" s="366" t="s">
        <v>293</v>
      </c>
      <c r="P21" s="310"/>
      <c r="Q21" s="311">
        <v>100</v>
      </c>
      <c r="R21" s="312"/>
      <c r="S21" s="278"/>
      <c r="T21" s="278"/>
      <c r="U21" s="278"/>
      <c r="V21" s="278"/>
    </row>
    <row r="22" spans="1:29" ht="22" customHeight="1">
      <c r="A22" s="280" t="s">
        <v>78</v>
      </c>
      <c r="B22" s="91">
        <v>401626</v>
      </c>
      <c r="C22" s="39" t="s">
        <v>245</v>
      </c>
      <c r="D22" s="40">
        <v>45063</v>
      </c>
      <c r="E22" s="41" t="s">
        <v>2</v>
      </c>
      <c r="F22" s="42">
        <v>173</v>
      </c>
      <c r="G22" s="281">
        <f>IF(OR(E22="",F22=""),"",PID_KVLohnLookup($A$1,E22,F22,LOHNTABELLE!$H$4))</f>
        <v>2021</v>
      </c>
      <c r="H22" s="282">
        <f>IF(AND(ISNUMBER(D22),ISNUMBER(F22)),ROUNDDOWN(MIN(IF(OR(ISBLANK(I22),I22=""),EOMONTH(DATE(EINSTELLUNG!$C$35,$A$1,1),0),I22)-MAX(D22,DATE(EINSTELLUNG!$C$35,$A$1,1))+1)/DAY(EOMONTH(DATE(EINSTELLUNG!$C$35,$A$1,1),0))*F22,2),"")</f>
        <v>173</v>
      </c>
      <c r="I22" s="43"/>
      <c r="J22" s="44"/>
      <c r="K22" s="281">
        <f t="shared" si="0"/>
        <v>0</v>
      </c>
      <c r="L22" s="283">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2021</v>
      </c>
      <c r="M22" s="45"/>
      <c r="N22" s="65"/>
      <c r="O22" s="366" t="s">
        <v>293</v>
      </c>
      <c r="P22" s="310"/>
      <c r="Q22" s="311"/>
      <c r="R22" s="312"/>
      <c r="S22" s="278"/>
      <c r="T22" s="278"/>
      <c r="U22" s="278"/>
      <c r="V22" s="278"/>
    </row>
    <row r="23" spans="1:29" ht="22" customHeight="1">
      <c r="A23" s="280" t="s">
        <v>79</v>
      </c>
      <c r="B23" s="92">
        <v>401633</v>
      </c>
      <c r="C23" s="46" t="s">
        <v>246</v>
      </c>
      <c r="D23" s="47">
        <v>45089</v>
      </c>
      <c r="E23" s="48" t="s">
        <v>10</v>
      </c>
      <c r="F23" s="49">
        <v>173</v>
      </c>
      <c r="G23" s="281">
        <f>IF(OR(E23="",F23=""),"",PID_KVLohnLookup($A$1,E23,F23,LOHNTABELLE!$H$4))</f>
        <v>2300</v>
      </c>
      <c r="H23" s="282">
        <f>IF(AND(ISNUMBER(D23),ISNUMBER(F23)),ROUNDDOWN(MIN(IF(OR(ISBLANK(I23),I23=""),EOMONTH(DATE(EINSTELLUNG!$C$35,$A$1,1),0),I23)-MAX(D23,DATE(EINSTELLUNG!$C$35,$A$1,1))+1)/DAY(EOMONTH(DATE(EINSTELLUNG!$C$35,$A$1,1),0))*F23,2),"")</f>
        <v>173</v>
      </c>
      <c r="I23" s="50"/>
      <c r="J23" s="51"/>
      <c r="K23" s="281">
        <f t="shared" si="0"/>
        <v>0</v>
      </c>
      <c r="L23" s="283">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2300</v>
      </c>
      <c r="M23" s="52"/>
      <c r="N23" s="66"/>
      <c r="O23" s="366" t="s">
        <v>293</v>
      </c>
      <c r="P23" s="310"/>
      <c r="Q23" s="311">
        <v>5000</v>
      </c>
      <c r="R23" s="312"/>
      <c r="S23" s="278"/>
      <c r="T23" s="278"/>
      <c r="U23" s="278"/>
      <c r="V23" s="278"/>
      <c r="W23" s="306"/>
    </row>
    <row r="24" spans="1:29" ht="22" customHeight="1">
      <c r="A24" s="280" t="s">
        <v>80</v>
      </c>
      <c r="B24" s="91">
        <v>401647</v>
      </c>
      <c r="C24" s="39" t="s">
        <v>247</v>
      </c>
      <c r="D24" s="40">
        <v>45182</v>
      </c>
      <c r="E24" s="41" t="s">
        <v>2</v>
      </c>
      <c r="F24" s="42">
        <v>173</v>
      </c>
      <c r="G24" s="281">
        <f>IF(OR(E24="",F24=""),"",PID_KVLohnLookup($A$1,E24,F24,LOHNTABELLE!$H$4))</f>
        <v>2021</v>
      </c>
      <c r="H24" s="282">
        <f>IF(AND(ISNUMBER(D24),ISNUMBER(F24)),ROUNDDOWN(MIN(IF(OR(ISBLANK(I24),I24=""),EOMONTH(DATE(EINSTELLUNG!$C$35,$A$1,1),0),I24)-MAX(D24,DATE(EINSTELLUNG!$C$35,$A$1,1))+1)/DAY(EOMONTH(DATE(EINSTELLUNG!$C$35,$A$1,1),0))*F24,2),"")</f>
        <v>173</v>
      </c>
      <c r="I24" s="43"/>
      <c r="J24" s="44"/>
      <c r="K24" s="281">
        <f t="shared" si="0"/>
        <v>0</v>
      </c>
      <c r="L24" s="283">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2021</v>
      </c>
      <c r="M24" s="45"/>
      <c r="N24" s="65"/>
      <c r="O24" s="366"/>
      <c r="P24" s="310"/>
      <c r="Q24" s="311"/>
      <c r="R24" s="312"/>
      <c r="S24" s="278"/>
      <c r="T24" s="278"/>
      <c r="U24" s="278"/>
      <c r="V24" s="278"/>
      <c r="W24" s="306"/>
    </row>
    <row r="25" spans="1:29" ht="22" customHeight="1">
      <c r="A25" s="280" t="s">
        <v>81</v>
      </c>
      <c r="B25" s="92">
        <v>401661</v>
      </c>
      <c r="C25" s="46" t="s">
        <v>248</v>
      </c>
      <c r="D25" s="47">
        <v>45261</v>
      </c>
      <c r="E25" s="48" t="s">
        <v>2</v>
      </c>
      <c r="F25" s="49">
        <v>173</v>
      </c>
      <c r="G25" s="281">
        <f>IF(OR(E25="",F25=""),"",PID_KVLohnLookup($A$1,E25,F25,LOHNTABELLE!$H$4))</f>
        <v>2021</v>
      </c>
      <c r="H25" s="282">
        <f>IF(AND(ISNUMBER(D25),ISNUMBER(F25)),ROUNDDOWN(MIN(IF(OR(ISBLANK(I25),I25=""),EOMONTH(DATE(EINSTELLUNG!$C$35,$A$1,1),0),I25)-MAX(D25,DATE(EINSTELLUNG!$C$35,$A$1,1))+1)/DAY(EOMONTH(DATE(EINSTELLUNG!$C$35,$A$1,1),0))*F25,2),"")</f>
        <v>173</v>
      </c>
      <c r="I25" s="50"/>
      <c r="J25" s="51"/>
      <c r="K25" s="281">
        <f t="shared" si="0"/>
        <v>0</v>
      </c>
      <c r="L25" s="283">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2021</v>
      </c>
      <c r="M25" s="52"/>
      <c r="N25" s="66"/>
      <c r="O25" s="366"/>
      <c r="P25" s="310"/>
      <c r="Q25" s="311"/>
      <c r="R25" s="312"/>
      <c r="S25" s="278"/>
      <c r="T25" s="278"/>
      <c r="U25" s="278"/>
      <c r="V25" s="278"/>
    </row>
    <row r="26" spans="1:29" ht="22" customHeight="1">
      <c r="A26" s="280" t="s">
        <v>82</v>
      </c>
      <c r="B26" s="91">
        <v>401670</v>
      </c>
      <c r="C26" s="39" t="s">
        <v>249</v>
      </c>
      <c r="D26" s="40">
        <v>45358</v>
      </c>
      <c r="E26" s="41" t="s">
        <v>2</v>
      </c>
      <c r="F26" s="42">
        <v>173</v>
      </c>
      <c r="G26" s="281">
        <f>IF(OR(E26="",F26=""),"",PID_KVLohnLookup($A$1,E26,F26,LOHNTABELLE!$H$4))</f>
        <v>2021</v>
      </c>
      <c r="H26" s="282">
        <f>IF(AND(ISNUMBER(D26),ISNUMBER(F26)),ROUNDDOWN(MIN(IF(OR(ISBLANK(I26),I26=""),EOMONTH(DATE(EINSTELLUNG!$C$35,$A$1,1),0),I26)-MAX(D26,DATE(EINSTELLUNG!$C$35,$A$1,1))+1)/DAY(EOMONTH(DATE(EINSTELLUNG!$C$35,$A$1,1),0))*F26,2),"")</f>
        <v>173</v>
      </c>
      <c r="I26" s="43"/>
      <c r="J26" s="44"/>
      <c r="K26" s="281">
        <f t="shared" si="0"/>
        <v>0</v>
      </c>
      <c r="L26" s="283">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2021</v>
      </c>
      <c r="M26" s="45"/>
      <c r="N26" s="65"/>
      <c r="O26" s="366"/>
      <c r="P26" s="310"/>
      <c r="Q26" s="311"/>
      <c r="R26" s="312"/>
      <c r="S26" s="278"/>
      <c r="T26" s="278"/>
      <c r="U26" s="278"/>
      <c r="V26" s="278"/>
    </row>
    <row r="27" spans="1:29" ht="22" customHeight="1">
      <c r="A27" s="280" t="s">
        <v>83</v>
      </c>
      <c r="B27" s="92">
        <v>401678</v>
      </c>
      <c r="C27" s="46" t="s">
        <v>250</v>
      </c>
      <c r="D27" s="47">
        <v>45414</v>
      </c>
      <c r="E27" s="48" t="s">
        <v>2</v>
      </c>
      <c r="F27" s="49">
        <v>173</v>
      </c>
      <c r="G27" s="281">
        <f>IF(OR(E27="",F27=""),"",PID_KVLohnLookup($A$1,E27,F27,LOHNTABELLE!$H$4))</f>
        <v>2021</v>
      </c>
      <c r="H27" s="282">
        <f>IF(AND(ISNUMBER(D27),ISNUMBER(F27)),ROUNDDOWN(MIN(IF(OR(ISBLANK(I27),I27=""),EOMONTH(DATE(EINSTELLUNG!$C$35,$A$1,1),0),I27)-MAX(D27,DATE(EINSTELLUNG!$C$35,$A$1,1))+1)/DAY(EOMONTH(DATE(EINSTELLUNG!$C$35,$A$1,1),0))*F27,2),"")</f>
        <v>173</v>
      </c>
      <c r="I27" s="50"/>
      <c r="J27" s="51"/>
      <c r="K27" s="281">
        <f t="shared" si="0"/>
        <v>0</v>
      </c>
      <c r="L27" s="283">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2021</v>
      </c>
      <c r="M27" s="52"/>
      <c r="N27" s="66"/>
      <c r="O27" s="366"/>
      <c r="P27" s="310"/>
      <c r="Q27" s="311"/>
      <c r="R27" s="312"/>
      <c r="S27" s="313" t="s">
        <v>84</v>
      </c>
      <c r="T27" s="313"/>
      <c r="U27" s="313"/>
      <c r="V27" s="313"/>
    </row>
    <row r="28" spans="1:29" ht="22" customHeight="1">
      <c r="A28" s="280" t="s">
        <v>85</v>
      </c>
      <c r="B28" s="91">
        <v>401690</v>
      </c>
      <c r="C28" s="39" t="s">
        <v>252</v>
      </c>
      <c r="D28" s="40">
        <v>45536</v>
      </c>
      <c r="E28" s="41" t="s">
        <v>2</v>
      </c>
      <c r="F28" s="42">
        <v>151.38</v>
      </c>
      <c r="G28" s="281">
        <f>IF(OR(E28="",F28=""),"",PID_KVLohnLookup($A$1,E28,F28,LOHNTABELLE!$H$4))</f>
        <v>1768.38</v>
      </c>
      <c r="H28" s="282">
        <f>IF(AND(ISNUMBER(D28),ISNUMBER(F28)),ROUNDDOWN(MIN(IF(OR(ISBLANK(I28),I28=""),EOMONTH(DATE(EINSTELLUNG!$C$35,$A$1,1),0),I28)-MAX(D28,DATE(EINSTELLUNG!$C$35,$A$1,1))+1)/DAY(EOMONTH(DATE(EINSTELLUNG!$C$35,$A$1,1),0))*F28,2),"")</f>
        <v>151.38</v>
      </c>
      <c r="I28" s="43"/>
      <c r="J28" s="44"/>
      <c r="K28" s="281">
        <f t="shared" si="0"/>
        <v>0</v>
      </c>
      <c r="L28" s="283">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1768.38</v>
      </c>
      <c r="M28" s="45"/>
      <c r="N28" s="65"/>
      <c r="O28" s="366"/>
      <c r="P28" s="310"/>
      <c r="Q28" s="311"/>
      <c r="R28" s="312"/>
      <c r="S28" s="278"/>
      <c r="T28" s="278"/>
      <c r="U28" s="278"/>
      <c r="V28" s="278"/>
    </row>
    <row r="29" spans="1:29" ht="22" customHeight="1" thickBot="1">
      <c r="A29" s="280" t="s">
        <v>86</v>
      </c>
      <c r="B29" s="92">
        <v>401715</v>
      </c>
      <c r="C29" s="46" t="s">
        <v>255</v>
      </c>
      <c r="D29" s="47">
        <v>45755</v>
      </c>
      <c r="E29" s="48" t="s">
        <v>2</v>
      </c>
      <c r="F29" s="49">
        <v>173</v>
      </c>
      <c r="G29" s="281">
        <f>IF(OR(E29="",F29=""),"",PID_KVLohnLookup($A$1,E29,F29,LOHNTABELLE!$H$4))</f>
        <v>2021</v>
      </c>
      <c r="H29" s="282">
        <f>IF(AND(ISNUMBER(D29),ISNUMBER(F29)),ROUNDDOWN(MIN(IF(OR(ISBLANK(I29),I29=""),EOMONTH(DATE(EINSTELLUNG!$C$35,$A$1,1),0),I29)-MAX(D29,DATE(EINSTELLUNG!$C$35,$A$1,1))+1)/DAY(EOMONTH(DATE(EINSTELLUNG!$C$35,$A$1,1),0))*F29,2),"")</f>
        <v>173</v>
      </c>
      <c r="I29" s="50"/>
      <c r="J29" s="51"/>
      <c r="K29" s="281">
        <f t="shared" si="0"/>
        <v>0</v>
      </c>
      <c r="L29" s="283">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2021</v>
      </c>
      <c r="M29" s="52"/>
      <c r="N29" s="66"/>
      <c r="O29" s="367" t="s">
        <v>87</v>
      </c>
      <c r="P29" s="315"/>
      <c r="Q29" s="316">
        <f>EINSTELLUNG!O16</f>
        <v>1250</v>
      </c>
      <c r="R29" s="317"/>
      <c r="S29" s="278"/>
      <c r="T29" s="278"/>
      <c r="U29" s="278"/>
      <c r="V29" s="278"/>
    </row>
    <row r="30" spans="1:29" ht="22" customHeight="1" thickBot="1">
      <c r="A30" s="280" t="s">
        <v>88</v>
      </c>
      <c r="B30" s="91">
        <v>401716</v>
      </c>
      <c r="C30" s="39" t="s">
        <v>256</v>
      </c>
      <c r="D30" s="40">
        <v>45800</v>
      </c>
      <c r="E30" s="41" t="s">
        <v>2</v>
      </c>
      <c r="F30" s="42">
        <v>173</v>
      </c>
      <c r="G30" s="281">
        <f>IF(OR(E30="",F30=""),"",PID_KVLohnLookup($A$1,E30,F30,LOHNTABELLE!$H$4))</f>
        <v>2021</v>
      </c>
      <c r="H30" s="282">
        <f>IF(AND(ISNUMBER(D30),ISNUMBER(F30)),ROUNDDOWN(MIN(IF(OR(ISBLANK(I30),I30=""),EOMONTH(DATE(EINSTELLUNG!$C$35,$A$1,1),0),I30)-MAX(D30,DATE(EINSTELLUNG!$C$35,$A$1,1))+1)/DAY(EOMONTH(DATE(EINSTELLUNG!$C$35,$A$1,1),0))*F30,2),"")</f>
        <v>173</v>
      </c>
      <c r="I30" s="43"/>
      <c r="J30" s="44"/>
      <c r="K30" s="281">
        <f t="shared" si="0"/>
        <v>0</v>
      </c>
      <c r="L30" s="283">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2021</v>
      </c>
      <c r="M30" s="45"/>
      <c r="N30" s="65"/>
      <c r="O30" s="278"/>
      <c r="P30" s="278"/>
      <c r="Q30" s="278"/>
      <c r="R30" s="278"/>
      <c r="S30" s="278"/>
      <c r="T30" s="278"/>
      <c r="U30" s="278"/>
      <c r="V30" s="278"/>
      <c r="W30" s="318"/>
      <c r="X30" s="318"/>
      <c r="Y30" s="318"/>
      <c r="Z30" s="318"/>
      <c r="AA30" s="318"/>
      <c r="AB30" s="318"/>
      <c r="AC30" s="318"/>
    </row>
    <row r="31" spans="1:29" ht="22" customHeight="1" thickBot="1">
      <c r="A31" s="280" t="s">
        <v>89</v>
      </c>
      <c r="B31" s="92">
        <v>401717</v>
      </c>
      <c r="C31" s="46" t="s">
        <v>257</v>
      </c>
      <c r="D31" s="47">
        <v>45814</v>
      </c>
      <c r="E31" s="48" t="s">
        <v>2</v>
      </c>
      <c r="F31" s="49">
        <v>86.5</v>
      </c>
      <c r="G31" s="281">
        <f>IF(OR(E31="",F31=""),"",PID_KVLohnLookup($A$1,E31,F31,LOHNTABELLE!$H$4))</f>
        <v>1010.5</v>
      </c>
      <c r="H31" s="282">
        <f>IF(AND(ISNUMBER(D31),ISNUMBER(F31)),ROUNDDOWN(MIN(IF(OR(ISBLANK(I31),I31=""),EOMONTH(DATE(EINSTELLUNG!$C$35,$A$1,1),0),I31)-MAX(D31,DATE(EINSTELLUNG!$C$35,$A$1,1))+1)/DAY(EOMONTH(DATE(EINSTELLUNG!$C$35,$A$1,1),0))*F31,2),"")</f>
        <v>86.5</v>
      </c>
      <c r="I31" s="50"/>
      <c r="J31" s="51"/>
      <c r="K31" s="281">
        <f t="shared" si="0"/>
        <v>0</v>
      </c>
      <c r="L31" s="283">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1010.5</v>
      </c>
      <c r="M31" s="52"/>
      <c r="N31" s="66"/>
      <c r="O31" s="368" t="s">
        <v>415</v>
      </c>
      <c r="P31" s="320"/>
      <c r="Q31" s="321">
        <v>0</v>
      </c>
      <c r="R31" s="322"/>
      <c r="S31" s="278"/>
      <c r="T31" s="278"/>
      <c r="U31" s="278"/>
      <c r="V31" s="278"/>
    </row>
    <row r="32" spans="1:29" ht="22" customHeight="1" thickBot="1">
      <c r="A32" s="280" t="s">
        <v>91</v>
      </c>
      <c r="B32" s="91">
        <v>401722</v>
      </c>
      <c r="C32" s="39" t="s">
        <v>258</v>
      </c>
      <c r="D32" s="40">
        <v>45848</v>
      </c>
      <c r="E32" s="41" t="s">
        <v>2</v>
      </c>
      <c r="F32" s="42">
        <v>86.5</v>
      </c>
      <c r="G32" s="281">
        <f>IF(OR(E32="",F32=""),"",PID_KVLohnLookup($A$1,E32,F32,LOHNTABELLE!$H$4))</f>
        <v>1010.5</v>
      </c>
      <c r="H32" s="282">
        <f>IF(AND(ISNUMBER(D32),ISNUMBER(F32)),ROUNDDOWN(MIN(IF(OR(ISBLANK(I32),I32=""),EOMONTH(DATE(EINSTELLUNG!$C$35,$A$1,1),0),I32)-MAX(D32,DATE(EINSTELLUNG!$C$35,$A$1,1))+1)/DAY(EOMONTH(DATE(EINSTELLUNG!$C$35,$A$1,1),0))*F32,2),"")</f>
        <v>86.5</v>
      </c>
      <c r="I32" s="43"/>
      <c r="J32" s="44"/>
      <c r="K32" s="281">
        <f t="shared" si="0"/>
        <v>0</v>
      </c>
      <c r="L32" s="283">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1010.5</v>
      </c>
      <c r="M32" s="45"/>
      <c r="N32" s="65"/>
      <c r="O32" s="278"/>
      <c r="P32" s="278"/>
      <c r="Q32" s="278"/>
      <c r="R32" s="278"/>
      <c r="S32" s="278"/>
      <c r="T32" s="278"/>
      <c r="U32" s="278"/>
      <c r="V32" s="278"/>
    </row>
    <row r="33" spans="1:22" ht="22" customHeight="1">
      <c r="A33" s="280" t="s">
        <v>92</v>
      </c>
      <c r="B33" s="92">
        <v>401723</v>
      </c>
      <c r="C33" s="46" t="s">
        <v>259</v>
      </c>
      <c r="D33" s="47">
        <v>45852</v>
      </c>
      <c r="E33" s="48" t="s">
        <v>2</v>
      </c>
      <c r="F33" s="49">
        <v>86.5</v>
      </c>
      <c r="G33" s="281">
        <f>IF(OR(E33="",F33=""),"",PID_KVLohnLookup($A$1,E33,F33,LOHNTABELLE!$H$4))</f>
        <v>1010.5</v>
      </c>
      <c r="H33" s="282">
        <f>IF(AND(ISNUMBER(D33),ISNUMBER(F33)),ROUNDDOWN(MIN(IF(OR(ISBLANK(I33),I33=""),EOMONTH(DATE(EINSTELLUNG!$C$35,$A$1,1),0),I33)-MAX(D33,DATE(EINSTELLUNG!$C$35,$A$1,1))+1)/DAY(EOMONTH(DATE(EINSTELLUNG!$C$35,$A$1,1),0))*F33,2),"")</f>
        <v>86.5</v>
      </c>
      <c r="I33" s="50"/>
      <c r="J33" s="51"/>
      <c r="K33" s="281">
        <f t="shared" si="0"/>
        <v>0</v>
      </c>
      <c r="L33" s="283">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1010.5</v>
      </c>
      <c r="M33" s="52"/>
      <c r="N33" s="66"/>
      <c r="O33" s="369"/>
      <c r="P33" s="324"/>
      <c r="Q33" s="263" t="str">
        <f>EINSTELLUNG!B3</f>
        <v>Budget</v>
      </c>
      <c r="R33" s="263"/>
      <c r="S33" s="263" t="str">
        <f>EINSTELLUNG!B19</f>
        <v>Projection/Aktuell Zahlen</v>
      </c>
      <c r="T33" s="263"/>
      <c r="U33" s="263" t="s">
        <v>95</v>
      </c>
      <c r="V33" s="264"/>
    </row>
    <row r="34" spans="1:22" ht="22" customHeight="1">
      <c r="A34" s="280" t="s">
        <v>96</v>
      </c>
      <c r="B34" s="91">
        <v>401726</v>
      </c>
      <c r="C34" s="39" t="s">
        <v>260</v>
      </c>
      <c r="D34" s="40">
        <v>45870</v>
      </c>
      <c r="E34" s="41" t="s">
        <v>2</v>
      </c>
      <c r="F34" s="42">
        <v>86.5</v>
      </c>
      <c r="G34" s="281">
        <f>IF(OR(E34="",F34=""),"",PID_KVLohnLookup($A$1,E34,F34,LOHNTABELLE!$H$4))</f>
        <v>1010.5</v>
      </c>
      <c r="H34" s="282">
        <f>IF(AND(ISNUMBER(D34),ISNUMBER(F34)),ROUNDDOWN(MIN(IF(OR(ISBLANK(I34),I34=""),EOMONTH(DATE(EINSTELLUNG!$C$35,$A$1,1),0),I34)-MAX(D34,DATE(EINSTELLUNG!$C$35,$A$1,1))+1)/DAY(EOMONTH(DATE(EINSTELLUNG!$C$35,$A$1,1),0))*F34,2),"")</f>
        <v>86.5</v>
      </c>
      <c r="I34" s="43"/>
      <c r="J34" s="44"/>
      <c r="K34" s="281">
        <f t="shared" si="0"/>
        <v>0</v>
      </c>
      <c r="L34" s="283">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1010.5</v>
      </c>
      <c r="M34" s="45"/>
      <c r="N34" s="65"/>
      <c r="O34" s="370"/>
      <c r="P34" s="326"/>
      <c r="Q34" s="327"/>
      <c r="R34" s="327"/>
      <c r="S34" s="327"/>
      <c r="T34" s="327"/>
      <c r="U34" s="327"/>
      <c r="V34" s="328"/>
    </row>
    <row r="35" spans="1:22" ht="22" customHeight="1">
      <c r="A35" s="280" t="s">
        <v>97</v>
      </c>
      <c r="B35" s="92">
        <v>401730</v>
      </c>
      <c r="C35" s="46" t="s">
        <v>262</v>
      </c>
      <c r="D35" s="47">
        <v>45895</v>
      </c>
      <c r="E35" s="48" t="s">
        <v>2</v>
      </c>
      <c r="F35" s="49">
        <v>86.5</v>
      </c>
      <c r="G35" s="281">
        <f>IF(OR(E35="",F35=""),"",PID_KVLohnLookup($A$1,E35,F35,LOHNTABELLE!$H$4))</f>
        <v>1010.5</v>
      </c>
      <c r="H35" s="282">
        <f>IF(AND(ISNUMBER(D35),ISNUMBER(F35)),ROUNDDOWN(MIN(IF(OR(ISBLANK(I35),I35=""),EOMONTH(DATE(EINSTELLUNG!$C$35,$A$1,1),0),I35)-MAX(D35,DATE(EINSTELLUNG!$C$35,$A$1,1))+1)/DAY(EOMONTH(DATE(EINSTELLUNG!$C$35,$A$1,1),0))*F35,2),"")</f>
        <v>86.5</v>
      </c>
      <c r="I35" s="50"/>
      <c r="J35" s="51"/>
      <c r="K35" s="281">
        <f t="shared" ref="K35:K66" si="1">IF(OR(B35="",C35=""),"",IFERROR(IF(OR(MONTH(D35)=1,MONTH(D35)=3,MONTH(D35)=5,MONTH(D35)=7,MONTH(D35)=8,MONTH(D35)=10,MONTH(D35)=12),(G35/31)*J35,IF(OR(MONTH(D35)=4,MONTH(D35)=6,MONTH(D35)=9,MONTH(D35)=11),(G35/30)*J35,(G35/DAY(EOMONTH(D35,0)))*J35)),0))</f>
        <v>0</v>
      </c>
      <c r="L35" s="283">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1010.5</v>
      </c>
      <c r="M35" s="52"/>
      <c r="N35" s="66"/>
      <c r="O35" s="358" t="s">
        <v>98</v>
      </c>
      <c r="P35" s="297"/>
      <c r="Q35" s="329">
        <f>EINSTELLUNG!C16</f>
        <v>400000</v>
      </c>
      <c r="R35" s="329"/>
      <c r="S35" s="329">
        <f>EINSTELLUNG!C32</f>
        <v>398000</v>
      </c>
      <c r="T35" s="329"/>
      <c r="U35" s="329">
        <f>S35-Q35</f>
        <v>-2000</v>
      </c>
      <c r="V35" s="330"/>
    </row>
    <row r="36" spans="1:22" ht="22" customHeight="1">
      <c r="A36" s="280" t="s">
        <v>99</v>
      </c>
      <c r="B36" s="91">
        <v>401731</v>
      </c>
      <c r="C36" s="39" t="s">
        <v>261</v>
      </c>
      <c r="D36" s="40">
        <v>45899</v>
      </c>
      <c r="E36" s="41" t="s">
        <v>2</v>
      </c>
      <c r="F36" s="42">
        <v>86.5</v>
      </c>
      <c r="G36" s="281">
        <f>IF(OR(E36="",F36=""),"",PID_KVLohnLookup($A$1,E36,F36,LOHNTABELLE!$H$4))</f>
        <v>1010.5</v>
      </c>
      <c r="H36" s="282">
        <f>IF(AND(ISNUMBER(D36),ISNUMBER(F36)),ROUNDDOWN(MIN(IF(OR(ISBLANK(I36),I36=""),EOMONTH(DATE(EINSTELLUNG!$C$35,$A$1,1),0),I36)-MAX(D36,DATE(EINSTELLUNG!$C$35,$A$1,1))+1)/DAY(EOMONTH(DATE(EINSTELLUNG!$C$35,$A$1,1),0))*F36,2),"")</f>
        <v>86.5</v>
      </c>
      <c r="I36" s="43"/>
      <c r="J36" s="44"/>
      <c r="K36" s="281">
        <f t="shared" si="1"/>
        <v>0</v>
      </c>
      <c r="L36" s="283">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1010.5</v>
      </c>
      <c r="M36" s="45"/>
      <c r="N36" s="65"/>
      <c r="O36" s="358" t="s">
        <v>100</v>
      </c>
      <c r="P36" s="297"/>
      <c r="Q36" s="329">
        <f>EINSTELLUNG!D16</f>
        <v>100000</v>
      </c>
      <c r="R36" s="329"/>
      <c r="S36" s="329">
        <f ca="1">SumMergedCells(Q17:R29)</f>
        <v>95729.09</v>
      </c>
      <c r="T36" s="329"/>
      <c r="U36" s="329">
        <f t="shared" ref="U36:U41" ca="1" si="2">S36-Q36</f>
        <v>-4270.9100000000035</v>
      </c>
      <c r="V36" s="330"/>
    </row>
    <row r="37" spans="1:22" ht="22" customHeight="1">
      <c r="A37" s="280" t="s">
        <v>101</v>
      </c>
      <c r="B37" s="92">
        <v>401734</v>
      </c>
      <c r="C37" s="46" t="s">
        <v>263</v>
      </c>
      <c r="D37" s="47">
        <v>45904</v>
      </c>
      <c r="E37" s="48" t="s">
        <v>2</v>
      </c>
      <c r="F37" s="49">
        <v>86.5</v>
      </c>
      <c r="G37" s="281">
        <f>IF(OR(E37="",F37=""),"",PID_KVLohnLookup($A$1,E37,F37,LOHNTABELLE!$H$4))</f>
        <v>1010.5</v>
      </c>
      <c r="H37" s="282">
        <f>IF(AND(ISNUMBER(D37),ISNUMBER(F37)),ROUNDDOWN(MIN(IF(OR(ISBLANK(I37),I37=""),EOMONTH(DATE(EINSTELLUNG!$C$35,$A$1,1),0),I37)-MAX(D37,DATE(EINSTELLUNG!$C$35,$A$1,1))+1)/DAY(EOMONTH(DATE(EINSTELLUNG!$C$35,$A$1,1),0))*F37,2),"")</f>
        <v>86.5</v>
      </c>
      <c r="I37" s="50"/>
      <c r="J37" s="51"/>
      <c r="K37" s="281">
        <f t="shared" si="1"/>
        <v>0</v>
      </c>
      <c r="L37" s="283">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1010.5</v>
      </c>
      <c r="M37" s="52"/>
      <c r="N37" s="66"/>
      <c r="O37" s="358" t="s">
        <v>102</v>
      </c>
      <c r="P37" s="297"/>
      <c r="Q37" s="331">
        <f>IF(ISERROR(Q36/Q35), 0, Q36/Q35)</f>
        <v>0.25</v>
      </c>
      <c r="R37" s="331"/>
      <c r="S37" s="331">
        <f ca="1">IF(ISERROR(S36/S35), 0, S36/S35)</f>
        <v>0.24052535175879397</v>
      </c>
      <c r="T37" s="331"/>
      <c r="U37" s="331">
        <f t="shared" ca="1" si="2"/>
        <v>-9.4746482412060296E-3</v>
      </c>
      <c r="V37" s="332"/>
    </row>
    <row r="38" spans="1:22" ht="22" customHeight="1">
      <c r="A38" s="280" t="s">
        <v>103</v>
      </c>
      <c r="B38" s="91">
        <v>401737</v>
      </c>
      <c r="C38" s="39" t="s">
        <v>265</v>
      </c>
      <c r="D38" s="40">
        <v>45906</v>
      </c>
      <c r="E38" s="41" t="s">
        <v>2</v>
      </c>
      <c r="F38" s="42">
        <v>86.5</v>
      </c>
      <c r="G38" s="281">
        <f>IF(OR(E38="",F38=""),"",PID_KVLohnLookup($A$1,E38,F38,LOHNTABELLE!$H$4))</f>
        <v>1010.5</v>
      </c>
      <c r="H38" s="282">
        <f>IF(AND(ISNUMBER(D38),ISNUMBER(F38)),ROUNDDOWN(MIN(IF(OR(ISBLANK(I38),I38=""),EOMONTH(DATE(EINSTELLUNG!$C$35,$A$1,1),0),I38)-MAX(D38,DATE(EINSTELLUNG!$C$35,$A$1,1))+1)/DAY(EOMONTH(DATE(EINSTELLUNG!$C$35,$A$1,1),0))*F38,2),"")</f>
        <v>86.5</v>
      </c>
      <c r="I38" s="43"/>
      <c r="J38" s="44"/>
      <c r="K38" s="281">
        <f t="shared" si="1"/>
        <v>0</v>
      </c>
      <c r="L38" s="283">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1010.5</v>
      </c>
      <c r="M38" s="45"/>
      <c r="N38" s="65"/>
      <c r="O38" s="358" t="s">
        <v>104</v>
      </c>
      <c r="P38" s="297"/>
      <c r="Q38" s="298">
        <f>EINSTELLUNG!F16</f>
        <v>30000</v>
      </c>
      <c r="R38" s="298"/>
      <c r="S38" s="298">
        <f>EINSTELLUNG!F32</f>
        <v>31000</v>
      </c>
      <c r="T38" s="298"/>
      <c r="U38" s="298">
        <f t="shared" si="2"/>
        <v>1000</v>
      </c>
      <c r="V38" s="299"/>
    </row>
    <row r="39" spans="1:22" ht="22" customHeight="1">
      <c r="A39" s="280" t="s">
        <v>105</v>
      </c>
      <c r="B39" s="92">
        <v>401738</v>
      </c>
      <c r="C39" s="46" t="s">
        <v>266</v>
      </c>
      <c r="D39" s="47">
        <v>45909</v>
      </c>
      <c r="E39" s="48" t="s">
        <v>2</v>
      </c>
      <c r="F39" s="49">
        <v>86.5</v>
      </c>
      <c r="G39" s="281">
        <f>IF(OR(E39="",F39=""),"",PID_KVLohnLookup($A$1,E39,F39,LOHNTABELLE!$H$4))</f>
        <v>1010.5</v>
      </c>
      <c r="H39" s="282">
        <f>IF(AND(ISNUMBER(D39),ISNUMBER(F39)),ROUNDDOWN(MIN(IF(OR(ISBLANK(I39),I39=""),EOMONTH(DATE(EINSTELLUNG!$C$35,$A$1,1),0),I39)-MAX(D39,DATE(EINSTELLUNG!$C$35,$A$1,1))+1)/DAY(EOMONTH(DATE(EINSTELLUNG!$C$35,$A$1,1),0))*F39,2),"")</f>
        <v>86.5</v>
      </c>
      <c r="I39" s="50"/>
      <c r="J39" s="51"/>
      <c r="K39" s="281">
        <f t="shared" si="1"/>
        <v>0</v>
      </c>
      <c r="L39" s="283">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52"/>
      <c r="N39" s="66"/>
      <c r="O39" s="358" t="s">
        <v>106</v>
      </c>
      <c r="P39" s="297"/>
      <c r="Q39" s="329">
        <f>IF(Q38=0, 0, Q35/Q38)</f>
        <v>13.333333333333334</v>
      </c>
      <c r="R39" s="329"/>
      <c r="S39" s="329">
        <f>IF(S38=0, 0, S35/S38)</f>
        <v>12.838709677419354</v>
      </c>
      <c r="T39" s="329"/>
      <c r="U39" s="329">
        <f t="shared" si="2"/>
        <v>-0.49462365591397983</v>
      </c>
      <c r="V39" s="330"/>
    </row>
    <row r="40" spans="1:22" ht="22" customHeight="1">
      <c r="A40" s="280" t="s">
        <v>107</v>
      </c>
      <c r="B40" s="91">
        <v>401745</v>
      </c>
      <c r="C40" s="39" t="s">
        <v>270</v>
      </c>
      <c r="D40" s="40">
        <v>45934</v>
      </c>
      <c r="E40" s="41" t="s">
        <v>2</v>
      </c>
      <c r="F40" s="42">
        <v>86.5</v>
      </c>
      <c r="G40" s="281">
        <f>IF(OR(E40="",F40=""),"",PID_KVLohnLookup($A$1,E40,F40,LOHNTABELLE!$H$4))</f>
        <v>1010.5</v>
      </c>
      <c r="H40" s="282">
        <f>IF(AND(ISNUMBER(D40),ISNUMBER(F40)),ROUNDDOWN(MIN(IF(OR(ISBLANK(I40),I40=""),EOMONTH(DATE(EINSTELLUNG!$C$35,$A$1,1),0),I40)-MAX(D40,DATE(EINSTELLUNG!$C$35,$A$1,1))+1)/DAY(EOMONTH(DATE(EINSTELLUNG!$C$35,$A$1,1),0))*F40,2),"")</f>
        <v>86.5</v>
      </c>
      <c r="I40" s="43"/>
      <c r="J40" s="44"/>
      <c r="K40" s="281">
        <f t="shared" si="1"/>
        <v>0</v>
      </c>
      <c r="L40" s="283">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45"/>
      <c r="N40" s="65"/>
      <c r="O40" s="358" t="s">
        <v>108</v>
      </c>
      <c r="P40" s="297"/>
      <c r="Q40" s="329">
        <f>IF(Q12=0, 0, Q35/Q12)</f>
        <v>59.402088280413508</v>
      </c>
      <c r="R40" s="329"/>
      <c r="S40" s="329">
        <f>IF(Q12=0, 0, S35/Q12)</f>
        <v>59.105077839011443</v>
      </c>
      <c r="T40" s="329"/>
      <c r="U40" s="329">
        <f t="shared" si="2"/>
        <v>-0.29701044140206534</v>
      </c>
      <c r="V40" s="330"/>
    </row>
    <row r="41" spans="1:22" ht="22" customHeight="1">
      <c r="A41" s="280" t="s">
        <v>109</v>
      </c>
      <c r="B41" s="92">
        <v>401746</v>
      </c>
      <c r="C41" s="46" t="s">
        <v>269</v>
      </c>
      <c r="D41" s="47">
        <v>45941</v>
      </c>
      <c r="E41" s="48" t="s">
        <v>2</v>
      </c>
      <c r="F41" s="49">
        <v>86.5</v>
      </c>
      <c r="G41" s="281">
        <f>IF(OR(E41="",F41=""),"",PID_KVLohnLookup($A$1,E41,F41,LOHNTABELLE!$H$4))</f>
        <v>1010.5</v>
      </c>
      <c r="H41" s="282">
        <f>IF(AND(ISNUMBER(D41),ISNUMBER(F41)),ROUNDDOWN(MIN(IF(OR(ISBLANK(I41),I41=""),EOMONTH(DATE(EINSTELLUNG!$C$35,$A$1,1),0),I41)-MAX(D41,DATE(EINSTELLUNG!$C$35,$A$1,1))+1)/DAY(EOMONTH(DATE(EINSTELLUNG!$C$35,$A$1,1),0))*F41,2),"")</f>
        <v>86.5</v>
      </c>
      <c r="I41" s="50"/>
      <c r="J41" s="51"/>
      <c r="K41" s="281">
        <f t="shared" si="1"/>
        <v>0</v>
      </c>
      <c r="L41" s="283">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52"/>
      <c r="N41" s="66"/>
      <c r="O41" s="371" t="s">
        <v>110</v>
      </c>
      <c r="P41" s="334"/>
      <c r="Q41" s="335">
        <f>IF(Q12=0, 0, Q38/Q12)</f>
        <v>4.455156621031013</v>
      </c>
      <c r="R41" s="335"/>
      <c r="S41" s="335">
        <f>IF(Q12=0, 0, S38/Q12)</f>
        <v>4.6036618417320474</v>
      </c>
      <c r="T41" s="335"/>
      <c r="U41" s="335">
        <f t="shared" si="2"/>
        <v>0.14850522070103445</v>
      </c>
      <c r="V41" s="336"/>
    </row>
    <row r="42" spans="1:22" ht="22" customHeight="1" thickBot="1">
      <c r="A42" s="280" t="s">
        <v>111</v>
      </c>
      <c r="B42" s="91">
        <v>401747</v>
      </c>
      <c r="C42" s="39" t="s">
        <v>267</v>
      </c>
      <c r="D42" s="40">
        <v>45941</v>
      </c>
      <c r="E42" s="41" t="s">
        <v>2</v>
      </c>
      <c r="F42" s="42">
        <v>86.5</v>
      </c>
      <c r="G42" s="281">
        <f>IF(OR(E42="",F42=""),"",PID_KVLohnLookup($A$1,E42,F42,LOHNTABELLE!$H$4))</f>
        <v>1010.5</v>
      </c>
      <c r="H42" s="282">
        <f>IF(AND(ISNUMBER(D42),ISNUMBER(F42)),ROUNDDOWN(MIN(IF(OR(ISBLANK(I42),I42=""),EOMONTH(DATE(EINSTELLUNG!$C$35,$A$1,1),0),I42)-MAX(D42,DATE(EINSTELLUNG!$C$35,$A$1,1))+1)/DAY(EOMONTH(DATE(EINSTELLUNG!$C$35,$A$1,1),0))*F42,2),"")</f>
        <v>86.5</v>
      </c>
      <c r="I42" s="43"/>
      <c r="J42" s="44"/>
      <c r="K42" s="281">
        <f t="shared" si="1"/>
        <v>0</v>
      </c>
      <c r="L42" s="283">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45"/>
      <c r="N42" s="130"/>
      <c r="O42" s="314" t="s">
        <v>112</v>
      </c>
      <c r="P42" s="315"/>
      <c r="Q42" s="337">
        <f>IFERROR(Q17/Q8, 0)</f>
        <v>11.873758634354362</v>
      </c>
      <c r="R42" s="338"/>
      <c r="S42" s="337"/>
      <c r="T42" s="337"/>
      <c r="U42" s="337"/>
      <c r="V42" s="317"/>
    </row>
    <row r="43" spans="1:22" ht="22" customHeight="1">
      <c r="A43" s="280" t="s">
        <v>113</v>
      </c>
      <c r="B43" s="92">
        <v>401748</v>
      </c>
      <c r="C43" s="46" t="s">
        <v>268</v>
      </c>
      <c r="D43" s="47">
        <v>45941</v>
      </c>
      <c r="E43" s="48" t="s">
        <v>2</v>
      </c>
      <c r="F43" s="49">
        <v>138.4</v>
      </c>
      <c r="G43" s="281">
        <f>IF(OR(E43="",F43=""),"",PID_KVLohnLookup($A$1,E43,F43,LOHNTABELLE!$H$4))</f>
        <v>1616.8</v>
      </c>
      <c r="H43" s="282">
        <f>IF(AND(ISNUMBER(D43),ISNUMBER(F43)),ROUNDDOWN(MIN(IF(OR(ISBLANK(I43),I43=""),EOMONTH(DATE(EINSTELLUNG!$C$35,$A$1,1),0),I43)-MAX(D43,DATE(EINSTELLUNG!$C$35,$A$1,1))+1)/DAY(EOMONTH(DATE(EINSTELLUNG!$C$35,$A$1,1),0))*F43,2),"")</f>
        <v>138.4</v>
      </c>
      <c r="I43" s="50"/>
      <c r="J43" s="51"/>
      <c r="K43" s="281">
        <f t="shared" si="1"/>
        <v>0</v>
      </c>
      <c r="L43" s="283">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1616.8</v>
      </c>
      <c r="M43" s="128"/>
      <c r="N43" s="66"/>
      <c r="O43" s="339"/>
      <c r="P43" s="339"/>
      <c r="Q43" s="339"/>
      <c r="R43" s="278"/>
      <c r="S43" s="278"/>
      <c r="T43" s="278"/>
      <c r="U43" s="278"/>
      <c r="V43" s="278"/>
    </row>
    <row r="44" spans="1:22" ht="22" customHeight="1">
      <c r="A44" s="280" t="s">
        <v>114</v>
      </c>
      <c r="B44" s="91">
        <v>401751</v>
      </c>
      <c r="C44" s="39" t="s">
        <v>271</v>
      </c>
      <c r="D44" s="40">
        <v>45961</v>
      </c>
      <c r="E44" s="41" t="s">
        <v>2</v>
      </c>
      <c r="F44" s="42">
        <v>86.5</v>
      </c>
      <c r="G44" s="281">
        <f>IF(OR(E44="",F44=""),"",PID_KVLohnLookup($A$1,E44,F44,LOHNTABELLE!$H$4))</f>
        <v>1010.5</v>
      </c>
      <c r="H44" s="282">
        <f>IF(AND(ISNUMBER(D44),ISNUMBER(F44)),ROUNDDOWN(MIN(IF(OR(ISBLANK(I44),I44=""),EOMONTH(DATE(EINSTELLUNG!$C$35,$A$1,1),0),I44)-MAX(D44,DATE(EINSTELLUNG!$C$35,$A$1,1))+1)/DAY(EOMONTH(DATE(EINSTELLUNG!$C$35,$A$1,1),0))*F44,2),"")</f>
        <v>86.5</v>
      </c>
      <c r="I44" s="43"/>
      <c r="J44" s="44"/>
      <c r="K44" s="281">
        <f t="shared" si="1"/>
        <v>0</v>
      </c>
      <c r="L44" s="283">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1010.5</v>
      </c>
      <c r="M44" s="129"/>
      <c r="N44" s="65"/>
      <c r="O44" s="340" t="s">
        <v>115</v>
      </c>
      <c r="P44" s="340"/>
      <c r="Q44" s="340"/>
      <c r="R44" s="340"/>
      <c r="S44" s="340"/>
      <c r="T44" s="340"/>
      <c r="U44" s="340"/>
      <c r="V44" s="340"/>
    </row>
    <row r="45" spans="1:22" ht="22" customHeight="1">
      <c r="A45" s="280" t="s">
        <v>116</v>
      </c>
      <c r="B45" s="92">
        <v>401752</v>
      </c>
      <c r="C45" s="46" t="s">
        <v>272</v>
      </c>
      <c r="D45" s="47">
        <v>45986</v>
      </c>
      <c r="E45" s="48" t="s">
        <v>2</v>
      </c>
      <c r="F45" s="49">
        <v>173</v>
      </c>
      <c r="G45" s="281">
        <f>IF(OR(E45="",F45=""),"",PID_KVLohnLookup($A$1,E45,F45,LOHNTABELLE!$H$4))</f>
        <v>2021</v>
      </c>
      <c r="H45" s="282">
        <f>IF(AND(ISNUMBER(D45),ISNUMBER(F45)),ROUNDDOWN(MIN(IF(OR(ISBLANK(I45),I45=""),EOMONTH(DATE(EINSTELLUNG!$C$35,$A$1,1),0),I45)-MAX(D45,DATE(EINSTELLUNG!$C$35,$A$1,1))+1)/DAY(EOMONTH(DATE(EINSTELLUNG!$C$35,$A$1,1),0))*F45,2),"")</f>
        <v>173</v>
      </c>
      <c r="I45" s="50"/>
      <c r="J45" s="51"/>
      <c r="K45" s="281">
        <f t="shared" si="1"/>
        <v>0</v>
      </c>
      <c r="L45" s="283">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2021</v>
      </c>
      <c r="M45" s="128"/>
      <c r="N45" s="66"/>
      <c r="O45" s="341"/>
      <c r="P45" s="341"/>
      <c r="Q45" s="341"/>
      <c r="R45" s="342"/>
      <c r="S45" s="342"/>
      <c r="T45" s="342"/>
      <c r="U45" s="342"/>
      <c r="V45" s="278"/>
    </row>
    <row r="46" spans="1:22" ht="22" customHeight="1">
      <c r="A46" s="280" t="s">
        <v>117</v>
      </c>
      <c r="B46" s="91">
        <v>401999</v>
      </c>
      <c r="C46" s="39" t="s">
        <v>354</v>
      </c>
      <c r="D46" s="40">
        <v>46041</v>
      </c>
      <c r="E46" s="41" t="s">
        <v>2</v>
      </c>
      <c r="F46" s="42">
        <v>151.38</v>
      </c>
      <c r="G46" s="281">
        <f>IF(OR(E46="",F46=""),"",PID_KVLohnLookup($A$1,E46,F46,LOHNTABELLE!$H$4))</f>
        <v>1768.38</v>
      </c>
      <c r="H46" s="282">
        <f>IF(AND(ISNUMBER(D46),ISNUMBER(F46)),ROUNDDOWN(MIN(IF(OR(ISBLANK(I46),I46=""),EOMONTH(DATE(EINSTELLUNG!$C$35,$A$1,1),0),I46)-MAX(D46,DATE(EINSTELLUNG!$C$35,$A$1,1))+1)/DAY(EOMONTH(DATE(EINSTELLUNG!$C$35,$A$1,1),0))*F46,2),"")</f>
        <v>151.38</v>
      </c>
      <c r="I46" s="43"/>
      <c r="J46" s="44"/>
      <c r="K46" s="281">
        <f t="shared" si="1"/>
        <v>0</v>
      </c>
      <c r="L46" s="283">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1768.38</v>
      </c>
      <c r="M46" s="129"/>
      <c r="N46" s="65"/>
      <c r="O46" s="278"/>
      <c r="P46" s="278"/>
      <c r="Q46" s="278"/>
      <c r="R46" s="278"/>
      <c r="S46" s="278"/>
      <c r="T46" s="278"/>
      <c r="U46" s="278"/>
      <c r="V46" s="278"/>
    </row>
    <row r="47" spans="1:22" ht="22" customHeight="1">
      <c r="A47" s="280" t="s">
        <v>118</v>
      </c>
      <c r="B47" s="92">
        <v>401999</v>
      </c>
      <c r="C47" s="46" t="s">
        <v>292</v>
      </c>
      <c r="D47" s="47">
        <v>46082</v>
      </c>
      <c r="E47" s="48" t="s">
        <v>2</v>
      </c>
      <c r="F47" s="49">
        <v>173</v>
      </c>
      <c r="G47" s="281">
        <f>IF(OR(E47="",F47=""),"",PID_KVLohnLookup($A$1,E47,F47,LOHNTABELLE!$H$4))</f>
        <v>2021</v>
      </c>
      <c r="H47" s="282">
        <f>IF(AND(ISNUMBER(D47),ISNUMBER(F47)),ROUNDDOWN(MIN(IF(OR(ISBLANK(I47),I47=""),EOMONTH(DATE(EINSTELLUNG!$C$35,$A$1,1),0),I47)-MAX(D47,DATE(EINSTELLUNG!$C$35,$A$1,1))+1)/DAY(EOMONTH(DATE(EINSTELLUNG!$C$35,$A$1,1),0))*F47,2),"")</f>
        <v>173</v>
      </c>
      <c r="I47" s="50"/>
      <c r="J47" s="51"/>
      <c r="K47" s="281">
        <f t="shared" si="1"/>
        <v>0</v>
      </c>
      <c r="L47" s="283">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2021</v>
      </c>
      <c r="M47" s="128"/>
      <c r="N47" s="66"/>
      <c r="O47" s="278"/>
      <c r="P47" s="278"/>
      <c r="Q47" s="278"/>
      <c r="R47" s="278"/>
      <c r="S47" s="278"/>
      <c r="T47" s="278"/>
      <c r="U47" s="278"/>
      <c r="V47" s="278"/>
    </row>
    <row r="48" spans="1:22" ht="18" customHeight="1">
      <c r="A48" s="280" t="s">
        <v>119</v>
      </c>
      <c r="B48" s="91">
        <v>402000</v>
      </c>
      <c r="C48" s="39" t="s">
        <v>294</v>
      </c>
      <c r="D48" s="43">
        <v>46143</v>
      </c>
      <c r="E48" s="41" t="s">
        <v>2</v>
      </c>
      <c r="F48" s="42">
        <v>173</v>
      </c>
      <c r="G48" s="281">
        <f>IF(OR(E48="",F48=""),"",PID_KVLohnLookup($A$1,E48,F48,LOHNTABELLE!$H$4))</f>
        <v>2021</v>
      </c>
      <c r="H48" s="282">
        <f>IF(AND(ISNUMBER(D48),ISNUMBER(F48)),ROUNDDOWN(MIN(IF(OR(ISBLANK(I48),I48=""),EOMONTH(DATE(EINSTELLUNG!$C$35,$A$1,1),0),I48)-MAX(D48,DATE(EINSTELLUNG!$C$35,$A$1,1))+1)/DAY(EOMONTH(DATE(EINSTELLUNG!$C$35,$A$1,1),0))*F48,2),"")</f>
        <v>-121.1</v>
      </c>
      <c r="I48" s="43">
        <v>46305</v>
      </c>
      <c r="J48" s="44"/>
      <c r="K48" s="281">
        <f t="shared" si="1"/>
        <v>0</v>
      </c>
      <c r="L48" s="283" t="str">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
      </c>
      <c r="M48" s="129"/>
      <c r="N48" s="65" t="s">
        <v>188</v>
      </c>
      <c r="O48" s="278"/>
      <c r="P48" s="278"/>
      <c r="Q48" s="278"/>
      <c r="R48" s="278"/>
      <c r="S48" s="278"/>
      <c r="T48" s="278"/>
      <c r="U48" s="278"/>
      <c r="V48" s="278"/>
    </row>
    <row r="49" spans="1:22" ht="22" customHeight="1">
      <c r="A49" s="280" t="s">
        <v>120</v>
      </c>
      <c r="B49" s="92">
        <v>402004</v>
      </c>
      <c r="C49" s="46" t="s">
        <v>295</v>
      </c>
      <c r="D49" s="50">
        <v>46122</v>
      </c>
      <c r="E49" s="48" t="s">
        <v>2</v>
      </c>
      <c r="F49" s="49">
        <v>173</v>
      </c>
      <c r="G49" s="281">
        <f>IF(OR(E49="",F49=""),"",PID_KVLohnLookup($A$1,E49,F49,LOHNTABELLE!$H$4))</f>
        <v>2021</v>
      </c>
      <c r="H49" s="282">
        <f>IF(AND(ISNUMBER(D49),ISNUMBER(F49)),ROUNDDOWN(MIN(IF(OR(ISBLANK(I49),I49=""),EOMONTH(DATE(EINSTELLUNG!$C$35,$A$1,1),0),I49)-MAX(D49,DATE(EINSTELLUNG!$C$35,$A$1,1))+1)/DAY(EOMONTH(DATE(EINSTELLUNG!$C$35,$A$1,1),0))*F49,2),"")</f>
        <v>173</v>
      </c>
      <c r="I49" s="50"/>
      <c r="J49" s="51"/>
      <c r="K49" s="281">
        <f t="shared" si="1"/>
        <v>0</v>
      </c>
      <c r="L49" s="283">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2021</v>
      </c>
      <c r="M49" s="128"/>
      <c r="N49" s="66"/>
      <c r="O49" s="278"/>
      <c r="P49" s="278"/>
      <c r="Q49" s="278"/>
      <c r="R49" s="278"/>
      <c r="S49" s="278"/>
      <c r="T49" s="278"/>
      <c r="U49" s="278"/>
      <c r="V49" s="278"/>
    </row>
    <row r="50" spans="1:22" ht="18" customHeight="1">
      <c r="A50" s="280" t="s">
        <v>121</v>
      </c>
      <c r="B50" s="91">
        <v>402405</v>
      </c>
      <c r="C50" s="53" t="s">
        <v>297</v>
      </c>
      <c r="D50" s="43">
        <v>46054</v>
      </c>
      <c r="E50" s="41" t="s">
        <v>2</v>
      </c>
      <c r="F50" s="42">
        <v>173</v>
      </c>
      <c r="G50" s="281">
        <f>IF(OR(E50="",F50=""),"",PID_KVLohnLookup($A$1,E50,F50,LOHNTABELLE!$H$4))</f>
        <v>2021</v>
      </c>
      <c r="H50" s="282">
        <f>IF(AND(ISNUMBER(D50),ISNUMBER(F50)),ROUNDDOWN(MIN(IF(OR(ISBLANK(I50),I50=""),EOMONTH(DATE(EINSTELLUNG!$C$35,$A$1,1),0),I50)-MAX(D50,DATE(EINSTELLUNG!$C$35,$A$1,1))+1)/DAY(EOMONTH(DATE(EINSTELLUNG!$C$35,$A$1,1),0))*F50,2),"")</f>
        <v>-121.1</v>
      </c>
      <c r="I50" s="43">
        <v>46305</v>
      </c>
      <c r="J50" s="44">
        <v>2</v>
      </c>
      <c r="K50" s="281">
        <f t="shared" si="1"/>
        <v>144.35714285714286</v>
      </c>
      <c r="L50" s="283" t="str">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
      </c>
      <c r="M50" s="129"/>
      <c r="N50" s="65" t="s">
        <v>195</v>
      </c>
      <c r="O50" s="278"/>
      <c r="P50" s="278"/>
      <c r="Q50" s="278"/>
      <c r="R50" s="278"/>
      <c r="S50" s="278"/>
      <c r="T50" s="278"/>
      <c r="U50" s="278"/>
      <c r="V50" s="278"/>
    </row>
    <row r="51" spans="1:22" ht="22" customHeight="1">
      <c r="A51" s="280" t="s">
        <v>122</v>
      </c>
      <c r="B51" s="92">
        <v>500600</v>
      </c>
      <c r="C51" s="46" t="s">
        <v>301</v>
      </c>
      <c r="D51" s="50">
        <v>46054</v>
      </c>
      <c r="E51" s="48" t="s">
        <v>2</v>
      </c>
      <c r="F51" s="49">
        <v>173</v>
      </c>
      <c r="G51" s="281">
        <f>IF(OR(E51="",F51=""),"",PID_KVLohnLookup($A$1,E51,F51,LOHNTABELLE!$H$4))</f>
        <v>2021</v>
      </c>
      <c r="H51" s="282">
        <f>IF(AND(ISNUMBER(D51),ISNUMBER(F51)),ROUNDDOWN(MIN(IF(OR(ISBLANK(I51),I51=""),EOMONTH(DATE(EINSTELLUNG!$C$35,$A$1,1),0),I51)-MAX(D51,DATE(EINSTELLUNG!$C$35,$A$1,1))+1)/DAY(EOMONTH(DATE(EINSTELLUNG!$C$35,$A$1,1),0))*F51,2),"")</f>
        <v>173</v>
      </c>
      <c r="I51" s="50"/>
      <c r="J51" s="51"/>
      <c r="K51" s="281">
        <f t="shared" si="1"/>
        <v>0</v>
      </c>
      <c r="L51" s="283">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2021</v>
      </c>
      <c r="M51" s="52"/>
      <c r="N51" s="127"/>
    </row>
    <row r="52" spans="1:22" ht="22" customHeight="1">
      <c r="A52" s="280" t="s">
        <v>123</v>
      </c>
      <c r="B52" s="91">
        <v>502000</v>
      </c>
      <c r="C52" s="39" t="s">
        <v>296</v>
      </c>
      <c r="D52" s="43">
        <v>46147</v>
      </c>
      <c r="E52" s="41" t="s">
        <v>2</v>
      </c>
      <c r="F52" s="42">
        <v>173</v>
      </c>
      <c r="G52" s="281">
        <f>IF(OR(E52="",F52=""),"",PID_KVLohnLookup($A$1,E52,F52,LOHNTABELLE!$H$4))</f>
        <v>2021</v>
      </c>
      <c r="H52" s="282">
        <f>IF(AND(ISNUMBER(D52),ISNUMBER(F52)),ROUNDDOWN(MIN(IF(OR(ISBLANK(I52),I52=""),EOMONTH(DATE(EINSTELLUNG!$C$35,$A$1,1),0),I52)-MAX(D52,DATE(EINSTELLUNG!$C$35,$A$1,1))+1)/DAY(EOMONTH(DATE(EINSTELLUNG!$C$35,$A$1,1),0))*F52,2),"")</f>
        <v>173</v>
      </c>
      <c r="I52" s="43"/>
      <c r="J52" s="44"/>
      <c r="K52" s="281">
        <f t="shared" si="1"/>
        <v>0</v>
      </c>
      <c r="L52" s="283">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2021</v>
      </c>
      <c r="M52" s="45"/>
      <c r="N52" s="65"/>
    </row>
    <row r="53" spans="1:22" ht="22" customHeight="1">
      <c r="A53" s="280" t="s">
        <v>124</v>
      </c>
      <c r="B53" s="92">
        <v>503000</v>
      </c>
      <c r="C53" s="46" t="s">
        <v>298</v>
      </c>
      <c r="D53" s="50">
        <v>42401</v>
      </c>
      <c r="E53" s="48" t="s">
        <v>2</v>
      </c>
      <c r="F53" s="49">
        <v>173</v>
      </c>
      <c r="G53" s="281">
        <f>IF(OR(E53="",F53=""),"",PID_KVLohnLookup($A$1,E53,F53,LOHNTABELLE!$H$4))</f>
        <v>2021</v>
      </c>
      <c r="H53" s="282">
        <f>IF(AND(ISNUMBER(D53),ISNUMBER(F53)),ROUNDDOWN(MIN(IF(OR(ISBLANK(I53),I53=""),EOMONTH(DATE(EINSTELLUNG!$C$35,$A$1,1),0),I53)-MAX(D53,DATE(EINSTELLUNG!$C$35,$A$1,1))+1)/DAY(EOMONTH(DATE(EINSTELLUNG!$C$35,$A$1,1),0))*F53,2),"")</f>
        <v>173</v>
      </c>
      <c r="I53" s="50"/>
      <c r="J53" s="51"/>
      <c r="K53" s="281">
        <f t="shared" si="1"/>
        <v>0</v>
      </c>
      <c r="L53" s="283">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2021</v>
      </c>
      <c r="M53" s="52"/>
      <c r="N53" s="66"/>
    </row>
    <row r="54" spans="1:22" ht="22" customHeight="1">
      <c r="A54" s="280" t="s">
        <v>125</v>
      </c>
      <c r="B54" s="91">
        <v>504000</v>
      </c>
      <c r="C54" s="39" t="s">
        <v>299</v>
      </c>
      <c r="D54" s="43">
        <v>46054</v>
      </c>
      <c r="E54" s="41" t="s">
        <v>3</v>
      </c>
      <c r="F54" s="42">
        <v>138.4</v>
      </c>
      <c r="G54" s="281">
        <f>IF(OR(E54="",F54=""),"",PID_KVLohnLookup($A$1,E54,F54,LOHNTABELLE!$H$4))</f>
        <v>1665.6</v>
      </c>
      <c r="H54" s="282">
        <f>IF(AND(ISNUMBER(D54),ISNUMBER(F54)),ROUNDDOWN(MIN(IF(OR(ISBLANK(I54),I54=""),EOMONTH(DATE(EINSTELLUNG!$C$35,$A$1,1),0),I54)-MAX(D54,DATE(EINSTELLUNG!$C$35,$A$1,1))+1)/DAY(EOMONTH(DATE(EINSTELLUNG!$C$35,$A$1,1),0))*F54,2),"")</f>
        <v>138.4</v>
      </c>
      <c r="I54" s="43"/>
      <c r="J54" s="44"/>
      <c r="K54" s="281">
        <f t="shared" si="1"/>
        <v>0</v>
      </c>
      <c r="L54" s="283">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1665.6</v>
      </c>
      <c r="M54" s="45"/>
      <c r="N54" s="65"/>
    </row>
    <row r="55" spans="1:22" ht="22" customHeight="1">
      <c r="A55" s="280" t="s">
        <v>126</v>
      </c>
      <c r="B55" s="92">
        <v>505000</v>
      </c>
      <c r="C55" s="46" t="s">
        <v>300</v>
      </c>
      <c r="D55" s="50">
        <v>46054</v>
      </c>
      <c r="E55" s="48" t="s">
        <v>2</v>
      </c>
      <c r="F55" s="49">
        <v>138.4</v>
      </c>
      <c r="G55" s="281">
        <f>IF(OR(E55="",F55=""),"",PID_KVLohnLookup($A$1,E55,F55,LOHNTABELLE!$H$4))</f>
        <v>1616.8</v>
      </c>
      <c r="H55" s="282">
        <f>IF(AND(ISNUMBER(D55),ISNUMBER(F55)),ROUNDDOWN(MIN(IF(OR(ISBLANK(I55),I55=""),EOMONTH(DATE(EINSTELLUNG!$C$35,$A$1,1),0),I55)-MAX(D55,DATE(EINSTELLUNG!$C$35,$A$1,1))+1)/DAY(EOMONTH(DATE(EINSTELLUNG!$C$35,$A$1,1),0))*F55,2),"")</f>
        <v>138.4</v>
      </c>
      <c r="I55" s="50"/>
      <c r="J55" s="51"/>
      <c r="K55" s="281">
        <f t="shared" si="1"/>
        <v>0</v>
      </c>
      <c r="L55" s="283">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1616.8</v>
      </c>
      <c r="M55" s="52"/>
      <c r="N55" s="66"/>
    </row>
    <row r="56" spans="1:22" ht="22" customHeight="1">
      <c r="A56" s="280" t="s">
        <v>127</v>
      </c>
      <c r="B56" s="91">
        <v>525025</v>
      </c>
      <c r="C56" s="39" t="s">
        <v>355</v>
      </c>
      <c r="D56" s="43">
        <v>46040</v>
      </c>
      <c r="E56" s="41" t="s">
        <v>2</v>
      </c>
      <c r="F56" s="42">
        <v>129.75</v>
      </c>
      <c r="G56" s="281">
        <f>IF(OR(E56="",F56=""),"",PID_KVLohnLookup($A$1,E56,F56,LOHNTABELLE!$H$4))</f>
        <v>1515.75</v>
      </c>
      <c r="H56" s="282">
        <f>IF(AND(ISNUMBER(D56),ISNUMBER(F56)),ROUNDDOWN(MIN(IF(OR(ISBLANK(I56),I56=""),EOMONTH(DATE(EINSTELLUNG!$C$35,$A$1,1),0),I56)-MAX(D56,DATE(EINSTELLUNG!$C$35,$A$1,1))+1)/DAY(EOMONTH(DATE(EINSTELLUNG!$C$35,$A$1,1),0))*F56,2),"")</f>
        <v>129.75</v>
      </c>
      <c r="I56" s="43"/>
      <c r="J56" s="44"/>
      <c r="K56" s="281">
        <f t="shared" si="1"/>
        <v>0</v>
      </c>
      <c r="L56" s="283">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1515.75</v>
      </c>
      <c r="M56" s="45"/>
      <c r="N56" s="65"/>
    </row>
    <row r="57" spans="1:22" ht="22" customHeight="1">
      <c r="A57" s="280" t="s">
        <v>128</v>
      </c>
      <c r="B57" s="92">
        <v>700000</v>
      </c>
      <c r="C57" s="46" t="s">
        <v>308</v>
      </c>
      <c r="D57" s="50">
        <v>46054</v>
      </c>
      <c r="E57" s="48" t="s">
        <v>2</v>
      </c>
      <c r="F57" s="49">
        <v>173</v>
      </c>
      <c r="G57" s="281">
        <f>IF(OR(E57="",F57=""),"",PID_KVLohnLookup($A$1,E57,F57,LOHNTABELLE!$H$4))</f>
        <v>2021</v>
      </c>
      <c r="H57" s="282">
        <f>IF(AND(ISNUMBER(D57),ISNUMBER(F57)),ROUNDDOWN(MIN(IF(OR(ISBLANK(I57),I57=""),EOMONTH(DATE(EINSTELLUNG!$C$35,$A$1,1),0),I57)-MAX(D57,DATE(EINSTELLUNG!$C$35,$A$1,1))+1)/DAY(EOMONTH(DATE(EINSTELLUNG!$C$35,$A$1,1),0))*F57,2),"")</f>
        <v>173</v>
      </c>
      <c r="I57" s="50"/>
      <c r="J57" s="51"/>
      <c r="K57" s="281">
        <f t="shared" si="1"/>
        <v>0</v>
      </c>
      <c r="L57" s="283">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2021</v>
      </c>
      <c r="M57" s="52"/>
      <c r="N57" s="66"/>
    </row>
    <row r="58" spans="1:22" ht="22" customHeight="1">
      <c r="A58" s="280" t="s">
        <v>129</v>
      </c>
      <c r="B58" s="91">
        <v>800000</v>
      </c>
      <c r="C58" s="39" t="s">
        <v>309</v>
      </c>
      <c r="D58" s="43">
        <v>46096</v>
      </c>
      <c r="E58" s="41" t="s">
        <v>2</v>
      </c>
      <c r="F58" s="61">
        <v>166</v>
      </c>
      <c r="G58" s="281" t="str">
        <f>IF(OR(E58="",F58=""),"",PID_KVLohnLookup($A$1,E58,F58,LOHNTABELLE!$H$4))</f>
        <v>Nicht gefunden</v>
      </c>
      <c r="H58" s="282">
        <f>IF(AND(ISNUMBER(D58),ISNUMBER(F58)),ROUNDDOWN(MIN(IF(OR(ISBLANK(I58),I58=""),EOMONTH(DATE(EINSTELLUNG!$C$35,$A$1,1),0),I58)-MAX(D58,DATE(EINSTELLUNG!$C$35,$A$1,1))+1)/DAY(EOMONTH(DATE(EINSTELLUNG!$C$35,$A$1,1),0))*F58,2),"")</f>
        <v>166</v>
      </c>
      <c r="I58" s="43"/>
      <c r="J58" s="44"/>
      <c r="K58" s="281">
        <f t="shared" si="1"/>
        <v>0</v>
      </c>
      <c r="L58" s="283" t="str">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Nicht gefunden</v>
      </c>
      <c r="M58" s="45"/>
      <c r="N58" s="65"/>
    </row>
    <row r="59" spans="1:22" ht="22" customHeight="1">
      <c r="A59" s="280" t="s">
        <v>130</v>
      </c>
      <c r="B59" s="92"/>
      <c r="C59" s="46"/>
      <c r="D59" s="50"/>
      <c r="E59" s="48"/>
      <c r="F59" s="49"/>
      <c r="G59" s="281" t="str">
        <f>IF(OR(E59="",F59=""),"",PID_KVLohnLookup($A$1,E59,F59,LOHNTABELLE!$H$4))</f>
        <v/>
      </c>
      <c r="H59" s="282" t="str">
        <f>IF(AND(ISNUMBER(D59),ISNUMBER(F59)),ROUNDDOWN(MIN(IF(OR(ISBLANK(I59),I59=""),EOMONTH(DATE(EINSTELLUNG!$C$35,$A$1,1),0),I59)-MAX(D59,DATE(EINSTELLUNG!$C$35,$A$1,1))+1)/DAY(EOMONTH(DATE(EINSTELLUNG!$C$35,$A$1,1),0))*F59,2),"")</f>
        <v/>
      </c>
      <c r="I59" s="50"/>
      <c r="J59" s="51"/>
      <c r="K59" s="281" t="str">
        <f t="shared" si="1"/>
        <v/>
      </c>
      <c r="L59" s="283" t="str">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
      </c>
      <c r="M59" s="52"/>
      <c r="N59" s="66"/>
    </row>
    <row r="60" spans="1:22" ht="22" customHeight="1">
      <c r="A60" s="280" t="s">
        <v>131</v>
      </c>
      <c r="B60" s="91"/>
      <c r="C60" s="39"/>
      <c r="D60" s="43"/>
      <c r="E60" s="41"/>
      <c r="F60" s="42"/>
      <c r="G60" s="281" t="str">
        <f>IF(OR(E60="",F60=""),"",PID_KVLohnLookup($A$1,E60,F60,LOHNTABELLE!$H$4))</f>
        <v/>
      </c>
      <c r="H60" s="282" t="str">
        <f>IF(AND(ISNUMBER(D60),ISNUMBER(F60)),ROUNDDOWN(MIN(IF(OR(ISBLANK(I60),I60=""),EOMONTH(DATE(EINSTELLUNG!$C$35,$A$1,1),0),I60)-MAX(D60,DATE(EINSTELLUNG!$C$35,$A$1,1))+1)/DAY(EOMONTH(DATE(EINSTELLUNG!$C$35,$A$1,1),0))*F60,2),"")</f>
        <v/>
      </c>
      <c r="I60" s="43"/>
      <c r="J60" s="44"/>
      <c r="K60" s="281" t="str">
        <f t="shared" si="1"/>
        <v/>
      </c>
      <c r="L60" s="283" t="str">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
      </c>
      <c r="M60" s="45"/>
      <c r="N60" s="65"/>
    </row>
    <row r="61" spans="1:22" ht="22" customHeight="1">
      <c r="A61" s="280" t="s">
        <v>132</v>
      </c>
      <c r="B61" s="92"/>
      <c r="C61" s="46"/>
      <c r="D61" s="50"/>
      <c r="E61" s="48"/>
      <c r="F61" s="49"/>
      <c r="G61" s="281" t="str">
        <f>IF(OR(E61="",F61=""),"",PID_KVLohnLookup($A$1,E61,F61,LOHNTABELLE!$H$4))</f>
        <v/>
      </c>
      <c r="H61" s="282" t="str">
        <f>IF(AND(ISNUMBER(D61),ISNUMBER(F61)),ROUNDDOWN(MIN(IF(OR(ISBLANK(I61),I61=""),EOMONTH(DATE(EINSTELLUNG!$C$35,$A$1,1),0),I61)-MAX(D61,DATE(EINSTELLUNG!$C$35,$A$1,1))+1)/DAY(EOMONTH(DATE(EINSTELLUNG!$C$35,$A$1,1),0))*F61,2),"")</f>
        <v/>
      </c>
      <c r="I61" s="50"/>
      <c r="J61" s="51"/>
      <c r="K61" s="281" t="str">
        <f t="shared" si="1"/>
        <v/>
      </c>
      <c r="L61" s="283" t="str">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52"/>
      <c r="N61" s="66"/>
    </row>
    <row r="62" spans="1:22" ht="22" customHeight="1">
      <c r="A62" s="280" t="s">
        <v>133</v>
      </c>
      <c r="B62" s="91"/>
      <c r="C62" s="39"/>
      <c r="D62" s="43"/>
      <c r="E62" s="41"/>
      <c r="F62" s="42"/>
      <c r="G62" s="281" t="str">
        <f>IF(OR(E62="",F62=""),"",PID_KVLohnLookup($A$1,E62,F62,LOHNTABELLE!$H$4))</f>
        <v/>
      </c>
      <c r="H62" s="282" t="str">
        <f>IF(AND(ISNUMBER(D62),ISNUMBER(F62)),ROUNDDOWN(MIN(IF(OR(ISBLANK(I62),I62=""),EOMONTH(DATE(EINSTELLUNG!$C$35,$A$1,1),0),I62)-MAX(D62,DATE(EINSTELLUNG!$C$35,$A$1,1))+1)/DAY(EOMONTH(DATE(EINSTELLUNG!$C$35,$A$1,1),0))*F62,2),"")</f>
        <v/>
      </c>
      <c r="I62" s="43"/>
      <c r="J62" s="44"/>
      <c r="K62" s="281" t="str">
        <f t="shared" si="1"/>
        <v/>
      </c>
      <c r="L62" s="283"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45"/>
      <c r="N62" s="65"/>
    </row>
    <row r="63" spans="1:22" ht="22" customHeight="1">
      <c r="A63" s="280" t="s">
        <v>134</v>
      </c>
      <c r="B63" s="92"/>
      <c r="C63" s="46"/>
      <c r="D63" s="50"/>
      <c r="E63" s="48"/>
      <c r="F63" s="49"/>
      <c r="G63" s="281" t="str">
        <f>IF(OR(E63="",F63=""),"",PID_KVLohnLookup($A$1,E63,F63,LOHNTABELLE!$H$4))</f>
        <v/>
      </c>
      <c r="H63" s="282" t="str">
        <f>IF(AND(ISNUMBER(D63),ISNUMBER(F63)),ROUNDDOWN(MIN(IF(OR(ISBLANK(I63),I63=""),EOMONTH(DATE(EINSTELLUNG!$C$35,$A$1,1),0),I63)-MAX(D63,DATE(EINSTELLUNG!$C$35,$A$1,1))+1)/DAY(EOMONTH(DATE(EINSTELLUNG!$C$35,$A$1,1),0))*F63,2),"")</f>
        <v/>
      </c>
      <c r="I63" s="50"/>
      <c r="J63" s="51"/>
      <c r="K63" s="281" t="str">
        <f t="shared" si="1"/>
        <v/>
      </c>
      <c r="L63" s="283"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52"/>
      <c r="N63" s="66"/>
    </row>
    <row r="64" spans="1:22" ht="22" customHeight="1">
      <c r="A64" s="280" t="s">
        <v>135</v>
      </c>
      <c r="B64" s="91"/>
      <c r="C64" s="39"/>
      <c r="D64" s="43"/>
      <c r="E64" s="41"/>
      <c r="F64" s="42"/>
      <c r="G64" s="281" t="str">
        <f>IF(OR(E64="",F64=""),"",PID_KVLohnLookup($A$1,E64,F64,LOHNTABELLE!$H$4))</f>
        <v/>
      </c>
      <c r="H64" s="282" t="str">
        <f>IF(AND(ISNUMBER(D64),ISNUMBER(F64)),ROUNDDOWN(MIN(IF(OR(ISBLANK(I64),I64=""),EOMONTH(DATE(EINSTELLUNG!$C$35,$A$1,1),0),I64)-MAX(D64,DATE(EINSTELLUNG!$C$35,$A$1,1))+1)/DAY(EOMONTH(DATE(EINSTELLUNG!$C$35,$A$1,1),0))*F64,2),"")</f>
        <v/>
      </c>
      <c r="I64" s="43"/>
      <c r="J64" s="44"/>
      <c r="K64" s="281" t="str">
        <f t="shared" si="1"/>
        <v/>
      </c>
      <c r="L64" s="283"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45"/>
      <c r="N64" s="65"/>
    </row>
    <row r="65" spans="1:14" ht="22" customHeight="1">
      <c r="A65" s="280" t="s">
        <v>136</v>
      </c>
      <c r="B65" s="92"/>
      <c r="C65" s="46"/>
      <c r="D65" s="50"/>
      <c r="E65" s="48"/>
      <c r="F65" s="49"/>
      <c r="G65" s="281" t="str">
        <f>IF(OR(E65="",F65=""),"",PID_KVLohnLookup($A$1,E65,F65,LOHNTABELLE!$H$4))</f>
        <v/>
      </c>
      <c r="H65" s="282" t="str">
        <f>IF(AND(ISNUMBER(D65),ISNUMBER(F65)),ROUNDDOWN(MIN(IF(OR(ISBLANK(I65),I65=""),EOMONTH(DATE(EINSTELLUNG!$C$35,$A$1,1),0),I65)-MAX(D65,DATE(EINSTELLUNG!$C$35,$A$1,1))+1)/DAY(EOMONTH(DATE(EINSTELLUNG!$C$35,$A$1,1),0))*F65,2),"")</f>
        <v/>
      </c>
      <c r="I65" s="50"/>
      <c r="J65" s="51"/>
      <c r="K65" s="281" t="str">
        <f t="shared" si="1"/>
        <v/>
      </c>
      <c r="L65" s="283"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52"/>
      <c r="N65" s="66"/>
    </row>
    <row r="66" spans="1:14" ht="22" customHeight="1">
      <c r="A66" s="280" t="s">
        <v>137</v>
      </c>
      <c r="B66" s="91"/>
      <c r="C66" s="39"/>
      <c r="D66" s="43"/>
      <c r="E66" s="41"/>
      <c r="F66" s="42"/>
      <c r="G66" s="281" t="str">
        <f>IF(OR(E66="",F66=""),"",PID_KVLohnLookup($A$1,E66,F66,LOHNTABELLE!$H$4))</f>
        <v/>
      </c>
      <c r="H66" s="282" t="str">
        <f>IF(AND(ISNUMBER(D66),ISNUMBER(F66)),ROUNDDOWN(MIN(IF(OR(ISBLANK(I66),I66=""),EOMONTH(DATE(EINSTELLUNG!$C$35,$A$1,1),0),I66)-MAX(D66,DATE(EINSTELLUNG!$C$35,$A$1,1))+1)/DAY(EOMONTH(DATE(EINSTELLUNG!$C$35,$A$1,1),0))*F66,2),"")</f>
        <v/>
      </c>
      <c r="I66" s="43"/>
      <c r="J66" s="44"/>
      <c r="K66" s="281" t="str">
        <f t="shared" si="1"/>
        <v/>
      </c>
      <c r="L66" s="283"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45"/>
      <c r="N66" s="65"/>
    </row>
    <row r="67" spans="1:14" ht="22" customHeight="1">
      <c r="A67" s="280" t="s">
        <v>138</v>
      </c>
      <c r="B67" s="92"/>
      <c r="C67" s="46"/>
      <c r="D67" s="50"/>
      <c r="E67" s="48"/>
      <c r="F67" s="49"/>
      <c r="G67" s="281" t="str">
        <f>IF(OR(E67="",F67=""),"",PID_KVLohnLookup($A$1,E67,F67,LOHNTABELLE!$H$4))</f>
        <v/>
      </c>
      <c r="H67" s="282" t="str">
        <f>IF(AND(ISNUMBER(D67),ISNUMBER(F67)),ROUNDDOWN(MIN(IF(OR(ISBLANK(I67),I67=""),EOMONTH(DATE(EINSTELLUNG!$C$35,$A$1,1),0),I67)-MAX(D67,DATE(EINSTELLUNG!$C$35,$A$1,1))+1)/DAY(EOMONTH(DATE(EINSTELLUNG!$C$35,$A$1,1),0))*F67,2),"")</f>
        <v/>
      </c>
      <c r="I67" s="50"/>
      <c r="J67" s="51"/>
      <c r="K67" s="281" t="str">
        <f t="shared" ref="K67:K82" si="3">IF(OR(B67="",C67=""),"",IFERROR(IF(OR(MONTH(D67)=1,MONTH(D67)=3,MONTH(D67)=5,MONTH(D67)=7,MONTH(D67)=8,MONTH(D67)=10,MONTH(D67)=12),(G67/31)*J67,IF(OR(MONTH(D67)=4,MONTH(D67)=6,MONTH(D67)=9,MONTH(D67)=11),(G67/30)*J67,(G67/DAY(EOMONTH(D67,0)))*J67)),0))</f>
        <v/>
      </c>
      <c r="L67" s="283"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52"/>
      <c r="N67" s="66"/>
    </row>
    <row r="68" spans="1:14" ht="22" customHeight="1">
      <c r="A68" s="280" t="s">
        <v>139</v>
      </c>
      <c r="B68" s="91"/>
      <c r="C68" s="39"/>
      <c r="D68" s="43"/>
      <c r="E68" s="41"/>
      <c r="F68" s="42"/>
      <c r="G68" s="281" t="str">
        <f>IF(OR(E68="",F68=""),"",PID_KVLohnLookup($A$1,E68,F68,LOHNTABELLE!$H$4))</f>
        <v/>
      </c>
      <c r="H68" s="282" t="str">
        <f>IF(AND(ISNUMBER(D68),ISNUMBER(F68)),ROUNDDOWN(MIN(IF(OR(ISBLANK(I68),I68=""),EOMONTH(DATE(EINSTELLUNG!$C$35,$A$1,1),0),I68)-MAX(D68,DATE(EINSTELLUNG!$C$35,$A$1,1))+1)/DAY(EOMONTH(DATE(EINSTELLUNG!$C$35,$A$1,1),0))*F68,2),"")</f>
        <v/>
      </c>
      <c r="I68" s="43"/>
      <c r="J68" s="44"/>
      <c r="K68" s="281" t="str">
        <f t="shared" si="3"/>
        <v/>
      </c>
      <c r="L68" s="283"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45"/>
      <c r="N68" s="65"/>
    </row>
    <row r="69" spans="1:14" ht="22" customHeight="1">
      <c r="A69" s="280" t="s">
        <v>140</v>
      </c>
      <c r="B69" s="92"/>
      <c r="C69" s="46"/>
      <c r="D69" s="50"/>
      <c r="E69" s="48"/>
      <c r="F69" s="49"/>
      <c r="G69" s="281" t="str">
        <f>IF(OR(E69="",F69=""),"",PID_KVLohnLookup($A$1,E69,F69,LOHNTABELLE!$H$4))</f>
        <v/>
      </c>
      <c r="H69" s="282" t="str">
        <f>IF(AND(ISNUMBER(D69),ISNUMBER(F69)),ROUNDDOWN(MIN(IF(OR(ISBLANK(I69),I69=""),EOMONTH(DATE(EINSTELLUNG!$C$35,$A$1,1),0),I69)-MAX(D69,DATE(EINSTELLUNG!$C$35,$A$1,1))+1)/DAY(EOMONTH(DATE(EINSTELLUNG!$C$35,$A$1,1),0))*F69,2),"")</f>
        <v/>
      </c>
      <c r="I69" s="50"/>
      <c r="J69" s="51"/>
      <c r="K69" s="281" t="str">
        <f t="shared" si="3"/>
        <v/>
      </c>
      <c r="L69" s="283"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52"/>
      <c r="N69" s="66"/>
    </row>
    <row r="70" spans="1:14" ht="22" customHeight="1">
      <c r="A70" s="280" t="s">
        <v>141</v>
      </c>
      <c r="B70" s="91"/>
      <c r="C70" s="39"/>
      <c r="D70" s="43"/>
      <c r="E70" s="41"/>
      <c r="F70" s="42"/>
      <c r="G70" s="281" t="str">
        <f>IF(OR(E70="",F70=""),"",PID_KVLohnLookup($A$1,E70,F70,LOHNTABELLE!$H$4))</f>
        <v/>
      </c>
      <c r="H70" s="282" t="str">
        <f>IF(AND(ISNUMBER(D70),ISNUMBER(F70)),ROUNDDOWN(MIN(IF(OR(ISBLANK(I70),I70=""),EOMONTH(DATE(EINSTELLUNG!$C$35,$A$1,1),0),I70)-MAX(D70,DATE(EINSTELLUNG!$C$35,$A$1,1))+1)/DAY(EOMONTH(DATE(EINSTELLUNG!$C$35,$A$1,1),0))*F70,2),"")</f>
        <v/>
      </c>
      <c r="I70" s="43"/>
      <c r="J70" s="44"/>
      <c r="K70" s="281" t="str">
        <f t="shared" si="3"/>
        <v/>
      </c>
      <c r="L70" s="283"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45"/>
      <c r="N70" s="65"/>
    </row>
    <row r="71" spans="1:14" ht="22" customHeight="1">
      <c r="A71" s="280" t="s">
        <v>142</v>
      </c>
      <c r="B71" s="92"/>
      <c r="C71" s="46"/>
      <c r="D71" s="50"/>
      <c r="E71" s="48"/>
      <c r="F71" s="49"/>
      <c r="G71" s="281" t="str">
        <f>IF(OR(E71="",F71=""),"",PID_KVLohnLookup($A$1,E71,F71,LOHNTABELLE!$H$4))</f>
        <v/>
      </c>
      <c r="H71" s="282" t="str">
        <f>IF(AND(ISNUMBER(D71),ISNUMBER(F71)),ROUNDDOWN(MIN(IF(OR(ISBLANK(I71),I71=""),EOMONTH(DATE(EINSTELLUNG!$C$35,$A$1,1),0),I71)-MAX(D71,DATE(EINSTELLUNG!$C$35,$A$1,1))+1)/DAY(EOMONTH(DATE(EINSTELLUNG!$C$35,$A$1,1),0))*F71,2),"")</f>
        <v/>
      </c>
      <c r="I71" s="50"/>
      <c r="J71" s="51"/>
      <c r="K71" s="281" t="str">
        <f t="shared" si="3"/>
        <v/>
      </c>
      <c r="L71" s="283"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52"/>
      <c r="N71" s="66"/>
    </row>
    <row r="72" spans="1:14" ht="22" customHeight="1">
      <c r="A72" s="280" t="s">
        <v>143</v>
      </c>
      <c r="B72" s="91"/>
      <c r="C72" s="39"/>
      <c r="D72" s="43"/>
      <c r="E72" s="41"/>
      <c r="F72" s="42"/>
      <c r="G72" s="281" t="str">
        <f>IF(OR(E72="",F72=""),"",PID_KVLohnLookup($A$1,E72,F72,LOHNTABELLE!$H$4))</f>
        <v/>
      </c>
      <c r="H72" s="282" t="str">
        <f>IF(AND(ISNUMBER(D72),ISNUMBER(F72)),ROUNDDOWN(MIN(IF(OR(ISBLANK(I72),I72=""),EOMONTH(DATE(EINSTELLUNG!$C$35,$A$1,1),0),I72)-MAX(D72,DATE(EINSTELLUNG!$C$35,$A$1,1))+1)/DAY(EOMONTH(DATE(EINSTELLUNG!$C$35,$A$1,1),0))*F72,2),"")</f>
        <v/>
      </c>
      <c r="I72" s="43"/>
      <c r="J72" s="44"/>
      <c r="K72" s="281" t="str">
        <f t="shared" si="3"/>
        <v/>
      </c>
      <c r="L72" s="283"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45"/>
      <c r="N72" s="65"/>
    </row>
    <row r="73" spans="1:14" ht="22" customHeight="1">
      <c r="A73" s="280" t="s">
        <v>144</v>
      </c>
      <c r="B73" s="92"/>
      <c r="C73" s="46"/>
      <c r="D73" s="50"/>
      <c r="E73" s="48"/>
      <c r="F73" s="49"/>
      <c r="G73" s="281" t="str">
        <f>IF(OR(E73="",F73=""),"",PID_KVLohnLookup($A$1,E73,F73,LOHNTABELLE!$H$4))</f>
        <v/>
      </c>
      <c r="H73" s="282" t="str">
        <f>IF(AND(ISNUMBER(D73),ISNUMBER(F73)),ROUNDDOWN(MIN(IF(OR(ISBLANK(I73),I73=""),EOMONTH(DATE(EINSTELLUNG!$C$35,$A$1,1),0),I73)-MAX(D73,DATE(EINSTELLUNG!$C$35,$A$1,1))+1)/DAY(EOMONTH(DATE(EINSTELLUNG!$C$35,$A$1,1),0))*F73,2),"")</f>
        <v/>
      </c>
      <c r="I73" s="50"/>
      <c r="J73" s="51"/>
      <c r="K73" s="281" t="str">
        <f t="shared" si="3"/>
        <v/>
      </c>
      <c r="L73" s="283"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52"/>
      <c r="N73" s="66"/>
    </row>
    <row r="74" spans="1:14" ht="22" customHeight="1">
      <c r="A74" s="280" t="s">
        <v>145</v>
      </c>
      <c r="B74" s="91"/>
      <c r="C74" s="39"/>
      <c r="D74" s="43"/>
      <c r="E74" s="41"/>
      <c r="F74" s="42"/>
      <c r="G74" s="281" t="str">
        <f>IF(OR(E74="",F74=""),"",PID_KVLohnLookup($A$1,E74,F74,LOHNTABELLE!$H$4))</f>
        <v/>
      </c>
      <c r="H74" s="282" t="str">
        <f>IF(AND(ISNUMBER(D74),ISNUMBER(F74)),ROUNDDOWN(MIN(IF(OR(ISBLANK(I74),I74=""),EOMONTH(DATE(EINSTELLUNG!$C$35,$A$1,1),0),I74)-MAX(D74,DATE(EINSTELLUNG!$C$35,$A$1,1))+1)/DAY(EOMONTH(DATE(EINSTELLUNG!$C$35,$A$1,1),0))*F74,2),"")</f>
        <v/>
      </c>
      <c r="I74" s="43"/>
      <c r="J74" s="44"/>
      <c r="K74" s="281" t="str">
        <f t="shared" si="3"/>
        <v/>
      </c>
      <c r="L74" s="283"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45"/>
      <c r="N74" s="65"/>
    </row>
    <row r="75" spans="1:14" ht="22" customHeight="1">
      <c r="A75" s="280" t="s">
        <v>146</v>
      </c>
      <c r="B75" s="92"/>
      <c r="C75" s="46"/>
      <c r="D75" s="50"/>
      <c r="E75" s="48"/>
      <c r="F75" s="49"/>
      <c r="G75" s="281" t="str">
        <f>IF(OR(E75="",F75=""),"",PID_KVLohnLookup($A$1,E75,F75,LOHNTABELLE!$H$4))</f>
        <v/>
      </c>
      <c r="H75" s="282" t="str">
        <f>IF(AND(ISNUMBER(D75),ISNUMBER(F75)),ROUNDDOWN(MIN(IF(OR(ISBLANK(I75),I75=""),EOMONTH(DATE(EINSTELLUNG!$C$35,$A$1,1),0),I75)-MAX(D75,DATE(EINSTELLUNG!$C$35,$A$1,1))+1)/DAY(EOMONTH(DATE(EINSTELLUNG!$C$35,$A$1,1),0))*F75,2),"")</f>
        <v/>
      </c>
      <c r="I75" s="50"/>
      <c r="J75" s="51"/>
      <c r="K75" s="281" t="str">
        <f t="shared" si="3"/>
        <v/>
      </c>
      <c r="L75" s="283"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52"/>
      <c r="N75" s="66"/>
    </row>
    <row r="76" spans="1:14" ht="22" customHeight="1">
      <c r="A76" s="280" t="s">
        <v>147</v>
      </c>
      <c r="B76" s="91"/>
      <c r="C76" s="39"/>
      <c r="D76" s="43"/>
      <c r="E76" s="41"/>
      <c r="F76" s="42"/>
      <c r="G76" s="281" t="str">
        <f>IF(OR(E76="",F76=""),"",PID_KVLohnLookup($A$1,E76,F76,LOHNTABELLE!$H$4))</f>
        <v/>
      </c>
      <c r="H76" s="282" t="str">
        <f>IF(AND(ISNUMBER(D76),ISNUMBER(F76)),ROUNDDOWN(MIN(IF(OR(ISBLANK(I76),I76=""),EOMONTH(DATE(EINSTELLUNG!$C$35,$A$1,1),0),I76)-MAX(D76,DATE(EINSTELLUNG!$C$35,$A$1,1))+1)/DAY(EOMONTH(DATE(EINSTELLUNG!$C$35,$A$1,1),0))*F76,2),"")</f>
        <v/>
      </c>
      <c r="I76" s="43"/>
      <c r="J76" s="44"/>
      <c r="K76" s="281" t="str">
        <f t="shared" si="3"/>
        <v/>
      </c>
      <c r="L76" s="283"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45"/>
      <c r="N76" s="65"/>
    </row>
    <row r="77" spans="1:14" ht="22" customHeight="1">
      <c r="A77" s="280" t="s">
        <v>148</v>
      </c>
      <c r="B77" s="92"/>
      <c r="C77" s="46"/>
      <c r="D77" s="50"/>
      <c r="E77" s="48"/>
      <c r="F77" s="49"/>
      <c r="G77" s="281" t="str">
        <f>IF(OR(E77="",F77=""),"",PID_KVLohnLookup($A$1,E77,F77,LOHNTABELLE!$H$4))</f>
        <v/>
      </c>
      <c r="H77" s="282" t="str">
        <f>IF(AND(ISNUMBER(D77),ISNUMBER(F77)),ROUNDDOWN(MIN(IF(OR(ISBLANK(I77),I77=""),EOMONTH(DATE(EINSTELLUNG!$C$35,$A$1,1),0),I77)-MAX(D77,DATE(EINSTELLUNG!$C$35,$A$1,1))+1)/DAY(EOMONTH(DATE(EINSTELLUNG!$C$35,$A$1,1),0))*F77,2),"")</f>
        <v/>
      </c>
      <c r="I77" s="50"/>
      <c r="J77" s="51"/>
      <c r="K77" s="281" t="str">
        <f t="shared" si="3"/>
        <v/>
      </c>
      <c r="L77" s="283"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52"/>
      <c r="N77" s="66"/>
    </row>
    <row r="78" spans="1:14" ht="22" customHeight="1">
      <c r="A78" s="280" t="s">
        <v>149</v>
      </c>
      <c r="B78" s="91"/>
      <c r="C78" s="39"/>
      <c r="D78" s="43"/>
      <c r="E78" s="41"/>
      <c r="F78" s="42"/>
      <c r="G78" s="281" t="str">
        <f>IF(OR(E78="",F78=""),"",PID_KVLohnLookup($A$1,E78,F78,LOHNTABELLE!$H$4))</f>
        <v/>
      </c>
      <c r="H78" s="282" t="str">
        <f>IF(AND(ISNUMBER(D78),ISNUMBER(F78)),ROUNDDOWN(MIN(IF(OR(ISBLANK(I78),I78=""),EOMONTH(DATE(EINSTELLUNG!$C$35,$A$1,1),0),I78)-MAX(D78,DATE(EINSTELLUNG!$C$35,$A$1,1))+1)/DAY(EOMONTH(DATE(EINSTELLUNG!$C$35,$A$1,1),0))*F78,2),"")</f>
        <v/>
      </c>
      <c r="I78" s="43"/>
      <c r="J78" s="44"/>
      <c r="K78" s="281" t="str">
        <f t="shared" si="3"/>
        <v/>
      </c>
      <c r="L78" s="283"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45"/>
      <c r="N78" s="65"/>
    </row>
    <row r="79" spans="1:14" ht="22" customHeight="1">
      <c r="A79" s="280" t="s">
        <v>150</v>
      </c>
      <c r="B79" s="92"/>
      <c r="C79" s="46"/>
      <c r="D79" s="50"/>
      <c r="E79" s="48"/>
      <c r="F79" s="49"/>
      <c r="G79" s="281" t="str">
        <f>IF(OR(E79="",F79=""),"",PID_KVLohnLookup($A$1,E79,F79,LOHNTABELLE!$H$4))</f>
        <v/>
      </c>
      <c r="H79" s="282" t="str">
        <f>IF(AND(ISNUMBER(D79),ISNUMBER(F79)),ROUNDDOWN(MIN(IF(OR(ISBLANK(I79),I79=""),EOMONTH(DATE(EINSTELLUNG!$C$35,$A$1,1),0),I79)-MAX(D79,DATE(EINSTELLUNG!$C$35,$A$1,1))+1)/DAY(EOMONTH(DATE(EINSTELLUNG!$C$35,$A$1,1),0))*F79,2),"")</f>
        <v/>
      </c>
      <c r="I79" s="50"/>
      <c r="J79" s="51"/>
      <c r="K79" s="281" t="str">
        <f t="shared" si="3"/>
        <v/>
      </c>
      <c r="L79" s="283"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52"/>
      <c r="N79" s="66"/>
    </row>
    <row r="80" spans="1:14" ht="22" customHeight="1">
      <c r="A80" s="280" t="s">
        <v>151</v>
      </c>
      <c r="B80" s="91"/>
      <c r="C80" s="39"/>
      <c r="D80" s="43"/>
      <c r="E80" s="41"/>
      <c r="F80" s="42"/>
      <c r="G80" s="281" t="str">
        <f>IF(OR(E80="",F80=""),"",PID_KVLohnLookup($A$1,E80,F80,LOHNTABELLE!$H$4))</f>
        <v/>
      </c>
      <c r="H80" s="282" t="str">
        <f>IF(AND(ISNUMBER(D80),ISNUMBER(F80)),ROUNDDOWN(MIN(IF(OR(ISBLANK(I80),I80=""),EOMONTH(DATE(EINSTELLUNG!$C$35,$A$1,1),0),I80)-MAX(D80,DATE(EINSTELLUNG!$C$35,$A$1,1))+1)/DAY(EOMONTH(DATE(EINSTELLUNG!$C$35,$A$1,1),0))*F80,2),"")</f>
        <v/>
      </c>
      <c r="I80" s="43"/>
      <c r="J80" s="44"/>
      <c r="K80" s="281" t="str">
        <f t="shared" si="3"/>
        <v/>
      </c>
      <c r="L80" s="283"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45"/>
      <c r="N80" s="65"/>
    </row>
    <row r="81" spans="1:14" ht="22" customHeight="1">
      <c r="A81" s="280" t="s">
        <v>152</v>
      </c>
      <c r="B81" s="92"/>
      <c r="C81" s="46"/>
      <c r="D81" s="50"/>
      <c r="E81" s="48"/>
      <c r="F81" s="49"/>
      <c r="G81" s="281" t="str">
        <f>IF(OR(E81="",F81=""),"",PID_KVLohnLookup($A$1,E81,F81,LOHNTABELLE!$H$4))</f>
        <v/>
      </c>
      <c r="H81" s="282" t="str">
        <f>IF(AND(ISNUMBER(D81),ISNUMBER(F81)),ROUNDDOWN(MIN(IF(OR(ISBLANK(I81),I81=""),EOMONTH(DATE(EINSTELLUNG!$C$35,$A$1,1),0),I81)-MAX(D81,DATE(EINSTELLUNG!$C$35,$A$1,1))+1)/DAY(EOMONTH(DATE(EINSTELLUNG!$C$35,$A$1,1),0))*F81,2),"")</f>
        <v/>
      </c>
      <c r="I81" s="50"/>
      <c r="J81" s="51"/>
      <c r="K81" s="281" t="str">
        <f t="shared" si="3"/>
        <v/>
      </c>
      <c r="L81" s="283"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52"/>
      <c r="N81" s="66"/>
    </row>
    <row r="82" spans="1:14" ht="22" customHeight="1" thickBot="1">
      <c r="A82" s="343" t="s">
        <v>153</v>
      </c>
      <c r="B82" s="93"/>
      <c r="C82" s="54"/>
      <c r="D82" s="55"/>
      <c r="E82" s="56"/>
      <c r="F82" s="57"/>
      <c r="G82" s="344" t="str">
        <f>IF(OR(E82="",F82=""),"",PID_KVLohnLookup($A$1,E82,F82,LOHNTABELLE!$H$4))</f>
        <v/>
      </c>
      <c r="H82" s="345" t="str">
        <f>IF(AND(ISNUMBER(D82),ISNUMBER(F82)),ROUNDDOWN(MIN(IF(OR(ISBLANK(I82),I82=""),EOMONTH(DATE(EINSTELLUNG!$C$35,$A$1,1),0),I82)-MAX(D82,DATE(EINSTELLUNG!$C$35,$A$1,1))+1)/DAY(EOMONTH(DATE(EINSTELLUNG!$C$35,$A$1,1),0))*F82,2),"")</f>
        <v/>
      </c>
      <c r="I82" s="55"/>
      <c r="J82" s="58"/>
      <c r="K82" s="344" t="str">
        <f t="shared" si="3"/>
        <v/>
      </c>
      <c r="L82" s="346"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59"/>
      <c r="N82" s="69"/>
    </row>
    <row r="83" spans="1:14" ht="16" customHeight="1">
      <c r="A83" s="374"/>
      <c r="B83" s="374"/>
    </row>
    <row r="100" spans="26:26" ht="16" customHeight="1">
      <c r="Z100" s="259"/>
    </row>
  </sheetData>
  <sheetProtection algorithmName="SHA-512" hashValue="147kSPnjigVB0dAV+08TTD+qLkSDHS6rTGN8OPK9jwsTpy2xJHWRF2XyWBqhuoj8GvW1bikSAk9BN79gqvvIsw==" saltValue="jZ2QOuCYTRaOyopQZshAzQ==" spinCount="100000" sheet="1" objects="1" scenarios="1" autoFilter="0"/>
  <sortState xmlns:xlrd2="http://schemas.microsoft.com/office/spreadsheetml/2017/richdata2" ref="B3:N82">
    <sortCondition ref="B3:B82"/>
    <sortCondition ref="C3:C82"/>
  </sortState>
  <mergeCells count="101">
    <mergeCell ref="N1:N2"/>
    <mergeCell ref="A1:A2"/>
    <mergeCell ref="O15:R15"/>
    <mergeCell ref="E1:E2"/>
    <mergeCell ref="F1:F2"/>
    <mergeCell ref="G1:G2"/>
    <mergeCell ref="H1:H2"/>
    <mergeCell ref="M1:M2"/>
    <mergeCell ref="S2:V2"/>
    <mergeCell ref="P3:P4"/>
    <mergeCell ref="O9:P9"/>
    <mergeCell ref="B1:B2"/>
    <mergeCell ref="Q9:R9"/>
    <mergeCell ref="O10:P10"/>
    <mergeCell ref="Q10:R10"/>
    <mergeCell ref="C1:C2"/>
    <mergeCell ref="D1:D2"/>
    <mergeCell ref="Q3:Q4"/>
    <mergeCell ref="O6:R6"/>
    <mergeCell ref="O8:P8"/>
    <mergeCell ref="Q8:R8"/>
    <mergeCell ref="I1:I2"/>
    <mergeCell ref="J1:J2"/>
    <mergeCell ref="K1:K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U36:V36"/>
    <mergeCell ref="O29:P29"/>
    <mergeCell ref="Q29:R29"/>
    <mergeCell ref="O31:P31"/>
    <mergeCell ref="Q31:R31"/>
    <mergeCell ref="O33:P34"/>
    <mergeCell ref="Q33:R34"/>
    <mergeCell ref="S33:T34"/>
    <mergeCell ref="U33:V34"/>
    <mergeCell ref="Q35:R35"/>
    <mergeCell ref="S35:T35"/>
    <mergeCell ref="U35:V35"/>
    <mergeCell ref="O38:P38"/>
    <mergeCell ref="Q38:R38"/>
    <mergeCell ref="S38:T38"/>
    <mergeCell ref="O37:P37"/>
    <mergeCell ref="O35:P35"/>
    <mergeCell ref="O36:P36"/>
    <mergeCell ref="Q36:R36"/>
    <mergeCell ref="S36:T36"/>
    <mergeCell ref="O13:P13"/>
    <mergeCell ref="Q13:R13"/>
    <mergeCell ref="O14:P14"/>
    <mergeCell ref="Q14:R14"/>
    <mergeCell ref="O17:P17"/>
    <mergeCell ref="O28:P28"/>
    <mergeCell ref="O25:P25"/>
    <mergeCell ref="Q25:R25"/>
    <mergeCell ref="O26:P26"/>
    <mergeCell ref="Q26:R26"/>
    <mergeCell ref="Q27:R27"/>
    <mergeCell ref="O22:P22"/>
    <mergeCell ref="Q22:R22"/>
    <mergeCell ref="O23:P23"/>
    <mergeCell ref="Q23:R23"/>
    <mergeCell ref="O24:P24"/>
    <mergeCell ref="Q24:R24"/>
    <mergeCell ref="L1:L2"/>
    <mergeCell ref="R3:R4"/>
    <mergeCell ref="O3:O4"/>
    <mergeCell ref="O44:V44"/>
    <mergeCell ref="O45:U45"/>
    <mergeCell ref="O42:P42"/>
    <mergeCell ref="O39:P39"/>
    <mergeCell ref="O40:P40"/>
    <mergeCell ref="O41:P41"/>
    <mergeCell ref="Q20:R20"/>
    <mergeCell ref="O16:R16"/>
    <mergeCell ref="Q17:R17"/>
    <mergeCell ref="O18:P18"/>
    <mergeCell ref="Q18:R18"/>
    <mergeCell ref="Q19:R19"/>
    <mergeCell ref="O20:P20"/>
    <mergeCell ref="O19:P19"/>
    <mergeCell ref="Q28:R28"/>
    <mergeCell ref="O21:P21"/>
    <mergeCell ref="Q21:R21"/>
    <mergeCell ref="O11:P11"/>
    <mergeCell ref="Q11:R11"/>
    <mergeCell ref="O12:P12"/>
    <mergeCell ref="Q12:R12"/>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65426E3A-F9CB-174E-8DD2-CC083D4DC48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4B8BE77C-61E4-6C47-9383-C8BF71FB694D}">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9EB876F5-3459-1A4A-8F34-362E76CF498B}">
          <x14:formula1>
            <xm:f>KV_DROPDOWN_HELPER!$ADV$1:$ADV$13</xm:f>
          </x14:formula1>
          <xm:sqref>F4 F7</xm:sqref>
        </x14:dataValidation>
        <x14:dataValidation type="list" allowBlank="1" showInputMessage="1" showErrorMessage="1" xr:uid="{AC479EA4-395F-FB41-A1D7-44E8CB9BF5D0}">
          <x14:formula1>
            <xm:f>KV_DROPDOWN_HELPER!$ADW$1:$ADW$13</xm:f>
          </x14:formula1>
          <xm:sqref>F6 F8 F9 F10 F13 F54</xm:sqref>
        </x14:dataValidation>
        <x14:dataValidation type="list" allowBlank="1" showInputMessage="1" showErrorMessage="1" xr:uid="{94D41361-8190-8947-9BCD-EE46293E65F0}">
          <x14:formula1>
            <xm:f>KV_DROPDOWN_HELPER!$ADZ$1:$ADZ$13</xm:f>
          </x14:formula1>
          <xm:sqref>F18 F21 F23</xm:sqref>
        </x14:dataValidation>
        <x14:dataValidation type="list" allowBlank="1" showInputMessage="1" showErrorMessage="1" xr:uid="{C6D38AB4-134A-214E-937E-97FC434F9F05}">
          <x14:formula1>
            <xm:f>KV_DROPDOWN_HELPER!$AEA$1:$AEA$13</xm:f>
          </x14:formula1>
          <xm:sqref>F59 F60 F61 F62 F63 F64 F65 F66 F67 F68 F69 F70 F71 F72 F73 F74 F75 F76 F77 F78 F79 F80 F81 F82</xm:sqref>
        </x14:dataValidation>
        <x14:dataValidation type="list" allowBlank="1" showInputMessage="1" showErrorMessage="1" xr:uid="{AFE9BB50-6F88-4FF4-A6B1-2172C64B0071}">
          <x14:formula1>
            <xm:f>KV_DROPDOWN_HELPER!$ADY$1:$ADY$13</xm:f>
          </x14:formula1>
          <xm:sqref>F17</xm:sqref>
        </x14:dataValidation>
        <x14:dataValidation type="list" allowBlank="1" showInputMessage="1" showErrorMessage="1" xr:uid="{7A7E5196-949B-4B99-A74A-B0E1076B3390}">
          <x14:formula1>
            <xm:f>KV_DROPDOWN_HELPER!$ADX$1:$ADX$13</xm:f>
          </x14:formula1>
          <xm:sqref>F15</xm:sqref>
        </x14:dataValidation>
        <x14:dataValidation type="list" allowBlank="1" showInputMessage="1" showErrorMessage="1" xr:uid="{100C7BBC-5B16-4019-AE6E-7D9A5405F605}">
          <x14:formula1>
            <xm:f>KV_DROPDOWN_HELPER!$ADU$1:$ADU$16</xm:f>
          </x14:formula1>
          <xm:sqref>F3 F5 F11 F12 F14 F16 F19 F20 F22 F24 F25 F26 F27 F28 F29 F30 F31 F32 F33 F34 F35 F36 F37 F38 F39 F40 F41 F42 F43 F44 F45 F46 F47 F48 F49 F50 F51 F52 F53 F55 F56 F57 F58</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7E8AFE-F9CB-4D9D-AB8D-0FFBFF132FB3}">
  <sheetPr codeName="Tabelle14"/>
  <dimension ref="A1:AC100"/>
  <sheetViews>
    <sheetView showGridLines="0" showRowColHeaders="0" zoomScaleNormal="100" workbookViewId="0">
      <pane ySplit="2" topLeftCell="A3" activePane="bottomLeft" state="frozen"/>
      <selection activeCell="T24" sqref="T24"/>
      <selection pane="bottomLeft" activeCell="W3" sqref="W3:Y50"/>
    </sheetView>
  </sheetViews>
  <sheetFormatPr baseColWidth="10" defaultColWidth="9.1796875" defaultRowHeight="16" customHeight="1"/>
  <cols>
    <col min="1" max="1" width="4.453125" style="347" customWidth="1"/>
    <col min="2" max="2" width="9.1796875" style="347" customWidth="1"/>
    <col min="3" max="3" width="35.6328125" style="179" customWidth="1"/>
    <col min="4" max="4" width="13.6328125" style="179" customWidth="1"/>
    <col min="5" max="5" width="9.6328125" style="179" customWidth="1"/>
    <col min="6" max="6" width="10.6328125" style="179" customWidth="1"/>
    <col min="7" max="7" width="13.6328125" style="179" customWidth="1"/>
    <col min="8" max="8" width="11.6328125" style="179" customWidth="1"/>
    <col min="9" max="10" width="13.6328125" style="179" customWidth="1"/>
    <col min="11" max="11" width="14.6328125" style="179" customWidth="1"/>
    <col min="12" max="12" width="14.6328125" style="306" customWidth="1"/>
    <col min="13" max="13" width="17.81640625" style="179" customWidth="1"/>
    <col min="14" max="14" width="34.6328125" style="179" customWidth="1"/>
    <col min="15" max="15" width="12.6328125" style="179" customWidth="1"/>
    <col min="16" max="16" width="16.6328125" style="179" customWidth="1"/>
    <col min="17" max="17" width="14.6328125" style="179" customWidth="1"/>
    <col min="18" max="18" width="13.6328125" style="179" customWidth="1"/>
    <col min="19" max="19" width="9.6328125" style="179" customWidth="1"/>
    <col min="20" max="20" width="10.6328125" style="179" customWidth="1"/>
    <col min="21" max="21" width="7.6328125" style="179" customWidth="1"/>
    <col min="22" max="27" width="9.1796875" style="179"/>
    <col min="28" max="28" width="10.6328125" style="179" bestFit="1" customWidth="1"/>
    <col min="29" max="16384" width="9.1796875" style="179"/>
  </cols>
  <sheetData>
    <row r="1" spans="1:28" ht="18" customHeight="1">
      <c r="A1" s="261">
        <v>12</v>
      </c>
      <c r="B1" s="262" t="s">
        <v>180</v>
      </c>
      <c r="C1" s="263" t="s">
        <v>39</v>
      </c>
      <c r="D1" s="263" t="s">
        <v>181</v>
      </c>
      <c r="E1" s="263" t="s">
        <v>0</v>
      </c>
      <c r="F1" s="263" t="s">
        <v>40</v>
      </c>
      <c r="G1" s="263" t="s">
        <v>41</v>
      </c>
      <c r="H1" s="263" t="s">
        <v>42</v>
      </c>
      <c r="I1" s="263" t="s">
        <v>182</v>
      </c>
      <c r="J1" s="263" t="s">
        <v>43</v>
      </c>
      <c r="K1" s="263" t="s">
        <v>44</v>
      </c>
      <c r="L1" s="263" t="s">
        <v>45</v>
      </c>
      <c r="M1" s="263" t="s">
        <v>46</v>
      </c>
      <c r="N1" s="264" t="s">
        <v>183</v>
      </c>
      <c r="AB1" s="265">
        <f>DATE(EINSTELLUNG!$C$35,$A$1,1)</f>
        <v>46357</v>
      </c>
    </row>
    <row r="2" spans="1:28" ht="18" customHeight="1" thickBot="1">
      <c r="A2" s="266"/>
      <c r="B2" s="267"/>
      <c r="C2" s="268"/>
      <c r="D2" s="268"/>
      <c r="E2" s="268"/>
      <c r="F2" s="268"/>
      <c r="G2" s="268"/>
      <c r="H2" s="268"/>
      <c r="I2" s="268"/>
      <c r="J2" s="268"/>
      <c r="K2" s="268"/>
      <c r="L2" s="268"/>
      <c r="M2" s="268"/>
      <c r="N2" s="269"/>
      <c r="O2" s="270"/>
      <c r="P2" s="270"/>
      <c r="Q2" s="270"/>
      <c r="S2" s="271" t="s">
        <v>378</v>
      </c>
      <c r="T2" s="271"/>
      <c r="U2" s="271"/>
      <c r="V2" s="271"/>
      <c r="AB2" s="265">
        <f>EOMONTH(DATE(EINSTELLUNG!$C$35,$A$1,1),0)</f>
        <v>46387</v>
      </c>
    </row>
    <row r="3" spans="1:28" ht="22" customHeight="1">
      <c r="A3" s="272" t="s">
        <v>383</v>
      </c>
      <c r="B3" s="90">
        <v>401010</v>
      </c>
      <c r="C3" s="32" t="s">
        <v>223</v>
      </c>
      <c r="D3" s="33">
        <v>39388</v>
      </c>
      <c r="E3" s="34" t="s">
        <v>2</v>
      </c>
      <c r="F3" s="60">
        <v>173</v>
      </c>
      <c r="G3" s="273">
        <f>IF(OR(E3="",F3=""),"",PID_KVLohnLookup($A$1,E3,F3,LOHNTABELLE!$H$4))</f>
        <v>2021</v>
      </c>
      <c r="H3" s="274">
        <f>IF(AND(ISNUMBER(D3),ISNUMBER(F3)),ROUNDDOWN(MIN(IF(OR(ISBLANK(I3),I3=""),EOMONTH(DATE(EINSTELLUNG!$C$35,$A$1,1),0),I3)-MAX(D3,DATE(EINSTELLUNG!$C$35,$A$1,1))+1)/DAY(EOMONTH(DATE(EINSTELLUNG!$C$35,$A$1,1),0))*F3,2),"")</f>
        <v>173</v>
      </c>
      <c r="I3" s="36"/>
      <c r="J3" s="37"/>
      <c r="K3" s="273">
        <f t="shared" ref="K3:K34" si="0">IF(OR(B3="",C3=""),"",IFERROR(IF(OR(MONTH(D3)=1,MONTH(D3)=3,MONTH(D3)=5,MONTH(D3)=7,MONTH(D3)=8,MONTH(D3)=10,MONTH(D3)=12),(G3/31)*J3,IF(OR(MONTH(D3)=4,MONTH(D3)=6,MONTH(D3)=9,MONTH(D3)=11),(G3/30)*J3,(G3/DAY(EOMONTH(D3,0)))*J3)),0))</f>
        <v>0</v>
      </c>
      <c r="L3" s="275">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2021</v>
      </c>
      <c r="M3" s="38"/>
      <c r="N3" s="64"/>
      <c r="O3" s="276" t="s">
        <v>47</v>
      </c>
      <c r="P3" s="276" t="s">
        <v>48</v>
      </c>
      <c r="Q3" s="276" t="s">
        <v>49</v>
      </c>
      <c r="R3" s="277" t="s">
        <v>50</v>
      </c>
      <c r="S3" s="278"/>
      <c r="T3" s="278"/>
      <c r="U3" s="278"/>
      <c r="V3" s="278"/>
      <c r="AB3" s="279"/>
    </row>
    <row r="4" spans="1:28" ht="22" customHeight="1">
      <c r="A4" s="280" t="s">
        <v>51</v>
      </c>
      <c r="B4" s="91">
        <v>401049</v>
      </c>
      <c r="C4" s="39" t="s">
        <v>224</v>
      </c>
      <c r="D4" s="40">
        <v>41130</v>
      </c>
      <c r="E4" s="41" t="s">
        <v>4</v>
      </c>
      <c r="F4" s="42">
        <v>173</v>
      </c>
      <c r="G4" s="281">
        <f>IF(OR(E4="",F4=""),"",PID_KVLohnLookup($A$1,E4,F4,LOHNTABELLE!$H$4))</f>
        <v>2123</v>
      </c>
      <c r="H4" s="282">
        <f>IF(AND(ISNUMBER(D4),ISNUMBER(F4)),ROUNDDOWN(MIN(IF(OR(ISBLANK(I4),I4=""),EOMONTH(DATE(EINSTELLUNG!$C$35,$A$1,1),0),I4)-MAX(D4,DATE(EINSTELLUNG!$C$35,$A$1,1))+1)/DAY(EOMONTH(DATE(EINSTELLUNG!$C$35,$A$1,1),0))*F4,2),"")</f>
        <v>173</v>
      </c>
      <c r="I4" s="43"/>
      <c r="J4" s="44"/>
      <c r="K4" s="281">
        <f t="shared" si="0"/>
        <v>0</v>
      </c>
      <c r="L4" s="283">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45"/>
      <c r="N4" s="65"/>
      <c r="O4" s="284"/>
      <c r="P4" s="284"/>
      <c r="Q4" s="284"/>
      <c r="R4" s="285"/>
      <c r="S4" s="278"/>
      <c r="T4" s="278"/>
      <c r="U4" s="278"/>
      <c r="V4" s="278"/>
    </row>
    <row r="5" spans="1:28" ht="22" customHeight="1">
      <c r="A5" s="280" t="s">
        <v>52</v>
      </c>
      <c r="B5" s="92">
        <v>401051</v>
      </c>
      <c r="C5" s="46" t="s">
        <v>226</v>
      </c>
      <c r="D5" s="47">
        <v>41176</v>
      </c>
      <c r="E5" s="48" t="s">
        <v>2</v>
      </c>
      <c r="F5" s="49">
        <v>173</v>
      </c>
      <c r="G5" s="281">
        <f>IF(OR(E5="",F5=""),"",PID_KVLohnLookup($A$1,E5,F5,LOHNTABELLE!$H$4))</f>
        <v>2021</v>
      </c>
      <c r="H5" s="282">
        <f>IF(AND(ISNUMBER(D5),ISNUMBER(F5)),ROUNDDOWN(MIN(IF(OR(ISBLANK(I5),I5=""),EOMONTH(DATE(EINSTELLUNG!$C$35,$A$1,1),0),I5)-MAX(D5,DATE(EINSTELLUNG!$C$35,$A$1,1))+1)/DAY(EOMONTH(DATE(EINSTELLUNG!$C$35,$A$1,1),0))*F5,2),"")</f>
        <v>173</v>
      </c>
      <c r="I5" s="50"/>
      <c r="J5" s="51"/>
      <c r="K5" s="281">
        <f t="shared" si="0"/>
        <v>0</v>
      </c>
      <c r="L5" s="283">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2021</v>
      </c>
      <c r="M5" s="52"/>
      <c r="N5" s="66"/>
      <c r="O5" s="286" cm="1">
        <f t="array" ref="O5">SUMPRODUCT((F3:F82/4.310808)/5*2.08)</f>
        <v>780.01978283421613</v>
      </c>
      <c r="P5" s="287">
        <f>EINSTELLUNG!I17</f>
        <v>600</v>
      </c>
      <c r="Q5" s="287">
        <f>P5-O5</f>
        <v>-180.01978283421613</v>
      </c>
      <c r="R5" s="288">
        <f>IFERROR(Q5*Q42, 0)</f>
        <v>-2235.0328479620784</v>
      </c>
      <c r="S5" s="278"/>
      <c r="T5" s="278"/>
      <c r="U5" s="278"/>
      <c r="V5" s="278"/>
    </row>
    <row r="6" spans="1:28" ht="22" customHeight="1">
      <c r="A6" s="280" t="s">
        <v>53</v>
      </c>
      <c r="B6" s="91">
        <v>401089</v>
      </c>
      <c r="C6" s="39" t="s">
        <v>240</v>
      </c>
      <c r="D6" s="40">
        <v>44868</v>
      </c>
      <c r="E6" s="41" t="s">
        <v>3</v>
      </c>
      <c r="F6" s="42">
        <v>173</v>
      </c>
      <c r="G6" s="281">
        <f>IF(OR(E6="",F6=""),"",PID_KVLohnLookup($A$1,E6,F6,LOHNTABELLE!$H$4))</f>
        <v>2082</v>
      </c>
      <c r="H6" s="282">
        <f>IF(AND(ISNUMBER(D6),ISNUMBER(F6)),ROUNDDOWN(MIN(IF(OR(ISBLANK(I6),I6=""),EOMONTH(DATE(EINSTELLUNG!$C$35,$A$1,1),0),I6)-MAX(D6,DATE(EINSTELLUNG!$C$35,$A$1,1))+1)/DAY(EOMONTH(DATE(EINSTELLUNG!$C$35,$A$1,1),0))*F6,2),"")</f>
        <v>173</v>
      </c>
      <c r="I6" s="43"/>
      <c r="J6" s="44"/>
      <c r="K6" s="281">
        <f t="shared" si="0"/>
        <v>0</v>
      </c>
      <c r="L6" s="283">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2082</v>
      </c>
      <c r="M6" s="45"/>
      <c r="N6" s="65"/>
      <c r="O6" s="289" t="str">
        <f>IF(Q5&lt;0, "Schlecht! Zu wenig Urlaub abgebaut.", IF(Q5&gt;0, "Gut! Mehr Urlaub abgebaut als aufgebaut.", ""))</f>
        <v>Schlecht! Zu wenig Urlaub abgebaut.</v>
      </c>
      <c r="P6" s="290"/>
      <c r="Q6" s="290"/>
      <c r="R6" s="291"/>
      <c r="S6" s="278"/>
      <c r="T6" s="278"/>
      <c r="U6" s="278"/>
      <c r="V6" s="278"/>
    </row>
    <row r="7" spans="1:28" ht="22" customHeight="1" thickBot="1">
      <c r="A7" s="280" t="s">
        <v>54</v>
      </c>
      <c r="B7" s="92">
        <v>401138</v>
      </c>
      <c r="C7" s="46" t="s">
        <v>227</v>
      </c>
      <c r="D7" s="47">
        <v>42006</v>
      </c>
      <c r="E7" s="48" t="s">
        <v>4</v>
      </c>
      <c r="F7" s="49">
        <v>173</v>
      </c>
      <c r="G7" s="281">
        <f>IF(OR(E7="",F7=""),"",PID_KVLohnLookup($A$1,E7,F7,LOHNTABELLE!$H$4))</f>
        <v>2123</v>
      </c>
      <c r="H7" s="282">
        <f>IF(AND(ISNUMBER(D7),ISNUMBER(F7)),ROUNDDOWN(MIN(IF(OR(ISBLANK(I7),I7=""),EOMONTH(DATE(EINSTELLUNG!$C$35,$A$1,1),0),I7)-MAX(D7,DATE(EINSTELLUNG!$C$35,$A$1,1))+1)/DAY(EOMONTH(DATE(EINSTELLUNG!$C$35,$A$1,1),0))*F7,2),"")</f>
        <v>173</v>
      </c>
      <c r="I7" s="50"/>
      <c r="J7" s="51"/>
      <c r="K7" s="281">
        <f t="shared" si="0"/>
        <v>0</v>
      </c>
      <c r="L7" s="283">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2123</v>
      </c>
      <c r="M7" s="52"/>
      <c r="N7" s="66"/>
      <c r="O7" s="278"/>
      <c r="P7" s="278"/>
      <c r="Q7" s="278"/>
      <c r="R7" s="278"/>
      <c r="S7" s="278"/>
      <c r="T7" s="278"/>
      <c r="U7" s="278"/>
      <c r="V7" s="278"/>
    </row>
    <row r="8" spans="1:28" ht="22" customHeight="1">
      <c r="A8" s="280" t="s">
        <v>55</v>
      </c>
      <c r="B8" s="91">
        <v>401197</v>
      </c>
      <c r="C8" s="39" t="s">
        <v>228</v>
      </c>
      <c r="D8" s="40">
        <v>42644</v>
      </c>
      <c r="E8" s="41" t="s">
        <v>3</v>
      </c>
      <c r="F8" s="42">
        <v>173</v>
      </c>
      <c r="G8" s="281">
        <f>IF(OR(E8="",F8=""),"",PID_KVLohnLookup($A$1,E8,F8,LOHNTABELLE!$H$4))</f>
        <v>2082</v>
      </c>
      <c r="H8" s="282">
        <f>IF(AND(ISNUMBER(D8),ISNUMBER(F8)),ROUNDDOWN(MIN(IF(OR(ISBLANK(I8),I8=""),EOMONTH(DATE(EINSTELLUNG!$C$35,$A$1,1),0),I8)-MAX(D8,DATE(EINSTELLUNG!$C$35,$A$1,1))+1)/DAY(EOMONTH(DATE(EINSTELLUNG!$C$35,$A$1,1),0))*F8,2),"")</f>
        <v>173</v>
      </c>
      <c r="I8" s="43"/>
      <c r="J8" s="44"/>
      <c r="K8" s="281">
        <f t="shared" si="0"/>
        <v>0</v>
      </c>
      <c r="L8" s="283">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2082</v>
      </c>
      <c r="M8" s="45"/>
      <c r="N8" s="65"/>
      <c r="O8" s="357" t="s">
        <v>56</v>
      </c>
      <c r="P8" s="293"/>
      <c r="Q8" s="294">
        <f>SUM(H3:H82)</f>
        <v>7167.75</v>
      </c>
      <c r="R8" s="295"/>
      <c r="S8" s="278"/>
      <c r="T8" s="278"/>
      <c r="U8" s="278"/>
      <c r="V8" s="278"/>
    </row>
    <row r="9" spans="1:28" ht="22" customHeight="1">
      <c r="A9" s="280" t="s">
        <v>57</v>
      </c>
      <c r="B9" s="92">
        <v>401214</v>
      </c>
      <c r="C9" s="46" t="s">
        <v>254</v>
      </c>
      <c r="D9" s="47">
        <v>45636</v>
      </c>
      <c r="E9" s="48" t="s">
        <v>3</v>
      </c>
      <c r="F9" s="49">
        <v>173</v>
      </c>
      <c r="G9" s="281">
        <f>IF(OR(E9="",F9=""),"",PID_KVLohnLookup($A$1,E9,F9,LOHNTABELLE!$H$4))</f>
        <v>2082</v>
      </c>
      <c r="H9" s="282">
        <f>IF(AND(ISNUMBER(D9),ISNUMBER(F9)),ROUNDDOWN(MIN(IF(OR(ISBLANK(I9),I9=""),EOMONTH(DATE(EINSTELLUNG!$C$35,$A$1,1),0),I9)-MAX(D9,DATE(EINSTELLUNG!$C$35,$A$1,1))+1)/DAY(EOMONTH(DATE(EINSTELLUNG!$C$35,$A$1,1),0))*F9,2),"")</f>
        <v>173</v>
      </c>
      <c r="I9" s="50"/>
      <c r="J9" s="51"/>
      <c r="K9" s="281">
        <f t="shared" si="0"/>
        <v>0</v>
      </c>
      <c r="L9" s="283">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52"/>
      <c r="N9" s="66"/>
      <c r="O9" s="358" t="s">
        <v>58</v>
      </c>
      <c r="P9" s="297"/>
      <c r="Q9" s="298">
        <f>EINSTELLUNG!L33</f>
        <v>12</v>
      </c>
      <c r="R9" s="299"/>
      <c r="S9" s="300">
        <f>IFERROR(Q9/Q8, 0)</f>
        <v>1.674165533117087E-3</v>
      </c>
      <c r="T9" s="278"/>
      <c r="U9" s="278"/>
      <c r="V9" s="278"/>
    </row>
    <row r="10" spans="1:28" ht="22" customHeight="1">
      <c r="A10" s="280" t="s">
        <v>59</v>
      </c>
      <c r="B10" s="91">
        <v>401276</v>
      </c>
      <c r="C10" s="39" t="s">
        <v>229</v>
      </c>
      <c r="D10" s="40">
        <v>43252</v>
      </c>
      <c r="E10" s="41" t="s">
        <v>3</v>
      </c>
      <c r="F10" s="42">
        <v>173</v>
      </c>
      <c r="G10" s="281">
        <f>IF(OR(E10="",F10=""),"",PID_KVLohnLookup($A$1,E10,F10,LOHNTABELLE!$H$4))</f>
        <v>2082</v>
      </c>
      <c r="H10" s="282">
        <f>IF(AND(ISNUMBER(D10),ISNUMBER(F10)),ROUNDDOWN(MIN(IF(OR(ISBLANK(I10),I10=""),EOMONTH(DATE(EINSTELLUNG!$C$35,$A$1,1),0),I10)-MAX(D10,DATE(EINSTELLUNG!$C$35,$A$1,1))+1)/DAY(EOMONTH(DATE(EINSTELLUNG!$C$35,$A$1,1),0))*F10,2),"")</f>
        <v>173</v>
      </c>
      <c r="I10" s="43"/>
      <c r="J10" s="44"/>
      <c r="K10" s="281">
        <f t="shared" si="0"/>
        <v>0</v>
      </c>
      <c r="L10" s="283">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45"/>
      <c r="N10" s="65"/>
      <c r="O10" s="358" t="s">
        <v>60</v>
      </c>
      <c r="P10" s="297"/>
      <c r="Q10" s="298">
        <f>EINSTELLUNG!I33</f>
        <v>400</v>
      </c>
      <c r="R10" s="299"/>
      <c r="S10" s="278"/>
      <c r="T10" s="278"/>
      <c r="U10" s="278"/>
      <c r="V10" s="278"/>
    </row>
    <row r="11" spans="1:28" ht="22" customHeight="1">
      <c r="A11" s="280" t="s">
        <v>61</v>
      </c>
      <c r="B11" s="92">
        <v>401276</v>
      </c>
      <c r="C11" s="46" t="s">
        <v>386</v>
      </c>
      <c r="D11" s="47">
        <v>38899</v>
      </c>
      <c r="E11" s="48" t="s">
        <v>2</v>
      </c>
      <c r="F11" s="49">
        <v>55</v>
      </c>
      <c r="G11" s="281" t="str">
        <f>IF(OR(E11="",F11=""),"",PID_KVLohnLookup($A$1,E11,F11,LOHNTABELLE!$H$4))</f>
        <v>Nicht gefunden</v>
      </c>
      <c r="H11" s="282">
        <f>IF(AND(ISNUMBER(D11),ISNUMBER(F11)),ROUNDDOWN(MIN(IF(OR(ISBLANK(I11),I11=""),EOMONTH(DATE(EINSTELLUNG!$C$35,$A$1,1),0),I11)-MAX(D11,DATE(EINSTELLUNG!$C$35,$A$1,1))+1)/DAY(EOMONTH(DATE(EINSTELLUNG!$C$35,$A$1,1),0))*F11,2),"")</f>
        <v>55</v>
      </c>
      <c r="I11" s="50"/>
      <c r="J11" s="51"/>
      <c r="K11" s="281">
        <f t="shared" si="0"/>
        <v>0</v>
      </c>
      <c r="L11" s="283" t="str">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
      </c>
      <c r="M11" s="52"/>
      <c r="N11" s="66"/>
      <c r="O11" s="358" t="s">
        <v>62</v>
      </c>
      <c r="P11" s="297"/>
      <c r="Q11" s="298">
        <f>P5</f>
        <v>600</v>
      </c>
      <c r="R11" s="299"/>
      <c r="S11" s="278"/>
      <c r="T11" s="278"/>
      <c r="U11" s="278"/>
      <c r="V11" s="278"/>
    </row>
    <row r="12" spans="1:28" ht="22" customHeight="1">
      <c r="A12" s="280" t="s">
        <v>63</v>
      </c>
      <c r="B12" s="91">
        <v>401307</v>
      </c>
      <c r="C12" s="39" t="s">
        <v>230</v>
      </c>
      <c r="D12" s="40">
        <v>43571</v>
      </c>
      <c r="E12" s="41" t="s">
        <v>2</v>
      </c>
      <c r="F12" s="42">
        <v>55</v>
      </c>
      <c r="G12" s="281" t="str">
        <f>IF(OR(E12="",F12=""),"",PID_KVLohnLookup($A$1,E12,F12,LOHNTABELLE!$H$4))</f>
        <v>Nicht gefunden</v>
      </c>
      <c r="H12" s="282">
        <f>IF(AND(ISNUMBER(D12),ISNUMBER(F12)),ROUNDDOWN(MIN(IF(OR(ISBLANK(I12),I12=""),EOMONTH(DATE(EINSTELLUNG!$C$35,$A$1,1),0),I12)-MAX(D12,DATE(EINSTELLUNG!$C$35,$A$1,1))+1)/DAY(EOMONTH(DATE(EINSTELLUNG!$C$35,$A$1,1),0))*F12,2),"")</f>
        <v>55</v>
      </c>
      <c r="I12" s="43"/>
      <c r="J12" s="44"/>
      <c r="K12" s="281">
        <f t="shared" si="0"/>
        <v>0</v>
      </c>
      <c r="L12" s="283" t="str">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
      </c>
      <c r="M12" s="45"/>
      <c r="N12" s="65"/>
      <c r="O12" s="358" t="s">
        <v>64</v>
      </c>
      <c r="P12" s="297"/>
      <c r="Q12" s="172">
        <v>-303</v>
      </c>
      <c r="R12" s="173"/>
      <c r="S12" s="278"/>
      <c r="T12" s="278"/>
      <c r="U12" s="278"/>
      <c r="V12" s="278"/>
    </row>
    <row r="13" spans="1:28" ht="22" customHeight="1">
      <c r="A13" s="280" t="s">
        <v>65</v>
      </c>
      <c r="B13" s="92">
        <v>401308</v>
      </c>
      <c r="C13" s="46" t="s">
        <v>231</v>
      </c>
      <c r="D13" s="47">
        <v>43579</v>
      </c>
      <c r="E13" s="48" t="s">
        <v>3</v>
      </c>
      <c r="F13" s="49">
        <v>173</v>
      </c>
      <c r="G13" s="281">
        <f>IF(OR(E13="",F13=""),"",PID_KVLohnLookup($A$1,E13,F13,LOHNTABELLE!$H$4))</f>
        <v>2082</v>
      </c>
      <c r="H13" s="282">
        <f>IF(AND(ISNUMBER(D13),ISNUMBER(F13)),ROUNDDOWN(MIN(IF(OR(ISBLANK(I13),I13=""),EOMONTH(DATE(EINSTELLUNG!$C$35,$A$1,1),0),I13)-MAX(D13,DATE(EINSTELLUNG!$C$35,$A$1,1))+1)/DAY(EOMONTH(DATE(EINSTELLUNG!$C$35,$A$1,1),0))*F13,2),"")</f>
        <v>173</v>
      </c>
      <c r="I13" s="50"/>
      <c r="J13" s="51"/>
      <c r="K13" s="281">
        <f t="shared" si="0"/>
        <v>0</v>
      </c>
      <c r="L13" s="283">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2082</v>
      </c>
      <c r="M13" s="52"/>
      <c r="N13" s="66"/>
      <c r="O13" s="358" t="s">
        <v>66</v>
      </c>
      <c r="P13" s="297"/>
      <c r="Q13" s="298">
        <f>Q8-Q9-Q10-Q11-Q12</f>
        <v>6458.75</v>
      </c>
      <c r="R13" s="299"/>
      <c r="S13" s="278"/>
      <c r="T13" s="278"/>
      <c r="U13" s="278"/>
      <c r="V13" s="278"/>
    </row>
    <row r="14" spans="1:28" ht="22" customHeight="1">
      <c r="A14" s="280" t="s">
        <v>67</v>
      </c>
      <c r="B14" s="91">
        <v>401394</v>
      </c>
      <c r="C14" s="39" t="s">
        <v>232</v>
      </c>
      <c r="D14" s="40">
        <v>44379</v>
      </c>
      <c r="E14" s="41" t="s">
        <v>2</v>
      </c>
      <c r="F14" s="42">
        <v>173</v>
      </c>
      <c r="G14" s="281">
        <f>IF(OR(E14="",F14=""),"",PID_KVLohnLookup($A$1,E14,F14,LOHNTABELLE!$H$4))</f>
        <v>2021</v>
      </c>
      <c r="H14" s="282">
        <f>IF(AND(ISNUMBER(D14),ISNUMBER(F14)),ROUNDDOWN(MIN(IF(OR(ISBLANK(I14),I14=""),EOMONTH(DATE(EINSTELLUNG!$C$35,$A$1,1),0),I14)-MAX(D14,DATE(EINSTELLUNG!$C$35,$A$1,1))+1)/DAY(EOMONTH(DATE(EINSTELLUNG!$C$35,$A$1,1),0))*F14,2),"")</f>
        <v>173</v>
      </c>
      <c r="I14" s="43"/>
      <c r="J14" s="44"/>
      <c r="K14" s="281">
        <f t="shared" si="0"/>
        <v>0</v>
      </c>
      <c r="L14" s="283">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2021</v>
      </c>
      <c r="M14" s="45"/>
      <c r="N14" s="65"/>
      <c r="O14" s="358" t="s">
        <v>68</v>
      </c>
      <c r="P14" s="297"/>
      <c r="Q14" s="298">
        <f>EINSTELLUNG!L17</f>
        <v>9300</v>
      </c>
      <c r="R14" s="299"/>
      <c r="S14" s="278"/>
      <c r="T14" s="278"/>
      <c r="U14" s="278"/>
      <c r="V14" s="278"/>
    </row>
    <row r="15" spans="1:28" ht="22" customHeight="1">
      <c r="A15" s="280" t="s">
        <v>69</v>
      </c>
      <c r="B15" s="92">
        <v>401479</v>
      </c>
      <c r="C15" s="46" t="s">
        <v>237</v>
      </c>
      <c r="D15" s="47">
        <v>44511</v>
      </c>
      <c r="E15" s="48" t="s">
        <v>6</v>
      </c>
      <c r="F15" s="49">
        <v>173</v>
      </c>
      <c r="G15" s="281">
        <f>IF(OR(E15="",F15=""),"",PID_KVLohnLookup($A$1,E15,F15,LOHNTABELLE!$H$4))</f>
        <v>2160</v>
      </c>
      <c r="H15" s="282">
        <f>IF(AND(ISNUMBER(D15),ISNUMBER(F15)),ROUNDDOWN(MIN(IF(OR(ISBLANK(I15),I15=""),EOMONTH(DATE(EINSTELLUNG!$C$35,$A$1,1),0),I15)-MAX(D15,DATE(EINSTELLUNG!$C$35,$A$1,1))+1)/DAY(EOMONTH(DATE(EINSTELLUNG!$C$35,$A$1,1),0))*F15,2),"")</f>
        <v>173</v>
      </c>
      <c r="I15" s="50"/>
      <c r="J15" s="51"/>
      <c r="K15" s="281">
        <f t="shared" si="0"/>
        <v>0</v>
      </c>
      <c r="L15" s="283">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2160</v>
      </c>
      <c r="M15" s="52"/>
      <c r="N15" s="66"/>
      <c r="O15" s="358" t="s">
        <v>70</v>
      </c>
      <c r="P15" s="297"/>
      <c r="Q15" s="298">
        <f>Q13-Q14</f>
        <v>-2841.25</v>
      </c>
      <c r="R15" s="299"/>
      <c r="S15" s="301"/>
      <c r="T15" s="301"/>
      <c r="U15" s="301"/>
      <c r="V15" s="278"/>
    </row>
    <row r="16" spans="1:28" ht="22" customHeight="1" thickBot="1">
      <c r="A16" s="280" t="s">
        <v>71</v>
      </c>
      <c r="B16" s="91">
        <v>401564</v>
      </c>
      <c r="C16" s="39" t="s">
        <v>239</v>
      </c>
      <c r="D16" s="40">
        <v>44824</v>
      </c>
      <c r="E16" s="41" t="s">
        <v>2</v>
      </c>
      <c r="F16" s="42">
        <v>151.38</v>
      </c>
      <c r="G16" s="281">
        <f>IF(OR(E16="",F16=""),"",PID_KVLohnLookup($A$1,E16,F16,LOHNTABELLE!$H$4))</f>
        <v>1768.38</v>
      </c>
      <c r="H16" s="282">
        <f>IF(AND(ISNUMBER(D16),ISNUMBER(F16)),ROUNDDOWN(MIN(IF(OR(ISBLANK(I16),I16=""),EOMONTH(DATE(EINSTELLUNG!$C$35,$A$1,1),0),I16)-MAX(D16,DATE(EINSTELLUNG!$C$35,$A$1,1))+1)/DAY(EOMONTH(DATE(EINSTELLUNG!$C$35,$A$1,1),0))*F16,2),"")</f>
        <v>151.38</v>
      </c>
      <c r="I16" s="43"/>
      <c r="J16" s="44"/>
      <c r="K16" s="281">
        <f t="shared" si="0"/>
        <v>0</v>
      </c>
      <c r="L16" s="283">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1768.38</v>
      </c>
      <c r="M16" s="45"/>
      <c r="N16" s="65"/>
      <c r="O16" s="373" t="str">
        <f>IF(Q15&lt;0, "Schlecht! Zu wenig Stunden für Dienstplan.", IF(Q15&gt;0, "Du hast mehr als genug Stunden für Dienstplan.", ""))</f>
        <v>Schlecht! Zu wenig Stunden für Dienstplan.</v>
      </c>
      <c r="P16" s="303"/>
      <c r="Q16" s="303"/>
      <c r="R16" s="304"/>
      <c r="S16" s="305"/>
      <c r="T16" s="305"/>
      <c r="U16" s="305"/>
      <c r="V16" s="305"/>
      <c r="W16" s="306"/>
    </row>
    <row r="17" spans="1:29" ht="22" customHeight="1">
      <c r="A17" s="280" t="s">
        <v>72</v>
      </c>
      <c r="B17" s="92">
        <v>401583</v>
      </c>
      <c r="C17" s="46" t="s">
        <v>241</v>
      </c>
      <c r="D17" s="47">
        <v>44900</v>
      </c>
      <c r="E17" s="48" t="s">
        <v>13</v>
      </c>
      <c r="F17" s="49">
        <v>173</v>
      </c>
      <c r="G17" s="281">
        <f>IF(OR(E17="",F17=""),"",PID_KVLohnLookup($A$1,E17,F17,LOHNTABELLE!$H$4))</f>
        <v>2328</v>
      </c>
      <c r="H17" s="282">
        <f>IF(AND(ISNUMBER(D17),ISNUMBER(F17)),ROUNDDOWN(MIN(IF(OR(ISBLANK(I17),I17=""),EOMONTH(DATE(EINSTELLUNG!$C$35,$A$1,1),0),I17)-MAX(D17,DATE(EINSTELLUNG!$C$35,$A$1,1))+1)/DAY(EOMONTH(DATE(EINSTELLUNG!$C$35,$A$1,1),0))*F17,2),"")</f>
        <v>173</v>
      </c>
      <c r="I17" s="50"/>
      <c r="J17" s="51"/>
      <c r="K17" s="281">
        <f t="shared" si="0"/>
        <v>0</v>
      </c>
      <c r="L17" s="283">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2328</v>
      </c>
      <c r="M17" s="52"/>
      <c r="N17" s="66"/>
      <c r="O17" s="357" t="s">
        <v>73</v>
      </c>
      <c r="P17" s="293"/>
      <c r="Q17" s="307">
        <f>SUM(L3:L82)</f>
        <v>88991.090000000026</v>
      </c>
      <c r="R17" s="308"/>
      <c r="S17" s="278"/>
      <c r="T17" s="278"/>
      <c r="U17" s="278"/>
      <c r="V17" s="278"/>
      <c r="W17" s="306"/>
    </row>
    <row r="18" spans="1:29" ht="22" customHeight="1">
      <c r="A18" s="280" t="s">
        <v>74</v>
      </c>
      <c r="B18" s="91">
        <v>401589</v>
      </c>
      <c r="C18" s="39" t="s">
        <v>242</v>
      </c>
      <c r="D18" s="40">
        <v>44926</v>
      </c>
      <c r="E18" s="41" t="s">
        <v>10</v>
      </c>
      <c r="F18" s="42">
        <v>173</v>
      </c>
      <c r="G18" s="281">
        <f>IF(OR(E18="",F18=""),"",PID_KVLohnLookup($A$1,E18,F18,LOHNTABELLE!$H$4))</f>
        <v>2300</v>
      </c>
      <c r="H18" s="282">
        <f>IF(AND(ISNUMBER(D18),ISNUMBER(F18)),ROUNDDOWN(MIN(IF(OR(ISBLANK(I18),I18=""),EOMONTH(DATE(EINSTELLUNG!$C$35,$A$1,1),0),I18)-MAX(D18,DATE(EINSTELLUNG!$C$35,$A$1,1))+1)/DAY(EOMONTH(DATE(EINSTELLUNG!$C$35,$A$1,1),0))*F18,2),"")</f>
        <v>173</v>
      </c>
      <c r="I18" s="43"/>
      <c r="J18" s="44"/>
      <c r="K18" s="281">
        <f t="shared" si="0"/>
        <v>0</v>
      </c>
      <c r="L18" s="283">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2300</v>
      </c>
      <c r="M18" s="45"/>
      <c r="N18" s="65"/>
      <c r="O18" s="366" t="s">
        <v>371</v>
      </c>
      <c r="P18" s="310"/>
      <c r="Q18" s="311">
        <v>20</v>
      </c>
      <c r="R18" s="312"/>
      <c r="S18" s="278"/>
      <c r="T18" s="278"/>
      <c r="U18" s="278"/>
      <c r="V18" s="278"/>
    </row>
    <row r="19" spans="1:29" ht="22" customHeight="1">
      <c r="A19" s="280" t="s">
        <v>75</v>
      </c>
      <c r="B19" s="92">
        <v>401602</v>
      </c>
      <c r="C19" s="46" t="s">
        <v>243</v>
      </c>
      <c r="D19" s="47">
        <v>45975</v>
      </c>
      <c r="E19" s="48" t="s">
        <v>2</v>
      </c>
      <c r="F19" s="49">
        <v>169</v>
      </c>
      <c r="G19" s="281">
        <f>IF(OR(E19="",F19=""),"",PID_KVLohnLookup($A$1,E19,F19,LOHNTABELLE!$H$4))</f>
        <v>2000</v>
      </c>
      <c r="H19" s="282">
        <f>IF(AND(ISNUMBER(D19),ISNUMBER(F19)),ROUNDDOWN(MIN(IF(OR(ISBLANK(I19),I19=""),EOMONTH(DATE(EINSTELLUNG!$C$35,$A$1,1),0),I19)-MAX(D19,DATE(EINSTELLUNG!$C$35,$A$1,1))+1)/DAY(EOMONTH(DATE(EINSTELLUNG!$C$35,$A$1,1),0))*F19,2),"")</f>
        <v>169</v>
      </c>
      <c r="I19" s="50"/>
      <c r="J19" s="51"/>
      <c r="K19" s="281">
        <f t="shared" si="0"/>
        <v>0</v>
      </c>
      <c r="L19" s="283">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2000</v>
      </c>
      <c r="M19" s="52"/>
      <c r="N19" s="66"/>
      <c r="O19" s="366" t="s">
        <v>293</v>
      </c>
      <c r="P19" s="310"/>
      <c r="Q19" s="311">
        <v>333</v>
      </c>
      <c r="R19" s="312"/>
      <c r="S19" s="278"/>
      <c r="T19" s="278"/>
      <c r="U19" s="278"/>
      <c r="V19" s="278"/>
    </row>
    <row r="20" spans="1:29" ht="22" customHeight="1">
      <c r="A20" s="280" t="s">
        <v>76</v>
      </c>
      <c r="B20" s="91">
        <v>401605</v>
      </c>
      <c r="C20" s="39" t="s">
        <v>244</v>
      </c>
      <c r="D20" s="40">
        <v>44986</v>
      </c>
      <c r="E20" s="41" t="s">
        <v>2</v>
      </c>
      <c r="F20" s="42">
        <v>173</v>
      </c>
      <c r="G20" s="281">
        <f>IF(OR(E20="",F20=""),"",PID_KVLohnLookup($A$1,E20,F20,LOHNTABELLE!$H$4))</f>
        <v>2021</v>
      </c>
      <c r="H20" s="282">
        <f>IF(AND(ISNUMBER(D20),ISNUMBER(F20)),ROUNDDOWN(MIN(IF(OR(ISBLANK(I20),I20=""),EOMONTH(DATE(EINSTELLUNG!$C$35,$A$1,1),0),I20)-MAX(D20,DATE(EINSTELLUNG!$C$35,$A$1,1))+1)/DAY(EOMONTH(DATE(EINSTELLUNG!$C$35,$A$1,1),0))*F20,2),"")</f>
        <v>173</v>
      </c>
      <c r="I20" s="43"/>
      <c r="J20" s="44"/>
      <c r="K20" s="281">
        <f t="shared" si="0"/>
        <v>0</v>
      </c>
      <c r="L20" s="283">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2021</v>
      </c>
      <c r="M20" s="45"/>
      <c r="N20" s="65"/>
      <c r="O20" s="366" t="s">
        <v>293</v>
      </c>
      <c r="P20" s="310"/>
      <c r="Q20" s="311">
        <v>35</v>
      </c>
      <c r="R20" s="312"/>
      <c r="S20" s="278"/>
      <c r="T20" s="278"/>
      <c r="U20" s="278"/>
      <c r="V20" s="278"/>
    </row>
    <row r="21" spans="1:29" ht="22" customHeight="1">
      <c r="A21" s="280" t="s">
        <v>77</v>
      </c>
      <c r="B21" s="92">
        <v>401605</v>
      </c>
      <c r="C21" s="46" t="s">
        <v>387</v>
      </c>
      <c r="D21" s="47">
        <v>36850</v>
      </c>
      <c r="E21" s="48" t="s">
        <v>10</v>
      </c>
      <c r="F21" s="49">
        <v>151.38</v>
      </c>
      <c r="G21" s="281">
        <f>IF(OR(E21="",F21=""),"",PID_KVLohnLookup($A$1,E21,F21,LOHNTABELLE!$H$4))</f>
        <v>2012.5</v>
      </c>
      <c r="H21" s="282">
        <f>IF(AND(ISNUMBER(D21),ISNUMBER(F21)),ROUNDDOWN(MIN(IF(OR(ISBLANK(I21),I21=""),EOMONTH(DATE(EINSTELLUNG!$C$35,$A$1,1),0),I21)-MAX(D21,DATE(EINSTELLUNG!$C$35,$A$1,1))+1)/DAY(EOMONTH(DATE(EINSTELLUNG!$C$35,$A$1,1),0))*F21,2),"")</f>
        <v>151.38</v>
      </c>
      <c r="I21" s="50"/>
      <c r="J21" s="51"/>
      <c r="K21" s="281">
        <f t="shared" si="0"/>
        <v>0</v>
      </c>
      <c r="L21" s="283">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2012.5</v>
      </c>
      <c r="M21" s="52"/>
      <c r="N21" s="66"/>
      <c r="O21" s="366" t="s">
        <v>293</v>
      </c>
      <c r="P21" s="310"/>
      <c r="Q21" s="311">
        <v>100</v>
      </c>
      <c r="R21" s="312"/>
      <c r="S21" s="278"/>
      <c r="T21" s="278"/>
      <c r="U21" s="278"/>
      <c r="V21" s="278"/>
    </row>
    <row r="22" spans="1:29" ht="22" customHeight="1">
      <c r="A22" s="280" t="s">
        <v>78</v>
      </c>
      <c r="B22" s="91">
        <v>401626</v>
      </c>
      <c r="C22" s="39" t="s">
        <v>245</v>
      </c>
      <c r="D22" s="40">
        <v>45063</v>
      </c>
      <c r="E22" s="41" t="s">
        <v>2</v>
      </c>
      <c r="F22" s="42">
        <v>173</v>
      </c>
      <c r="G22" s="281">
        <f>IF(OR(E22="",F22=""),"",PID_KVLohnLookup($A$1,E22,F22,LOHNTABELLE!$H$4))</f>
        <v>2021</v>
      </c>
      <c r="H22" s="282">
        <f>IF(AND(ISNUMBER(D22),ISNUMBER(F22)),ROUNDDOWN(MIN(IF(OR(ISBLANK(I22),I22=""),EOMONTH(DATE(EINSTELLUNG!$C$35,$A$1,1),0),I22)-MAX(D22,DATE(EINSTELLUNG!$C$35,$A$1,1))+1)/DAY(EOMONTH(DATE(EINSTELLUNG!$C$35,$A$1,1),0))*F22,2),"")</f>
        <v>173</v>
      </c>
      <c r="I22" s="43"/>
      <c r="J22" s="44"/>
      <c r="K22" s="281">
        <f t="shared" si="0"/>
        <v>0</v>
      </c>
      <c r="L22" s="283">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2021</v>
      </c>
      <c r="M22" s="45"/>
      <c r="N22" s="65"/>
      <c r="O22" s="366" t="s">
        <v>293</v>
      </c>
      <c r="P22" s="310"/>
      <c r="Q22" s="311"/>
      <c r="R22" s="312"/>
      <c r="S22" s="278"/>
      <c r="T22" s="278"/>
      <c r="U22" s="278"/>
      <c r="V22" s="278"/>
    </row>
    <row r="23" spans="1:29" ht="22" customHeight="1">
      <c r="A23" s="280" t="s">
        <v>79</v>
      </c>
      <c r="B23" s="92">
        <v>401633</v>
      </c>
      <c r="C23" s="46" t="s">
        <v>246</v>
      </c>
      <c r="D23" s="47">
        <v>45089</v>
      </c>
      <c r="E23" s="48" t="s">
        <v>10</v>
      </c>
      <c r="F23" s="49">
        <v>173</v>
      </c>
      <c r="G23" s="281">
        <f>IF(OR(E23="",F23=""),"",PID_KVLohnLookup($A$1,E23,F23,LOHNTABELLE!$H$4))</f>
        <v>2300</v>
      </c>
      <c r="H23" s="282">
        <f>IF(AND(ISNUMBER(D23),ISNUMBER(F23)),ROUNDDOWN(MIN(IF(OR(ISBLANK(I23),I23=""),EOMONTH(DATE(EINSTELLUNG!$C$35,$A$1,1),0),I23)-MAX(D23,DATE(EINSTELLUNG!$C$35,$A$1,1))+1)/DAY(EOMONTH(DATE(EINSTELLUNG!$C$35,$A$1,1),0))*F23,2),"")</f>
        <v>173</v>
      </c>
      <c r="I23" s="50"/>
      <c r="J23" s="51"/>
      <c r="K23" s="281">
        <f t="shared" si="0"/>
        <v>0</v>
      </c>
      <c r="L23" s="283">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2300</v>
      </c>
      <c r="M23" s="52"/>
      <c r="N23" s="66"/>
      <c r="O23" s="366" t="s">
        <v>293</v>
      </c>
      <c r="P23" s="310"/>
      <c r="Q23" s="311">
        <v>5000</v>
      </c>
      <c r="R23" s="312"/>
      <c r="S23" s="278"/>
      <c r="T23" s="278"/>
      <c r="U23" s="278"/>
      <c r="V23" s="278"/>
      <c r="W23" s="306"/>
    </row>
    <row r="24" spans="1:29" ht="22" customHeight="1">
      <c r="A24" s="280" t="s">
        <v>80</v>
      </c>
      <c r="B24" s="91">
        <v>401647</v>
      </c>
      <c r="C24" s="39" t="s">
        <v>247</v>
      </c>
      <c r="D24" s="40">
        <v>45182</v>
      </c>
      <c r="E24" s="41" t="s">
        <v>2</v>
      </c>
      <c r="F24" s="42">
        <v>173</v>
      </c>
      <c r="G24" s="281">
        <f>IF(OR(E24="",F24=""),"",PID_KVLohnLookup($A$1,E24,F24,LOHNTABELLE!$H$4))</f>
        <v>2021</v>
      </c>
      <c r="H24" s="282">
        <f>IF(AND(ISNUMBER(D24),ISNUMBER(F24)),ROUNDDOWN(MIN(IF(OR(ISBLANK(I24),I24=""),EOMONTH(DATE(EINSTELLUNG!$C$35,$A$1,1),0),I24)-MAX(D24,DATE(EINSTELLUNG!$C$35,$A$1,1))+1)/DAY(EOMONTH(DATE(EINSTELLUNG!$C$35,$A$1,1),0))*F24,2),"")</f>
        <v>173</v>
      </c>
      <c r="I24" s="43"/>
      <c r="J24" s="44"/>
      <c r="K24" s="281">
        <f t="shared" si="0"/>
        <v>0</v>
      </c>
      <c r="L24" s="283">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2021</v>
      </c>
      <c r="M24" s="45"/>
      <c r="N24" s="65"/>
      <c r="O24" s="366"/>
      <c r="P24" s="310"/>
      <c r="Q24" s="311"/>
      <c r="R24" s="312"/>
      <c r="S24" s="278"/>
      <c r="T24" s="278"/>
      <c r="U24" s="278"/>
      <c r="V24" s="278"/>
      <c r="W24" s="306"/>
    </row>
    <row r="25" spans="1:29" ht="22" customHeight="1">
      <c r="A25" s="280" t="s">
        <v>81</v>
      </c>
      <c r="B25" s="92">
        <v>401661</v>
      </c>
      <c r="C25" s="46" t="s">
        <v>248</v>
      </c>
      <c r="D25" s="47">
        <v>45261</v>
      </c>
      <c r="E25" s="48" t="s">
        <v>2</v>
      </c>
      <c r="F25" s="49">
        <v>173</v>
      </c>
      <c r="G25" s="281">
        <f>IF(OR(E25="",F25=""),"",PID_KVLohnLookup($A$1,E25,F25,LOHNTABELLE!$H$4))</f>
        <v>2021</v>
      </c>
      <c r="H25" s="282">
        <f>IF(AND(ISNUMBER(D25),ISNUMBER(F25)),ROUNDDOWN(MIN(IF(OR(ISBLANK(I25),I25=""),EOMONTH(DATE(EINSTELLUNG!$C$35,$A$1,1),0),I25)-MAX(D25,DATE(EINSTELLUNG!$C$35,$A$1,1))+1)/DAY(EOMONTH(DATE(EINSTELLUNG!$C$35,$A$1,1),0))*F25,2),"")</f>
        <v>173</v>
      </c>
      <c r="I25" s="50"/>
      <c r="J25" s="51"/>
      <c r="K25" s="281">
        <f t="shared" si="0"/>
        <v>0</v>
      </c>
      <c r="L25" s="283">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2021</v>
      </c>
      <c r="M25" s="52"/>
      <c r="N25" s="66"/>
      <c r="O25" s="366"/>
      <c r="P25" s="310"/>
      <c r="Q25" s="311"/>
      <c r="R25" s="312"/>
      <c r="S25" s="278"/>
      <c r="T25" s="278"/>
      <c r="U25" s="278"/>
      <c r="V25" s="278"/>
    </row>
    <row r="26" spans="1:29" ht="22" customHeight="1">
      <c r="A26" s="280" t="s">
        <v>82</v>
      </c>
      <c r="B26" s="91">
        <v>401670</v>
      </c>
      <c r="C26" s="39" t="s">
        <v>249</v>
      </c>
      <c r="D26" s="40">
        <v>45358</v>
      </c>
      <c r="E26" s="41" t="s">
        <v>2</v>
      </c>
      <c r="F26" s="42">
        <v>173</v>
      </c>
      <c r="G26" s="281">
        <f>IF(OR(E26="",F26=""),"",PID_KVLohnLookup($A$1,E26,F26,LOHNTABELLE!$H$4))</f>
        <v>2021</v>
      </c>
      <c r="H26" s="282">
        <f>IF(AND(ISNUMBER(D26),ISNUMBER(F26)),ROUNDDOWN(MIN(IF(OR(ISBLANK(I26),I26=""),EOMONTH(DATE(EINSTELLUNG!$C$35,$A$1,1),0),I26)-MAX(D26,DATE(EINSTELLUNG!$C$35,$A$1,1))+1)/DAY(EOMONTH(DATE(EINSTELLUNG!$C$35,$A$1,1),0))*F26,2),"")</f>
        <v>173</v>
      </c>
      <c r="I26" s="43"/>
      <c r="J26" s="44"/>
      <c r="K26" s="281">
        <f t="shared" si="0"/>
        <v>0</v>
      </c>
      <c r="L26" s="283">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2021</v>
      </c>
      <c r="M26" s="45"/>
      <c r="N26" s="65"/>
      <c r="O26" s="366"/>
      <c r="P26" s="310"/>
      <c r="Q26" s="311"/>
      <c r="R26" s="312"/>
      <c r="S26" s="278"/>
      <c r="T26" s="278"/>
      <c r="U26" s="278"/>
      <c r="V26" s="278"/>
    </row>
    <row r="27" spans="1:29" ht="22" customHeight="1">
      <c r="A27" s="280" t="s">
        <v>83</v>
      </c>
      <c r="B27" s="92">
        <v>401678</v>
      </c>
      <c r="C27" s="46" t="s">
        <v>250</v>
      </c>
      <c r="D27" s="47">
        <v>45414</v>
      </c>
      <c r="E27" s="48" t="s">
        <v>2</v>
      </c>
      <c r="F27" s="49">
        <v>173</v>
      </c>
      <c r="G27" s="281">
        <f>IF(OR(E27="",F27=""),"",PID_KVLohnLookup($A$1,E27,F27,LOHNTABELLE!$H$4))</f>
        <v>2021</v>
      </c>
      <c r="H27" s="282">
        <f>IF(AND(ISNUMBER(D27),ISNUMBER(F27)),ROUNDDOWN(MIN(IF(OR(ISBLANK(I27),I27=""),EOMONTH(DATE(EINSTELLUNG!$C$35,$A$1,1),0),I27)-MAX(D27,DATE(EINSTELLUNG!$C$35,$A$1,1))+1)/DAY(EOMONTH(DATE(EINSTELLUNG!$C$35,$A$1,1),0))*F27,2),"")</f>
        <v>173</v>
      </c>
      <c r="I27" s="50"/>
      <c r="J27" s="51"/>
      <c r="K27" s="281">
        <f t="shared" si="0"/>
        <v>0</v>
      </c>
      <c r="L27" s="283">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2021</v>
      </c>
      <c r="M27" s="52"/>
      <c r="N27" s="66"/>
      <c r="O27" s="366"/>
      <c r="P27" s="310"/>
      <c r="Q27" s="311"/>
      <c r="R27" s="312"/>
      <c r="S27" s="313"/>
      <c r="T27" s="313"/>
      <c r="U27" s="313"/>
      <c r="V27" s="313"/>
    </row>
    <row r="28" spans="1:29" ht="22" customHeight="1">
      <c r="A28" s="280" t="s">
        <v>85</v>
      </c>
      <c r="B28" s="91">
        <v>401690</v>
      </c>
      <c r="C28" s="39" t="s">
        <v>252</v>
      </c>
      <c r="D28" s="40">
        <v>45536</v>
      </c>
      <c r="E28" s="41" t="s">
        <v>2</v>
      </c>
      <c r="F28" s="42">
        <v>151.38</v>
      </c>
      <c r="G28" s="281">
        <f>IF(OR(E28="",F28=""),"",PID_KVLohnLookup($A$1,E28,F28,LOHNTABELLE!$H$4))</f>
        <v>1768.38</v>
      </c>
      <c r="H28" s="282">
        <f>IF(AND(ISNUMBER(D28),ISNUMBER(F28)),ROUNDDOWN(MIN(IF(OR(ISBLANK(I28),I28=""),EOMONTH(DATE(EINSTELLUNG!$C$35,$A$1,1),0),I28)-MAX(D28,DATE(EINSTELLUNG!$C$35,$A$1,1))+1)/DAY(EOMONTH(DATE(EINSTELLUNG!$C$35,$A$1,1),0))*F28,2),"")</f>
        <v>151.38</v>
      </c>
      <c r="I28" s="43"/>
      <c r="J28" s="44"/>
      <c r="K28" s="281">
        <f t="shared" si="0"/>
        <v>0</v>
      </c>
      <c r="L28" s="283">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1768.38</v>
      </c>
      <c r="M28" s="45"/>
      <c r="N28" s="65"/>
      <c r="O28" s="366"/>
      <c r="P28" s="310"/>
      <c r="Q28" s="311"/>
      <c r="R28" s="312"/>
      <c r="S28" s="278"/>
      <c r="T28" s="278"/>
      <c r="U28" s="278"/>
      <c r="V28" s="278"/>
    </row>
    <row r="29" spans="1:29" ht="22" customHeight="1" thickBot="1">
      <c r="A29" s="280" t="s">
        <v>86</v>
      </c>
      <c r="B29" s="92">
        <v>401715</v>
      </c>
      <c r="C29" s="46" t="s">
        <v>255</v>
      </c>
      <c r="D29" s="47">
        <v>45755</v>
      </c>
      <c r="E29" s="48" t="s">
        <v>2</v>
      </c>
      <c r="F29" s="49">
        <v>173</v>
      </c>
      <c r="G29" s="281">
        <f>IF(OR(E29="",F29=""),"",PID_KVLohnLookup($A$1,E29,F29,LOHNTABELLE!$H$4))</f>
        <v>2021</v>
      </c>
      <c r="H29" s="282">
        <f>IF(AND(ISNUMBER(D29),ISNUMBER(F29)),ROUNDDOWN(MIN(IF(OR(ISBLANK(I29),I29=""),EOMONTH(DATE(EINSTELLUNG!$C$35,$A$1,1),0),I29)-MAX(D29,DATE(EINSTELLUNG!$C$35,$A$1,1))+1)/DAY(EOMONTH(DATE(EINSTELLUNG!$C$35,$A$1,1),0))*F29,2),"")</f>
        <v>173</v>
      </c>
      <c r="I29" s="50"/>
      <c r="J29" s="51"/>
      <c r="K29" s="281">
        <f t="shared" si="0"/>
        <v>0</v>
      </c>
      <c r="L29" s="283">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2021</v>
      </c>
      <c r="M29" s="52"/>
      <c r="N29" s="66"/>
      <c r="O29" s="367" t="s">
        <v>87</v>
      </c>
      <c r="P29" s="315"/>
      <c r="Q29" s="316">
        <f>EINSTELLUNG!O17</f>
        <v>1250</v>
      </c>
      <c r="R29" s="317"/>
      <c r="S29" s="278"/>
      <c r="T29" s="278"/>
      <c r="U29" s="278"/>
      <c r="V29" s="278"/>
    </row>
    <row r="30" spans="1:29" ht="22" customHeight="1" thickBot="1">
      <c r="A30" s="280" t="s">
        <v>88</v>
      </c>
      <c r="B30" s="91">
        <v>401716</v>
      </c>
      <c r="C30" s="39" t="s">
        <v>256</v>
      </c>
      <c r="D30" s="40">
        <v>45800</v>
      </c>
      <c r="E30" s="41" t="s">
        <v>2</v>
      </c>
      <c r="F30" s="42">
        <v>173</v>
      </c>
      <c r="G30" s="281">
        <f>IF(OR(E30="",F30=""),"",PID_KVLohnLookup($A$1,E30,F30,LOHNTABELLE!$H$4))</f>
        <v>2021</v>
      </c>
      <c r="H30" s="282">
        <f>IF(AND(ISNUMBER(D30),ISNUMBER(F30)),ROUNDDOWN(MIN(IF(OR(ISBLANK(I30),I30=""),EOMONTH(DATE(EINSTELLUNG!$C$35,$A$1,1),0),I30)-MAX(D30,DATE(EINSTELLUNG!$C$35,$A$1,1))+1)/DAY(EOMONTH(DATE(EINSTELLUNG!$C$35,$A$1,1),0))*F30,2),"")</f>
        <v>173</v>
      </c>
      <c r="I30" s="43"/>
      <c r="J30" s="44"/>
      <c r="K30" s="281">
        <f t="shared" si="0"/>
        <v>0</v>
      </c>
      <c r="L30" s="283">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2021</v>
      </c>
      <c r="M30" s="45"/>
      <c r="N30" s="65"/>
      <c r="O30" s="278"/>
      <c r="P30" s="278"/>
      <c r="Q30" s="278"/>
      <c r="R30" s="278"/>
      <c r="S30" s="278"/>
      <c r="T30" s="278"/>
      <c r="U30" s="278"/>
      <c r="V30" s="278"/>
      <c r="W30" s="318"/>
      <c r="X30" s="318"/>
      <c r="Y30" s="318"/>
      <c r="Z30" s="318"/>
      <c r="AA30" s="318"/>
      <c r="AB30" s="318"/>
      <c r="AC30" s="318"/>
    </row>
    <row r="31" spans="1:29" ht="22" customHeight="1" thickBot="1">
      <c r="A31" s="280" t="s">
        <v>89</v>
      </c>
      <c r="B31" s="92">
        <v>401717</v>
      </c>
      <c r="C31" s="46" t="s">
        <v>257</v>
      </c>
      <c r="D31" s="47">
        <v>45814</v>
      </c>
      <c r="E31" s="48" t="s">
        <v>2</v>
      </c>
      <c r="F31" s="49">
        <v>86.5</v>
      </c>
      <c r="G31" s="281">
        <f>IF(OR(E31="",F31=""),"",PID_KVLohnLookup($A$1,E31,F31,LOHNTABELLE!$H$4))</f>
        <v>1010.5</v>
      </c>
      <c r="H31" s="282">
        <f>IF(AND(ISNUMBER(D31),ISNUMBER(F31)),ROUNDDOWN(MIN(IF(OR(ISBLANK(I31),I31=""),EOMONTH(DATE(EINSTELLUNG!$C$35,$A$1,1),0),I31)-MAX(D31,DATE(EINSTELLUNG!$C$35,$A$1,1))+1)/DAY(EOMONTH(DATE(EINSTELLUNG!$C$35,$A$1,1),0))*F31,2),"")</f>
        <v>86.5</v>
      </c>
      <c r="I31" s="50"/>
      <c r="J31" s="51"/>
      <c r="K31" s="281">
        <f t="shared" si="0"/>
        <v>0</v>
      </c>
      <c r="L31" s="283">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1010.5</v>
      </c>
      <c r="M31" s="52"/>
      <c r="N31" s="66"/>
      <c r="O31" s="368" t="s">
        <v>415</v>
      </c>
      <c r="P31" s="320"/>
      <c r="Q31" s="321">
        <v>0</v>
      </c>
      <c r="R31" s="322"/>
      <c r="S31" s="278"/>
      <c r="T31" s="278"/>
      <c r="U31" s="278"/>
      <c r="V31" s="278"/>
    </row>
    <row r="32" spans="1:29" ht="22" customHeight="1" thickBot="1">
      <c r="A32" s="280" t="s">
        <v>91</v>
      </c>
      <c r="B32" s="91">
        <v>401722</v>
      </c>
      <c r="C32" s="39" t="s">
        <v>258</v>
      </c>
      <c r="D32" s="40">
        <v>45848</v>
      </c>
      <c r="E32" s="41" t="s">
        <v>2</v>
      </c>
      <c r="F32" s="42">
        <v>86.5</v>
      </c>
      <c r="G32" s="281">
        <f>IF(OR(E32="",F32=""),"",PID_KVLohnLookup($A$1,E32,F32,LOHNTABELLE!$H$4))</f>
        <v>1010.5</v>
      </c>
      <c r="H32" s="282">
        <f>IF(AND(ISNUMBER(D32),ISNUMBER(F32)),ROUNDDOWN(MIN(IF(OR(ISBLANK(I32),I32=""),EOMONTH(DATE(EINSTELLUNG!$C$35,$A$1,1),0),I32)-MAX(D32,DATE(EINSTELLUNG!$C$35,$A$1,1))+1)/DAY(EOMONTH(DATE(EINSTELLUNG!$C$35,$A$1,1),0))*F32,2),"")</f>
        <v>86.5</v>
      </c>
      <c r="I32" s="43"/>
      <c r="J32" s="44"/>
      <c r="K32" s="281">
        <f t="shared" si="0"/>
        <v>0</v>
      </c>
      <c r="L32" s="283">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1010.5</v>
      </c>
      <c r="M32" s="45"/>
      <c r="N32" s="65"/>
      <c r="O32" s="278"/>
      <c r="P32" s="278"/>
      <c r="Q32" s="278"/>
      <c r="R32" s="278"/>
      <c r="S32" s="278"/>
      <c r="T32" s="278"/>
      <c r="U32" s="278"/>
      <c r="V32" s="278"/>
    </row>
    <row r="33" spans="1:22" ht="22" customHeight="1">
      <c r="A33" s="280" t="s">
        <v>92</v>
      </c>
      <c r="B33" s="92">
        <v>401723</v>
      </c>
      <c r="C33" s="46" t="s">
        <v>259</v>
      </c>
      <c r="D33" s="47">
        <v>45852</v>
      </c>
      <c r="E33" s="48" t="s">
        <v>2</v>
      </c>
      <c r="F33" s="49">
        <v>86.5</v>
      </c>
      <c r="G33" s="281">
        <f>IF(OR(E33="",F33=""),"",PID_KVLohnLookup($A$1,E33,F33,LOHNTABELLE!$H$4))</f>
        <v>1010.5</v>
      </c>
      <c r="H33" s="282">
        <f>IF(AND(ISNUMBER(D33),ISNUMBER(F33)),ROUNDDOWN(MIN(IF(OR(ISBLANK(I33),I33=""),EOMONTH(DATE(EINSTELLUNG!$C$35,$A$1,1),0),I33)-MAX(D33,DATE(EINSTELLUNG!$C$35,$A$1,1))+1)/DAY(EOMONTH(DATE(EINSTELLUNG!$C$35,$A$1,1),0))*F33,2),"")</f>
        <v>86.5</v>
      </c>
      <c r="I33" s="50"/>
      <c r="J33" s="51"/>
      <c r="K33" s="281">
        <f t="shared" si="0"/>
        <v>0</v>
      </c>
      <c r="L33" s="283">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1010.5</v>
      </c>
      <c r="M33" s="52"/>
      <c r="N33" s="66"/>
      <c r="O33" s="369"/>
      <c r="P33" s="324"/>
      <c r="Q33" s="263" t="str">
        <f>EINSTELLUNG!B3</f>
        <v>Budget</v>
      </c>
      <c r="R33" s="263"/>
      <c r="S33" s="263" t="str">
        <f>EINSTELLUNG!B19</f>
        <v>Projection/Aktuell Zahlen</v>
      </c>
      <c r="T33" s="263"/>
      <c r="U33" s="263" t="s">
        <v>95</v>
      </c>
      <c r="V33" s="264"/>
    </row>
    <row r="34" spans="1:22" ht="22" customHeight="1">
      <c r="A34" s="280" t="s">
        <v>96</v>
      </c>
      <c r="B34" s="91">
        <v>401726</v>
      </c>
      <c r="C34" s="39" t="s">
        <v>260</v>
      </c>
      <c r="D34" s="40">
        <v>45870</v>
      </c>
      <c r="E34" s="41" t="s">
        <v>2</v>
      </c>
      <c r="F34" s="42">
        <v>86.5</v>
      </c>
      <c r="G34" s="281">
        <f>IF(OR(E34="",F34=""),"",PID_KVLohnLookup($A$1,E34,F34,LOHNTABELLE!$H$4))</f>
        <v>1010.5</v>
      </c>
      <c r="H34" s="282">
        <f>IF(AND(ISNUMBER(D34),ISNUMBER(F34)),ROUNDDOWN(MIN(IF(OR(ISBLANK(I34),I34=""),EOMONTH(DATE(EINSTELLUNG!$C$35,$A$1,1),0),I34)-MAX(D34,DATE(EINSTELLUNG!$C$35,$A$1,1))+1)/DAY(EOMONTH(DATE(EINSTELLUNG!$C$35,$A$1,1),0))*F34,2),"")</f>
        <v>86.5</v>
      </c>
      <c r="I34" s="43"/>
      <c r="J34" s="44"/>
      <c r="K34" s="281">
        <f t="shared" si="0"/>
        <v>0</v>
      </c>
      <c r="L34" s="283">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1010.5</v>
      </c>
      <c r="M34" s="45"/>
      <c r="N34" s="65"/>
      <c r="O34" s="370"/>
      <c r="P34" s="326"/>
      <c r="Q34" s="327"/>
      <c r="R34" s="327"/>
      <c r="S34" s="327"/>
      <c r="T34" s="327"/>
      <c r="U34" s="327"/>
      <c r="V34" s="328"/>
    </row>
    <row r="35" spans="1:22" ht="22" customHeight="1">
      <c r="A35" s="280" t="s">
        <v>97</v>
      </c>
      <c r="B35" s="92">
        <v>401730</v>
      </c>
      <c r="C35" s="46" t="s">
        <v>262</v>
      </c>
      <c r="D35" s="47">
        <v>45895</v>
      </c>
      <c r="E35" s="48" t="s">
        <v>2</v>
      </c>
      <c r="F35" s="49">
        <v>86.5</v>
      </c>
      <c r="G35" s="281">
        <f>IF(OR(E35="",F35=""),"",PID_KVLohnLookup($A$1,E35,F35,LOHNTABELLE!$H$4))</f>
        <v>1010.5</v>
      </c>
      <c r="H35" s="282">
        <f>IF(AND(ISNUMBER(D35),ISNUMBER(F35)),ROUNDDOWN(MIN(IF(OR(ISBLANK(I35),I35=""),EOMONTH(DATE(EINSTELLUNG!$C$35,$A$1,1),0),I35)-MAX(D35,DATE(EINSTELLUNG!$C$35,$A$1,1))+1)/DAY(EOMONTH(DATE(EINSTELLUNG!$C$35,$A$1,1),0))*F35,2),"")</f>
        <v>86.5</v>
      </c>
      <c r="I35" s="50"/>
      <c r="J35" s="51"/>
      <c r="K35" s="281">
        <f t="shared" ref="K35:K66" si="1">IF(OR(B35="",C35=""),"",IFERROR(IF(OR(MONTH(D35)=1,MONTH(D35)=3,MONTH(D35)=5,MONTH(D35)=7,MONTH(D35)=8,MONTH(D35)=10,MONTH(D35)=12),(G35/31)*J35,IF(OR(MONTH(D35)=4,MONTH(D35)=6,MONTH(D35)=9,MONTH(D35)=11),(G35/30)*J35,(G35/DAY(EOMONTH(D35,0)))*J35)),0))</f>
        <v>0</v>
      </c>
      <c r="L35" s="283">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1010.5</v>
      </c>
      <c r="M35" s="52"/>
      <c r="N35" s="66"/>
      <c r="O35" s="358" t="s">
        <v>98</v>
      </c>
      <c r="P35" s="297"/>
      <c r="Q35" s="329">
        <f>EINSTELLUNG!C17</f>
        <v>400000</v>
      </c>
      <c r="R35" s="329"/>
      <c r="S35" s="329">
        <f>EINSTELLUNG!C33</f>
        <v>390000</v>
      </c>
      <c r="T35" s="329"/>
      <c r="U35" s="329">
        <f>S35-Q35</f>
        <v>-10000</v>
      </c>
      <c r="V35" s="330"/>
    </row>
    <row r="36" spans="1:22" ht="22" customHeight="1">
      <c r="A36" s="280" t="s">
        <v>99</v>
      </c>
      <c r="B36" s="91">
        <v>401731</v>
      </c>
      <c r="C36" s="39" t="s">
        <v>261</v>
      </c>
      <c r="D36" s="40">
        <v>45899</v>
      </c>
      <c r="E36" s="41" t="s">
        <v>2</v>
      </c>
      <c r="F36" s="42">
        <v>86.5</v>
      </c>
      <c r="G36" s="281">
        <f>IF(OR(E36="",F36=""),"",PID_KVLohnLookup($A$1,E36,F36,LOHNTABELLE!$H$4))</f>
        <v>1010.5</v>
      </c>
      <c r="H36" s="282">
        <f>IF(AND(ISNUMBER(D36),ISNUMBER(F36)),ROUNDDOWN(MIN(IF(OR(ISBLANK(I36),I36=""),EOMONTH(DATE(EINSTELLUNG!$C$35,$A$1,1),0),I36)-MAX(D36,DATE(EINSTELLUNG!$C$35,$A$1,1))+1)/DAY(EOMONTH(DATE(EINSTELLUNG!$C$35,$A$1,1),0))*F36,2),"")</f>
        <v>86.5</v>
      </c>
      <c r="I36" s="43"/>
      <c r="J36" s="44"/>
      <c r="K36" s="281">
        <f t="shared" si="1"/>
        <v>0</v>
      </c>
      <c r="L36" s="283">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1010.5</v>
      </c>
      <c r="M36" s="45"/>
      <c r="N36" s="65"/>
      <c r="O36" s="358" t="s">
        <v>100</v>
      </c>
      <c r="P36" s="297"/>
      <c r="Q36" s="329">
        <f>EINSTELLUNG!D17</f>
        <v>100000</v>
      </c>
      <c r="R36" s="329"/>
      <c r="S36" s="329">
        <f ca="1">SumMergedCells(Q17:R29)</f>
        <v>95729.09</v>
      </c>
      <c r="T36" s="329"/>
      <c r="U36" s="329">
        <f t="shared" ref="U36:U41" ca="1" si="2">S36-Q36</f>
        <v>-4270.9100000000035</v>
      </c>
      <c r="V36" s="330"/>
    </row>
    <row r="37" spans="1:22" ht="22" customHeight="1">
      <c r="A37" s="280" t="s">
        <v>101</v>
      </c>
      <c r="B37" s="92">
        <v>401734</v>
      </c>
      <c r="C37" s="46" t="s">
        <v>263</v>
      </c>
      <c r="D37" s="47">
        <v>45904</v>
      </c>
      <c r="E37" s="48" t="s">
        <v>2</v>
      </c>
      <c r="F37" s="49">
        <v>86.5</v>
      </c>
      <c r="G37" s="281">
        <f>IF(OR(E37="",F37=""),"",PID_KVLohnLookup($A$1,E37,F37,LOHNTABELLE!$H$4))</f>
        <v>1010.5</v>
      </c>
      <c r="H37" s="282">
        <f>IF(AND(ISNUMBER(D37),ISNUMBER(F37)),ROUNDDOWN(MIN(IF(OR(ISBLANK(I37),I37=""),EOMONTH(DATE(EINSTELLUNG!$C$35,$A$1,1),0),I37)-MAX(D37,DATE(EINSTELLUNG!$C$35,$A$1,1))+1)/DAY(EOMONTH(DATE(EINSTELLUNG!$C$35,$A$1,1),0))*F37,2),"")</f>
        <v>86.5</v>
      </c>
      <c r="I37" s="50"/>
      <c r="J37" s="51"/>
      <c r="K37" s="281">
        <f t="shared" si="1"/>
        <v>0</v>
      </c>
      <c r="L37" s="283">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1010.5</v>
      </c>
      <c r="M37" s="52"/>
      <c r="N37" s="66"/>
      <c r="O37" s="358" t="s">
        <v>102</v>
      </c>
      <c r="P37" s="297"/>
      <c r="Q37" s="331">
        <f>IF(ISERROR(Q36/Q35), 0, Q36/Q35)</f>
        <v>0.25</v>
      </c>
      <c r="R37" s="331"/>
      <c r="S37" s="331">
        <f ca="1">IF(ISERROR(S36/S35), 0, S36/S35)</f>
        <v>0.24545920512820513</v>
      </c>
      <c r="T37" s="331"/>
      <c r="U37" s="331">
        <f t="shared" ca="1" si="2"/>
        <v>-4.5407948717948732E-3</v>
      </c>
      <c r="V37" s="332"/>
    </row>
    <row r="38" spans="1:22" ht="22" customHeight="1">
      <c r="A38" s="280" t="s">
        <v>103</v>
      </c>
      <c r="B38" s="91">
        <v>401737</v>
      </c>
      <c r="C38" s="39" t="s">
        <v>265</v>
      </c>
      <c r="D38" s="40">
        <v>45906</v>
      </c>
      <c r="E38" s="41" t="s">
        <v>2</v>
      </c>
      <c r="F38" s="42">
        <v>86.5</v>
      </c>
      <c r="G38" s="281">
        <f>IF(OR(E38="",F38=""),"",PID_KVLohnLookup($A$1,E38,F38,LOHNTABELLE!$H$4))</f>
        <v>1010.5</v>
      </c>
      <c r="H38" s="282">
        <f>IF(AND(ISNUMBER(D38),ISNUMBER(F38)),ROUNDDOWN(MIN(IF(OR(ISBLANK(I38),I38=""),EOMONTH(DATE(EINSTELLUNG!$C$35,$A$1,1),0),I38)-MAX(D38,DATE(EINSTELLUNG!$C$35,$A$1,1))+1)/DAY(EOMONTH(DATE(EINSTELLUNG!$C$35,$A$1,1),0))*F38,2),"")</f>
        <v>86.5</v>
      </c>
      <c r="I38" s="43"/>
      <c r="J38" s="44"/>
      <c r="K38" s="281">
        <f t="shared" si="1"/>
        <v>0</v>
      </c>
      <c r="L38" s="283">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1010.5</v>
      </c>
      <c r="M38" s="45"/>
      <c r="N38" s="65"/>
      <c r="O38" s="358" t="s">
        <v>104</v>
      </c>
      <c r="P38" s="297"/>
      <c r="Q38" s="298">
        <f>EINSTELLUNG!F17</f>
        <v>30000</v>
      </c>
      <c r="R38" s="298"/>
      <c r="S38" s="298">
        <f>EINSTELLUNG!F33</f>
        <v>31000</v>
      </c>
      <c r="T38" s="298"/>
      <c r="U38" s="298">
        <f t="shared" si="2"/>
        <v>1000</v>
      </c>
      <c r="V38" s="299"/>
    </row>
    <row r="39" spans="1:22" ht="22" customHeight="1">
      <c r="A39" s="280" t="s">
        <v>105</v>
      </c>
      <c r="B39" s="92">
        <v>401738</v>
      </c>
      <c r="C39" s="46" t="s">
        <v>266</v>
      </c>
      <c r="D39" s="47">
        <v>45909</v>
      </c>
      <c r="E39" s="48" t="s">
        <v>2</v>
      </c>
      <c r="F39" s="49">
        <v>86.5</v>
      </c>
      <c r="G39" s="281">
        <f>IF(OR(E39="",F39=""),"",PID_KVLohnLookup($A$1,E39,F39,LOHNTABELLE!$H$4))</f>
        <v>1010.5</v>
      </c>
      <c r="H39" s="282">
        <f>IF(AND(ISNUMBER(D39),ISNUMBER(F39)),ROUNDDOWN(MIN(IF(OR(ISBLANK(I39),I39=""),EOMONTH(DATE(EINSTELLUNG!$C$35,$A$1,1),0),I39)-MAX(D39,DATE(EINSTELLUNG!$C$35,$A$1,1))+1)/DAY(EOMONTH(DATE(EINSTELLUNG!$C$35,$A$1,1),0))*F39,2),"")</f>
        <v>86.5</v>
      </c>
      <c r="I39" s="50"/>
      <c r="J39" s="51"/>
      <c r="K39" s="281">
        <f t="shared" si="1"/>
        <v>0</v>
      </c>
      <c r="L39" s="283">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52"/>
      <c r="N39" s="66"/>
      <c r="O39" s="358" t="s">
        <v>106</v>
      </c>
      <c r="P39" s="297"/>
      <c r="Q39" s="329">
        <f>IF(Q38=0, 0, Q35/Q38)</f>
        <v>13.333333333333334</v>
      </c>
      <c r="R39" s="329"/>
      <c r="S39" s="329">
        <f>IF(S38=0, 0, S35/S38)</f>
        <v>12.580645161290322</v>
      </c>
      <c r="T39" s="329"/>
      <c r="U39" s="329">
        <f t="shared" si="2"/>
        <v>-0.75268817204301186</v>
      </c>
      <c r="V39" s="330"/>
    </row>
    <row r="40" spans="1:22" ht="22" customHeight="1">
      <c r="A40" s="280" t="s">
        <v>107</v>
      </c>
      <c r="B40" s="91">
        <v>401745</v>
      </c>
      <c r="C40" s="39" t="s">
        <v>270</v>
      </c>
      <c r="D40" s="40">
        <v>45934</v>
      </c>
      <c r="E40" s="41" t="s">
        <v>2</v>
      </c>
      <c r="F40" s="42">
        <v>86.5</v>
      </c>
      <c r="G40" s="281">
        <f>IF(OR(E40="",F40=""),"",PID_KVLohnLookup($A$1,E40,F40,LOHNTABELLE!$H$4))</f>
        <v>1010.5</v>
      </c>
      <c r="H40" s="282">
        <f>IF(AND(ISNUMBER(D40),ISNUMBER(F40)),ROUNDDOWN(MIN(IF(OR(ISBLANK(I40),I40=""),EOMONTH(DATE(EINSTELLUNG!$C$35,$A$1,1),0),I40)-MAX(D40,DATE(EINSTELLUNG!$C$35,$A$1,1))+1)/DAY(EOMONTH(DATE(EINSTELLUNG!$C$35,$A$1,1),0))*F40,2),"")</f>
        <v>86.5</v>
      </c>
      <c r="I40" s="43"/>
      <c r="J40" s="44"/>
      <c r="K40" s="281">
        <f t="shared" si="1"/>
        <v>0</v>
      </c>
      <c r="L40" s="283">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45"/>
      <c r="N40" s="65"/>
      <c r="O40" s="358" t="s">
        <v>108</v>
      </c>
      <c r="P40" s="297"/>
      <c r="Q40" s="329">
        <f>IF(Q13=0, 0, Q35/Q13)</f>
        <v>61.931488291077997</v>
      </c>
      <c r="R40" s="329"/>
      <c r="S40" s="329">
        <f>IF(Q13=0, 0, S35/Q13)</f>
        <v>60.383201083801048</v>
      </c>
      <c r="T40" s="329"/>
      <c r="U40" s="329">
        <f t="shared" si="2"/>
        <v>-1.5482872072769496</v>
      </c>
      <c r="V40" s="330"/>
    </row>
    <row r="41" spans="1:22" ht="22" customHeight="1">
      <c r="A41" s="280" t="s">
        <v>109</v>
      </c>
      <c r="B41" s="92">
        <v>401746</v>
      </c>
      <c r="C41" s="46" t="s">
        <v>269</v>
      </c>
      <c r="D41" s="47">
        <v>45941</v>
      </c>
      <c r="E41" s="48" t="s">
        <v>2</v>
      </c>
      <c r="F41" s="49">
        <v>86.5</v>
      </c>
      <c r="G41" s="281">
        <f>IF(OR(E41="",F41=""),"",PID_KVLohnLookup($A$1,E41,F41,LOHNTABELLE!$H$4))</f>
        <v>1010.5</v>
      </c>
      <c r="H41" s="282">
        <f>IF(AND(ISNUMBER(D41),ISNUMBER(F41)),ROUNDDOWN(MIN(IF(OR(ISBLANK(I41),I41=""),EOMONTH(DATE(EINSTELLUNG!$C$35,$A$1,1),0),I41)-MAX(D41,DATE(EINSTELLUNG!$C$35,$A$1,1))+1)/DAY(EOMONTH(DATE(EINSTELLUNG!$C$35,$A$1,1),0))*F41,2),"")</f>
        <v>86.5</v>
      </c>
      <c r="I41" s="50"/>
      <c r="J41" s="51"/>
      <c r="K41" s="281">
        <f t="shared" si="1"/>
        <v>0</v>
      </c>
      <c r="L41" s="283">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52"/>
      <c r="N41" s="66"/>
      <c r="O41" s="371" t="s">
        <v>110</v>
      </c>
      <c r="P41" s="334"/>
      <c r="Q41" s="335">
        <f>IF(Q13=0, 0, Q38/Q13)</f>
        <v>4.6448616218308496</v>
      </c>
      <c r="R41" s="335"/>
      <c r="S41" s="335">
        <f>IF(Q13=0, 0, S38/Q13)</f>
        <v>4.7996903425585442</v>
      </c>
      <c r="T41" s="335"/>
      <c r="U41" s="335">
        <f t="shared" si="2"/>
        <v>0.1548287207276946</v>
      </c>
      <c r="V41" s="336"/>
    </row>
    <row r="42" spans="1:22" ht="22" customHeight="1" thickBot="1">
      <c r="A42" s="280" t="s">
        <v>111</v>
      </c>
      <c r="B42" s="91">
        <v>401747</v>
      </c>
      <c r="C42" s="39" t="s">
        <v>267</v>
      </c>
      <c r="D42" s="40">
        <v>45941</v>
      </c>
      <c r="E42" s="41" t="s">
        <v>2</v>
      </c>
      <c r="F42" s="42">
        <v>86.5</v>
      </c>
      <c r="G42" s="281">
        <f>IF(OR(E42="",F42=""),"",PID_KVLohnLookup($A$1,E42,F42,LOHNTABELLE!$H$4))</f>
        <v>1010.5</v>
      </c>
      <c r="H42" s="282">
        <f>IF(AND(ISNUMBER(D42),ISNUMBER(F42)),ROUNDDOWN(MIN(IF(OR(ISBLANK(I42),I42=""),EOMONTH(DATE(EINSTELLUNG!$C$35,$A$1,1),0),I42)-MAX(D42,DATE(EINSTELLUNG!$C$35,$A$1,1))+1)/DAY(EOMONTH(DATE(EINSTELLUNG!$C$35,$A$1,1),0))*F42,2),"")</f>
        <v>86.5</v>
      </c>
      <c r="I42" s="43"/>
      <c r="J42" s="44"/>
      <c r="K42" s="281">
        <f t="shared" si="1"/>
        <v>0</v>
      </c>
      <c r="L42" s="283">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45"/>
      <c r="N42" s="130"/>
      <c r="O42" s="314" t="s">
        <v>112</v>
      </c>
      <c r="P42" s="315"/>
      <c r="Q42" s="337">
        <f>IFERROR(Q17/Q8, 0)</f>
        <v>12.415484636043391</v>
      </c>
      <c r="R42" s="338"/>
      <c r="S42" s="337"/>
      <c r="T42" s="337"/>
      <c r="U42" s="337"/>
      <c r="V42" s="317"/>
    </row>
    <row r="43" spans="1:22" ht="22" customHeight="1">
      <c r="A43" s="280" t="s">
        <v>113</v>
      </c>
      <c r="B43" s="92">
        <v>401748</v>
      </c>
      <c r="C43" s="46" t="s">
        <v>268</v>
      </c>
      <c r="D43" s="47">
        <v>45941</v>
      </c>
      <c r="E43" s="48" t="s">
        <v>2</v>
      </c>
      <c r="F43" s="49">
        <v>138.4</v>
      </c>
      <c r="G43" s="281">
        <f>IF(OR(E43="",F43=""),"",PID_KVLohnLookup($A$1,E43,F43,LOHNTABELLE!$H$4))</f>
        <v>1616.8</v>
      </c>
      <c r="H43" s="282">
        <f>IF(AND(ISNUMBER(D43),ISNUMBER(F43)),ROUNDDOWN(MIN(IF(OR(ISBLANK(I43),I43=""),EOMONTH(DATE(EINSTELLUNG!$C$35,$A$1,1),0),I43)-MAX(D43,DATE(EINSTELLUNG!$C$35,$A$1,1))+1)/DAY(EOMONTH(DATE(EINSTELLUNG!$C$35,$A$1,1),0))*F43,2),"")</f>
        <v>138.4</v>
      </c>
      <c r="I43" s="50"/>
      <c r="J43" s="51"/>
      <c r="K43" s="281">
        <f t="shared" si="1"/>
        <v>0</v>
      </c>
      <c r="L43" s="283">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1616.8</v>
      </c>
      <c r="M43" s="128"/>
      <c r="N43" s="66"/>
      <c r="O43" s="339"/>
      <c r="P43" s="339"/>
      <c r="Q43" s="339"/>
      <c r="R43" s="278"/>
      <c r="S43" s="278"/>
      <c r="T43" s="278"/>
      <c r="U43" s="278"/>
      <c r="V43" s="278"/>
    </row>
    <row r="44" spans="1:22" ht="22" customHeight="1">
      <c r="A44" s="280" t="s">
        <v>114</v>
      </c>
      <c r="B44" s="91">
        <v>401751</v>
      </c>
      <c r="C44" s="39" t="s">
        <v>271</v>
      </c>
      <c r="D44" s="40">
        <v>45961</v>
      </c>
      <c r="E44" s="41" t="s">
        <v>2</v>
      </c>
      <c r="F44" s="42">
        <v>86.5</v>
      </c>
      <c r="G44" s="281">
        <f>IF(OR(E44="",F44=""),"",PID_KVLohnLookup($A$1,E44,F44,LOHNTABELLE!$H$4))</f>
        <v>1010.5</v>
      </c>
      <c r="H44" s="282">
        <f>IF(AND(ISNUMBER(D44),ISNUMBER(F44)),ROUNDDOWN(MIN(IF(OR(ISBLANK(I44),I44=""),EOMONTH(DATE(EINSTELLUNG!$C$35,$A$1,1),0),I44)-MAX(D44,DATE(EINSTELLUNG!$C$35,$A$1,1))+1)/DAY(EOMONTH(DATE(EINSTELLUNG!$C$35,$A$1,1),0))*F44,2),"")</f>
        <v>86.5</v>
      </c>
      <c r="I44" s="43"/>
      <c r="J44" s="44"/>
      <c r="K44" s="281">
        <f t="shared" si="1"/>
        <v>0</v>
      </c>
      <c r="L44" s="283">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1010.5</v>
      </c>
      <c r="M44" s="129"/>
      <c r="N44" s="65"/>
      <c r="O44" s="340" t="s">
        <v>115</v>
      </c>
      <c r="P44" s="340"/>
      <c r="Q44" s="340"/>
      <c r="R44" s="340"/>
      <c r="S44" s="340"/>
      <c r="T44" s="340"/>
      <c r="U44" s="340"/>
      <c r="V44" s="340"/>
    </row>
    <row r="45" spans="1:22" ht="22" customHeight="1">
      <c r="A45" s="280" t="s">
        <v>116</v>
      </c>
      <c r="B45" s="92">
        <v>401752</v>
      </c>
      <c r="C45" s="46" t="s">
        <v>272</v>
      </c>
      <c r="D45" s="47">
        <v>45986</v>
      </c>
      <c r="E45" s="48" t="s">
        <v>2</v>
      </c>
      <c r="F45" s="49">
        <v>173</v>
      </c>
      <c r="G45" s="281">
        <f>IF(OR(E45="",F45=""),"",PID_KVLohnLookup($A$1,E45,F45,LOHNTABELLE!$H$4))</f>
        <v>2021</v>
      </c>
      <c r="H45" s="282">
        <f>IF(AND(ISNUMBER(D45),ISNUMBER(F45)),ROUNDDOWN(MIN(IF(OR(ISBLANK(I45),I45=""),EOMONTH(DATE(EINSTELLUNG!$C$35,$A$1,1),0),I45)-MAX(D45,DATE(EINSTELLUNG!$C$35,$A$1,1))+1)/DAY(EOMONTH(DATE(EINSTELLUNG!$C$35,$A$1,1),0))*F45,2),"")</f>
        <v>173</v>
      </c>
      <c r="I45" s="50"/>
      <c r="J45" s="51"/>
      <c r="K45" s="281">
        <f t="shared" si="1"/>
        <v>0</v>
      </c>
      <c r="L45" s="283">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2021</v>
      </c>
      <c r="M45" s="128"/>
      <c r="N45" s="66"/>
      <c r="O45" s="341"/>
      <c r="P45" s="341"/>
      <c r="Q45" s="341"/>
      <c r="R45" s="342"/>
      <c r="S45" s="342"/>
      <c r="T45" s="342"/>
      <c r="U45" s="342"/>
      <c r="V45" s="278"/>
    </row>
    <row r="46" spans="1:22" ht="22" customHeight="1">
      <c r="A46" s="280" t="s">
        <v>117</v>
      </c>
      <c r="B46" s="91">
        <v>401999</v>
      </c>
      <c r="C46" s="39" t="s">
        <v>354</v>
      </c>
      <c r="D46" s="40">
        <v>46041</v>
      </c>
      <c r="E46" s="41" t="s">
        <v>2</v>
      </c>
      <c r="F46" s="42">
        <v>151.38</v>
      </c>
      <c r="G46" s="281">
        <f>IF(OR(E46="",F46=""),"",PID_KVLohnLookup($A$1,E46,F46,LOHNTABELLE!$H$4))</f>
        <v>1768.38</v>
      </c>
      <c r="H46" s="282">
        <f>IF(AND(ISNUMBER(D46),ISNUMBER(F46)),ROUNDDOWN(MIN(IF(OR(ISBLANK(I46),I46=""),EOMONTH(DATE(EINSTELLUNG!$C$35,$A$1,1),0),I46)-MAX(D46,DATE(EINSTELLUNG!$C$35,$A$1,1))+1)/DAY(EOMONTH(DATE(EINSTELLUNG!$C$35,$A$1,1),0))*F46,2),"")</f>
        <v>151.38</v>
      </c>
      <c r="I46" s="43"/>
      <c r="J46" s="44"/>
      <c r="K46" s="281">
        <f t="shared" si="1"/>
        <v>0</v>
      </c>
      <c r="L46" s="283">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1768.38</v>
      </c>
      <c r="M46" s="129"/>
      <c r="N46" s="65"/>
      <c r="O46" s="278"/>
      <c r="P46" s="278"/>
      <c r="Q46" s="278"/>
      <c r="R46" s="278"/>
      <c r="S46" s="278"/>
      <c r="T46" s="278"/>
      <c r="U46" s="278"/>
      <c r="V46" s="278"/>
    </row>
    <row r="47" spans="1:22" ht="22" customHeight="1">
      <c r="A47" s="280" t="s">
        <v>118</v>
      </c>
      <c r="B47" s="92">
        <v>401999</v>
      </c>
      <c r="C47" s="46" t="s">
        <v>292</v>
      </c>
      <c r="D47" s="47">
        <v>46082</v>
      </c>
      <c r="E47" s="48" t="s">
        <v>2</v>
      </c>
      <c r="F47" s="49">
        <v>173</v>
      </c>
      <c r="G47" s="281">
        <f>IF(OR(E47="",F47=""),"",PID_KVLohnLookup($A$1,E47,F47,LOHNTABELLE!$H$4))</f>
        <v>2021</v>
      </c>
      <c r="H47" s="282">
        <f>IF(AND(ISNUMBER(D47),ISNUMBER(F47)),ROUNDDOWN(MIN(IF(OR(ISBLANK(I47),I47=""),EOMONTH(DATE(EINSTELLUNG!$C$35,$A$1,1),0),I47)-MAX(D47,DATE(EINSTELLUNG!$C$35,$A$1,1))+1)/DAY(EOMONTH(DATE(EINSTELLUNG!$C$35,$A$1,1),0))*F47,2),"")</f>
        <v>173</v>
      </c>
      <c r="I47" s="50"/>
      <c r="J47" s="51"/>
      <c r="K47" s="281">
        <f t="shared" si="1"/>
        <v>0</v>
      </c>
      <c r="L47" s="283">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2021</v>
      </c>
      <c r="M47" s="128"/>
      <c r="N47" s="66"/>
      <c r="O47" s="278"/>
      <c r="P47" s="278"/>
      <c r="Q47" s="278"/>
      <c r="R47" s="278"/>
      <c r="S47" s="278"/>
      <c r="T47" s="278"/>
      <c r="U47" s="278"/>
      <c r="V47" s="278"/>
    </row>
    <row r="48" spans="1:22" ht="18" customHeight="1">
      <c r="A48" s="280" t="s">
        <v>119</v>
      </c>
      <c r="B48" s="91">
        <v>402000</v>
      </c>
      <c r="C48" s="39" t="s">
        <v>294</v>
      </c>
      <c r="D48" s="43">
        <v>46143</v>
      </c>
      <c r="E48" s="41" t="s">
        <v>2</v>
      </c>
      <c r="F48" s="61">
        <v>173</v>
      </c>
      <c r="G48" s="281">
        <f>IF(OR(E48="",F48=""),"",PID_KVLohnLookup($A$1,E48,F48,LOHNTABELLE!$H$4))</f>
        <v>2021</v>
      </c>
      <c r="H48" s="282">
        <f>IF(AND(ISNUMBER(D48),ISNUMBER(F48)),ROUNDDOWN(MIN(IF(OR(ISBLANK(I48),I48=""),EOMONTH(DATE(EINSTELLUNG!$C$35,$A$1,1),0),I48)-MAX(D48,DATE(EINSTELLUNG!$C$35,$A$1,1))+1)/DAY(EOMONTH(DATE(EINSTELLUNG!$C$35,$A$1,1),0))*F48,2),"")</f>
        <v>-284.61</v>
      </c>
      <c r="I48" s="43">
        <v>46305</v>
      </c>
      <c r="J48" s="44"/>
      <c r="K48" s="281">
        <f t="shared" si="1"/>
        <v>0</v>
      </c>
      <c r="L48" s="283" t="str">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
      </c>
      <c r="M48" s="129"/>
      <c r="N48" s="65" t="s">
        <v>188</v>
      </c>
      <c r="O48" s="278"/>
      <c r="P48" s="278"/>
      <c r="Q48" s="278"/>
      <c r="R48" s="278"/>
      <c r="S48" s="278"/>
      <c r="T48" s="278"/>
      <c r="U48" s="278"/>
      <c r="V48" s="278"/>
    </row>
    <row r="49" spans="1:22" ht="22" customHeight="1">
      <c r="A49" s="280" t="s">
        <v>120</v>
      </c>
      <c r="B49" s="92">
        <v>402004</v>
      </c>
      <c r="C49" s="46" t="s">
        <v>295</v>
      </c>
      <c r="D49" s="50">
        <v>46122</v>
      </c>
      <c r="E49" s="48" t="s">
        <v>2</v>
      </c>
      <c r="F49" s="49">
        <v>173</v>
      </c>
      <c r="G49" s="281">
        <f>IF(OR(E49="",F49=""),"",PID_KVLohnLookup($A$1,E49,F49,LOHNTABELLE!$H$4))</f>
        <v>2021</v>
      </c>
      <c r="H49" s="282">
        <f>IF(AND(ISNUMBER(D49),ISNUMBER(F49)),ROUNDDOWN(MIN(IF(OR(ISBLANK(I49),I49=""),EOMONTH(DATE(EINSTELLUNG!$C$35,$A$1,1),0),I49)-MAX(D49,DATE(EINSTELLUNG!$C$35,$A$1,1))+1)/DAY(EOMONTH(DATE(EINSTELLUNG!$C$35,$A$1,1),0))*F49,2),"")</f>
        <v>173</v>
      </c>
      <c r="I49" s="50"/>
      <c r="J49" s="51"/>
      <c r="K49" s="281">
        <f t="shared" si="1"/>
        <v>0</v>
      </c>
      <c r="L49" s="283">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2021</v>
      </c>
      <c r="M49" s="128"/>
      <c r="N49" s="66"/>
      <c r="O49" s="278"/>
      <c r="P49" s="278"/>
      <c r="Q49" s="278"/>
      <c r="R49" s="278"/>
      <c r="S49" s="278"/>
      <c r="T49" s="278"/>
      <c r="U49" s="278"/>
      <c r="V49" s="278"/>
    </row>
    <row r="50" spans="1:22" ht="18" customHeight="1">
      <c r="A50" s="280" t="s">
        <v>121</v>
      </c>
      <c r="B50" s="91">
        <v>402405</v>
      </c>
      <c r="C50" s="53" t="s">
        <v>297</v>
      </c>
      <c r="D50" s="43">
        <v>46054</v>
      </c>
      <c r="E50" s="41" t="s">
        <v>2</v>
      </c>
      <c r="F50" s="42">
        <v>173</v>
      </c>
      <c r="G50" s="281">
        <f>IF(OR(E50="",F50=""),"",PID_KVLohnLookup($A$1,E50,F50,LOHNTABELLE!$H$4))</f>
        <v>2021</v>
      </c>
      <c r="H50" s="282">
        <f>IF(AND(ISNUMBER(D50),ISNUMBER(F50)),ROUNDDOWN(MIN(IF(OR(ISBLANK(I50),I50=""),EOMONTH(DATE(EINSTELLUNG!$C$35,$A$1,1),0),I50)-MAX(D50,DATE(EINSTELLUNG!$C$35,$A$1,1))+1)/DAY(EOMONTH(DATE(EINSTELLUNG!$C$35,$A$1,1),0))*F50,2),"")</f>
        <v>-284.61</v>
      </c>
      <c r="I50" s="43">
        <v>46305</v>
      </c>
      <c r="J50" s="44">
        <v>2</v>
      </c>
      <c r="K50" s="281">
        <f t="shared" si="1"/>
        <v>144.35714285714286</v>
      </c>
      <c r="L50" s="283" t="str">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
      </c>
      <c r="M50" s="129"/>
      <c r="N50" s="65" t="s">
        <v>195</v>
      </c>
      <c r="O50" s="278"/>
      <c r="P50" s="278"/>
      <c r="Q50" s="278"/>
      <c r="R50" s="278"/>
      <c r="S50" s="278"/>
      <c r="T50" s="278"/>
      <c r="U50" s="278"/>
      <c r="V50" s="278"/>
    </row>
    <row r="51" spans="1:22" ht="22" customHeight="1">
      <c r="A51" s="280" t="s">
        <v>122</v>
      </c>
      <c r="B51" s="92">
        <v>500600</v>
      </c>
      <c r="C51" s="46" t="s">
        <v>301</v>
      </c>
      <c r="D51" s="50">
        <v>46054</v>
      </c>
      <c r="E51" s="48" t="s">
        <v>2</v>
      </c>
      <c r="F51" s="49">
        <v>173</v>
      </c>
      <c r="G51" s="281">
        <f>IF(OR(E51="",F51=""),"",PID_KVLohnLookup($A$1,E51,F51,LOHNTABELLE!$H$4))</f>
        <v>2021</v>
      </c>
      <c r="H51" s="282">
        <f>IF(AND(ISNUMBER(D51),ISNUMBER(F51)),ROUNDDOWN(MIN(IF(OR(ISBLANK(I51),I51=""),EOMONTH(DATE(EINSTELLUNG!$C$35,$A$1,1),0),I51)-MAX(D51,DATE(EINSTELLUNG!$C$35,$A$1,1))+1)/DAY(EOMONTH(DATE(EINSTELLUNG!$C$35,$A$1,1),0))*F51,2),"")</f>
        <v>173</v>
      </c>
      <c r="I51" s="50"/>
      <c r="J51" s="51"/>
      <c r="K51" s="281">
        <f t="shared" si="1"/>
        <v>0</v>
      </c>
      <c r="L51" s="283">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2021</v>
      </c>
      <c r="M51" s="52"/>
      <c r="N51" s="127"/>
    </row>
    <row r="52" spans="1:22" ht="22" customHeight="1">
      <c r="A52" s="280" t="s">
        <v>123</v>
      </c>
      <c r="B52" s="91">
        <v>502000</v>
      </c>
      <c r="C52" s="39" t="s">
        <v>296</v>
      </c>
      <c r="D52" s="43">
        <v>46147</v>
      </c>
      <c r="E52" s="41" t="s">
        <v>2</v>
      </c>
      <c r="F52" s="42">
        <v>173</v>
      </c>
      <c r="G52" s="281">
        <f>IF(OR(E52="",F52=""),"",PID_KVLohnLookup($A$1,E52,F52,LOHNTABELLE!$H$4))</f>
        <v>2021</v>
      </c>
      <c r="H52" s="282">
        <f>IF(AND(ISNUMBER(D52),ISNUMBER(F52)),ROUNDDOWN(MIN(IF(OR(ISBLANK(I52),I52=""),EOMONTH(DATE(EINSTELLUNG!$C$35,$A$1,1),0),I52)-MAX(D52,DATE(EINSTELLUNG!$C$35,$A$1,1))+1)/DAY(EOMONTH(DATE(EINSTELLUNG!$C$35,$A$1,1),0))*F52,2),"")</f>
        <v>173</v>
      </c>
      <c r="I52" s="43"/>
      <c r="J52" s="44"/>
      <c r="K52" s="281">
        <f t="shared" si="1"/>
        <v>0</v>
      </c>
      <c r="L52" s="283">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2021</v>
      </c>
      <c r="M52" s="45"/>
      <c r="N52" s="65"/>
    </row>
    <row r="53" spans="1:22" ht="22" customHeight="1">
      <c r="A53" s="280" t="s">
        <v>124</v>
      </c>
      <c r="B53" s="92">
        <v>503000</v>
      </c>
      <c r="C53" s="46" t="s">
        <v>298</v>
      </c>
      <c r="D53" s="50">
        <v>42401</v>
      </c>
      <c r="E53" s="48" t="s">
        <v>2</v>
      </c>
      <c r="F53" s="49">
        <v>173</v>
      </c>
      <c r="G53" s="281">
        <f>IF(OR(E53="",F53=""),"",PID_KVLohnLookup($A$1,E53,F53,LOHNTABELLE!$H$4))</f>
        <v>2021</v>
      </c>
      <c r="H53" s="282">
        <f>IF(AND(ISNUMBER(D53),ISNUMBER(F53)),ROUNDDOWN(MIN(IF(OR(ISBLANK(I53),I53=""),EOMONTH(DATE(EINSTELLUNG!$C$35,$A$1,1),0),I53)-MAX(D53,DATE(EINSTELLUNG!$C$35,$A$1,1))+1)/DAY(EOMONTH(DATE(EINSTELLUNG!$C$35,$A$1,1),0))*F53,2),"")</f>
        <v>173</v>
      </c>
      <c r="I53" s="50"/>
      <c r="J53" s="51"/>
      <c r="K53" s="281">
        <f t="shared" si="1"/>
        <v>0</v>
      </c>
      <c r="L53" s="283">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2021</v>
      </c>
      <c r="M53" s="52"/>
      <c r="N53" s="66"/>
    </row>
    <row r="54" spans="1:22" ht="22" customHeight="1">
      <c r="A54" s="280" t="s">
        <v>125</v>
      </c>
      <c r="B54" s="91">
        <v>504000</v>
      </c>
      <c r="C54" s="39" t="s">
        <v>299</v>
      </c>
      <c r="D54" s="43">
        <v>46054</v>
      </c>
      <c r="E54" s="41" t="s">
        <v>3</v>
      </c>
      <c r="F54" s="42">
        <v>138.4</v>
      </c>
      <c r="G54" s="281">
        <f>IF(OR(E54="",F54=""),"",PID_KVLohnLookup($A$1,E54,F54,LOHNTABELLE!$H$4))</f>
        <v>1665.6</v>
      </c>
      <c r="H54" s="282">
        <f>IF(AND(ISNUMBER(D54),ISNUMBER(F54)),ROUNDDOWN(MIN(IF(OR(ISBLANK(I54),I54=""),EOMONTH(DATE(EINSTELLUNG!$C$35,$A$1,1),0),I54)-MAX(D54,DATE(EINSTELLUNG!$C$35,$A$1,1))+1)/DAY(EOMONTH(DATE(EINSTELLUNG!$C$35,$A$1,1),0))*F54,2),"")</f>
        <v>138.4</v>
      </c>
      <c r="I54" s="43"/>
      <c r="J54" s="44"/>
      <c r="K54" s="281">
        <f t="shared" si="1"/>
        <v>0</v>
      </c>
      <c r="L54" s="283">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1665.6</v>
      </c>
      <c r="M54" s="45"/>
      <c r="N54" s="65"/>
    </row>
    <row r="55" spans="1:22" ht="22" customHeight="1">
      <c r="A55" s="280" t="s">
        <v>126</v>
      </c>
      <c r="B55" s="92">
        <v>505000</v>
      </c>
      <c r="C55" s="46" t="s">
        <v>300</v>
      </c>
      <c r="D55" s="50">
        <v>46054</v>
      </c>
      <c r="E55" s="48" t="s">
        <v>2</v>
      </c>
      <c r="F55" s="49">
        <v>138.4</v>
      </c>
      <c r="G55" s="281">
        <f>IF(OR(E55="",F55=""),"",PID_KVLohnLookup($A$1,E55,F55,LOHNTABELLE!$H$4))</f>
        <v>1616.8</v>
      </c>
      <c r="H55" s="282">
        <f>IF(AND(ISNUMBER(D55),ISNUMBER(F55)),ROUNDDOWN(MIN(IF(OR(ISBLANK(I55),I55=""),EOMONTH(DATE(EINSTELLUNG!$C$35,$A$1,1),0),I55)-MAX(D55,DATE(EINSTELLUNG!$C$35,$A$1,1))+1)/DAY(EOMONTH(DATE(EINSTELLUNG!$C$35,$A$1,1),0))*F55,2),"")</f>
        <v>138.4</v>
      </c>
      <c r="I55" s="50"/>
      <c r="J55" s="51"/>
      <c r="K55" s="281">
        <f t="shared" si="1"/>
        <v>0</v>
      </c>
      <c r="L55" s="283">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1616.8</v>
      </c>
      <c r="M55" s="52"/>
      <c r="N55" s="66"/>
    </row>
    <row r="56" spans="1:22" ht="22" customHeight="1">
      <c r="A56" s="280" t="s">
        <v>127</v>
      </c>
      <c r="B56" s="91">
        <v>525025</v>
      </c>
      <c r="C56" s="39" t="s">
        <v>355</v>
      </c>
      <c r="D56" s="43">
        <v>46040</v>
      </c>
      <c r="E56" s="41" t="s">
        <v>2</v>
      </c>
      <c r="F56" s="42">
        <v>129.75</v>
      </c>
      <c r="G56" s="281">
        <f>IF(OR(E56="",F56=""),"",PID_KVLohnLookup($A$1,E56,F56,LOHNTABELLE!$H$4))</f>
        <v>1515.75</v>
      </c>
      <c r="H56" s="282">
        <f>IF(AND(ISNUMBER(D56),ISNUMBER(F56)),ROUNDDOWN(MIN(IF(OR(ISBLANK(I56),I56=""),EOMONTH(DATE(EINSTELLUNG!$C$35,$A$1,1),0),I56)-MAX(D56,DATE(EINSTELLUNG!$C$35,$A$1,1))+1)/DAY(EOMONTH(DATE(EINSTELLUNG!$C$35,$A$1,1),0))*F56,2),"")</f>
        <v>129.75</v>
      </c>
      <c r="I56" s="43"/>
      <c r="J56" s="44"/>
      <c r="K56" s="281">
        <f t="shared" si="1"/>
        <v>0</v>
      </c>
      <c r="L56" s="283">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1515.75</v>
      </c>
      <c r="M56" s="45"/>
      <c r="N56" s="65"/>
    </row>
    <row r="57" spans="1:22" ht="22" customHeight="1">
      <c r="A57" s="280" t="s">
        <v>128</v>
      </c>
      <c r="B57" s="92">
        <v>700000</v>
      </c>
      <c r="C57" s="46" t="s">
        <v>308</v>
      </c>
      <c r="D57" s="50">
        <v>46054</v>
      </c>
      <c r="E57" s="48" t="s">
        <v>2</v>
      </c>
      <c r="F57" s="49">
        <v>173</v>
      </c>
      <c r="G57" s="281">
        <f>IF(OR(E57="",F57=""),"",PID_KVLohnLookup($A$1,E57,F57,LOHNTABELLE!$H$4))</f>
        <v>2021</v>
      </c>
      <c r="H57" s="282">
        <f>IF(AND(ISNUMBER(D57),ISNUMBER(F57)),ROUNDDOWN(MIN(IF(OR(ISBLANK(I57),I57=""),EOMONTH(DATE(EINSTELLUNG!$C$35,$A$1,1),0),I57)-MAX(D57,DATE(EINSTELLUNG!$C$35,$A$1,1))+1)/DAY(EOMONTH(DATE(EINSTELLUNG!$C$35,$A$1,1),0))*F57,2),"")</f>
        <v>173</v>
      </c>
      <c r="I57" s="50"/>
      <c r="J57" s="51"/>
      <c r="K57" s="281">
        <f t="shared" si="1"/>
        <v>0</v>
      </c>
      <c r="L57" s="283">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2021</v>
      </c>
      <c r="M57" s="52"/>
      <c r="N57" s="66"/>
    </row>
    <row r="58" spans="1:22" ht="22" customHeight="1">
      <c r="A58" s="280" t="s">
        <v>129</v>
      </c>
      <c r="B58" s="91">
        <v>800000</v>
      </c>
      <c r="C58" s="39" t="s">
        <v>309</v>
      </c>
      <c r="D58" s="43">
        <v>46096</v>
      </c>
      <c r="E58" s="41" t="s">
        <v>2</v>
      </c>
      <c r="F58" s="42">
        <v>166</v>
      </c>
      <c r="G58" s="281" t="str">
        <f>IF(OR(E58="",F58=""),"",PID_KVLohnLookup($A$1,E58,F58,LOHNTABELLE!$H$4))</f>
        <v>Nicht gefunden</v>
      </c>
      <c r="H58" s="282">
        <f>IF(AND(ISNUMBER(D58),ISNUMBER(F58)),ROUNDDOWN(MIN(IF(OR(ISBLANK(I58),I58=""),EOMONTH(DATE(EINSTELLUNG!$C$35,$A$1,1),0),I58)-MAX(D58,DATE(EINSTELLUNG!$C$35,$A$1,1))+1)/DAY(EOMONTH(DATE(EINSTELLUNG!$C$35,$A$1,1),0))*F58,2),"")</f>
        <v>166</v>
      </c>
      <c r="I58" s="43"/>
      <c r="J58" s="44"/>
      <c r="K58" s="281">
        <f t="shared" si="1"/>
        <v>0</v>
      </c>
      <c r="L58" s="283" t="str">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Nicht gefunden</v>
      </c>
      <c r="M58" s="45"/>
      <c r="N58" s="65"/>
    </row>
    <row r="59" spans="1:22" ht="22" customHeight="1">
      <c r="A59" s="280" t="s">
        <v>130</v>
      </c>
      <c r="B59" s="92"/>
      <c r="C59" s="46"/>
      <c r="D59" s="50"/>
      <c r="E59" s="48"/>
      <c r="F59" s="49"/>
      <c r="G59" s="281" t="str">
        <f>IF(OR(E59="",F59=""),"",PID_KVLohnLookup($A$1,E59,F59,LOHNTABELLE!$H$4))</f>
        <v/>
      </c>
      <c r="H59" s="282" t="str">
        <f>IF(AND(ISNUMBER(D59),ISNUMBER(F59)),ROUNDDOWN(MIN(IF(OR(ISBLANK(I59),I59=""),EOMONTH(DATE(EINSTELLUNG!$C$35,$A$1,1),0),I59)-MAX(D59,DATE(EINSTELLUNG!$C$35,$A$1,1))+1)/DAY(EOMONTH(DATE(EINSTELLUNG!$C$35,$A$1,1),0))*F59,2),"")</f>
        <v/>
      </c>
      <c r="I59" s="50"/>
      <c r="J59" s="51"/>
      <c r="K59" s="281" t="str">
        <f t="shared" si="1"/>
        <v/>
      </c>
      <c r="L59" s="283" t="str">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
      </c>
      <c r="M59" s="52"/>
      <c r="N59" s="66"/>
    </row>
    <row r="60" spans="1:22" ht="22" customHeight="1">
      <c r="A60" s="280" t="s">
        <v>131</v>
      </c>
      <c r="B60" s="91"/>
      <c r="C60" s="39"/>
      <c r="D60" s="43"/>
      <c r="E60" s="41"/>
      <c r="F60" s="42"/>
      <c r="G60" s="281" t="str">
        <f>IF(OR(E60="",F60=""),"",PID_KVLohnLookup($A$1,E60,F60,LOHNTABELLE!$H$4))</f>
        <v/>
      </c>
      <c r="H60" s="282" t="str">
        <f>IF(AND(ISNUMBER(D60),ISNUMBER(F60)),ROUNDDOWN(MIN(IF(OR(ISBLANK(I60),I60=""),EOMONTH(DATE(EINSTELLUNG!$C$35,$A$1,1),0),I60)-MAX(D60,DATE(EINSTELLUNG!$C$35,$A$1,1))+1)/DAY(EOMONTH(DATE(EINSTELLUNG!$C$35,$A$1,1),0))*F60,2),"")</f>
        <v/>
      </c>
      <c r="I60" s="43"/>
      <c r="J60" s="44"/>
      <c r="K60" s="281" t="str">
        <f t="shared" si="1"/>
        <v/>
      </c>
      <c r="L60" s="283" t="str">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
      </c>
      <c r="M60" s="45"/>
      <c r="N60" s="65"/>
    </row>
    <row r="61" spans="1:22" ht="22" customHeight="1">
      <c r="A61" s="280" t="s">
        <v>132</v>
      </c>
      <c r="B61" s="92"/>
      <c r="C61" s="46"/>
      <c r="D61" s="50"/>
      <c r="E61" s="48"/>
      <c r="F61" s="49"/>
      <c r="G61" s="281" t="str">
        <f>IF(OR(E61="",F61=""),"",PID_KVLohnLookup($A$1,E61,F61,LOHNTABELLE!$H$4))</f>
        <v/>
      </c>
      <c r="H61" s="282" t="str">
        <f>IF(AND(ISNUMBER(D61),ISNUMBER(F61)),ROUNDDOWN(MIN(IF(OR(ISBLANK(I61),I61=""),EOMONTH(DATE(EINSTELLUNG!$C$35,$A$1,1),0),I61)-MAX(D61,DATE(EINSTELLUNG!$C$35,$A$1,1))+1)/DAY(EOMONTH(DATE(EINSTELLUNG!$C$35,$A$1,1),0))*F61,2),"")</f>
        <v/>
      </c>
      <c r="I61" s="50"/>
      <c r="J61" s="51"/>
      <c r="K61" s="281" t="str">
        <f t="shared" si="1"/>
        <v/>
      </c>
      <c r="L61" s="283" t="str">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52"/>
      <c r="N61" s="66"/>
    </row>
    <row r="62" spans="1:22" ht="22" customHeight="1">
      <c r="A62" s="280" t="s">
        <v>133</v>
      </c>
      <c r="B62" s="91"/>
      <c r="C62" s="39"/>
      <c r="D62" s="43"/>
      <c r="E62" s="41"/>
      <c r="F62" s="42"/>
      <c r="G62" s="281" t="str">
        <f>IF(OR(E62="",F62=""),"",PID_KVLohnLookup($A$1,E62,F62,LOHNTABELLE!$H$4))</f>
        <v/>
      </c>
      <c r="H62" s="282" t="str">
        <f>IF(AND(ISNUMBER(D62),ISNUMBER(F62)),ROUNDDOWN(MIN(IF(OR(ISBLANK(I62),I62=""),EOMONTH(DATE(EINSTELLUNG!$C$35,$A$1,1),0),I62)-MAX(D62,DATE(EINSTELLUNG!$C$35,$A$1,1))+1)/DAY(EOMONTH(DATE(EINSTELLUNG!$C$35,$A$1,1),0))*F62,2),"")</f>
        <v/>
      </c>
      <c r="I62" s="43"/>
      <c r="J62" s="44"/>
      <c r="K62" s="281" t="str">
        <f t="shared" si="1"/>
        <v/>
      </c>
      <c r="L62" s="283"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45"/>
      <c r="N62" s="65"/>
    </row>
    <row r="63" spans="1:22" ht="22" customHeight="1">
      <c r="A63" s="280" t="s">
        <v>134</v>
      </c>
      <c r="B63" s="92"/>
      <c r="C63" s="46"/>
      <c r="D63" s="50"/>
      <c r="E63" s="48"/>
      <c r="F63" s="49"/>
      <c r="G63" s="281" t="str">
        <f>IF(OR(E63="",F63=""),"",PID_KVLohnLookup($A$1,E63,F63,LOHNTABELLE!$H$4))</f>
        <v/>
      </c>
      <c r="H63" s="282" t="str">
        <f>IF(AND(ISNUMBER(D63),ISNUMBER(F63)),ROUNDDOWN(MIN(IF(OR(ISBLANK(I63),I63=""),EOMONTH(DATE(EINSTELLUNG!$C$35,$A$1,1),0),I63)-MAX(D63,DATE(EINSTELLUNG!$C$35,$A$1,1))+1)/DAY(EOMONTH(DATE(EINSTELLUNG!$C$35,$A$1,1),0))*F63,2),"")</f>
        <v/>
      </c>
      <c r="I63" s="50"/>
      <c r="J63" s="51"/>
      <c r="K63" s="281" t="str">
        <f t="shared" si="1"/>
        <v/>
      </c>
      <c r="L63" s="283"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52"/>
      <c r="N63" s="66"/>
    </row>
    <row r="64" spans="1:22" ht="22" customHeight="1">
      <c r="A64" s="280" t="s">
        <v>135</v>
      </c>
      <c r="B64" s="91"/>
      <c r="C64" s="39"/>
      <c r="D64" s="43"/>
      <c r="E64" s="41"/>
      <c r="F64" s="42"/>
      <c r="G64" s="281" t="str">
        <f>IF(OR(E64="",F64=""),"",PID_KVLohnLookup($A$1,E64,F64,LOHNTABELLE!$H$4))</f>
        <v/>
      </c>
      <c r="H64" s="282" t="str">
        <f>IF(AND(ISNUMBER(D64),ISNUMBER(F64)),ROUNDDOWN(MIN(IF(OR(ISBLANK(I64),I64=""),EOMONTH(DATE(EINSTELLUNG!$C$35,$A$1,1),0),I64)-MAX(D64,DATE(EINSTELLUNG!$C$35,$A$1,1))+1)/DAY(EOMONTH(DATE(EINSTELLUNG!$C$35,$A$1,1),0))*F64,2),"")</f>
        <v/>
      </c>
      <c r="I64" s="43"/>
      <c r="J64" s="44"/>
      <c r="K64" s="281" t="str">
        <f t="shared" si="1"/>
        <v/>
      </c>
      <c r="L64" s="283"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45"/>
      <c r="N64" s="65"/>
    </row>
    <row r="65" spans="1:14" ht="22" customHeight="1">
      <c r="A65" s="280" t="s">
        <v>136</v>
      </c>
      <c r="B65" s="92"/>
      <c r="C65" s="46"/>
      <c r="D65" s="50"/>
      <c r="E65" s="48"/>
      <c r="F65" s="49"/>
      <c r="G65" s="281" t="str">
        <f>IF(OR(E65="",F65=""),"",PID_KVLohnLookup($A$1,E65,F65,LOHNTABELLE!$H$4))</f>
        <v/>
      </c>
      <c r="H65" s="282" t="str">
        <f>IF(AND(ISNUMBER(D65),ISNUMBER(F65)),ROUNDDOWN(MIN(IF(OR(ISBLANK(I65),I65=""),EOMONTH(DATE(EINSTELLUNG!$C$35,$A$1,1),0),I65)-MAX(D65,DATE(EINSTELLUNG!$C$35,$A$1,1))+1)/DAY(EOMONTH(DATE(EINSTELLUNG!$C$35,$A$1,1),0))*F65,2),"")</f>
        <v/>
      </c>
      <c r="I65" s="50"/>
      <c r="J65" s="51"/>
      <c r="K65" s="281" t="str">
        <f t="shared" si="1"/>
        <v/>
      </c>
      <c r="L65" s="283"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52"/>
      <c r="N65" s="66"/>
    </row>
    <row r="66" spans="1:14" ht="22" customHeight="1">
      <c r="A66" s="280" t="s">
        <v>137</v>
      </c>
      <c r="B66" s="91"/>
      <c r="C66" s="39"/>
      <c r="D66" s="43"/>
      <c r="E66" s="41"/>
      <c r="F66" s="42"/>
      <c r="G66" s="281" t="str">
        <f>IF(OR(E66="",F66=""),"",PID_KVLohnLookup($A$1,E66,F66,LOHNTABELLE!$H$4))</f>
        <v/>
      </c>
      <c r="H66" s="282" t="str">
        <f>IF(AND(ISNUMBER(D66),ISNUMBER(F66)),ROUNDDOWN(MIN(IF(OR(ISBLANK(I66),I66=""),EOMONTH(DATE(EINSTELLUNG!$C$35,$A$1,1),0),I66)-MAX(D66,DATE(EINSTELLUNG!$C$35,$A$1,1))+1)/DAY(EOMONTH(DATE(EINSTELLUNG!$C$35,$A$1,1),0))*F66,2),"")</f>
        <v/>
      </c>
      <c r="I66" s="43"/>
      <c r="J66" s="44"/>
      <c r="K66" s="281" t="str">
        <f t="shared" si="1"/>
        <v/>
      </c>
      <c r="L66" s="283"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45"/>
      <c r="N66" s="65"/>
    </row>
    <row r="67" spans="1:14" ht="22" customHeight="1">
      <c r="A67" s="280" t="s">
        <v>138</v>
      </c>
      <c r="B67" s="92"/>
      <c r="C67" s="46"/>
      <c r="D67" s="50"/>
      <c r="E67" s="48"/>
      <c r="F67" s="49"/>
      <c r="G67" s="281" t="str">
        <f>IF(OR(E67="",F67=""),"",PID_KVLohnLookup($A$1,E67,F67,LOHNTABELLE!$H$4))</f>
        <v/>
      </c>
      <c r="H67" s="282" t="str">
        <f>IF(AND(ISNUMBER(D67),ISNUMBER(F67)),ROUNDDOWN(MIN(IF(OR(ISBLANK(I67),I67=""),EOMONTH(DATE(EINSTELLUNG!$C$35,$A$1,1),0),I67)-MAX(D67,DATE(EINSTELLUNG!$C$35,$A$1,1))+1)/DAY(EOMONTH(DATE(EINSTELLUNG!$C$35,$A$1,1),0))*F67,2),"")</f>
        <v/>
      </c>
      <c r="I67" s="50"/>
      <c r="J67" s="51"/>
      <c r="K67" s="281" t="str">
        <f t="shared" ref="K67:K82" si="3">IF(OR(B67="",C67=""),"",IFERROR(IF(OR(MONTH(D67)=1,MONTH(D67)=3,MONTH(D67)=5,MONTH(D67)=7,MONTH(D67)=8,MONTH(D67)=10,MONTH(D67)=12),(G67/31)*J67,IF(OR(MONTH(D67)=4,MONTH(D67)=6,MONTH(D67)=9,MONTH(D67)=11),(G67/30)*J67,(G67/DAY(EOMONTH(D67,0)))*J67)),0))</f>
        <v/>
      </c>
      <c r="L67" s="283"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52"/>
      <c r="N67" s="66"/>
    </row>
    <row r="68" spans="1:14" ht="22" customHeight="1">
      <c r="A68" s="280" t="s">
        <v>139</v>
      </c>
      <c r="B68" s="91"/>
      <c r="C68" s="39"/>
      <c r="D68" s="43"/>
      <c r="E68" s="41"/>
      <c r="F68" s="42"/>
      <c r="G68" s="281" t="str">
        <f>IF(OR(E68="",F68=""),"",PID_KVLohnLookup($A$1,E68,F68,LOHNTABELLE!$H$4))</f>
        <v/>
      </c>
      <c r="H68" s="282" t="str">
        <f>IF(AND(ISNUMBER(D68),ISNUMBER(F68)),ROUNDDOWN(MIN(IF(OR(ISBLANK(I68),I68=""),EOMONTH(DATE(EINSTELLUNG!$C$35,$A$1,1),0),I68)-MAX(D68,DATE(EINSTELLUNG!$C$35,$A$1,1))+1)/DAY(EOMONTH(DATE(EINSTELLUNG!$C$35,$A$1,1),0))*F68,2),"")</f>
        <v/>
      </c>
      <c r="I68" s="43"/>
      <c r="J68" s="44"/>
      <c r="K68" s="281" t="str">
        <f t="shared" si="3"/>
        <v/>
      </c>
      <c r="L68" s="283"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45"/>
      <c r="N68" s="65"/>
    </row>
    <row r="69" spans="1:14" ht="22" customHeight="1">
      <c r="A69" s="280" t="s">
        <v>140</v>
      </c>
      <c r="B69" s="92"/>
      <c r="C69" s="46"/>
      <c r="D69" s="50"/>
      <c r="E69" s="48"/>
      <c r="F69" s="49"/>
      <c r="G69" s="281" t="str">
        <f>IF(OR(E69="",F69=""),"",PID_KVLohnLookup($A$1,E69,F69,LOHNTABELLE!$H$4))</f>
        <v/>
      </c>
      <c r="H69" s="282" t="str">
        <f>IF(AND(ISNUMBER(D69),ISNUMBER(F69)),ROUNDDOWN(MIN(IF(OR(ISBLANK(I69),I69=""),EOMONTH(DATE(EINSTELLUNG!$C$35,$A$1,1),0),I69)-MAX(D69,DATE(EINSTELLUNG!$C$35,$A$1,1))+1)/DAY(EOMONTH(DATE(EINSTELLUNG!$C$35,$A$1,1),0))*F69,2),"")</f>
        <v/>
      </c>
      <c r="I69" s="50"/>
      <c r="J69" s="51"/>
      <c r="K69" s="281" t="str">
        <f t="shared" si="3"/>
        <v/>
      </c>
      <c r="L69" s="283"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52"/>
      <c r="N69" s="66"/>
    </row>
    <row r="70" spans="1:14" ht="22" customHeight="1">
      <c r="A70" s="280" t="s">
        <v>141</v>
      </c>
      <c r="B70" s="91"/>
      <c r="C70" s="39"/>
      <c r="D70" s="43"/>
      <c r="E70" s="41"/>
      <c r="F70" s="42"/>
      <c r="G70" s="281" t="str">
        <f>IF(OR(E70="",F70=""),"",PID_KVLohnLookup($A$1,E70,F70,LOHNTABELLE!$H$4))</f>
        <v/>
      </c>
      <c r="H70" s="282" t="str">
        <f>IF(AND(ISNUMBER(D70),ISNUMBER(F70)),ROUNDDOWN(MIN(IF(OR(ISBLANK(I70),I70=""),EOMONTH(DATE(EINSTELLUNG!$C$35,$A$1,1),0),I70)-MAX(D70,DATE(EINSTELLUNG!$C$35,$A$1,1))+1)/DAY(EOMONTH(DATE(EINSTELLUNG!$C$35,$A$1,1),0))*F70,2),"")</f>
        <v/>
      </c>
      <c r="I70" s="43"/>
      <c r="J70" s="44"/>
      <c r="K70" s="281" t="str">
        <f t="shared" si="3"/>
        <v/>
      </c>
      <c r="L70" s="283"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45"/>
      <c r="N70" s="65"/>
    </row>
    <row r="71" spans="1:14" ht="22" customHeight="1">
      <c r="A71" s="280" t="s">
        <v>142</v>
      </c>
      <c r="B71" s="92"/>
      <c r="C71" s="46"/>
      <c r="D71" s="50"/>
      <c r="E71" s="48"/>
      <c r="F71" s="49"/>
      <c r="G71" s="281" t="str">
        <f>IF(OR(E71="",F71=""),"",PID_KVLohnLookup($A$1,E71,F71,LOHNTABELLE!$H$4))</f>
        <v/>
      </c>
      <c r="H71" s="282" t="str">
        <f>IF(AND(ISNUMBER(D71),ISNUMBER(F71)),ROUNDDOWN(MIN(IF(OR(ISBLANK(I71),I71=""),EOMONTH(DATE(EINSTELLUNG!$C$35,$A$1,1),0),I71)-MAX(D71,DATE(EINSTELLUNG!$C$35,$A$1,1))+1)/DAY(EOMONTH(DATE(EINSTELLUNG!$C$35,$A$1,1),0))*F71,2),"")</f>
        <v/>
      </c>
      <c r="I71" s="50"/>
      <c r="J71" s="51"/>
      <c r="K71" s="281" t="str">
        <f t="shared" si="3"/>
        <v/>
      </c>
      <c r="L71" s="283"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52"/>
      <c r="N71" s="66"/>
    </row>
    <row r="72" spans="1:14" ht="22" customHeight="1">
      <c r="A72" s="280" t="s">
        <v>143</v>
      </c>
      <c r="B72" s="91"/>
      <c r="C72" s="39"/>
      <c r="D72" s="43"/>
      <c r="E72" s="41"/>
      <c r="F72" s="42"/>
      <c r="G72" s="281" t="str">
        <f>IF(OR(E72="",F72=""),"",PID_KVLohnLookup($A$1,E72,F72,LOHNTABELLE!$H$4))</f>
        <v/>
      </c>
      <c r="H72" s="282" t="str">
        <f>IF(AND(ISNUMBER(D72),ISNUMBER(F72)),ROUNDDOWN(MIN(IF(OR(ISBLANK(I72),I72=""),EOMONTH(DATE(EINSTELLUNG!$C$35,$A$1,1),0),I72)-MAX(D72,DATE(EINSTELLUNG!$C$35,$A$1,1))+1)/DAY(EOMONTH(DATE(EINSTELLUNG!$C$35,$A$1,1),0))*F72,2),"")</f>
        <v/>
      </c>
      <c r="I72" s="43"/>
      <c r="J72" s="44"/>
      <c r="K72" s="281" t="str">
        <f t="shared" si="3"/>
        <v/>
      </c>
      <c r="L72" s="283"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45"/>
      <c r="N72" s="65"/>
    </row>
    <row r="73" spans="1:14" ht="22" customHeight="1">
      <c r="A73" s="280" t="s">
        <v>144</v>
      </c>
      <c r="B73" s="92"/>
      <c r="C73" s="46"/>
      <c r="D73" s="50"/>
      <c r="E73" s="48"/>
      <c r="F73" s="49"/>
      <c r="G73" s="281" t="str">
        <f>IF(OR(E73="",F73=""),"",PID_KVLohnLookup($A$1,E73,F73,LOHNTABELLE!$H$4))</f>
        <v/>
      </c>
      <c r="H73" s="282" t="str">
        <f>IF(AND(ISNUMBER(D73),ISNUMBER(F73)),ROUNDDOWN(MIN(IF(OR(ISBLANK(I73),I73=""),EOMONTH(DATE(EINSTELLUNG!$C$35,$A$1,1),0),I73)-MAX(D73,DATE(EINSTELLUNG!$C$35,$A$1,1))+1)/DAY(EOMONTH(DATE(EINSTELLUNG!$C$35,$A$1,1),0))*F73,2),"")</f>
        <v/>
      </c>
      <c r="I73" s="50"/>
      <c r="J73" s="51"/>
      <c r="K73" s="281" t="str">
        <f t="shared" si="3"/>
        <v/>
      </c>
      <c r="L73" s="283"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52"/>
      <c r="N73" s="66"/>
    </row>
    <row r="74" spans="1:14" ht="22" customHeight="1">
      <c r="A74" s="280" t="s">
        <v>145</v>
      </c>
      <c r="B74" s="91"/>
      <c r="C74" s="39"/>
      <c r="D74" s="43"/>
      <c r="E74" s="41"/>
      <c r="F74" s="42"/>
      <c r="G74" s="281" t="str">
        <f>IF(OR(E74="",F74=""),"",PID_KVLohnLookup($A$1,E74,F74,LOHNTABELLE!$H$4))</f>
        <v/>
      </c>
      <c r="H74" s="282" t="str">
        <f>IF(AND(ISNUMBER(D74),ISNUMBER(F74)),ROUNDDOWN(MIN(IF(OR(ISBLANK(I74),I74=""),EOMONTH(DATE(EINSTELLUNG!$C$35,$A$1,1),0),I74)-MAX(D74,DATE(EINSTELLUNG!$C$35,$A$1,1))+1)/DAY(EOMONTH(DATE(EINSTELLUNG!$C$35,$A$1,1),0))*F74,2),"")</f>
        <v/>
      </c>
      <c r="I74" s="43"/>
      <c r="J74" s="44"/>
      <c r="K74" s="281" t="str">
        <f t="shared" si="3"/>
        <v/>
      </c>
      <c r="L74" s="283"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45"/>
      <c r="N74" s="65"/>
    </row>
    <row r="75" spans="1:14" ht="22" customHeight="1">
      <c r="A75" s="280" t="s">
        <v>146</v>
      </c>
      <c r="B75" s="92"/>
      <c r="C75" s="46"/>
      <c r="D75" s="50"/>
      <c r="E75" s="48"/>
      <c r="F75" s="49"/>
      <c r="G75" s="281" t="str">
        <f>IF(OR(E75="",F75=""),"",PID_KVLohnLookup($A$1,E75,F75,LOHNTABELLE!$H$4))</f>
        <v/>
      </c>
      <c r="H75" s="282" t="str">
        <f>IF(AND(ISNUMBER(D75),ISNUMBER(F75)),ROUNDDOWN(MIN(IF(OR(ISBLANK(I75),I75=""),EOMONTH(DATE(EINSTELLUNG!$C$35,$A$1,1),0),I75)-MAX(D75,DATE(EINSTELLUNG!$C$35,$A$1,1))+1)/DAY(EOMONTH(DATE(EINSTELLUNG!$C$35,$A$1,1),0))*F75,2),"")</f>
        <v/>
      </c>
      <c r="I75" s="50"/>
      <c r="J75" s="51"/>
      <c r="K75" s="281" t="str">
        <f t="shared" si="3"/>
        <v/>
      </c>
      <c r="L75" s="283"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52"/>
      <c r="N75" s="66"/>
    </row>
    <row r="76" spans="1:14" ht="22" customHeight="1">
      <c r="A76" s="280" t="s">
        <v>147</v>
      </c>
      <c r="B76" s="91"/>
      <c r="C76" s="39"/>
      <c r="D76" s="43"/>
      <c r="E76" s="41"/>
      <c r="F76" s="42"/>
      <c r="G76" s="281" t="str">
        <f>IF(OR(E76="",F76=""),"",PID_KVLohnLookup($A$1,E76,F76,LOHNTABELLE!$H$4))</f>
        <v/>
      </c>
      <c r="H76" s="282" t="str">
        <f>IF(AND(ISNUMBER(D76),ISNUMBER(F76)),ROUNDDOWN(MIN(IF(OR(ISBLANK(I76),I76=""),EOMONTH(DATE(EINSTELLUNG!$C$35,$A$1,1),0),I76)-MAX(D76,DATE(EINSTELLUNG!$C$35,$A$1,1))+1)/DAY(EOMONTH(DATE(EINSTELLUNG!$C$35,$A$1,1),0))*F76,2),"")</f>
        <v/>
      </c>
      <c r="I76" s="43"/>
      <c r="J76" s="44"/>
      <c r="K76" s="281" t="str">
        <f t="shared" si="3"/>
        <v/>
      </c>
      <c r="L76" s="283"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45"/>
      <c r="N76" s="65"/>
    </row>
    <row r="77" spans="1:14" ht="22" customHeight="1">
      <c r="A77" s="280" t="s">
        <v>148</v>
      </c>
      <c r="B77" s="92"/>
      <c r="C77" s="46"/>
      <c r="D77" s="50"/>
      <c r="E77" s="48"/>
      <c r="F77" s="49"/>
      <c r="G77" s="281" t="str">
        <f>IF(OR(E77="",F77=""),"",PID_KVLohnLookup($A$1,E77,F77,LOHNTABELLE!$H$4))</f>
        <v/>
      </c>
      <c r="H77" s="282" t="str">
        <f>IF(AND(ISNUMBER(D77),ISNUMBER(F77)),ROUNDDOWN(MIN(IF(OR(ISBLANK(I77),I77=""),EOMONTH(DATE(EINSTELLUNG!$C$35,$A$1,1),0),I77)-MAX(D77,DATE(EINSTELLUNG!$C$35,$A$1,1))+1)/DAY(EOMONTH(DATE(EINSTELLUNG!$C$35,$A$1,1),0))*F77,2),"")</f>
        <v/>
      </c>
      <c r="I77" s="50"/>
      <c r="J77" s="51"/>
      <c r="K77" s="281" t="str">
        <f t="shared" si="3"/>
        <v/>
      </c>
      <c r="L77" s="283"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52"/>
      <c r="N77" s="66"/>
    </row>
    <row r="78" spans="1:14" ht="22" customHeight="1">
      <c r="A78" s="280" t="s">
        <v>149</v>
      </c>
      <c r="B78" s="91"/>
      <c r="C78" s="39"/>
      <c r="D78" s="43"/>
      <c r="E78" s="41"/>
      <c r="F78" s="42"/>
      <c r="G78" s="281" t="str">
        <f>IF(OR(E78="",F78=""),"",PID_KVLohnLookup($A$1,E78,F78,LOHNTABELLE!$H$4))</f>
        <v/>
      </c>
      <c r="H78" s="282" t="str">
        <f>IF(AND(ISNUMBER(D78),ISNUMBER(F78)),ROUNDDOWN(MIN(IF(OR(ISBLANK(I78),I78=""),EOMONTH(DATE(EINSTELLUNG!$C$35,$A$1,1),0),I78)-MAX(D78,DATE(EINSTELLUNG!$C$35,$A$1,1))+1)/DAY(EOMONTH(DATE(EINSTELLUNG!$C$35,$A$1,1),0))*F78,2),"")</f>
        <v/>
      </c>
      <c r="I78" s="43"/>
      <c r="J78" s="44"/>
      <c r="K78" s="281" t="str">
        <f t="shared" si="3"/>
        <v/>
      </c>
      <c r="L78" s="283"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45"/>
      <c r="N78" s="65"/>
    </row>
    <row r="79" spans="1:14" ht="22" customHeight="1">
      <c r="A79" s="280" t="s">
        <v>150</v>
      </c>
      <c r="B79" s="92"/>
      <c r="C79" s="46"/>
      <c r="D79" s="50"/>
      <c r="E79" s="48"/>
      <c r="F79" s="49"/>
      <c r="G79" s="281" t="str">
        <f>IF(OR(E79="",F79=""),"",PID_KVLohnLookup($A$1,E79,F79,LOHNTABELLE!$H$4))</f>
        <v/>
      </c>
      <c r="H79" s="282" t="str">
        <f>IF(AND(ISNUMBER(D79),ISNUMBER(F79)),ROUNDDOWN(MIN(IF(OR(ISBLANK(I79),I79=""),EOMONTH(DATE(EINSTELLUNG!$C$35,$A$1,1),0),I79)-MAX(D79,DATE(EINSTELLUNG!$C$35,$A$1,1))+1)/DAY(EOMONTH(DATE(EINSTELLUNG!$C$35,$A$1,1),0))*F79,2),"")</f>
        <v/>
      </c>
      <c r="I79" s="50"/>
      <c r="J79" s="51"/>
      <c r="K79" s="281" t="str">
        <f t="shared" si="3"/>
        <v/>
      </c>
      <c r="L79" s="283"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52"/>
      <c r="N79" s="66"/>
    </row>
    <row r="80" spans="1:14" ht="22" customHeight="1">
      <c r="A80" s="280" t="s">
        <v>151</v>
      </c>
      <c r="B80" s="91"/>
      <c r="C80" s="39"/>
      <c r="D80" s="43"/>
      <c r="E80" s="41"/>
      <c r="F80" s="42"/>
      <c r="G80" s="281" t="str">
        <f>IF(OR(E80="",F80=""),"",PID_KVLohnLookup($A$1,E80,F80,LOHNTABELLE!$H$4))</f>
        <v/>
      </c>
      <c r="H80" s="282" t="str">
        <f>IF(AND(ISNUMBER(D80),ISNUMBER(F80)),ROUNDDOWN(MIN(IF(OR(ISBLANK(I80),I80=""),EOMONTH(DATE(EINSTELLUNG!$C$35,$A$1,1),0),I80)-MAX(D80,DATE(EINSTELLUNG!$C$35,$A$1,1))+1)/DAY(EOMONTH(DATE(EINSTELLUNG!$C$35,$A$1,1),0))*F80,2),"")</f>
        <v/>
      </c>
      <c r="I80" s="43"/>
      <c r="J80" s="44"/>
      <c r="K80" s="281" t="str">
        <f t="shared" si="3"/>
        <v/>
      </c>
      <c r="L80" s="283"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45"/>
      <c r="N80" s="65"/>
    </row>
    <row r="81" spans="1:14" ht="22" customHeight="1">
      <c r="A81" s="280" t="s">
        <v>152</v>
      </c>
      <c r="B81" s="92"/>
      <c r="C81" s="46"/>
      <c r="D81" s="50"/>
      <c r="E81" s="48"/>
      <c r="F81" s="49"/>
      <c r="G81" s="281" t="str">
        <f>IF(OR(E81="",F81=""),"",PID_KVLohnLookup($A$1,E81,F81,LOHNTABELLE!$H$4))</f>
        <v/>
      </c>
      <c r="H81" s="282" t="str">
        <f>IF(AND(ISNUMBER(D81),ISNUMBER(F81)),ROUNDDOWN(MIN(IF(OR(ISBLANK(I81),I81=""),EOMONTH(DATE(EINSTELLUNG!$C$35,$A$1,1),0),I81)-MAX(D81,DATE(EINSTELLUNG!$C$35,$A$1,1))+1)/DAY(EOMONTH(DATE(EINSTELLUNG!$C$35,$A$1,1),0))*F81,2),"")</f>
        <v/>
      </c>
      <c r="I81" s="50"/>
      <c r="J81" s="51"/>
      <c r="K81" s="281" t="str">
        <f t="shared" si="3"/>
        <v/>
      </c>
      <c r="L81" s="283"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52"/>
      <c r="N81" s="66"/>
    </row>
    <row r="82" spans="1:14" ht="22" customHeight="1" thickBot="1">
      <c r="A82" s="343" t="s">
        <v>153</v>
      </c>
      <c r="B82" s="93"/>
      <c r="C82" s="54"/>
      <c r="D82" s="55"/>
      <c r="E82" s="56"/>
      <c r="F82" s="57"/>
      <c r="G82" s="344" t="str">
        <f>IF(OR(E82="",F82=""),"",PID_KVLohnLookup($A$1,E82,F82,LOHNTABELLE!$H$4))</f>
        <v/>
      </c>
      <c r="H82" s="345" t="str">
        <f>IF(AND(ISNUMBER(D82),ISNUMBER(F82)),ROUNDDOWN(MIN(IF(OR(ISBLANK(I82),I82=""),EOMONTH(DATE(EINSTELLUNG!$C$35,$A$1,1),0),I82)-MAX(D82,DATE(EINSTELLUNG!$C$35,$A$1,1))+1)/DAY(EOMONTH(DATE(EINSTELLUNG!$C$35,$A$1,1),0))*F82,2),"")</f>
        <v/>
      </c>
      <c r="I82" s="55"/>
      <c r="J82" s="58"/>
      <c r="K82" s="344" t="str">
        <f t="shared" si="3"/>
        <v/>
      </c>
      <c r="L82" s="346"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59"/>
      <c r="N82" s="69"/>
    </row>
    <row r="83" spans="1:14" ht="16" customHeight="1">
      <c r="A83" s="374"/>
      <c r="B83" s="374"/>
    </row>
    <row r="100" spans="26:26" ht="16" customHeight="1">
      <c r="Z100" s="259"/>
    </row>
  </sheetData>
  <sheetProtection algorithmName="SHA-512" hashValue="hEBxKsvHGjMKWMnyIRSfr0DpBwlyebMdlR9dgNUiIjjsPXvtbX/HO5XLhc0YpZYz4nEaYevIMsw5Kor0TjmMRA==" saltValue="PlsIoqSy12XQ5ItqCWysVw==" spinCount="100000" sheet="1" objects="1" scenarios="1" autoFilter="0"/>
  <sortState xmlns:xlrd2="http://schemas.microsoft.com/office/spreadsheetml/2017/richdata2" ref="B3:N82">
    <sortCondition ref="B3:B82"/>
    <sortCondition ref="C3:C82"/>
  </sortState>
  <mergeCells count="102">
    <mergeCell ref="A1:A2"/>
    <mergeCell ref="E1:E2"/>
    <mergeCell ref="F1:F2"/>
    <mergeCell ref="G1:G2"/>
    <mergeCell ref="H1:H2"/>
    <mergeCell ref="M1:M2"/>
    <mergeCell ref="O40:P40"/>
    <mergeCell ref="S2:V2"/>
    <mergeCell ref="S40:T40"/>
    <mergeCell ref="U40:V40"/>
    <mergeCell ref="Q14:R14"/>
    <mergeCell ref="O17:P17"/>
    <mergeCell ref="Q17:R17"/>
    <mergeCell ref="O18:P18"/>
    <mergeCell ref="Q18:R18"/>
    <mergeCell ref="O15:P15"/>
    <mergeCell ref="Q11:R11"/>
    <mergeCell ref="O12:P12"/>
    <mergeCell ref="Q12:R12"/>
    <mergeCell ref="O13:P13"/>
    <mergeCell ref="Q13:R13"/>
    <mergeCell ref="O11:P11"/>
    <mergeCell ref="O24:P24"/>
    <mergeCell ref="Q24:R24"/>
    <mergeCell ref="S33:T34"/>
    <mergeCell ref="U33:V34"/>
    <mergeCell ref="S27:V27"/>
    <mergeCell ref="O36:P36"/>
    <mergeCell ref="Q36:R36"/>
    <mergeCell ref="S36:T36"/>
    <mergeCell ref="U36:V36"/>
    <mergeCell ref="O35:P35"/>
    <mergeCell ref="Q35:R35"/>
    <mergeCell ref="S35:T35"/>
    <mergeCell ref="U35:V35"/>
    <mergeCell ref="O33:P34"/>
    <mergeCell ref="Q33:R34"/>
    <mergeCell ref="O31:P31"/>
    <mergeCell ref="Q31:R31"/>
    <mergeCell ref="O29:P29"/>
    <mergeCell ref="Q29:R29"/>
    <mergeCell ref="Q42:V42"/>
    <mergeCell ref="Q40:R40"/>
    <mergeCell ref="Q41:R41"/>
    <mergeCell ref="U37:V37"/>
    <mergeCell ref="O38:P38"/>
    <mergeCell ref="Q38:R38"/>
    <mergeCell ref="S38:T38"/>
    <mergeCell ref="U38:V38"/>
    <mergeCell ref="S39:T39"/>
    <mergeCell ref="U39:V39"/>
    <mergeCell ref="Q39:R39"/>
    <mergeCell ref="O37:P37"/>
    <mergeCell ref="O39:P39"/>
    <mergeCell ref="Q37:R37"/>
    <mergeCell ref="S37:T37"/>
    <mergeCell ref="O42:P42"/>
    <mergeCell ref="S41:T41"/>
    <mergeCell ref="U41:V41"/>
    <mergeCell ref="O25:P25"/>
    <mergeCell ref="O28:P28"/>
    <mergeCell ref="Q25:R25"/>
    <mergeCell ref="O26:P26"/>
    <mergeCell ref="Q26:R26"/>
    <mergeCell ref="O27:P27"/>
    <mergeCell ref="Q27:R27"/>
    <mergeCell ref="Q28:R28"/>
    <mergeCell ref="L1:L2"/>
    <mergeCell ref="O14:P14"/>
    <mergeCell ref="O3:O4"/>
    <mergeCell ref="P3:P4"/>
    <mergeCell ref="O9:P9"/>
    <mergeCell ref="N1:N2"/>
    <mergeCell ref="Q19:R19"/>
    <mergeCell ref="O22:P22"/>
    <mergeCell ref="Q22:R22"/>
    <mergeCell ref="O23:P23"/>
    <mergeCell ref="Q23:R23"/>
    <mergeCell ref="O45:U45"/>
    <mergeCell ref="B1:B2"/>
    <mergeCell ref="Q15:R15"/>
    <mergeCell ref="O16:R16"/>
    <mergeCell ref="Q9:R9"/>
    <mergeCell ref="O10:P10"/>
    <mergeCell ref="Q10:R10"/>
    <mergeCell ref="C1:C2"/>
    <mergeCell ref="D1:D2"/>
    <mergeCell ref="Q3:Q4"/>
    <mergeCell ref="R3:R4"/>
    <mergeCell ref="O6:R6"/>
    <mergeCell ref="O8:P8"/>
    <mergeCell ref="I1:I2"/>
    <mergeCell ref="J1:J2"/>
    <mergeCell ref="K1:K2"/>
    <mergeCell ref="Q8:R8"/>
    <mergeCell ref="O41:P41"/>
    <mergeCell ref="O20:P20"/>
    <mergeCell ref="O19:P19"/>
    <mergeCell ref="O44:V44"/>
    <mergeCell ref="Q20:R20"/>
    <mergeCell ref="O21:P21"/>
    <mergeCell ref="Q21:R21"/>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6CA749D9-9402-8F4B-AF74-8C77A2772452}">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FEE048E7-4D8B-084B-9DAF-986F48F23E00}">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FEE6FD16-2A40-274E-B4FA-4F32D4E87EC2}">
          <x14:formula1>
            <xm:f>KV_DROPDOWN_HELPER!$AGX$1:$AGX$13</xm:f>
          </x14:formula1>
          <xm:sqref>F4 F7</xm:sqref>
        </x14:dataValidation>
        <x14:dataValidation type="list" allowBlank="1" showInputMessage="1" showErrorMessage="1" xr:uid="{926E18C9-BBAD-2F42-A599-3AE058DCD55F}">
          <x14:formula1>
            <xm:f>KV_DROPDOWN_HELPER!$AGY$1:$AGY$13</xm:f>
          </x14:formula1>
          <xm:sqref>F6 F8 F9 F10 F13 F54</xm:sqref>
        </x14:dataValidation>
        <x14:dataValidation type="list" allowBlank="1" showInputMessage="1" showErrorMessage="1" xr:uid="{134117C3-5B75-2042-8C64-33A5B30B90E1}">
          <x14:formula1>
            <xm:f>KV_DROPDOWN_HELPER!$AGZ$1:$AGZ$13</xm:f>
          </x14:formula1>
          <xm:sqref>F15</xm:sqref>
        </x14:dataValidation>
        <x14:dataValidation type="list" allowBlank="1" showInputMessage="1" showErrorMessage="1" xr:uid="{5D1F5899-6135-AC47-B765-32157EDD8FD9}">
          <x14:formula1>
            <xm:f>KV_DROPDOWN_HELPER!$AHB$1:$AHB$13</xm:f>
          </x14:formula1>
          <xm:sqref>F18 F21 F23</xm:sqref>
        </x14:dataValidation>
        <x14:dataValidation type="list" allowBlank="1" showInputMessage="1" showErrorMessage="1" xr:uid="{75383239-9BF9-384D-91EA-600D933C570A}">
          <x14:formula1>
            <xm:f>KV_DROPDOWN_HELPER!$AHC$1:$AHC$13</xm:f>
          </x14:formula1>
          <xm:sqref>F59 F60 F61 F62 F63 F64 F65 F66 F67 F68 F69 F70 F71 F72 F73 F74 F75 F76 F77 F78 F79 F80 F81 F82</xm:sqref>
        </x14:dataValidation>
        <x14:dataValidation type="list" allowBlank="1" showInputMessage="1" showErrorMessage="1" xr:uid="{5FAD274F-3D32-4ADF-8D37-4CA97291C40E}">
          <x14:formula1>
            <xm:f>KV_DROPDOWN_HELPER!$AHA$1:$AHA$13</xm:f>
          </x14:formula1>
          <xm:sqref>F17</xm:sqref>
        </x14:dataValidation>
        <x14:dataValidation type="list" allowBlank="1" showInputMessage="1" showErrorMessage="1" xr:uid="{769E1099-0BD4-49AA-AE31-A093D2B4BB2B}">
          <x14:formula1>
            <xm:f>KV_DROPDOWN_HELPER!$AGW$1:$AGW$16</xm:f>
          </x14:formula1>
          <xm:sqref>F3 F5 F11 F12 F14 F16 F19 F20 F22 F24 F25 F26 F27 F28 F29 F30 F31 F32 F33 F34 F35 F36 F37 F38 F39 F40 F41 F42 F43 F44 F45 F46 F47 F48 F49 F50 F51 F52 F53 F55 F56 F57 F58</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12D849-D845-564E-BDB5-7C32DCEB5328}">
  <sheetPr codeName="Tabelle13"/>
  <dimension ref="A1:K15"/>
  <sheetViews>
    <sheetView workbookViewId="0">
      <selection activeCell="F18" sqref="F18"/>
    </sheetView>
  </sheetViews>
  <sheetFormatPr baseColWidth="10" defaultRowHeight="14.5"/>
  <cols>
    <col min="1" max="1" width="9.90625" bestFit="1" customWidth="1"/>
    <col min="2" max="2" width="10.36328125" bestFit="1" customWidth="1"/>
    <col min="3" max="3" width="22.81640625" bestFit="1" customWidth="1"/>
    <col min="4" max="4" width="13.08984375" style="3" bestFit="1" customWidth="1"/>
    <col min="5" max="5" width="13.6328125" style="3" bestFit="1" customWidth="1"/>
    <col min="6" max="6" width="23.6328125" bestFit="1" customWidth="1"/>
    <col min="7" max="7" width="19.54296875" bestFit="1" customWidth="1"/>
    <col min="8" max="8" width="13.54296875" style="5" bestFit="1" customWidth="1"/>
    <col min="9" max="9" width="10.08984375" style="5" bestFit="1" customWidth="1"/>
    <col min="10" max="10" width="12" style="5" bestFit="1" customWidth="1"/>
    <col min="11" max="11" width="26.54296875" bestFit="1" customWidth="1"/>
  </cols>
  <sheetData>
    <row r="1" spans="1:11">
      <c r="A1" s="1" t="s">
        <v>206</v>
      </c>
      <c r="B1" s="1" t="s">
        <v>180</v>
      </c>
      <c r="C1" s="1" t="s">
        <v>39</v>
      </c>
      <c r="D1" s="2" t="s">
        <v>207</v>
      </c>
      <c r="E1" s="2" t="s">
        <v>208</v>
      </c>
      <c r="F1" s="1" t="s">
        <v>183</v>
      </c>
      <c r="G1" s="1" t="s">
        <v>213</v>
      </c>
      <c r="H1" s="4" t="s">
        <v>209</v>
      </c>
      <c r="I1" s="4" t="s">
        <v>210</v>
      </c>
      <c r="J1" s="4" t="s">
        <v>214</v>
      </c>
      <c r="K1" s="1" t="s">
        <v>211</v>
      </c>
    </row>
    <row r="2" spans="1:11">
      <c r="A2" t="s">
        <v>275</v>
      </c>
      <c r="B2">
        <v>400002</v>
      </c>
      <c r="C2" t="s">
        <v>380</v>
      </c>
      <c r="D2" s="3">
        <v>33359</v>
      </c>
      <c r="E2" s="3">
        <v>46037</v>
      </c>
      <c r="F2" t="s">
        <v>194</v>
      </c>
      <c r="G2">
        <v>12679</v>
      </c>
      <c r="H2" s="5">
        <v>1</v>
      </c>
      <c r="I2" s="5">
        <v>2</v>
      </c>
      <c r="J2" s="5">
        <v>2</v>
      </c>
      <c r="K2" t="s">
        <v>215</v>
      </c>
    </row>
    <row r="3" spans="1:11">
      <c r="A3" t="s">
        <v>275</v>
      </c>
      <c r="B3">
        <v>401691</v>
      </c>
      <c r="C3" t="s">
        <v>251</v>
      </c>
      <c r="D3" s="3">
        <v>45539</v>
      </c>
      <c r="E3" s="3">
        <v>46047</v>
      </c>
      <c r="F3" t="s">
        <v>184</v>
      </c>
      <c r="G3">
        <v>509</v>
      </c>
      <c r="H3" s="5">
        <v>0.75</v>
      </c>
      <c r="I3" s="5">
        <v>1.25</v>
      </c>
      <c r="J3" s="5">
        <v>0.9375</v>
      </c>
      <c r="K3" t="s">
        <v>276</v>
      </c>
    </row>
    <row r="4" spans="1:11">
      <c r="A4" t="s">
        <v>310</v>
      </c>
      <c r="B4">
        <v>600000</v>
      </c>
      <c r="C4" t="s">
        <v>302</v>
      </c>
      <c r="D4" s="3">
        <v>36865</v>
      </c>
      <c r="E4" s="3">
        <v>46055</v>
      </c>
      <c r="F4" t="s">
        <v>190</v>
      </c>
      <c r="G4">
        <v>9191</v>
      </c>
      <c r="H4" s="5">
        <v>0</v>
      </c>
      <c r="I4" s="5">
        <v>2</v>
      </c>
      <c r="J4" s="5">
        <v>0</v>
      </c>
      <c r="K4" t="s">
        <v>216</v>
      </c>
    </row>
    <row r="5" spans="1:11">
      <c r="A5" t="s">
        <v>166</v>
      </c>
      <c r="B5">
        <v>401754</v>
      </c>
      <c r="C5" t="s">
        <v>273</v>
      </c>
      <c r="D5" s="3">
        <v>46014</v>
      </c>
      <c r="E5" s="3">
        <v>46096</v>
      </c>
      <c r="F5" t="s">
        <v>194</v>
      </c>
      <c r="G5">
        <v>83</v>
      </c>
      <c r="H5" s="5">
        <v>1</v>
      </c>
      <c r="I5" s="5">
        <v>0.5</v>
      </c>
      <c r="J5" s="5">
        <v>0.5</v>
      </c>
      <c r="K5" t="s">
        <v>218</v>
      </c>
    </row>
    <row r="6" spans="1:11">
      <c r="A6" t="s">
        <v>168</v>
      </c>
      <c r="B6">
        <v>401389</v>
      </c>
      <c r="C6" t="s">
        <v>233</v>
      </c>
      <c r="D6" s="3">
        <v>44384</v>
      </c>
      <c r="E6" s="3">
        <v>46132</v>
      </c>
      <c r="F6" t="s">
        <v>184</v>
      </c>
      <c r="G6">
        <v>1749</v>
      </c>
      <c r="H6" s="5">
        <v>0.75</v>
      </c>
      <c r="I6" s="5">
        <v>1.5</v>
      </c>
      <c r="J6" s="5">
        <v>1.125</v>
      </c>
      <c r="K6" t="s">
        <v>215</v>
      </c>
    </row>
    <row r="7" spans="1:11">
      <c r="A7" t="s">
        <v>168</v>
      </c>
      <c r="B7">
        <v>401406</v>
      </c>
      <c r="C7" t="s">
        <v>387</v>
      </c>
      <c r="D7" s="3">
        <v>36850</v>
      </c>
      <c r="E7" s="3">
        <v>46133</v>
      </c>
      <c r="F7" t="s">
        <v>194</v>
      </c>
      <c r="G7">
        <v>9284</v>
      </c>
      <c r="H7" s="5">
        <v>1</v>
      </c>
      <c r="I7" s="5">
        <v>2</v>
      </c>
      <c r="J7" s="5">
        <v>2</v>
      </c>
      <c r="K7" t="s">
        <v>215</v>
      </c>
    </row>
    <row r="8" spans="1:11">
      <c r="A8" t="s">
        <v>168</v>
      </c>
      <c r="B8">
        <v>401432</v>
      </c>
      <c r="C8" t="s">
        <v>234</v>
      </c>
      <c r="D8" s="3">
        <v>44441</v>
      </c>
      <c r="E8" s="3">
        <v>46131</v>
      </c>
      <c r="F8" t="s">
        <v>188</v>
      </c>
      <c r="G8">
        <v>1691</v>
      </c>
      <c r="H8" s="5">
        <v>0</v>
      </c>
      <c r="I8" s="5">
        <v>1.5</v>
      </c>
      <c r="J8" s="5">
        <v>0</v>
      </c>
      <c r="K8" t="s">
        <v>216</v>
      </c>
    </row>
    <row r="9" spans="1:11">
      <c r="A9" t="s">
        <v>168</v>
      </c>
      <c r="B9">
        <v>401476</v>
      </c>
      <c r="C9" t="s">
        <v>236</v>
      </c>
      <c r="D9" s="3">
        <v>44504</v>
      </c>
      <c r="E9" s="3">
        <v>46130</v>
      </c>
      <c r="F9" t="s">
        <v>185</v>
      </c>
      <c r="G9">
        <v>1627</v>
      </c>
      <c r="H9" s="5">
        <v>0</v>
      </c>
      <c r="I9" s="5">
        <v>1.5</v>
      </c>
      <c r="J9" s="5">
        <v>0</v>
      </c>
      <c r="K9" t="s">
        <v>216</v>
      </c>
    </row>
    <row r="10" spans="1:11">
      <c r="A10" t="s">
        <v>168</v>
      </c>
      <c r="B10">
        <v>401481</v>
      </c>
      <c r="C10" t="s">
        <v>238</v>
      </c>
      <c r="D10" s="3">
        <v>44531</v>
      </c>
      <c r="E10" s="3">
        <v>46132</v>
      </c>
      <c r="F10" t="s">
        <v>189</v>
      </c>
      <c r="G10">
        <v>1602</v>
      </c>
      <c r="H10" s="5">
        <v>0</v>
      </c>
      <c r="I10" s="5">
        <v>1.5</v>
      </c>
      <c r="J10" s="5">
        <v>0</v>
      </c>
      <c r="K10" t="s">
        <v>216</v>
      </c>
    </row>
    <row r="11" spans="1:11">
      <c r="A11" t="s">
        <v>169</v>
      </c>
      <c r="B11">
        <v>401703</v>
      </c>
      <c r="C11" t="s">
        <v>253</v>
      </c>
      <c r="D11" s="3">
        <v>45616</v>
      </c>
      <c r="E11" s="3">
        <v>46144</v>
      </c>
      <c r="F11" t="s">
        <v>185</v>
      </c>
      <c r="G11">
        <v>529</v>
      </c>
      <c r="H11" s="5">
        <v>0</v>
      </c>
      <c r="I11" s="5">
        <v>1.25</v>
      </c>
      <c r="J11" s="5">
        <v>0</v>
      </c>
      <c r="K11" t="s">
        <v>216</v>
      </c>
    </row>
    <row r="12" spans="1:11">
      <c r="A12" t="s">
        <v>169</v>
      </c>
      <c r="B12">
        <v>401736</v>
      </c>
      <c r="C12" t="s">
        <v>264</v>
      </c>
      <c r="D12" s="3">
        <v>45906</v>
      </c>
      <c r="E12" s="3">
        <v>46167</v>
      </c>
      <c r="F12" t="s">
        <v>186</v>
      </c>
      <c r="G12">
        <v>262</v>
      </c>
      <c r="H12" s="5">
        <v>0.5</v>
      </c>
      <c r="I12" s="5">
        <v>1</v>
      </c>
      <c r="J12" s="5">
        <v>0.5</v>
      </c>
      <c r="K12" t="s">
        <v>276</v>
      </c>
    </row>
    <row r="13" spans="1:11">
      <c r="A13" t="s">
        <v>170</v>
      </c>
      <c r="B13">
        <v>401047</v>
      </c>
      <c r="C13" t="s">
        <v>225</v>
      </c>
      <c r="D13" s="3">
        <v>41154</v>
      </c>
      <c r="E13" s="3">
        <v>46193</v>
      </c>
      <c r="F13" t="s">
        <v>185</v>
      </c>
      <c r="G13">
        <v>5040</v>
      </c>
      <c r="H13" s="5">
        <v>0</v>
      </c>
      <c r="I13" s="5">
        <v>2</v>
      </c>
      <c r="J13" s="5">
        <v>0</v>
      </c>
      <c r="K13" t="s">
        <v>216</v>
      </c>
    </row>
    <row r="14" spans="1:11">
      <c r="A14" t="s">
        <v>174</v>
      </c>
      <c r="B14">
        <v>401558</v>
      </c>
      <c r="C14" t="s">
        <v>235</v>
      </c>
      <c r="D14" s="3">
        <v>44460</v>
      </c>
      <c r="E14" s="3">
        <v>46275</v>
      </c>
      <c r="F14" t="s">
        <v>186</v>
      </c>
      <c r="G14">
        <v>1816</v>
      </c>
      <c r="H14" s="5">
        <v>0.5</v>
      </c>
      <c r="I14" s="5">
        <v>1.5</v>
      </c>
      <c r="J14" s="5">
        <v>0.75</v>
      </c>
      <c r="K14" t="s">
        <v>276</v>
      </c>
    </row>
    <row r="15" spans="1:11">
      <c r="A15" t="s">
        <v>176</v>
      </c>
      <c r="B15">
        <v>402000</v>
      </c>
      <c r="C15" t="s">
        <v>294</v>
      </c>
      <c r="D15" s="3">
        <v>46143</v>
      </c>
      <c r="E15" s="3">
        <v>46305</v>
      </c>
      <c r="F15" t="s">
        <v>188</v>
      </c>
      <c r="G15">
        <v>163</v>
      </c>
      <c r="H15" s="5">
        <v>0</v>
      </c>
      <c r="I15" s="5">
        <v>0.75</v>
      </c>
      <c r="J15" s="5">
        <v>0</v>
      </c>
      <c r="K15" t="s">
        <v>216</v>
      </c>
    </row>
  </sheetData>
  <sheetProtection algorithmName="SHA-512" hashValue="DpsqWYVAYApdYtZQQ+efS/dp0vwVLG3DC4Io8DJh2yivx9EwYD86AAabPOC7OeGEkejQ1+n5bOqLmJRcpqEYdw==" saltValue="FxzPayJ8A18fudMBH5mKEw==" spinCount="100000" sheet="1" objects="1" scenarios="1"/>
  <pageMargins left="0.7" right="0.7" top="0.78740157499999996" bottom="0.78740157499999996"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8AE165-69D4-4EAA-ABDB-6F60416433EE}">
  <sheetPr codeName="Tabelle17"/>
  <dimension ref="A1"/>
  <sheetViews>
    <sheetView zoomScaleNormal="100" workbookViewId="0">
      <selection activeCell="K53" sqref="K53"/>
    </sheetView>
  </sheetViews>
  <sheetFormatPr baseColWidth="10" defaultColWidth="11.453125" defaultRowHeight="14.5"/>
  <sheetData>
    <row r="1" spans="1:1">
      <c r="A1" t="b">
        <v>1</v>
      </c>
    </row>
  </sheetData>
  <sheetProtection algorithmName="SHA-512" hashValue="BPWLHI6VNCH0syen8gSU5DTMtGt1V56sE+a2QMl2+pCA56+U+QsaOIlYtssmPiEPhKb1LmVoqKWN4W4KJ9IxoA==" saltValue="42KLiqx2TZrM2ToPzbKNQA==" spinCount="100000" sheet="1" objects="1" scenarios="1" sort="0" autoFilter="0"/>
  <pageMargins left="0.7" right="0.7" top="0.78740157499999996" bottom="0.78740157499999996"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9570CF-0E37-164B-AC1A-89F5DBCA3306}">
  <sheetPr codeName="Tabelle21"/>
  <dimension ref="A1:AJY16"/>
  <sheetViews>
    <sheetView workbookViewId="0"/>
  </sheetViews>
  <sheetFormatPr baseColWidth="10" defaultRowHeight="14.5"/>
  <sheetData>
    <row r="1" spans="1:961">
      <c r="A1" s="5">
        <v>173</v>
      </c>
      <c r="B1" s="5">
        <v>173</v>
      </c>
      <c r="C1" s="5">
        <v>173</v>
      </c>
      <c r="D1" s="5">
        <v>173</v>
      </c>
      <c r="E1" s="5">
        <v>173</v>
      </c>
      <c r="F1" s="5">
        <v>173</v>
      </c>
      <c r="G1" s="5">
        <v>173</v>
      </c>
      <c r="CC1" s="5">
        <v>173</v>
      </c>
      <c r="CD1" s="5">
        <v>173</v>
      </c>
      <c r="CE1" s="5">
        <v>173</v>
      </c>
      <c r="CF1" s="5">
        <v>173</v>
      </c>
      <c r="CG1" s="5">
        <v>173</v>
      </c>
      <c r="CH1" s="5">
        <v>173</v>
      </c>
      <c r="CI1" s="5">
        <v>173</v>
      </c>
      <c r="FE1" s="5">
        <v>173</v>
      </c>
      <c r="FF1" s="5">
        <v>173</v>
      </c>
      <c r="FG1" s="5">
        <v>173</v>
      </c>
      <c r="FH1" s="5">
        <v>173</v>
      </c>
      <c r="FI1" s="5">
        <v>173</v>
      </c>
      <c r="FJ1" s="5">
        <v>173</v>
      </c>
      <c r="FK1" s="5">
        <v>173</v>
      </c>
      <c r="IG1" s="5">
        <v>173</v>
      </c>
      <c r="IH1" s="5">
        <v>173</v>
      </c>
      <c r="II1" s="5">
        <v>173</v>
      </c>
      <c r="IJ1" s="5">
        <v>173</v>
      </c>
      <c r="IK1" s="5">
        <v>173</v>
      </c>
      <c r="IL1" s="5">
        <v>173</v>
      </c>
      <c r="IM1" s="5">
        <v>173</v>
      </c>
      <c r="LI1" s="5">
        <v>173</v>
      </c>
      <c r="LJ1" s="5">
        <v>173</v>
      </c>
      <c r="LK1" s="5">
        <v>173</v>
      </c>
      <c r="LL1" s="5">
        <v>173</v>
      </c>
      <c r="LM1" s="5">
        <v>173</v>
      </c>
      <c r="LN1" s="5">
        <v>173</v>
      </c>
      <c r="LO1" s="5">
        <v>173</v>
      </c>
      <c r="OK1" s="5">
        <v>173</v>
      </c>
      <c r="OL1" s="5">
        <v>173</v>
      </c>
      <c r="OM1" s="5">
        <v>173</v>
      </c>
      <c r="ON1" s="5">
        <v>173</v>
      </c>
      <c r="OO1" s="5">
        <v>173</v>
      </c>
      <c r="OP1" s="5">
        <v>173</v>
      </c>
      <c r="OQ1" s="5">
        <v>173</v>
      </c>
      <c r="RM1" s="5">
        <v>173</v>
      </c>
      <c r="RN1" s="5">
        <v>173</v>
      </c>
      <c r="RO1" s="5">
        <v>173</v>
      </c>
      <c r="RP1" s="5">
        <v>173</v>
      </c>
      <c r="RQ1" s="5">
        <v>173</v>
      </c>
      <c r="RR1" s="5">
        <v>173</v>
      </c>
      <c r="RS1" s="5">
        <v>173</v>
      </c>
      <c r="UO1" s="5">
        <v>173</v>
      </c>
      <c r="UP1" s="5">
        <v>173</v>
      </c>
      <c r="UQ1" s="5">
        <v>173</v>
      </c>
      <c r="UR1" s="5">
        <v>173</v>
      </c>
      <c r="US1" s="5">
        <v>173</v>
      </c>
      <c r="UT1" s="5">
        <v>173</v>
      </c>
      <c r="UU1" s="5">
        <v>173</v>
      </c>
      <c r="XQ1" s="5">
        <v>173</v>
      </c>
      <c r="XR1" s="5">
        <v>173</v>
      </c>
      <c r="XS1" s="5">
        <v>173</v>
      </c>
      <c r="XT1" s="5">
        <v>173</v>
      </c>
      <c r="XU1" s="5">
        <v>173</v>
      </c>
      <c r="XV1" s="5">
        <v>173</v>
      </c>
      <c r="XW1" s="5">
        <v>173</v>
      </c>
      <c r="AAS1" s="5">
        <v>173</v>
      </c>
      <c r="AAT1" s="5">
        <v>173</v>
      </c>
      <c r="AAU1" s="5">
        <v>173</v>
      </c>
      <c r="AAV1" s="5">
        <v>173</v>
      </c>
      <c r="AAW1" s="5">
        <v>173</v>
      </c>
      <c r="AAX1" s="5">
        <v>173</v>
      </c>
      <c r="AAY1" s="5">
        <v>173</v>
      </c>
      <c r="ADU1" s="5">
        <v>173</v>
      </c>
      <c r="ADV1" s="5">
        <v>173</v>
      </c>
      <c r="ADW1" s="5">
        <v>173</v>
      </c>
      <c r="ADX1" s="5">
        <v>173</v>
      </c>
      <c r="ADY1" s="5">
        <v>173</v>
      </c>
      <c r="ADZ1" s="5">
        <v>173</v>
      </c>
      <c r="AEA1" s="5">
        <v>173</v>
      </c>
      <c r="AGW1" s="5">
        <v>173</v>
      </c>
      <c r="AGX1" s="5">
        <v>173</v>
      </c>
      <c r="AGY1" s="5">
        <v>173</v>
      </c>
      <c r="AGZ1" s="5">
        <v>173</v>
      </c>
      <c r="AHA1" s="5">
        <v>173</v>
      </c>
      <c r="AHB1" s="5">
        <v>173</v>
      </c>
      <c r="AHC1" s="5">
        <v>173</v>
      </c>
      <c r="AJY1" t="s">
        <v>2</v>
      </c>
    </row>
    <row r="2" spans="1:961">
      <c r="A2" s="5">
        <v>171</v>
      </c>
      <c r="B2" s="5">
        <v>151.38</v>
      </c>
      <c r="C2" s="5">
        <v>151.38</v>
      </c>
      <c r="D2" s="5">
        <v>151.38</v>
      </c>
      <c r="E2" s="5">
        <v>151.38</v>
      </c>
      <c r="F2" s="5">
        <v>151.38</v>
      </c>
      <c r="G2" s="5">
        <v>151.38</v>
      </c>
      <c r="CC2" s="5">
        <v>171</v>
      </c>
      <c r="CD2" s="5">
        <v>151.38</v>
      </c>
      <c r="CE2" s="5">
        <v>151.38</v>
      </c>
      <c r="CF2" s="5">
        <v>151.38</v>
      </c>
      <c r="CG2" s="5">
        <v>151.38</v>
      </c>
      <c r="CH2" s="5">
        <v>151.38</v>
      </c>
      <c r="CI2" s="5">
        <v>151.38</v>
      </c>
      <c r="FE2" s="5">
        <v>171</v>
      </c>
      <c r="FF2" s="5">
        <v>151.38</v>
      </c>
      <c r="FG2" s="5">
        <v>151.38</v>
      </c>
      <c r="FH2" s="5">
        <v>151.38</v>
      </c>
      <c r="FI2" s="5">
        <v>151.38</v>
      </c>
      <c r="FJ2" s="5">
        <v>151.38</v>
      </c>
      <c r="FK2" s="5">
        <v>151.38</v>
      </c>
      <c r="IG2" s="5">
        <v>171</v>
      </c>
      <c r="IH2" s="5">
        <v>151.38</v>
      </c>
      <c r="II2" s="5">
        <v>151.38</v>
      </c>
      <c r="IJ2" s="5">
        <v>151.38</v>
      </c>
      <c r="IK2" s="5">
        <v>151.38</v>
      </c>
      <c r="IL2" s="5">
        <v>151.38</v>
      </c>
      <c r="IM2" s="5">
        <v>151.38</v>
      </c>
      <c r="LI2" s="5">
        <v>171</v>
      </c>
      <c r="LJ2" s="5">
        <v>151.38</v>
      </c>
      <c r="LK2" s="5">
        <v>151.38</v>
      </c>
      <c r="LL2" s="5">
        <v>151.38</v>
      </c>
      <c r="LM2" s="5">
        <v>151.38</v>
      </c>
      <c r="LN2" s="5">
        <v>151.38</v>
      </c>
      <c r="LO2" s="5">
        <v>151.38</v>
      </c>
      <c r="OK2" s="5">
        <v>171</v>
      </c>
      <c r="OL2" s="5">
        <v>151.38</v>
      </c>
      <c r="OM2" s="5">
        <v>151.38</v>
      </c>
      <c r="ON2" s="5">
        <v>151.38</v>
      </c>
      <c r="OO2" s="5">
        <v>151.38</v>
      </c>
      <c r="OP2" s="5">
        <v>151.38</v>
      </c>
      <c r="OQ2" s="5">
        <v>151.38</v>
      </c>
      <c r="RM2" s="5">
        <v>171</v>
      </c>
      <c r="RN2" s="5">
        <v>151.38</v>
      </c>
      <c r="RO2" s="5">
        <v>151.38</v>
      </c>
      <c r="RP2" s="5">
        <v>151.38</v>
      </c>
      <c r="RQ2" s="5">
        <v>151.38</v>
      </c>
      <c r="RR2" s="5">
        <v>151.38</v>
      </c>
      <c r="RS2" s="5">
        <v>151.38</v>
      </c>
      <c r="UO2" s="5">
        <v>171</v>
      </c>
      <c r="UP2" s="5">
        <v>151.38</v>
      </c>
      <c r="UQ2" s="5">
        <v>151.38</v>
      </c>
      <c r="UR2" s="5">
        <v>151.38</v>
      </c>
      <c r="US2" s="5">
        <v>151.38</v>
      </c>
      <c r="UT2" s="5">
        <v>151.38</v>
      </c>
      <c r="UU2" s="5">
        <v>151.38</v>
      </c>
      <c r="XQ2" s="5">
        <v>171</v>
      </c>
      <c r="XR2" s="5">
        <v>151.38</v>
      </c>
      <c r="XS2" s="5">
        <v>151.38</v>
      </c>
      <c r="XT2" s="5">
        <v>151.38</v>
      </c>
      <c r="XU2" s="5">
        <v>151.38</v>
      </c>
      <c r="XV2" s="5">
        <v>151.38</v>
      </c>
      <c r="XW2" s="5">
        <v>151.38</v>
      </c>
      <c r="AAS2" s="5">
        <v>171</v>
      </c>
      <c r="AAT2" s="5">
        <v>151.38</v>
      </c>
      <c r="AAU2" s="5">
        <v>151.38</v>
      </c>
      <c r="AAV2" s="5">
        <v>151.38</v>
      </c>
      <c r="AAW2" s="5">
        <v>151.38</v>
      </c>
      <c r="AAX2" s="5">
        <v>151.38</v>
      </c>
      <c r="AAY2" s="5">
        <v>151.38</v>
      </c>
      <c r="ADU2" s="5">
        <v>171</v>
      </c>
      <c r="ADV2" s="5">
        <v>151.38</v>
      </c>
      <c r="ADW2" s="5">
        <v>151.38</v>
      </c>
      <c r="ADX2" s="5">
        <v>151.38</v>
      </c>
      <c r="ADY2" s="5">
        <v>151.38</v>
      </c>
      <c r="ADZ2" s="5">
        <v>151.38</v>
      </c>
      <c r="AEA2" s="5">
        <v>151.38</v>
      </c>
      <c r="AGW2" s="5">
        <v>171</v>
      </c>
      <c r="AGX2" s="5">
        <v>151.38</v>
      </c>
      <c r="AGY2" s="5">
        <v>151.38</v>
      </c>
      <c r="AGZ2" s="5">
        <v>151.38</v>
      </c>
      <c r="AHA2" s="5">
        <v>151.38</v>
      </c>
      <c r="AHB2" s="5">
        <v>151.38</v>
      </c>
      <c r="AHC2" s="5">
        <v>151.38</v>
      </c>
      <c r="AJY2" t="s">
        <v>3</v>
      </c>
    </row>
    <row r="3" spans="1:961">
      <c r="A3" s="5">
        <v>169</v>
      </c>
      <c r="B3" s="5">
        <v>138.4</v>
      </c>
      <c r="C3" s="5">
        <v>138.4</v>
      </c>
      <c r="D3" s="5">
        <v>138.4</v>
      </c>
      <c r="E3" s="5">
        <v>138.4</v>
      </c>
      <c r="F3" s="5">
        <v>138.4</v>
      </c>
      <c r="G3" s="5">
        <v>138.4</v>
      </c>
      <c r="CC3" s="5">
        <v>169</v>
      </c>
      <c r="CD3" s="5">
        <v>138.4</v>
      </c>
      <c r="CE3" s="5">
        <v>138.4</v>
      </c>
      <c r="CF3" s="5">
        <v>138.4</v>
      </c>
      <c r="CG3" s="5">
        <v>138.4</v>
      </c>
      <c r="CH3" s="5">
        <v>138.4</v>
      </c>
      <c r="CI3" s="5">
        <v>138.4</v>
      </c>
      <c r="FE3" s="5">
        <v>169</v>
      </c>
      <c r="FF3" s="5">
        <v>138.4</v>
      </c>
      <c r="FG3" s="5">
        <v>138.4</v>
      </c>
      <c r="FH3" s="5">
        <v>138.4</v>
      </c>
      <c r="FI3" s="5">
        <v>138.4</v>
      </c>
      <c r="FJ3" s="5">
        <v>138.4</v>
      </c>
      <c r="FK3" s="5">
        <v>138.4</v>
      </c>
      <c r="IG3" s="5">
        <v>169</v>
      </c>
      <c r="IH3" s="5">
        <v>138.4</v>
      </c>
      <c r="II3" s="5">
        <v>138.4</v>
      </c>
      <c r="IJ3" s="5">
        <v>138.4</v>
      </c>
      <c r="IK3" s="5">
        <v>138.4</v>
      </c>
      <c r="IL3" s="5">
        <v>138.4</v>
      </c>
      <c r="IM3" s="5">
        <v>138.4</v>
      </c>
      <c r="LI3" s="5">
        <v>169</v>
      </c>
      <c r="LJ3" s="5">
        <v>138.4</v>
      </c>
      <c r="LK3" s="5">
        <v>138.4</v>
      </c>
      <c r="LL3" s="5">
        <v>138.4</v>
      </c>
      <c r="LM3" s="5">
        <v>138.4</v>
      </c>
      <c r="LN3" s="5">
        <v>138.4</v>
      </c>
      <c r="LO3" s="5">
        <v>138.4</v>
      </c>
      <c r="OK3" s="5">
        <v>169</v>
      </c>
      <c r="OL3" s="5">
        <v>138.4</v>
      </c>
      <c r="OM3" s="5">
        <v>138.4</v>
      </c>
      <c r="ON3" s="5">
        <v>138.4</v>
      </c>
      <c r="OO3" s="5">
        <v>138.4</v>
      </c>
      <c r="OP3" s="5">
        <v>138.4</v>
      </c>
      <c r="OQ3" s="5">
        <v>138.4</v>
      </c>
      <c r="RM3" s="5">
        <v>169</v>
      </c>
      <c r="RN3" s="5">
        <v>138.4</v>
      </c>
      <c r="RO3" s="5">
        <v>138.4</v>
      </c>
      <c r="RP3" s="5">
        <v>138.4</v>
      </c>
      <c r="RQ3" s="5">
        <v>138.4</v>
      </c>
      <c r="RR3" s="5">
        <v>138.4</v>
      </c>
      <c r="RS3" s="5">
        <v>138.4</v>
      </c>
      <c r="UO3" s="5">
        <v>169</v>
      </c>
      <c r="UP3" s="5">
        <v>138.4</v>
      </c>
      <c r="UQ3" s="5">
        <v>138.4</v>
      </c>
      <c r="UR3" s="5">
        <v>138.4</v>
      </c>
      <c r="US3" s="5">
        <v>138.4</v>
      </c>
      <c r="UT3" s="5">
        <v>138.4</v>
      </c>
      <c r="UU3" s="5">
        <v>138.4</v>
      </c>
      <c r="XQ3" s="5">
        <v>169</v>
      </c>
      <c r="XR3" s="5">
        <v>138.4</v>
      </c>
      <c r="XS3" s="5">
        <v>138.4</v>
      </c>
      <c r="XT3" s="5">
        <v>138.4</v>
      </c>
      <c r="XU3" s="5">
        <v>138.4</v>
      </c>
      <c r="XV3" s="5">
        <v>138.4</v>
      </c>
      <c r="XW3" s="5">
        <v>138.4</v>
      </c>
      <c r="AAS3" s="5">
        <v>169</v>
      </c>
      <c r="AAT3" s="5">
        <v>138.4</v>
      </c>
      <c r="AAU3" s="5">
        <v>138.4</v>
      </c>
      <c r="AAV3" s="5">
        <v>138.4</v>
      </c>
      <c r="AAW3" s="5">
        <v>138.4</v>
      </c>
      <c r="AAX3" s="5">
        <v>138.4</v>
      </c>
      <c r="AAY3" s="5">
        <v>138.4</v>
      </c>
      <c r="ADU3" s="5">
        <v>169</v>
      </c>
      <c r="ADV3" s="5">
        <v>138.4</v>
      </c>
      <c r="ADW3" s="5">
        <v>138.4</v>
      </c>
      <c r="ADX3" s="5">
        <v>138.4</v>
      </c>
      <c r="ADY3" s="5">
        <v>138.4</v>
      </c>
      <c r="ADZ3" s="5">
        <v>138.4</v>
      </c>
      <c r="AEA3" s="5">
        <v>138.4</v>
      </c>
      <c r="AGW3" s="5">
        <v>169</v>
      </c>
      <c r="AGX3" s="5">
        <v>138.4</v>
      </c>
      <c r="AGY3" s="5">
        <v>138.4</v>
      </c>
      <c r="AGZ3" s="5">
        <v>138.4</v>
      </c>
      <c r="AHA3" s="5">
        <v>138.4</v>
      </c>
      <c r="AHB3" s="5">
        <v>138.4</v>
      </c>
      <c r="AHC3" s="5">
        <v>138.4</v>
      </c>
      <c r="AJY3" t="s">
        <v>4</v>
      </c>
    </row>
    <row r="4" spans="1:961">
      <c r="A4" s="5">
        <v>151.38</v>
      </c>
      <c r="B4" s="5">
        <v>129.75</v>
      </c>
      <c r="C4" s="5">
        <v>129.75</v>
      </c>
      <c r="D4" s="5">
        <v>129.75</v>
      </c>
      <c r="E4" s="5">
        <v>129.75</v>
      </c>
      <c r="F4" s="5">
        <v>129.75</v>
      </c>
      <c r="G4" s="5">
        <v>129.75</v>
      </c>
      <c r="CC4" s="5">
        <v>151.38</v>
      </c>
      <c r="CD4" s="5">
        <v>129.75</v>
      </c>
      <c r="CE4" s="5">
        <v>129.75</v>
      </c>
      <c r="CF4" s="5">
        <v>129.75</v>
      </c>
      <c r="CG4" s="5">
        <v>129.75</v>
      </c>
      <c r="CH4" s="5">
        <v>129.75</v>
      </c>
      <c r="CI4" s="5">
        <v>129.75</v>
      </c>
      <c r="FE4" s="5">
        <v>151.38</v>
      </c>
      <c r="FF4" s="5">
        <v>129.75</v>
      </c>
      <c r="FG4" s="5">
        <v>129.75</v>
      </c>
      <c r="FH4" s="5">
        <v>129.75</v>
      </c>
      <c r="FI4" s="5">
        <v>129.75</v>
      </c>
      <c r="FJ4" s="5">
        <v>129.75</v>
      </c>
      <c r="FK4" s="5">
        <v>129.75</v>
      </c>
      <c r="IG4" s="5">
        <v>151.38</v>
      </c>
      <c r="IH4" s="5">
        <v>129.75</v>
      </c>
      <c r="II4" s="5">
        <v>129.75</v>
      </c>
      <c r="IJ4" s="5">
        <v>129.75</v>
      </c>
      <c r="IK4" s="5">
        <v>129.75</v>
      </c>
      <c r="IL4" s="5">
        <v>129.75</v>
      </c>
      <c r="IM4" s="5">
        <v>129.75</v>
      </c>
      <c r="LI4" s="5">
        <v>151.38</v>
      </c>
      <c r="LJ4" s="5">
        <v>129.75</v>
      </c>
      <c r="LK4" s="5">
        <v>129.75</v>
      </c>
      <c r="LL4" s="5">
        <v>129.75</v>
      </c>
      <c r="LM4" s="5">
        <v>129.75</v>
      </c>
      <c r="LN4" s="5">
        <v>129.75</v>
      </c>
      <c r="LO4" s="5">
        <v>129.75</v>
      </c>
      <c r="OK4" s="5">
        <v>151.38</v>
      </c>
      <c r="OL4" s="5">
        <v>129.75</v>
      </c>
      <c r="OM4" s="5">
        <v>129.75</v>
      </c>
      <c r="ON4" s="5">
        <v>129.75</v>
      </c>
      <c r="OO4" s="5">
        <v>129.75</v>
      </c>
      <c r="OP4" s="5">
        <v>129.75</v>
      </c>
      <c r="OQ4" s="5">
        <v>129.75</v>
      </c>
      <c r="RM4" s="5">
        <v>151.38</v>
      </c>
      <c r="RN4" s="5">
        <v>129.75</v>
      </c>
      <c r="RO4" s="5">
        <v>129.75</v>
      </c>
      <c r="RP4" s="5">
        <v>129.75</v>
      </c>
      <c r="RQ4" s="5">
        <v>129.75</v>
      </c>
      <c r="RR4" s="5">
        <v>129.75</v>
      </c>
      <c r="RS4" s="5">
        <v>129.75</v>
      </c>
      <c r="UO4" s="5">
        <v>151.38</v>
      </c>
      <c r="UP4" s="5">
        <v>129.75</v>
      </c>
      <c r="UQ4" s="5">
        <v>129.75</v>
      </c>
      <c r="UR4" s="5">
        <v>129.75</v>
      </c>
      <c r="US4" s="5">
        <v>129.75</v>
      </c>
      <c r="UT4" s="5">
        <v>129.75</v>
      </c>
      <c r="UU4" s="5">
        <v>129.75</v>
      </c>
      <c r="XQ4" s="5">
        <v>151.38</v>
      </c>
      <c r="XR4" s="5">
        <v>129.75</v>
      </c>
      <c r="XS4" s="5">
        <v>129.75</v>
      </c>
      <c r="XT4" s="5">
        <v>129.75</v>
      </c>
      <c r="XU4" s="5">
        <v>129.75</v>
      </c>
      <c r="XV4" s="5">
        <v>129.75</v>
      </c>
      <c r="XW4" s="5">
        <v>129.75</v>
      </c>
      <c r="AAS4" s="5">
        <v>151.38</v>
      </c>
      <c r="AAT4" s="5">
        <v>129.75</v>
      </c>
      <c r="AAU4" s="5">
        <v>129.75</v>
      </c>
      <c r="AAV4" s="5">
        <v>129.75</v>
      </c>
      <c r="AAW4" s="5">
        <v>129.75</v>
      </c>
      <c r="AAX4" s="5">
        <v>129.75</v>
      </c>
      <c r="AAY4" s="5">
        <v>129.75</v>
      </c>
      <c r="ADU4" s="5">
        <v>151.38</v>
      </c>
      <c r="ADV4" s="5">
        <v>129.75</v>
      </c>
      <c r="ADW4" s="5">
        <v>129.75</v>
      </c>
      <c r="ADX4" s="5">
        <v>129.75</v>
      </c>
      <c r="ADY4" s="5">
        <v>129.75</v>
      </c>
      <c r="ADZ4" s="5">
        <v>129.75</v>
      </c>
      <c r="AEA4" s="5">
        <v>129.75</v>
      </c>
      <c r="AGW4" s="5">
        <v>151.38</v>
      </c>
      <c r="AGX4" s="5">
        <v>129.75</v>
      </c>
      <c r="AGY4" s="5">
        <v>129.75</v>
      </c>
      <c r="AGZ4" s="5">
        <v>129.75</v>
      </c>
      <c r="AHA4" s="5">
        <v>129.75</v>
      </c>
      <c r="AHB4" s="5">
        <v>129.75</v>
      </c>
      <c r="AHC4" s="5">
        <v>129.75</v>
      </c>
      <c r="AJY4" t="s">
        <v>5</v>
      </c>
    </row>
    <row r="5" spans="1:961">
      <c r="A5" s="5">
        <v>138.4</v>
      </c>
      <c r="B5" s="5">
        <v>108.13</v>
      </c>
      <c r="C5" s="5">
        <v>108.13</v>
      </c>
      <c r="D5" s="5">
        <v>108.13</v>
      </c>
      <c r="E5" s="5">
        <v>108.13</v>
      </c>
      <c r="F5" s="5">
        <v>108.13</v>
      </c>
      <c r="G5" s="5">
        <v>108.13</v>
      </c>
      <c r="CC5" s="5">
        <v>138.4</v>
      </c>
      <c r="CD5" s="5">
        <v>108.13</v>
      </c>
      <c r="CE5" s="5">
        <v>108.13</v>
      </c>
      <c r="CF5" s="5">
        <v>108.13</v>
      </c>
      <c r="CG5" s="5">
        <v>108.13</v>
      </c>
      <c r="CH5" s="5">
        <v>108.13</v>
      </c>
      <c r="CI5" s="5">
        <v>108.13</v>
      </c>
      <c r="FE5" s="5">
        <v>138.4</v>
      </c>
      <c r="FF5" s="5">
        <v>108.13</v>
      </c>
      <c r="FG5" s="5">
        <v>108.13</v>
      </c>
      <c r="FH5" s="5">
        <v>108.13</v>
      </c>
      <c r="FI5" s="5">
        <v>108.13</v>
      </c>
      <c r="FJ5" s="5">
        <v>108.13</v>
      </c>
      <c r="FK5" s="5">
        <v>108.13</v>
      </c>
      <c r="IG5" s="5">
        <v>138.4</v>
      </c>
      <c r="IH5" s="5">
        <v>108.13</v>
      </c>
      <c r="II5" s="5">
        <v>108.13</v>
      </c>
      <c r="IJ5" s="5">
        <v>108.13</v>
      </c>
      <c r="IK5" s="5">
        <v>108.13</v>
      </c>
      <c r="IL5" s="5">
        <v>108.13</v>
      </c>
      <c r="IM5" s="5">
        <v>108.13</v>
      </c>
      <c r="LI5" s="5">
        <v>138.4</v>
      </c>
      <c r="LJ5" s="5">
        <v>108.13</v>
      </c>
      <c r="LK5" s="5">
        <v>108.13</v>
      </c>
      <c r="LL5" s="5">
        <v>108.13</v>
      </c>
      <c r="LM5" s="5">
        <v>108.13</v>
      </c>
      <c r="LN5" s="5">
        <v>108.13</v>
      </c>
      <c r="LO5" s="5">
        <v>108.13</v>
      </c>
      <c r="OK5" s="5">
        <v>138.4</v>
      </c>
      <c r="OL5" s="5">
        <v>108.13</v>
      </c>
      <c r="OM5" s="5">
        <v>108.13</v>
      </c>
      <c r="ON5" s="5">
        <v>108.13</v>
      </c>
      <c r="OO5" s="5">
        <v>108.13</v>
      </c>
      <c r="OP5" s="5">
        <v>108.13</v>
      </c>
      <c r="OQ5" s="5">
        <v>108.13</v>
      </c>
      <c r="RM5" s="5">
        <v>138.4</v>
      </c>
      <c r="RN5" s="5">
        <v>108.13</v>
      </c>
      <c r="RO5" s="5">
        <v>108.13</v>
      </c>
      <c r="RP5" s="5">
        <v>108.13</v>
      </c>
      <c r="RQ5" s="5">
        <v>108.13</v>
      </c>
      <c r="RR5" s="5">
        <v>108.13</v>
      </c>
      <c r="RS5" s="5">
        <v>108.13</v>
      </c>
      <c r="UO5" s="5">
        <v>138.4</v>
      </c>
      <c r="UP5" s="5">
        <v>108.13</v>
      </c>
      <c r="UQ5" s="5">
        <v>108.13</v>
      </c>
      <c r="UR5" s="5">
        <v>108.13</v>
      </c>
      <c r="US5" s="5">
        <v>108.13</v>
      </c>
      <c r="UT5" s="5">
        <v>108.13</v>
      </c>
      <c r="UU5" s="5">
        <v>108.13</v>
      </c>
      <c r="XQ5" s="5">
        <v>138.4</v>
      </c>
      <c r="XR5" s="5">
        <v>108.13</v>
      </c>
      <c r="XS5" s="5">
        <v>108.13</v>
      </c>
      <c r="XT5" s="5">
        <v>108.13</v>
      </c>
      <c r="XU5" s="5">
        <v>108.13</v>
      </c>
      <c r="XV5" s="5">
        <v>108.13</v>
      </c>
      <c r="XW5" s="5">
        <v>108.13</v>
      </c>
      <c r="AAS5" s="5">
        <v>138.4</v>
      </c>
      <c r="AAT5" s="5">
        <v>108.13</v>
      </c>
      <c r="AAU5" s="5">
        <v>108.13</v>
      </c>
      <c r="AAV5" s="5">
        <v>108.13</v>
      </c>
      <c r="AAW5" s="5">
        <v>108.13</v>
      </c>
      <c r="AAX5" s="5">
        <v>108.13</v>
      </c>
      <c r="AAY5" s="5">
        <v>108.13</v>
      </c>
      <c r="ADU5" s="5">
        <v>138.4</v>
      </c>
      <c r="ADV5" s="5">
        <v>108.13</v>
      </c>
      <c r="ADW5" s="5">
        <v>108.13</v>
      </c>
      <c r="ADX5" s="5">
        <v>108.13</v>
      </c>
      <c r="ADY5" s="5">
        <v>108.13</v>
      </c>
      <c r="ADZ5" s="5">
        <v>108.13</v>
      </c>
      <c r="AEA5" s="5">
        <v>108.13</v>
      </c>
      <c r="AGW5" s="5">
        <v>138.4</v>
      </c>
      <c r="AGX5" s="5">
        <v>108.13</v>
      </c>
      <c r="AGY5" s="5">
        <v>108.13</v>
      </c>
      <c r="AGZ5" s="5">
        <v>108.13</v>
      </c>
      <c r="AHA5" s="5">
        <v>108.13</v>
      </c>
      <c r="AHB5" s="5">
        <v>108.13</v>
      </c>
      <c r="AHC5" s="5">
        <v>108.13</v>
      </c>
      <c r="AJY5" t="s">
        <v>6</v>
      </c>
    </row>
    <row r="6" spans="1:961">
      <c r="A6" s="5">
        <v>129.75</v>
      </c>
      <c r="B6" s="5">
        <v>103.8</v>
      </c>
      <c r="C6" s="5">
        <v>103.8</v>
      </c>
      <c r="D6" s="5">
        <v>103.8</v>
      </c>
      <c r="E6" s="5">
        <v>103.8</v>
      </c>
      <c r="F6" s="5">
        <v>103.8</v>
      </c>
      <c r="G6" s="5">
        <v>103.8</v>
      </c>
      <c r="CC6" s="5">
        <v>129.75</v>
      </c>
      <c r="CD6" s="5">
        <v>103.8</v>
      </c>
      <c r="CE6" s="5">
        <v>103.8</v>
      </c>
      <c r="CF6" s="5">
        <v>103.8</v>
      </c>
      <c r="CG6" s="5">
        <v>103.8</v>
      </c>
      <c r="CH6" s="5">
        <v>103.8</v>
      </c>
      <c r="CI6" s="5">
        <v>103.8</v>
      </c>
      <c r="FE6" s="5">
        <v>129.75</v>
      </c>
      <c r="FF6" s="5">
        <v>103.8</v>
      </c>
      <c r="FG6" s="5">
        <v>103.8</v>
      </c>
      <c r="FH6" s="5">
        <v>103.8</v>
      </c>
      <c r="FI6" s="5">
        <v>103.8</v>
      </c>
      <c r="FJ6" s="5">
        <v>103.8</v>
      </c>
      <c r="FK6" s="5">
        <v>103.8</v>
      </c>
      <c r="IG6" s="5">
        <v>129.75</v>
      </c>
      <c r="IH6" s="5">
        <v>103.8</v>
      </c>
      <c r="II6" s="5">
        <v>103.8</v>
      </c>
      <c r="IJ6" s="5">
        <v>103.8</v>
      </c>
      <c r="IK6" s="5">
        <v>103.8</v>
      </c>
      <c r="IL6" s="5">
        <v>103.8</v>
      </c>
      <c r="IM6" s="5">
        <v>103.8</v>
      </c>
      <c r="LI6" s="5">
        <v>129.75</v>
      </c>
      <c r="LJ6" s="5">
        <v>103.8</v>
      </c>
      <c r="LK6" s="5">
        <v>103.8</v>
      </c>
      <c r="LL6" s="5">
        <v>103.8</v>
      </c>
      <c r="LM6" s="5">
        <v>103.8</v>
      </c>
      <c r="LN6" s="5">
        <v>103.8</v>
      </c>
      <c r="LO6" s="5">
        <v>103.8</v>
      </c>
      <c r="OK6" s="5">
        <v>129.75</v>
      </c>
      <c r="OL6" s="5">
        <v>103.8</v>
      </c>
      <c r="OM6" s="5">
        <v>103.8</v>
      </c>
      <c r="ON6" s="5">
        <v>103.8</v>
      </c>
      <c r="OO6" s="5">
        <v>103.8</v>
      </c>
      <c r="OP6" s="5">
        <v>103.8</v>
      </c>
      <c r="OQ6" s="5">
        <v>103.8</v>
      </c>
      <c r="RM6" s="5">
        <v>129.75</v>
      </c>
      <c r="RN6" s="5">
        <v>103.8</v>
      </c>
      <c r="RO6" s="5">
        <v>103.8</v>
      </c>
      <c r="RP6" s="5">
        <v>103.8</v>
      </c>
      <c r="RQ6" s="5">
        <v>103.8</v>
      </c>
      <c r="RR6" s="5">
        <v>103.8</v>
      </c>
      <c r="RS6" s="5">
        <v>103.8</v>
      </c>
      <c r="UO6" s="5">
        <v>129.75</v>
      </c>
      <c r="UP6" s="5">
        <v>103.8</v>
      </c>
      <c r="UQ6" s="5">
        <v>103.8</v>
      </c>
      <c r="UR6" s="5">
        <v>103.8</v>
      </c>
      <c r="US6" s="5">
        <v>103.8</v>
      </c>
      <c r="UT6" s="5">
        <v>103.8</v>
      </c>
      <c r="UU6" s="5">
        <v>103.8</v>
      </c>
      <c r="XQ6" s="5">
        <v>129.75</v>
      </c>
      <c r="XR6" s="5">
        <v>103.8</v>
      </c>
      <c r="XS6" s="5">
        <v>103.8</v>
      </c>
      <c r="XT6" s="5">
        <v>103.8</v>
      </c>
      <c r="XU6" s="5">
        <v>103.8</v>
      </c>
      <c r="XV6" s="5">
        <v>103.8</v>
      </c>
      <c r="XW6" s="5">
        <v>103.8</v>
      </c>
      <c r="AAS6" s="5">
        <v>129.75</v>
      </c>
      <c r="AAT6" s="5">
        <v>103.8</v>
      </c>
      <c r="AAU6" s="5">
        <v>103.8</v>
      </c>
      <c r="AAV6" s="5">
        <v>103.8</v>
      </c>
      <c r="AAW6" s="5">
        <v>103.8</v>
      </c>
      <c r="AAX6" s="5">
        <v>103.8</v>
      </c>
      <c r="AAY6" s="5">
        <v>103.8</v>
      </c>
      <c r="ADU6" s="5">
        <v>129.75</v>
      </c>
      <c r="ADV6" s="5">
        <v>103.8</v>
      </c>
      <c r="ADW6" s="5">
        <v>103.8</v>
      </c>
      <c r="ADX6" s="5">
        <v>103.8</v>
      </c>
      <c r="ADY6" s="5">
        <v>103.8</v>
      </c>
      <c r="ADZ6" s="5">
        <v>103.8</v>
      </c>
      <c r="AEA6" s="5">
        <v>103.8</v>
      </c>
      <c r="AGW6" s="5">
        <v>129.75</v>
      </c>
      <c r="AGX6" s="5">
        <v>103.8</v>
      </c>
      <c r="AGY6" s="5">
        <v>103.8</v>
      </c>
      <c r="AGZ6" s="5">
        <v>103.8</v>
      </c>
      <c r="AHA6" s="5">
        <v>103.8</v>
      </c>
      <c r="AHB6" s="5">
        <v>103.8</v>
      </c>
      <c r="AHC6" s="5">
        <v>103.8</v>
      </c>
      <c r="AJY6" t="s">
        <v>7</v>
      </c>
    </row>
    <row r="7" spans="1:961">
      <c r="A7" s="5">
        <v>108.13</v>
      </c>
      <c r="B7" s="5">
        <v>86.5</v>
      </c>
      <c r="C7" s="5">
        <v>86.5</v>
      </c>
      <c r="D7" s="5">
        <v>86.5</v>
      </c>
      <c r="E7" s="5">
        <v>86.5</v>
      </c>
      <c r="F7" s="5">
        <v>86.5</v>
      </c>
      <c r="G7" s="5">
        <v>86.5</v>
      </c>
      <c r="CC7" s="5">
        <v>108.13</v>
      </c>
      <c r="CD7" s="5">
        <v>86.5</v>
      </c>
      <c r="CE7" s="5">
        <v>86.5</v>
      </c>
      <c r="CF7" s="5">
        <v>86.5</v>
      </c>
      <c r="CG7" s="5">
        <v>86.5</v>
      </c>
      <c r="CH7" s="5">
        <v>86.5</v>
      </c>
      <c r="CI7" s="5">
        <v>86.5</v>
      </c>
      <c r="FE7" s="5">
        <v>108.13</v>
      </c>
      <c r="FF7" s="5">
        <v>86.5</v>
      </c>
      <c r="FG7" s="5">
        <v>86.5</v>
      </c>
      <c r="FH7" s="5">
        <v>86.5</v>
      </c>
      <c r="FI7" s="5">
        <v>86.5</v>
      </c>
      <c r="FJ7" s="5">
        <v>86.5</v>
      </c>
      <c r="FK7" s="5">
        <v>86.5</v>
      </c>
      <c r="IG7" s="5">
        <v>108.13</v>
      </c>
      <c r="IH7" s="5">
        <v>86.5</v>
      </c>
      <c r="II7" s="5">
        <v>86.5</v>
      </c>
      <c r="IJ7" s="5">
        <v>86.5</v>
      </c>
      <c r="IK7" s="5">
        <v>86.5</v>
      </c>
      <c r="IL7" s="5">
        <v>86.5</v>
      </c>
      <c r="IM7" s="5">
        <v>86.5</v>
      </c>
      <c r="LI7" s="5">
        <v>108.13</v>
      </c>
      <c r="LJ7" s="5">
        <v>86.5</v>
      </c>
      <c r="LK7" s="5">
        <v>86.5</v>
      </c>
      <c r="LL7" s="5">
        <v>86.5</v>
      </c>
      <c r="LM7" s="5">
        <v>86.5</v>
      </c>
      <c r="LN7" s="5">
        <v>86.5</v>
      </c>
      <c r="LO7" s="5">
        <v>86.5</v>
      </c>
      <c r="OK7" s="5">
        <v>108.13</v>
      </c>
      <c r="OL7" s="5">
        <v>86.5</v>
      </c>
      <c r="OM7" s="5">
        <v>86.5</v>
      </c>
      <c r="ON7" s="5">
        <v>86.5</v>
      </c>
      <c r="OO7" s="5">
        <v>86.5</v>
      </c>
      <c r="OP7" s="5">
        <v>86.5</v>
      </c>
      <c r="OQ7" s="5">
        <v>86.5</v>
      </c>
      <c r="RM7" s="5">
        <v>108.13</v>
      </c>
      <c r="RN7" s="5">
        <v>86.5</v>
      </c>
      <c r="RO7" s="5">
        <v>86.5</v>
      </c>
      <c r="RP7" s="5">
        <v>86.5</v>
      </c>
      <c r="RQ7" s="5">
        <v>86.5</v>
      </c>
      <c r="RR7" s="5">
        <v>86.5</v>
      </c>
      <c r="RS7" s="5">
        <v>86.5</v>
      </c>
      <c r="UO7" s="5">
        <v>108.13</v>
      </c>
      <c r="UP7" s="5">
        <v>86.5</v>
      </c>
      <c r="UQ7" s="5">
        <v>86.5</v>
      </c>
      <c r="UR7" s="5">
        <v>86.5</v>
      </c>
      <c r="US7" s="5">
        <v>86.5</v>
      </c>
      <c r="UT7" s="5">
        <v>86.5</v>
      </c>
      <c r="UU7" s="5">
        <v>86.5</v>
      </c>
      <c r="XQ7" s="5">
        <v>108.13</v>
      </c>
      <c r="XR7" s="5">
        <v>86.5</v>
      </c>
      <c r="XS7" s="5">
        <v>86.5</v>
      </c>
      <c r="XT7" s="5">
        <v>86.5</v>
      </c>
      <c r="XU7" s="5">
        <v>86.5</v>
      </c>
      <c r="XV7" s="5">
        <v>86.5</v>
      </c>
      <c r="XW7" s="5">
        <v>86.5</v>
      </c>
      <c r="AAS7" s="5">
        <v>108.13</v>
      </c>
      <c r="AAT7" s="5">
        <v>86.5</v>
      </c>
      <c r="AAU7" s="5">
        <v>86.5</v>
      </c>
      <c r="AAV7" s="5">
        <v>86.5</v>
      </c>
      <c r="AAW7" s="5">
        <v>86.5</v>
      </c>
      <c r="AAX7" s="5">
        <v>86.5</v>
      </c>
      <c r="AAY7" s="5">
        <v>86.5</v>
      </c>
      <c r="ADU7" s="5">
        <v>108.13</v>
      </c>
      <c r="ADV7" s="5">
        <v>86.5</v>
      </c>
      <c r="ADW7" s="5">
        <v>86.5</v>
      </c>
      <c r="ADX7" s="5">
        <v>86.5</v>
      </c>
      <c r="ADY7" s="5">
        <v>86.5</v>
      </c>
      <c r="ADZ7" s="5">
        <v>86.5</v>
      </c>
      <c r="AEA7" s="5">
        <v>86.5</v>
      </c>
      <c r="AGW7" s="5">
        <v>108.13</v>
      </c>
      <c r="AGX7" s="5">
        <v>86.5</v>
      </c>
      <c r="AGY7" s="5">
        <v>86.5</v>
      </c>
      <c r="AGZ7" s="5">
        <v>86.5</v>
      </c>
      <c r="AHA7" s="5">
        <v>86.5</v>
      </c>
      <c r="AHB7" s="5">
        <v>86.5</v>
      </c>
      <c r="AHC7" s="5">
        <v>86.5</v>
      </c>
      <c r="AJY7" t="s">
        <v>8</v>
      </c>
    </row>
    <row r="8" spans="1:961">
      <c r="A8" s="5">
        <v>103.8</v>
      </c>
      <c r="B8" s="5">
        <v>69.2</v>
      </c>
      <c r="C8" s="5">
        <v>69.2</v>
      </c>
      <c r="D8" s="5">
        <v>69.2</v>
      </c>
      <c r="E8" s="5">
        <v>69.2</v>
      </c>
      <c r="F8" s="5">
        <v>69.2</v>
      </c>
      <c r="G8" s="5">
        <v>69.2</v>
      </c>
      <c r="CC8" s="5">
        <v>103.8</v>
      </c>
      <c r="CD8" s="5">
        <v>69.2</v>
      </c>
      <c r="CE8" s="5">
        <v>69.2</v>
      </c>
      <c r="CF8" s="5">
        <v>69.2</v>
      </c>
      <c r="CG8" s="5">
        <v>69.2</v>
      </c>
      <c r="CH8" s="5">
        <v>69.2</v>
      </c>
      <c r="CI8" s="5">
        <v>69.2</v>
      </c>
      <c r="FE8" s="5">
        <v>103.8</v>
      </c>
      <c r="FF8" s="5">
        <v>69.2</v>
      </c>
      <c r="FG8" s="5">
        <v>69.2</v>
      </c>
      <c r="FH8" s="5">
        <v>69.2</v>
      </c>
      <c r="FI8" s="5">
        <v>69.2</v>
      </c>
      <c r="FJ8" s="5">
        <v>69.2</v>
      </c>
      <c r="FK8" s="5">
        <v>69.2</v>
      </c>
      <c r="IG8" s="5">
        <v>103.8</v>
      </c>
      <c r="IH8" s="5">
        <v>69.2</v>
      </c>
      <c r="II8" s="5">
        <v>69.2</v>
      </c>
      <c r="IJ8" s="5">
        <v>69.2</v>
      </c>
      <c r="IK8" s="5">
        <v>69.2</v>
      </c>
      <c r="IL8" s="5">
        <v>69.2</v>
      </c>
      <c r="IM8" s="5">
        <v>69.2</v>
      </c>
      <c r="LI8" s="5">
        <v>103.8</v>
      </c>
      <c r="LJ8" s="5">
        <v>69.2</v>
      </c>
      <c r="LK8" s="5">
        <v>69.2</v>
      </c>
      <c r="LL8" s="5">
        <v>69.2</v>
      </c>
      <c r="LM8" s="5">
        <v>69.2</v>
      </c>
      <c r="LN8" s="5">
        <v>69.2</v>
      </c>
      <c r="LO8" s="5">
        <v>69.2</v>
      </c>
      <c r="OK8" s="5">
        <v>103.8</v>
      </c>
      <c r="OL8" s="5">
        <v>69.2</v>
      </c>
      <c r="OM8" s="5">
        <v>69.2</v>
      </c>
      <c r="ON8" s="5">
        <v>69.2</v>
      </c>
      <c r="OO8" s="5">
        <v>69.2</v>
      </c>
      <c r="OP8" s="5">
        <v>69.2</v>
      </c>
      <c r="OQ8" s="5">
        <v>69.2</v>
      </c>
      <c r="RM8" s="5">
        <v>103.8</v>
      </c>
      <c r="RN8" s="5">
        <v>69.2</v>
      </c>
      <c r="RO8" s="5">
        <v>69.2</v>
      </c>
      <c r="RP8" s="5">
        <v>69.2</v>
      </c>
      <c r="RQ8" s="5">
        <v>69.2</v>
      </c>
      <c r="RR8" s="5">
        <v>69.2</v>
      </c>
      <c r="RS8" s="5">
        <v>69.2</v>
      </c>
      <c r="UO8" s="5">
        <v>103.8</v>
      </c>
      <c r="UP8" s="5">
        <v>69.2</v>
      </c>
      <c r="UQ8" s="5">
        <v>69.2</v>
      </c>
      <c r="UR8" s="5">
        <v>69.2</v>
      </c>
      <c r="US8" s="5">
        <v>69.2</v>
      </c>
      <c r="UT8" s="5">
        <v>69.2</v>
      </c>
      <c r="UU8" s="5">
        <v>69.2</v>
      </c>
      <c r="XQ8" s="5">
        <v>103.8</v>
      </c>
      <c r="XR8" s="5">
        <v>69.2</v>
      </c>
      <c r="XS8" s="5">
        <v>69.2</v>
      </c>
      <c r="XT8" s="5">
        <v>69.2</v>
      </c>
      <c r="XU8" s="5">
        <v>69.2</v>
      </c>
      <c r="XV8" s="5">
        <v>69.2</v>
      </c>
      <c r="XW8" s="5">
        <v>69.2</v>
      </c>
      <c r="AAS8" s="5">
        <v>103.8</v>
      </c>
      <c r="AAT8" s="5">
        <v>69.2</v>
      </c>
      <c r="AAU8" s="5">
        <v>69.2</v>
      </c>
      <c r="AAV8" s="5">
        <v>69.2</v>
      </c>
      <c r="AAW8" s="5">
        <v>69.2</v>
      </c>
      <c r="AAX8" s="5">
        <v>69.2</v>
      </c>
      <c r="AAY8" s="5">
        <v>69.2</v>
      </c>
      <c r="ADU8" s="5">
        <v>103.8</v>
      </c>
      <c r="ADV8" s="5">
        <v>69.2</v>
      </c>
      <c r="ADW8" s="5">
        <v>69.2</v>
      </c>
      <c r="ADX8" s="5">
        <v>69.2</v>
      </c>
      <c r="ADY8" s="5">
        <v>69.2</v>
      </c>
      <c r="ADZ8" s="5">
        <v>69.2</v>
      </c>
      <c r="AEA8" s="5">
        <v>69.2</v>
      </c>
      <c r="AGW8" s="5">
        <v>103.8</v>
      </c>
      <c r="AGX8" s="5">
        <v>69.2</v>
      </c>
      <c r="AGY8" s="5">
        <v>69.2</v>
      </c>
      <c r="AGZ8" s="5">
        <v>69.2</v>
      </c>
      <c r="AHA8" s="5">
        <v>69.2</v>
      </c>
      <c r="AHB8" s="5">
        <v>69.2</v>
      </c>
      <c r="AHC8" s="5">
        <v>69.2</v>
      </c>
      <c r="AJY8" t="s">
        <v>9</v>
      </c>
    </row>
    <row r="9" spans="1:961">
      <c r="A9" s="5">
        <v>86.5</v>
      </c>
      <c r="B9" s="5">
        <v>51.9</v>
      </c>
      <c r="C9" s="5">
        <v>51.9</v>
      </c>
      <c r="D9" s="5">
        <v>51.9</v>
      </c>
      <c r="E9" s="5">
        <v>51.9</v>
      </c>
      <c r="F9" s="5">
        <v>51.9</v>
      </c>
      <c r="G9" s="5">
        <v>51.9</v>
      </c>
      <c r="CC9" s="5">
        <v>86.5</v>
      </c>
      <c r="CD9" s="5">
        <v>51.9</v>
      </c>
      <c r="CE9" s="5">
        <v>51.9</v>
      </c>
      <c r="CF9" s="5">
        <v>51.9</v>
      </c>
      <c r="CG9" s="5">
        <v>51.9</v>
      </c>
      <c r="CH9" s="5">
        <v>51.9</v>
      </c>
      <c r="CI9" s="5">
        <v>51.9</v>
      </c>
      <c r="FE9" s="5">
        <v>86.5</v>
      </c>
      <c r="FF9" s="5">
        <v>51.9</v>
      </c>
      <c r="FG9" s="5">
        <v>51.9</v>
      </c>
      <c r="FH9" s="5">
        <v>51.9</v>
      </c>
      <c r="FI9" s="5">
        <v>51.9</v>
      </c>
      <c r="FJ9" s="5">
        <v>51.9</v>
      </c>
      <c r="FK9" s="5">
        <v>51.9</v>
      </c>
      <c r="IG9" s="5">
        <v>86.5</v>
      </c>
      <c r="IH9" s="5">
        <v>51.9</v>
      </c>
      <c r="II9" s="5">
        <v>51.9</v>
      </c>
      <c r="IJ9" s="5">
        <v>51.9</v>
      </c>
      <c r="IK9" s="5">
        <v>51.9</v>
      </c>
      <c r="IL9" s="5">
        <v>51.9</v>
      </c>
      <c r="IM9" s="5">
        <v>51.9</v>
      </c>
      <c r="LI9" s="5">
        <v>86.5</v>
      </c>
      <c r="LJ9" s="5">
        <v>51.9</v>
      </c>
      <c r="LK9" s="5">
        <v>51.9</v>
      </c>
      <c r="LL9" s="5">
        <v>51.9</v>
      </c>
      <c r="LM9" s="5">
        <v>51.9</v>
      </c>
      <c r="LN9" s="5">
        <v>51.9</v>
      </c>
      <c r="LO9" s="5">
        <v>51.9</v>
      </c>
      <c r="OK9" s="5">
        <v>86.5</v>
      </c>
      <c r="OL9" s="5">
        <v>51.9</v>
      </c>
      <c r="OM9" s="5">
        <v>51.9</v>
      </c>
      <c r="ON9" s="5">
        <v>51.9</v>
      </c>
      <c r="OO9" s="5">
        <v>51.9</v>
      </c>
      <c r="OP9" s="5">
        <v>51.9</v>
      </c>
      <c r="OQ9" s="5">
        <v>51.9</v>
      </c>
      <c r="RM9" s="5">
        <v>86.5</v>
      </c>
      <c r="RN9" s="5">
        <v>51.9</v>
      </c>
      <c r="RO9" s="5">
        <v>51.9</v>
      </c>
      <c r="RP9" s="5">
        <v>51.9</v>
      </c>
      <c r="RQ9" s="5">
        <v>51.9</v>
      </c>
      <c r="RR9" s="5">
        <v>51.9</v>
      </c>
      <c r="RS9" s="5">
        <v>51.9</v>
      </c>
      <c r="UO9" s="5">
        <v>86.5</v>
      </c>
      <c r="UP9" s="5">
        <v>51.9</v>
      </c>
      <c r="UQ9" s="5">
        <v>51.9</v>
      </c>
      <c r="UR9" s="5">
        <v>51.9</v>
      </c>
      <c r="US9" s="5">
        <v>51.9</v>
      </c>
      <c r="UT9" s="5">
        <v>51.9</v>
      </c>
      <c r="UU9" s="5">
        <v>51.9</v>
      </c>
      <c r="XQ9" s="5">
        <v>86.5</v>
      </c>
      <c r="XR9" s="5">
        <v>51.9</v>
      </c>
      <c r="XS9" s="5">
        <v>51.9</v>
      </c>
      <c r="XT9" s="5">
        <v>51.9</v>
      </c>
      <c r="XU9" s="5">
        <v>51.9</v>
      </c>
      <c r="XV9" s="5">
        <v>51.9</v>
      </c>
      <c r="XW9" s="5">
        <v>51.9</v>
      </c>
      <c r="AAS9" s="5">
        <v>86.5</v>
      </c>
      <c r="AAT9" s="5">
        <v>51.9</v>
      </c>
      <c r="AAU9" s="5">
        <v>51.9</v>
      </c>
      <c r="AAV9" s="5">
        <v>51.9</v>
      </c>
      <c r="AAW9" s="5">
        <v>51.9</v>
      </c>
      <c r="AAX9" s="5">
        <v>51.9</v>
      </c>
      <c r="AAY9" s="5">
        <v>51.9</v>
      </c>
      <c r="ADU9" s="5">
        <v>86.5</v>
      </c>
      <c r="ADV9" s="5">
        <v>51.9</v>
      </c>
      <c r="ADW9" s="5">
        <v>51.9</v>
      </c>
      <c r="ADX9" s="5">
        <v>51.9</v>
      </c>
      <c r="ADY9" s="5">
        <v>51.9</v>
      </c>
      <c r="ADZ9" s="5">
        <v>51.9</v>
      </c>
      <c r="AEA9" s="5">
        <v>51.9</v>
      </c>
      <c r="AGW9" s="5">
        <v>86.5</v>
      </c>
      <c r="AGX9" s="5">
        <v>51.9</v>
      </c>
      <c r="AGY9" s="5">
        <v>51.9</v>
      </c>
      <c r="AGZ9" s="5">
        <v>51.9</v>
      </c>
      <c r="AHA9" s="5">
        <v>51.9</v>
      </c>
      <c r="AHB9" s="5">
        <v>51.9</v>
      </c>
      <c r="AHC9" s="5">
        <v>51.9</v>
      </c>
      <c r="AJY9" t="s">
        <v>10</v>
      </c>
    </row>
    <row r="10" spans="1:961">
      <c r="A10" s="5">
        <v>69.2</v>
      </c>
      <c r="B10" s="5">
        <v>47.58</v>
      </c>
      <c r="C10" s="5">
        <v>47.58</v>
      </c>
      <c r="D10" s="5">
        <v>47.58</v>
      </c>
      <c r="E10" s="5">
        <v>47.58</v>
      </c>
      <c r="F10" s="5">
        <v>47.58</v>
      </c>
      <c r="G10" s="5">
        <v>47.58</v>
      </c>
      <c r="CC10" s="5">
        <v>69.2</v>
      </c>
      <c r="CD10" s="5">
        <v>47.58</v>
      </c>
      <c r="CE10" s="5">
        <v>47.58</v>
      </c>
      <c r="CF10" s="5">
        <v>47.58</v>
      </c>
      <c r="CG10" s="5">
        <v>47.58</v>
      </c>
      <c r="CH10" s="5">
        <v>47.58</v>
      </c>
      <c r="CI10" s="5">
        <v>47.58</v>
      </c>
      <c r="FE10" s="5">
        <v>69.2</v>
      </c>
      <c r="FF10" s="5">
        <v>47.58</v>
      </c>
      <c r="FG10" s="5">
        <v>47.58</v>
      </c>
      <c r="FH10" s="5">
        <v>47.58</v>
      </c>
      <c r="FI10" s="5">
        <v>47.58</v>
      </c>
      <c r="FJ10" s="5">
        <v>47.58</v>
      </c>
      <c r="FK10" s="5">
        <v>47.58</v>
      </c>
      <c r="IG10" s="5">
        <v>69.2</v>
      </c>
      <c r="IH10" s="5">
        <v>47.58</v>
      </c>
      <c r="II10" s="5">
        <v>47.58</v>
      </c>
      <c r="IJ10" s="5">
        <v>47.58</v>
      </c>
      <c r="IK10" s="5">
        <v>47.58</v>
      </c>
      <c r="IL10" s="5">
        <v>47.58</v>
      </c>
      <c r="IM10" s="5">
        <v>47.58</v>
      </c>
      <c r="LI10" s="5">
        <v>69.2</v>
      </c>
      <c r="LJ10" s="5">
        <v>47.58</v>
      </c>
      <c r="LK10" s="5">
        <v>47.58</v>
      </c>
      <c r="LL10" s="5">
        <v>47.58</v>
      </c>
      <c r="LM10" s="5">
        <v>47.58</v>
      </c>
      <c r="LN10" s="5">
        <v>47.58</v>
      </c>
      <c r="LO10" s="5">
        <v>47.58</v>
      </c>
      <c r="OK10" s="5">
        <v>69.2</v>
      </c>
      <c r="OL10" s="5">
        <v>47.58</v>
      </c>
      <c r="OM10" s="5">
        <v>47.58</v>
      </c>
      <c r="ON10" s="5">
        <v>47.58</v>
      </c>
      <c r="OO10" s="5">
        <v>47.58</v>
      </c>
      <c r="OP10" s="5">
        <v>47.58</v>
      </c>
      <c r="OQ10" s="5">
        <v>47.58</v>
      </c>
      <c r="RM10" s="5">
        <v>69.2</v>
      </c>
      <c r="RN10" s="5">
        <v>47.58</v>
      </c>
      <c r="RO10" s="5">
        <v>47.58</v>
      </c>
      <c r="RP10" s="5">
        <v>47.58</v>
      </c>
      <c r="RQ10" s="5">
        <v>47.58</v>
      </c>
      <c r="RR10" s="5">
        <v>47.58</v>
      </c>
      <c r="RS10" s="5">
        <v>47.58</v>
      </c>
      <c r="UO10" s="5">
        <v>69.2</v>
      </c>
      <c r="UP10" s="5">
        <v>47.58</v>
      </c>
      <c r="UQ10" s="5">
        <v>47.58</v>
      </c>
      <c r="UR10" s="5">
        <v>47.58</v>
      </c>
      <c r="US10" s="5">
        <v>47.58</v>
      </c>
      <c r="UT10" s="5">
        <v>47.58</v>
      </c>
      <c r="UU10" s="5">
        <v>47.58</v>
      </c>
      <c r="XQ10" s="5">
        <v>69.2</v>
      </c>
      <c r="XR10" s="5">
        <v>47.58</v>
      </c>
      <c r="XS10" s="5">
        <v>47.58</v>
      </c>
      <c r="XT10" s="5">
        <v>47.58</v>
      </c>
      <c r="XU10" s="5">
        <v>47.58</v>
      </c>
      <c r="XV10" s="5">
        <v>47.58</v>
      </c>
      <c r="XW10" s="5">
        <v>47.58</v>
      </c>
      <c r="AAS10" s="5">
        <v>69.2</v>
      </c>
      <c r="AAT10" s="5">
        <v>47.58</v>
      </c>
      <c r="AAU10" s="5">
        <v>47.58</v>
      </c>
      <c r="AAV10" s="5">
        <v>47.58</v>
      </c>
      <c r="AAW10" s="5">
        <v>47.58</v>
      </c>
      <c r="AAX10" s="5">
        <v>47.58</v>
      </c>
      <c r="AAY10" s="5">
        <v>47.58</v>
      </c>
      <c r="ADU10" s="5">
        <v>69.2</v>
      </c>
      <c r="ADV10" s="5">
        <v>47.58</v>
      </c>
      <c r="ADW10" s="5">
        <v>47.58</v>
      </c>
      <c r="ADX10" s="5">
        <v>47.58</v>
      </c>
      <c r="ADY10" s="5">
        <v>47.58</v>
      </c>
      <c r="ADZ10" s="5">
        <v>47.58</v>
      </c>
      <c r="AEA10" s="5">
        <v>47.58</v>
      </c>
      <c r="AGW10" s="5">
        <v>69.2</v>
      </c>
      <c r="AGX10" s="5">
        <v>47.58</v>
      </c>
      <c r="AGY10" s="5">
        <v>47.58</v>
      </c>
      <c r="AGZ10" s="5">
        <v>47.58</v>
      </c>
      <c r="AHA10" s="5">
        <v>47.58</v>
      </c>
      <c r="AHB10" s="5">
        <v>47.58</v>
      </c>
      <c r="AHC10" s="5">
        <v>47.58</v>
      </c>
      <c r="AJY10" t="s">
        <v>11</v>
      </c>
    </row>
    <row r="11" spans="1:961">
      <c r="A11" s="5">
        <v>55</v>
      </c>
      <c r="B11" s="5">
        <v>43.25</v>
      </c>
      <c r="C11" s="5">
        <v>43.25</v>
      </c>
      <c r="D11" s="5">
        <v>43.25</v>
      </c>
      <c r="E11" s="5">
        <v>43.25</v>
      </c>
      <c r="F11" s="5">
        <v>43.25</v>
      </c>
      <c r="G11" s="5">
        <v>43.25</v>
      </c>
      <c r="CC11" s="5">
        <v>55</v>
      </c>
      <c r="CD11" s="5">
        <v>43.25</v>
      </c>
      <c r="CE11" s="5">
        <v>43.25</v>
      </c>
      <c r="CF11" s="5">
        <v>43.25</v>
      </c>
      <c r="CG11" s="5">
        <v>43.25</v>
      </c>
      <c r="CH11" s="5">
        <v>43.25</v>
      </c>
      <c r="CI11" s="5">
        <v>43.25</v>
      </c>
      <c r="FE11" s="5">
        <v>55</v>
      </c>
      <c r="FF11" s="5">
        <v>43.25</v>
      </c>
      <c r="FG11" s="5">
        <v>43.25</v>
      </c>
      <c r="FH11" s="5">
        <v>43.25</v>
      </c>
      <c r="FI11" s="5">
        <v>43.25</v>
      </c>
      <c r="FJ11" s="5">
        <v>43.25</v>
      </c>
      <c r="FK11" s="5">
        <v>43.25</v>
      </c>
      <c r="IG11" s="5">
        <v>55</v>
      </c>
      <c r="IH11" s="5">
        <v>43.25</v>
      </c>
      <c r="II11" s="5">
        <v>43.25</v>
      </c>
      <c r="IJ11" s="5">
        <v>43.25</v>
      </c>
      <c r="IK11" s="5">
        <v>43.25</v>
      </c>
      <c r="IL11" s="5">
        <v>43.25</v>
      </c>
      <c r="IM11" s="5">
        <v>43.25</v>
      </c>
      <c r="LI11" s="5">
        <v>55</v>
      </c>
      <c r="LJ11" s="5">
        <v>43.25</v>
      </c>
      <c r="LK11" s="5">
        <v>43.25</v>
      </c>
      <c r="LL11" s="5">
        <v>43.25</v>
      </c>
      <c r="LM11" s="5">
        <v>43.25</v>
      </c>
      <c r="LN11" s="5">
        <v>43.25</v>
      </c>
      <c r="LO11" s="5">
        <v>43.25</v>
      </c>
      <c r="OK11" s="5">
        <v>55</v>
      </c>
      <c r="OL11" s="5">
        <v>43.25</v>
      </c>
      <c r="OM11" s="5">
        <v>43.25</v>
      </c>
      <c r="ON11" s="5">
        <v>43.25</v>
      </c>
      <c r="OO11" s="5">
        <v>43.25</v>
      </c>
      <c r="OP11" s="5">
        <v>43.25</v>
      </c>
      <c r="OQ11" s="5">
        <v>43.25</v>
      </c>
      <c r="RM11" s="5">
        <v>55</v>
      </c>
      <c r="RN11" s="5">
        <v>43.25</v>
      </c>
      <c r="RO11" s="5">
        <v>43.25</v>
      </c>
      <c r="RP11" s="5">
        <v>43.25</v>
      </c>
      <c r="RQ11" s="5">
        <v>43.25</v>
      </c>
      <c r="RR11" s="5">
        <v>43.25</v>
      </c>
      <c r="RS11" s="5">
        <v>43.25</v>
      </c>
      <c r="UO11" s="5">
        <v>55</v>
      </c>
      <c r="UP11" s="5">
        <v>43.25</v>
      </c>
      <c r="UQ11" s="5">
        <v>43.25</v>
      </c>
      <c r="UR11" s="5">
        <v>43.25</v>
      </c>
      <c r="US11" s="5">
        <v>43.25</v>
      </c>
      <c r="UT11" s="5">
        <v>43.25</v>
      </c>
      <c r="UU11" s="5">
        <v>43.25</v>
      </c>
      <c r="XQ11" s="5">
        <v>55</v>
      </c>
      <c r="XR11" s="5">
        <v>43.25</v>
      </c>
      <c r="XS11" s="5">
        <v>43.25</v>
      </c>
      <c r="XT11" s="5">
        <v>43.25</v>
      </c>
      <c r="XU11" s="5">
        <v>43.25</v>
      </c>
      <c r="XV11" s="5">
        <v>43.25</v>
      </c>
      <c r="XW11" s="5">
        <v>43.25</v>
      </c>
      <c r="AAS11" s="5">
        <v>55</v>
      </c>
      <c r="AAT11" s="5">
        <v>43.25</v>
      </c>
      <c r="AAU11" s="5">
        <v>43.25</v>
      </c>
      <c r="AAV11" s="5">
        <v>43.25</v>
      </c>
      <c r="AAW11" s="5">
        <v>43.25</v>
      </c>
      <c r="AAX11" s="5">
        <v>43.25</v>
      </c>
      <c r="AAY11" s="5">
        <v>43.25</v>
      </c>
      <c r="ADU11" s="5">
        <v>55</v>
      </c>
      <c r="ADV11" s="5">
        <v>43.25</v>
      </c>
      <c r="ADW11" s="5">
        <v>43.25</v>
      </c>
      <c r="ADX11" s="5">
        <v>43.25</v>
      </c>
      <c r="ADY11" s="5">
        <v>43.25</v>
      </c>
      <c r="ADZ11" s="5">
        <v>43.25</v>
      </c>
      <c r="AEA11" s="5">
        <v>43.25</v>
      </c>
      <c r="AGW11" s="5">
        <v>55</v>
      </c>
      <c r="AGX11" s="5">
        <v>43.25</v>
      </c>
      <c r="AGY11" s="5">
        <v>43.25</v>
      </c>
      <c r="AGZ11" s="5">
        <v>43.25</v>
      </c>
      <c r="AHA11" s="5">
        <v>43.25</v>
      </c>
      <c r="AHB11" s="5">
        <v>43.25</v>
      </c>
      <c r="AHC11" s="5">
        <v>43.25</v>
      </c>
      <c r="AJY11" t="s">
        <v>12</v>
      </c>
    </row>
    <row r="12" spans="1:961">
      <c r="A12" s="5">
        <v>51.9</v>
      </c>
      <c r="B12" s="5">
        <v>34.6</v>
      </c>
      <c r="C12" s="5">
        <v>34.6</v>
      </c>
      <c r="D12" s="5">
        <v>34.6</v>
      </c>
      <c r="E12" s="5">
        <v>34.6</v>
      </c>
      <c r="F12" s="5">
        <v>34.6</v>
      </c>
      <c r="G12" s="5">
        <v>34.6</v>
      </c>
      <c r="CC12" s="5">
        <v>51.9</v>
      </c>
      <c r="CD12" s="5">
        <v>34.6</v>
      </c>
      <c r="CE12" s="5">
        <v>34.6</v>
      </c>
      <c r="CF12" s="5">
        <v>34.6</v>
      </c>
      <c r="CG12" s="5">
        <v>34.6</v>
      </c>
      <c r="CH12" s="5">
        <v>34.6</v>
      </c>
      <c r="CI12" s="5">
        <v>34.6</v>
      </c>
      <c r="FE12" s="5">
        <v>51.9</v>
      </c>
      <c r="FF12" s="5">
        <v>34.6</v>
      </c>
      <c r="FG12" s="5">
        <v>34.6</v>
      </c>
      <c r="FH12" s="5">
        <v>34.6</v>
      </c>
      <c r="FI12" s="5">
        <v>34.6</v>
      </c>
      <c r="FJ12" s="5">
        <v>34.6</v>
      </c>
      <c r="FK12" s="5">
        <v>34.6</v>
      </c>
      <c r="IG12" s="5">
        <v>51.9</v>
      </c>
      <c r="IH12" s="5">
        <v>34.6</v>
      </c>
      <c r="II12" s="5">
        <v>34.6</v>
      </c>
      <c r="IJ12" s="5">
        <v>34.6</v>
      </c>
      <c r="IK12" s="5">
        <v>34.6</v>
      </c>
      <c r="IL12" s="5">
        <v>34.6</v>
      </c>
      <c r="IM12" s="5">
        <v>34.6</v>
      </c>
      <c r="LI12" s="5">
        <v>51.9</v>
      </c>
      <c r="LJ12" s="5">
        <v>34.6</v>
      </c>
      <c r="LK12" s="5">
        <v>34.6</v>
      </c>
      <c r="LL12" s="5">
        <v>34.6</v>
      </c>
      <c r="LM12" s="5">
        <v>34.6</v>
      </c>
      <c r="LN12" s="5">
        <v>34.6</v>
      </c>
      <c r="LO12" s="5">
        <v>34.6</v>
      </c>
      <c r="OK12" s="5">
        <v>51.9</v>
      </c>
      <c r="OL12" s="5">
        <v>34.6</v>
      </c>
      <c r="OM12" s="5">
        <v>34.6</v>
      </c>
      <c r="ON12" s="5">
        <v>34.6</v>
      </c>
      <c r="OO12" s="5">
        <v>34.6</v>
      </c>
      <c r="OP12" s="5">
        <v>34.6</v>
      </c>
      <c r="OQ12" s="5">
        <v>34.6</v>
      </c>
      <c r="RM12" s="5">
        <v>51.9</v>
      </c>
      <c r="RN12" s="5">
        <v>34.6</v>
      </c>
      <c r="RO12" s="5">
        <v>34.6</v>
      </c>
      <c r="RP12" s="5">
        <v>34.6</v>
      </c>
      <c r="RQ12" s="5">
        <v>34.6</v>
      </c>
      <c r="RR12" s="5">
        <v>34.6</v>
      </c>
      <c r="RS12" s="5">
        <v>34.6</v>
      </c>
      <c r="UO12" s="5">
        <v>51.9</v>
      </c>
      <c r="UP12" s="5">
        <v>34.6</v>
      </c>
      <c r="UQ12" s="5">
        <v>34.6</v>
      </c>
      <c r="UR12" s="5">
        <v>34.6</v>
      </c>
      <c r="US12" s="5">
        <v>34.6</v>
      </c>
      <c r="UT12" s="5">
        <v>34.6</v>
      </c>
      <c r="UU12" s="5">
        <v>34.6</v>
      </c>
      <c r="XQ12" s="5">
        <v>51.9</v>
      </c>
      <c r="XR12" s="5">
        <v>34.6</v>
      </c>
      <c r="XS12" s="5">
        <v>34.6</v>
      </c>
      <c r="XT12" s="5">
        <v>34.6</v>
      </c>
      <c r="XU12" s="5">
        <v>34.6</v>
      </c>
      <c r="XV12" s="5">
        <v>34.6</v>
      </c>
      <c r="XW12" s="5">
        <v>34.6</v>
      </c>
      <c r="AAS12" s="5">
        <v>51.9</v>
      </c>
      <c r="AAT12" s="5">
        <v>34.6</v>
      </c>
      <c r="AAU12" s="5">
        <v>34.6</v>
      </c>
      <c r="AAV12" s="5">
        <v>34.6</v>
      </c>
      <c r="AAW12" s="5">
        <v>34.6</v>
      </c>
      <c r="AAX12" s="5">
        <v>34.6</v>
      </c>
      <c r="AAY12" s="5">
        <v>34.6</v>
      </c>
      <c r="ADU12" s="5">
        <v>51.9</v>
      </c>
      <c r="ADV12" s="5">
        <v>34.6</v>
      </c>
      <c r="ADW12" s="5">
        <v>34.6</v>
      </c>
      <c r="ADX12" s="5">
        <v>34.6</v>
      </c>
      <c r="ADY12" s="5">
        <v>34.6</v>
      </c>
      <c r="ADZ12" s="5">
        <v>34.6</v>
      </c>
      <c r="AEA12" s="5">
        <v>34.6</v>
      </c>
      <c r="AGW12" s="5">
        <v>51.9</v>
      </c>
      <c r="AGX12" s="5">
        <v>34.6</v>
      </c>
      <c r="AGY12" s="5">
        <v>34.6</v>
      </c>
      <c r="AGZ12" s="5">
        <v>34.6</v>
      </c>
      <c r="AHA12" s="5">
        <v>34.6</v>
      </c>
      <c r="AHB12" s="5">
        <v>34.6</v>
      </c>
      <c r="AHC12" s="5">
        <v>34.6</v>
      </c>
      <c r="AJY12" t="s">
        <v>13</v>
      </c>
    </row>
    <row r="13" spans="1:961">
      <c r="A13" s="5">
        <v>47.58</v>
      </c>
      <c r="B13" s="5">
        <v>32.01</v>
      </c>
      <c r="C13" s="5">
        <v>32.01</v>
      </c>
      <c r="D13" s="5">
        <v>32.01</v>
      </c>
      <c r="E13" s="5">
        <v>32.01</v>
      </c>
      <c r="F13" s="5">
        <v>32.01</v>
      </c>
      <c r="G13" s="5">
        <v>32.01</v>
      </c>
      <c r="CC13" s="5">
        <v>47.58</v>
      </c>
      <c r="CD13" s="5">
        <v>32.01</v>
      </c>
      <c r="CE13" s="5">
        <v>32.01</v>
      </c>
      <c r="CF13" s="5">
        <v>32.01</v>
      </c>
      <c r="CG13" s="5">
        <v>32.01</v>
      </c>
      <c r="CH13" s="5">
        <v>32.01</v>
      </c>
      <c r="CI13" s="5">
        <v>32.01</v>
      </c>
      <c r="FE13" s="5">
        <v>47.58</v>
      </c>
      <c r="FF13" s="5">
        <v>32.01</v>
      </c>
      <c r="FG13" s="5">
        <v>32.01</v>
      </c>
      <c r="FH13" s="5">
        <v>32.01</v>
      </c>
      <c r="FI13" s="5">
        <v>32.01</v>
      </c>
      <c r="FJ13" s="5">
        <v>32.01</v>
      </c>
      <c r="FK13" s="5">
        <v>32.01</v>
      </c>
      <c r="IG13" s="5">
        <v>47.58</v>
      </c>
      <c r="IH13" s="5">
        <v>32.01</v>
      </c>
      <c r="II13" s="5">
        <v>32.01</v>
      </c>
      <c r="IJ13" s="5">
        <v>32.01</v>
      </c>
      <c r="IK13" s="5">
        <v>32.01</v>
      </c>
      <c r="IL13" s="5">
        <v>32.01</v>
      </c>
      <c r="IM13" s="5">
        <v>32.01</v>
      </c>
      <c r="LI13" s="5">
        <v>47.58</v>
      </c>
      <c r="LJ13" s="5">
        <v>32.01</v>
      </c>
      <c r="LK13" s="5">
        <v>32.01</v>
      </c>
      <c r="LL13" s="5">
        <v>32.01</v>
      </c>
      <c r="LM13" s="5">
        <v>32.01</v>
      </c>
      <c r="LN13" s="5">
        <v>32.01</v>
      </c>
      <c r="LO13" s="5">
        <v>32.01</v>
      </c>
      <c r="OK13" s="5">
        <v>47.58</v>
      </c>
      <c r="OL13" s="5">
        <v>32.01</v>
      </c>
      <c r="OM13" s="5">
        <v>32.01</v>
      </c>
      <c r="ON13" s="5">
        <v>32.01</v>
      </c>
      <c r="OO13" s="5">
        <v>32.01</v>
      </c>
      <c r="OP13" s="5">
        <v>32.01</v>
      </c>
      <c r="OQ13" s="5">
        <v>32.01</v>
      </c>
      <c r="RM13" s="5">
        <v>47.58</v>
      </c>
      <c r="RN13" s="5">
        <v>32.01</v>
      </c>
      <c r="RO13" s="5">
        <v>32.01</v>
      </c>
      <c r="RP13" s="5">
        <v>32.01</v>
      </c>
      <c r="RQ13" s="5">
        <v>32.01</v>
      </c>
      <c r="RR13" s="5">
        <v>32.01</v>
      </c>
      <c r="RS13" s="5">
        <v>32.01</v>
      </c>
      <c r="UO13" s="5">
        <v>47.58</v>
      </c>
      <c r="UP13" s="5">
        <v>32.01</v>
      </c>
      <c r="UQ13" s="5">
        <v>32.01</v>
      </c>
      <c r="UR13" s="5">
        <v>32.01</v>
      </c>
      <c r="US13" s="5">
        <v>32.01</v>
      </c>
      <c r="UT13" s="5">
        <v>32.01</v>
      </c>
      <c r="UU13" s="5">
        <v>32.01</v>
      </c>
      <c r="XQ13" s="5">
        <v>47.58</v>
      </c>
      <c r="XR13" s="5">
        <v>32.01</v>
      </c>
      <c r="XS13" s="5">
        <v>32.01</v>
      </c>
      <c r="XT13" s="5">
        <v>32.01</v>
      </c>
      <c r="XU13" s="5">
        <v>32.01</v>
      </c>
      <c r="XV13" s="5">
        <v>32.01</v>
      </c>
      <c r="XW13" s="5">
        <v>32.01</v>
      </c>
      <c r="AAS13" s="5">
        <v>47.58</v>
      </c>
      <c r="AAT13" s="5">
        <v>32.01</v>
      </c>
      <c r="AAU13" s="5">
        <v>32.01</v>
      </c>
      <c r="AAV13" s="5">
        <v>32.01</v>
      </c>
      <c r="AAW13" s="5">
        <v>32.01</v>
      </c>
      <c r="AAX13" s="5">
        <v>32.01</v>
      </c>
      <c r="AAY13" s="5">
        <v>32.01</v>
      </c>
      <c r="ADU13" s="5">
        <v>47.58</v>
      </c>
      <c r="ADV13" s="5">
        <v>32.01</v>
      </c>
      <c r="ADW13" s="5">
        <v>32.01</v>
      </c>
      <c r="ADX13" s="5">
        <v>32.01</v>
      </c>
      <c r="ADY13" s="5">
        <v>32.01</v>
      </c>
      <c r="ADZ13" s="5">
        <v>32.01</v>
      </c>
      <c r="AEA13" s="5">
        <v>32.01</v>
      </c>
      <c r="AGW13" s="5">
        <v>47.58</v>
      </c>
      <c r="AGX13" s="5">
        <v>32.01</v>
      </c>
      <c r="AGY13" s="5">
        <v>32.01</v>
      </c>
      <c r="AGZ13" s="5">
        <v>32.01</v>
      </c>
      <c r="AHA13" s="5">
        <v>32.01</v>
      </c>
      <c r="AHB13" s="5">
        <v>32.01</v>
      </c>
      <c r="AHC13" s="5">
        <v>32.01</v>
      </c>
    </row>
    <row r="14" spans="1:961">
      <c r="A14" s="5">
        <v>43.25</v>
      </c>
      <c r="CC14" s="5">
        <v>43.25</v>
      </c>
      <c r="FE14" s="5">
        <v>43.25</v>
      </c>
      <c r="IG14" s="5">
        <v>43.25</v>
      </c>
      <c r="LI14" s="5">
        <v>43.25</v>
      </c>
      <c r="OK14" s="5">
        <v>43.25</v>
      </c>
      <c r="RM14" s="5">
        <v>43.25</v>
      </c>
      <c r="UO14" s="5">
        <v>43.25</v>
      </c>
      <c r="XQ14" s="5">
        <v>43.25</v>
      </c>
      <c r="AAS14" s="5">
        <v>43.25</v>
      </c>
      <c r="ADU14" s="5">
        <v>43.25</v>
      </c>
      <c r="AGW14" s="5">
        <v>43.25</v>
      </c>
    </row>
    <row r="15" spans="1:961">
      <c r="A15" s="5">
        <v>34.6</v>
      </c>
      <c r="CC15" s="5">
        <v>34.6</v>
      </c>
      <c r="FE15" s="5">
        <v>34.6</v>
      </c>
      <c r="IG15" s="5">
        <v>34.6</v>
      </c>
      <c r="LI15" s="5">
        <v>34.6</v>
      </c>
      <c r="OK15" s="5">
        <v>34.6</v>
      </c>
      <c r="RM15" s="5">
        <v>34.6</v>
      </c>
      <c r="UO15" s="5">
        <v>34.6</v>
      </c>
      <c r="XQ15" s="5">
        <v>34.6</v>
      </c>
      <c r="AAS15" s="5">
        <v>34.6</v>
      </c>
      <c r="ADU15" s="5">
        <v>34.6</v>
      </c>
      <c r="AGW15" s="5">
        <v>34.6</v>
      </c>
    </row>
    <row r="16" spans="1:961">
      <c r="A16" s="5">
        <v>32.01</v>
      </c>
      <c r="CC16" s="5">
        <v>32.01</v>
      </c>
      <c r="FE16" s="5">
        <v>32.01</v>
      </c>
      <c r="IG16" s="5">
        <v>32.01</v>
      </c>
      <c r="LI16" s="5">
        <v>32.01</v>
      </c>
      <c r="OK16" s="5">
        <v>32.01</v>
      </c>
      <c r="RM16" s="5">
        <v>32.01</v>
      </c>
      <c r="UO16" s="5">
        <v>32.01</v>
      </c>
      <c r="XQ16" s="5">
        <v>32.01</v>
      </c>
      <c r="AAS16" s="5">
        <v>32.01</v>
      </c>
      <c r="ADU16" s="5">
        <v>32.01</v>
      </c>
      <c r="AGW16" s="5">
        <v>32.01</v>
      </c>
    </row>
  </sheetData>
  <sheetProtection algorithmName="SHA-512" hashValue="ZxDXM2a5g4I2haCc9TmjIRAzWnh4UYq6vvGC7SZNYh5BXu8wBV7mykJlUTbuAIGzaXamlX7o8RFwjYm2fhWVaQ==" saltValue="pIepEOSB/30ObInJzrIZMw==" spinCount="100000" sheet="1" objects="1" scenarios="1"/>
  <pageMargins left="0.7" right="0.7" top="0.78740157499999996" bottom="0.78740157499999996"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46D455-93AC-F74E-8620-89590BC67570}">
  <sheetPr codeName="Tabelle22"/>
  <dimension ref="A1:E11"/>
  <sheetViews>
    <sheetView workbookViewId="0"/>
  </sheetViews>
  <sheetFormatPr baseColWidth="10" defaultRowHeight="14.5"/>
  <sheetData>
    <row r="1" spans="1:5">
      <c r="A1" t="s">
        <v>303</v>
      </c>
      <c r="B1" t="s">
        <v>304</v>
      </c>
      <c r="C1" t="s">
        <v>305</v>
      </c>
      <c r="D1" t="s">
        <v>306</v>
      </c>
      <c r="E1" t="s">
        <v>307</v>
      </c>
    </row>
    <row r="2" spans="1:5">
      <c r="A2">
        <v>2026</v>
      </c>
      <c r="B2">
        <v>7</v>
      </c>
      <c r="C2" t="s">
        <v>353</v>
      </c>
      <c r="D2" t="s">
        <v>312</v>
      </c>
      <c r="E2">
        <v>129.75</v>
      </c>
    </row>
    <row r="3" spans="1:5">
      <c r="A3">
        <v>2026</v>
      </c>
      <c r="B3">
        <v>9</v>
      </c>
      <c r="C3" t="s">
        <v>353</v>
      </c>
      <c r="D3" t="s">
        <v>312</v>
      </c>
      <c r="E3">
        <v>86.5</v>
      </c>
    </row>
    <row r="4" spans="1:5">
      <c r="A4">
        <v>2026</v>
      </c>
      <c r="B4">
        <v>11</v>
      </c>
      <c r="C4" t="s">
        <v>353</v>
      </c>
      <c r="D4" t="s">
        <v>312</v>
      </c>
      <c r="E4">
        <v>166</v>
      </c>
    </row>
    <row r="5" spans="1:5">
      <c r="A5">
        <v>2026</v>
      </c>
      <c r="B5">
        <v>1</v>
      </c>
      <c r="C5" t="s">
        <v>417</v>
      </c>
      <c r="D5" t="s">
        <v>312</v>
      </c>
      <c r="E5">
        <v>171</v>
      </c>
    </row>
    <row r="6" spans="1:5">
      <c r="A6">
        <v>2026</v>
      </c>
      <c r="B6">
        <v>1</v>
      </c>
      <c r="C6" t="s">
        <v>418</v>
      </c>
      <c r="D6" t="s">
        <v>312</v>
      </c>
      <c r="E6">
        <v>173</v>
      </c>
    </row>
    <row r="7" spans="1:5">
      <c r="A7">
        <v>2026</v>
      </c>
      <c r="B7">
        <v>7</v>
      </c>
      <c r="C7" t="s">
        <v>418</v>
      </c>
      <c r="D7" t="s">
        <v>312</v>
      </c>
      <c r="E7">
        <v>138.4</v>
      </c>
    </row>
    <row r="8" spans="1:5">
      <c r="A8">
        <v>2026</v>
      </c>
      <c r="B8">
        <v>8</v>
      </c>
      <c r="C8" t="s">
        <v>418</v>
      </c>
      <c r="D8" t="s">
        <v>312</v>
      </c>
      <c r="E8">
        <v>129.75</v>
      </c>
    </row>
    <row r="9" spans="1:5">
      <c r="A9">
        <v>2026</v>
      </c>
      <c r="B9">
        <v>11</v>
      </c>
      <c r="C9" t="s">
        <v>418</v>
      </c>
      <c r="D9" t="s">
        <v>312</v>
      </c>
      <c r="E9">
        <v>173</v>
      </c>
    </row>
    <row r="10" spans="1:5">
      <c r="A10">
        <v>2026</v>
      </c>
      <c r="B10">
        <v>5</v>
      </c>
      <c r="C10" t="s">
        <v>424</v>
      </c>
      <c r="D10" t="s">
        <v>312</v>
      </c>
      <c r="E10">
        <v>129.75</v>
      </c>
    </row>
    <row r="11" spans="1:5">
      <c r="A11">
        <v>2026</v>
      </c>
      <c r="B11">
        <v>10</v>
      </c>
      <c r="C11" t="s">
        <v>424</v>
      </c>
      <c r="D11" t="s">
        <v>312</v>
      </c>
      <c r="E11">
        <v>173</v>
      </c>
    </row>
  </sheetData>
  <sheetProtection algorithmName="SHA-512" hashValue="9JolYWUg2wPfJT8/vBCFrPbuMO81fNHqeE1JvqPeZN895CA+qBNYnM8rTqFHxWIc6N1o1qBhOHvG2PFNAkFc4Q==" saltValue="PmceAXDJwt6v8xE973A76A==" spinCount="100000" sheet="1" objects="1" scenarios="1" sort="0" autoFilter="0"/>
  <pageMargins left="0.7" right="0.7" top="0.78740157499999996" bottom="0.78740157499999996"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554BC8-3E0C-4914-97A7-FEEB4759108E}">
  <sheetPr codeName="Tabelle2"/>
  <dimension ref="B2:Z100"/>
  <sheetViews>
    <sheetView showGridLines="0" topLeftCell="A10" zoomScaleNormal="100" workbookViewId="0">
      <selection activeCell="E30" sqref="E30"/>
    </sheetView>
  </sheetViews>
  <sheetFormatPr baseColWidth="10" defaultColWidth="11.453125" defaultRowHeight="14"/>
  <cols>
    <col min="1" max="1" width="4.453125" style="179" customWidth="1"/>
    <col min="2" max="2" width="16.36328125" style="179" customWidth="1"/>
    <col min="3" max="4" width="15.6328125" style="179" customWidth="1"/>
    <col min="5" max="5" width="14.6328125" style="179" customWidth="1"/>
    <col min="6" max="6" width="20.81640625" style="179" customWidth="1"/>
    <col min="7" max="7" width="15.81640625" style="179" customWidth="1"/>
    <col min="8" max="8" width="14.6328125" style="179" customWidth="1"/>
    <col min="9" max="9" width="15.6328125" style="179" customWidth="1"/>
    <col min="10" max="10" width="28.6328125" style="179" customWidth="1"/>
    <col min="11" max="11" width="14" style="179" customWidth="1"/>
    <col min="12" max="13" width="20.6328125" style="179" customWidth="1"/>
    <col min="14" max="15" width="15.6328125" style="179" customWidth="1"/>
    <col min="16" max="16" width="11.6328125" style="179" customWidth="1"/>
    <col min="17" max="17" width="20.6328125" style="179" customWidth="1"/>
    <col min="18" max="16384" width="11.453125" style="179"/>
  </cols>
  <sheetData>
    <row r="2" spans="2:21" ht="28" customHeight="1">
      <c r="B2" s="174" t="str">
        <f xml:space="preserve"> "FINANZIELL ÜBERSICHT " &amp; EINSTELLUNG!C35</f>
        <v>FINANZIELL ÜBERSICHT 2026</v>
      </c>
      <c r="C2" s="175"/>
      <c r="D2" s="175"/>
      <c r="E2" s="175"/>
      <c r="F2" s="175"/>
      <c r="G2" s="175"/>
      <c r="H2" s="175"/>
      <c r="I2" s="175"/>
      <c r="J2" s="175"/>
      <c r="K2" s="175"/>
      <c r="L2" s="175"/>
      <c r="M2" s="175"/>
      <c r="N2" s="175"/>
      <c r="O2" s="175"/>
      <c r="P2" s="175"/>
      <c r="Q2" s="176"/>
      <c r="R2" s="177"/>
      <c r="S2" s="178"/>
      <c r="T2" s="178"/>
      <c r="U2" s="178"/>
    </row>
    <row r="3" spans="2:21" ht="18" customHeight="1" thickBot="1">
      <c r="B3" s="180"/>
      <c r="C3" s="181"/>
      <c r="D3" s="181"/>
      <c r="E3" s="181"/>
      <c r="F3" s="181"/>
      <c r="G3" s="181"/>
      <c r="H3" s="181"/>
      <c r="I3" s="181"/>
      <c r="J3" s="181"/>
      <c r="K3" s="181"/>
      <c r="L3" s="181"/>
      <c r="M3" s="181"/>
      <c r="N3" s="181"/>
      <c r="O3" s="181"/>
      <c r="P3" s="181"/>
      <c r="Q3" s="182"/>
      <c r="R3" s="177"/>
    </row>
    <row r="4" spans="2:21" ht="24" customHeight="1">
      <c r="B4" s="183"/>
      <c r="C4" s="184" t="s">
        <v>17</v>
      </c>
      <c r="D4" s="184"/>
      <c r="E4" s="184"/>
      <c r="F4" s="184" t="s">
        <v>154</v>
      </c>
      <c r="G4" s="184"/>
      <c r="H4" s="184"/>
      <c r="I4" s="184" t="s">
        <v>155</v>
      </c>
      <c r="J4" s="184"/>
      <c r="K4" s="184"/>
      <c r="L4" s="184" t="s">
        <v>156</v>
      </c>
      <c r="M4" s="184" t="s">
        <v>157</v>
      </c>
      <c r="N4" s="184" t="s">
        <v>158</v>
      </c>
      <c r="O4" s="184"/>
      <c r="P4" s="184"/>
      <c r="Q4" s="185" t="s">
        <v>90</v>
      </c>
    </row>
    <row r="5" spans="2:21" ht="30" customHeight="1">
      <c r="B5" s="186"/>
      <c r="C5" s="187"/>
      <c r="D5" s="187"/>
      <c r="E5" s="187"/>
      <c r="F5" s="187"/>
      <c r="G5" s="187"/>
      <c r="H5" s="187"/>
      <c r="I5" s="187"/>
      <c r="J5" s="187"/>
      <c r="K5" s="187"/>
      <c r="L5" s="187"/>
      <c r="M5" s="187"/>
      <c r="N5" s="187"/>
      <c r="O5" s="187"/>
      <c r="P5" s="187"/>
      <c r="Q5" s="188"/>
    </row>
    <row r="6" spans="2:21" ht="30" customHeight="1">
      <c r="B6" s="186"/>
      <c r="C6" s="189" t="s">
        <v>159</v>
      </c>
      <c r="D6" s="189" t="s">
        <v>160</v>
      </c>
      <c r="E6" s="189" t="s">
        <v>161</v>
      </c>
      <c r="F6" s="189" t="s">
        <v>159</v>
      </c>
      <c r="G6" s="189" t="s">
        <v>160</v>
      </c>
      <c r="H6" s="189" t="s">
        <v>161</v>
      </c>
      <c r="I6" s="189" t="s">
        <v>159</v>
      </c>
      <c r="J6" s="189" t="s">
        <v>160</v>
      </c>
      <c r="K6" s="189" t="s">
        <v>161</v>
      </c>
      <c r="L6" s="187"/>
      <c r="M6" s="187"/>
      <c r="N6" s="189" t="s">
        <v>162</v>
      </c>
      <c r="O6" s="189" t="s">
        <v>163</v>
      </c>
      <c r="P6" s="189" t="s">
        <v>161</v>
      </c>
      <c r="Q6" s="188"/>
    </row>
    <row r="7" spans="2:21" ht="30" customHeight="1">
      <c r="B7" s="190" t="s">
        <v>164</v>
      </c>
      <c r="C7" s="191">
        <f>EINSTELLUNG!C6</f>
        <v>450000</v>
      </c>
      <c r="D7" s="191">
        <f>EINSTELLUNG!C22</f>
        <v>450000</v>
      </c>
      <c r="E7" s="191">
        <f>D7-C7</f>
        <v>0</v>
      </c>
      <c r="F7" s="191">
        <f>EINSTELLUNG!D6</f>
        <v>100000</v>
      </c>
      <c r="G7" s="191">
        <v>95068.188500000004</v>
      </c>
      <c r="H7" s="191">
        <f t="shared" ref="H7:H23" si="0">G7-F7</f>
        <v>-4931.8114999999962</v>
      </c>
      <c r="I7" s="192">
        <f>EINSTELLUNG!E6</f>
        <v>0.22222222222222221</v>
      </c>
      <c r="J7" s="192">
        <v>0.21126264111111112</v>
      </c>
      <c r="K7" s="192">
        <f t="shared" ref="K7:K23" si="1">J7-I7</f>
        <v>-1.0959581111111089E-2</v>
      </c>
      <c r="L7" s="193">
        <f>Januar!S40</f>
        <v>71.530417117705682</v>
      </c>
      <c r="M7" s="193">
        <f>Januar!S41</f>
        <v>4.6097379920299222</v>
      </c>
      <c r="N7" s="193">
        <f>Januar!O5</f>
        <v>728.74943166107107</v>
      </c>
      <c r="O7" s="193">
        <f>Januar!P5</f>
        <v>600</v>
      </c>
      <c r="P7" s="193">
        <f>O7-N7</f>
        <v>-128.74943166107107</v>
      </c>
      <c r="Q7" s="194">
        <v>3.8834951456310676E-2</v>
      </c>
    </row>
    <row r="8" spans="2:21" ht="30" customHeight="1">
      <c r="B8" s="195" t="s">
        <v>165</v>
      </c>
      <c r="C8" s="196">
        <f>EINSTELLUNG!C7</f>
        <v>400000</v>
      </c>
      <c r="D8" s="196">
        <f>EINSTELLUNG!C23</f>
        <v>425000</v>
      </c>
      <c r="E8" s="196">
        <f>D8-C8</f>
        <v>25000</v>
      </c>
      <c r="F8" s="196">
        <f>EINSTELLUNG!D7</f>
        <v>100000</v>
      </c>
      <c r="G8" s="196">
        <v>112083.4129</v>
      </c>
      <c r="H8" s="196">
        <f t="shared" si="0"/>
        <v>12083.412899999996</v>
      </c>
      <c r="I8" s="197">
        <f>EINSTELLUNG!E7</f>
        <v>0.25</v>
      </c>
      <c r="J8" s="197">
        <v>0.26372567741176467</v>
      </c>
      <c r="K8" s="197">
        <f t="shared" si="1"/>
        <v>1.372567741176467E-2</v>
      </c>
      <c r="L8" s="198">
        <f>Februar!S40</f>
        <v>53.280579291531275</v>
      </c>
      <c r="M8" s="198">
        <f>Februar!S41</f>
        <v>3.6356159987162515</v>
      </c>
      <c r="N8" s="198">
        <f>Februar!O5</f>
        <v>864.1711345065703</v>
      </c>
      <c r="O8" s="198">
        <f>Februar!P5</f>
        <v>600</v>
      </c>
      <c r="P8" s="198">
        <f t="shared" ref="P8:P23" si="2">O8-N8</f>
        <v>-264.1711345065703</v>
      </c>
      <c r="Q8" s="199">
        <v>0</v>
      </c>
    </row>
    <row r="9" spans="2:21" ht="30" customHeight="1">
      <c r="B9" s="190" t="s">
        <v>166</v>
      </c>
      <c r="C9" s="191">
        <f>EINSTELLUNG!C8</f>
        <v>400000</v>
      </c>
      <c r="D9" s="191">
        <f>EINSTELLUNG!C24</f>
        <v>430000</v>
      </c>
      <c r="E9" s="191">
        <f>D9-C9</f>
        <v>30000</v>
      </c>
      <c r="F9" s="191">
        <f>EINSTELLUNG!D8</f>
        <v>100000</v>
      </c>
      <c r="G9" s="191">
        <v>114630.03419999999</v>
      </c>
      <c r="H9" s="191">
        <f t="shared" si="0"/>
        <v>14630.034199999995</v>
      </c>
      <c r="I9" s="192">
        <f>EINSTELLUNG!E8</f>
        <v>0.25</v>
      </c>
      <c r="J9" s="192">
        <v>0.26658147488372091</v>
      </c>
      <c r="K9" s="192">
        <f t="shared" si="1"/>
        <v>1.6581474883720915E-2</v>
      </c>
      <c r="L9" s="193">
        <f>Marz!S40</f>
        <v>48.668189339629258</v>
      </c>
      <c r="M9" s="193">
        <f>Marz!S41</f>
        <v>3.282273234533136</v>
      </c>
      <c r="N9" s="193">
        <f>Marz!O5</f>
        <v>882.95228179960691</v>
      </c>
      <c r="O9" s="193">
        <f>Marz!P5</f>
        <v>600</v>
      </c>
      <c r="P9" s="193">
        <f t="shared" si="2"/>
        <v>-282.95228179960691</v>
      </c>
      <c r="Q9" s="194">
        <v>1.6129032258064516E-2</v>
      </c>
    </row>
    <row r="10" spans="2:21" ht="30" customHeight="1">
      <c r="B10" s="200" t="s">
        <v>167</v>
      </c>
      <c r="C10" s="201">
        <f>SUM(C7:C9)</f>
        <v>1250000</v>
      </c>
      <c r="D10" s="201">
        <f>SUM(D7:D9)</f>
        <v>1305000</v>
      </c>
      <c r="E10" s="201">
        <f>D10-C10</f>
        <v>55000</v>
      </c>
      <c r="F10" s="201">
        <f>SUM(F7:F9)</f>
        <v>300000</v>
      </c>
      <c r="G10" s="201">
        <f>SUM(G7:G9)</f>
        <v>321781.63559999998</v>
      </c>
      <c r="H10" s="201">
        <f t="shared" si="0"/>
        <v>21781.63559999998</v>
      </c>
      <c r="I10" s="202">
        <f>AVERAGE(I7:I9)</f>
        <v>0.24074074074074073</v>
      </c>
      <c r="J10" s="202">
        <f>AVERAGE(J7:J9)</f>
        <v>0.24718993113553225</v>
      </c>
      <c r="K10" s="202">
        <f t="shared" si="1"/>
        <v>6.4491903947915263E-3</v>
      </c>
      <c r="L10" s="203">
        <f>AVERAGE(L7:L9)</f>
        <v>57.826395249622074</v>
      </c>
      <c r="M10" s="203">
        <f>AVERAGE(M7:M9)</f>
        <v>3.842542408426437</v>
      </c>
      <c r="N10" s="203">
        <f>SUM(N7:N9)</f>
        <v>2475.8728479672482</v>
      </c>
      <c r="O10" s="203">
        <f>SUM(O7:O9)</f>
        <v>1800</v>
      </c>
      <c r="P10" s="203">
        <f t="shared" si="2"/>
        <v>-675.87284796724816</v>
      </c>
      <c r="Q10" s="204">
        <v>5.2631578947368418E-2</v>
      </c>
    </row>
    <row r="11" spans="2:21" ht="30" customHeight="1">
      <c r="B11" s="190" t="s">
        <v>168</v>
      </c>
      <c r="C11" s="191">
        <f>EINSTELLUNG!C9</f>
        <v>400000</v>
      </c>
      <c r="D11" s="191">
        <f>EINSTELLUNG!C25</f>
        <v>300000</v>
      </c>
      <c r="E11" s="191">
        <f t="shared" ref="E11:E21" si="3">D11-C11</f>
        <v>-100000</v>
      </c>
      <c r="F11" s="191">
        <f>EINSTELLUNG!D9</f>
        <v>100000</v>
      </c>
      <c r="G11" s="191">
        <v>112179.0267</v>
      </c>
      <c r="H11" s="191">
        <f t="shared" si="0"/>
        <v>12179.026700000002</v>
      </c>
      <c r="I11" s="192">
        <f>EINSTELLUNG!E9</f>
        <v>0.25</v>
      </c>
      <c r="J11" s="192">
        <v>0.37393008900000002</v>
      </c>
      <c r="K11" s="192">
        <f t="shared" si="1"/>
        <v>0.12393008900000002</v>
      </c>
      <c r="L11" s="193">
        <f>April!S40</f>
        <v>35.974932666917695</v>
      </c>
      <c r="M11" s="193">
        <f>April!S41</f>
        <v>2.9979110555764743</v>
      </c>
      <c r="N11" s="193">
        <f>April!O5</f>
        <v>885.03864704714294</v>
      </c>
      <c r="O11" s="193">
        <f>April!P5</f>
        <v>600</v>
      </c>
      <c r="P11" s="193">
        <f t="shared" si="2"/>
        <v>-285.03864704714294</v>
      </c>
      <c r="Q11" s="194">
        <v>3.3333333333333333E-2</v>
      </c>
    </row>
    <row r="12" spans="2:21" ht="30" customHeight="1">
      <c r="B12" s="195" t="s">
        <v>169</v>
      </c>
      <c r="C12" s="196">
        <f>EINSTELLUNG!C10</f>
        <v>400000</v>
      </c>
      <c r="D12" s="196">
        <f>EINSTELLUNG!C26</f>
        <v>420000</v>
      </c>
      <c r="E12" s="196">
        <f t="shared" si="3"/>
        <v>20000</v>
      </c>
      <c r="F12" s="196">
        <f>EINSTELLUNG!D10</f>
        <v>100000</v>
      </c>
      <c r="G12" s="196">
        <v>107421.8723</v>
      </c>
      <c r="H12" s="196">
        <f t="shared" si="0"/>
        <v>7421.8723000000027</v>
      </c>
      <c r="I12" s="197">
        <f>EINSTELLUNG!E10</f>
        <v>0.25</v>
      </c>
      <c r="J12" s="197">
        <v>0.25576636261904762</v>
      </c>
      <c r="K12" s="197">
        <f t="shared" si="1"/>
        <v>5.7663626190476158E-3</v>
      </c>
      <c r="L12" s="198">
        <f>Mai!S40</f>
        <v>56.785149331422474</v>
      </c>
      <c r="M12" s="198">
        <f>Mai!S41</f>
        <v>4.1912848316049924</v>
      </c>
      <c r="N12" s="198">
        <f>Mai!O5</f>
        <v>834.95333589433824</v>
      </c>
      <c r="O12" s="198">
        <f>Mai!P5</f>
        <v>600</v>
      </c>
      <c r="P12" s="198">
        <f t="shared" si="2"/>
        <v>-234.95333589433824</v>
      </c>
      <c r="Q12" s="199">
        <v>1.7094017094017096E-2</v>
      </c>
    </row>
    <row r="13" spans="2:21" ht="30" customHeight="1">
      <c r="B13" s="190" t="s">
        <v>170</v>
      </c>
      <c r="C13" s="191">
        <f>EINSTELLUNG!C11</f>
        <v>400000</v>
      </c>
      <c r="D13" s="191">
        <f>EINSTELLUNG!C27</f>
        <v>435000</v>
      </c>
      <c r="E13" s="191">
        <f t="shared" si="3"/>
        <v>35000</v>
      </c>
      <c r="F13" s="191">
        <f>EINSTELLUNG!D11</f>
        <v>100000</v>
      </c>
      <c r="G13" s="191">
        <v>106383.5067</v>
      </c>
      <c r="H13" s="191">
        <f t="shared" si="0"/>
        <v>6383.5066999999981</v>
      </c>
      <c r="I13" s="192">
        <f>EINSTELLUNG!E11</f>
        <v>0.25</v>
      </c>
      <c r="J13" s="192">
        <v>0.24455978551724136</v>
      </c>
      <c r="K13" s="192">
        <f t="shared" si="1"/>
        <v>-5.4402144827586374E-3</v>
      </c>
      <c r="L13" s="193">
        <f>Juni!S40</f>
        <v>4350</v>
      </c>
      <c r="M13" s="193">
        <f>Juni!S41</f>
        <v>310</v>
      </c>
      <c r="N13" s="193">
        <f>Juni!O5</f>
        <v>809.91116282608766</v>
      </c>
      <c r="O13" s="193">
        <f>Juni!P5</f>
        <v>600</v>
      </c>
      <c r="P13" s="193">
        <f t="shared" si="2"/>
        <v>-209.91116282608766</v>
      </c>
      <c r="Q13" s="194">
        <v>0</v>
      </c>
    </row>
    <row r="14" spans="2:21" ht="30" customHeight="1">
      <c r="B14" s="200" t="s">
        <v>171</v>
      </c>
      <c r="C14" s="201">
        <f>SUM(C11:C13)</f>
        <v>1200000</v>
      </c>
      <c r="D14" s="201">
        <f>SUM(D11:D13)</f>
        <v>1155000</v>
      </c>
      <c r="E14" s="201">
        <f t="shared" si="3"/>
        <v>-45000</v>
      </c>
      <c r="F14" s="201">
        <f>SUM(F11:F13)</f>
        <v>300000</v>
      </c>
      <c r="G14" s="201">
        <f>SUM(G11:G13)</f>
        <v>325984.4057</v>
      </c>
      <c r="H14" s="201">
        <f t="shared" si="0"/>
        <v>25984.405700000003</v>
      </c>
      <c r="I14" s="202">
        <f>AVERAGE(I11:I13)</f>
        <v>0.25</v>
      </c>
      <c r="J14" s="202">
        <f>AVERAGE(J11:J13)</f>
        <v>0.29141874571209631</v>
      </c>
      <c r="K14" s="202">
        <f t="shared" si="1"/>
        <v>4.1418745712096305E-2</v>
      </c>
      <c r="L14" s="203">
        <f>AVERAGE(L11:L13)</f>
        <v>1480.9200273327799</v>
      </c>
      <c r="M14" s="203">
        <f>AVERAGE(M11:M13)</f>
        <v>105.72973196239383</v>
      </c>
      <c r="N14" s="203">
        <f>SUM(N11:N13)</f>
        <v>2529.9031457675687</v>
      </c>
      <c r="O14" s="203">
        <f>SUM(O11:O13)</f>
        <v>1800</v>
      </c>
      <c r="P14" s="203">
        <f t="shared" si="2"/>
        <v>-729.90314576756873</v>
      </c>
      <c r="Q14" s="204">
        <v>5.0420168067226892E-2</v>
      </c>
    </row>
    <row r="15" spans="2:21" ht="30" customHeight="1">
      <c r="B15" s="190" t="s">
        <v>172</v>
      </c>
      <c r="C15" s="191">
        <f>EINSTELLUNG!C12</f>
        <v>400000</v>
      </c>
      <c r="D15" s="191">
        <f>EINSTELLUNG!C28</f>
        <v>435000</v>
      </c>
      <c r="E15" s="191">
        <f t="shared" si="3"/>
        <v>35000</v>
      </c>
      <c r="F15" s="191">
        <f>EINSTELLUNG!D12</f>
        <v>100000</v>
      </c>
      <c r="G15" s="191">
        <v>103704.89</v>
      </c>
      <c r="H15" s="191">
        <f t="shared" si="0"/>
        <v>3704.8899999999994</v>
      </c>
      <c r="I15" s="192">
        <f>EINSTELLUNG!E12</f>
        <v>0.25</v>
      </c>
      <c r="J15" s="192">
        <v>0.23840204597701151</v>
      </c>
      <c r="K15" s="192">
        <f t="shared" si="1"/>
        <v>-1.1597954022988494E-2</v>
      </c>
      <c r="L15" s="193">
        <f>Juli!S40</f>
        <v>57.351015904030007</v>
      </c>
      <c r="M15" s="193">
        <f>Juli!S41</f>
        <v>4.0870838920113339</v>
      </c>
      <c r="N15" s="193">
        <f>Juli!O5</f>
        <v>785.70372886011194</v>
      </c>
      <c r="O15" s="193">
        <f>Juli!P5</f>
        <v>600</v>
      </c>
      <c r="P15" s="193">
        <f t="shared" si="2"/>
        <v>-185.70372886011194</v>
      </c>
      <c r="Q15" s="194">
        <v>0</v>
      </c>
    </row>
    <row r="16" spans="2:21" ht="30" customHeight="1">
      <c r="B16" s="195" t="s">
        <v>173</v>
      </c>
      <c r="C16" s="196">
        <f>EINSTELLUNG!C13</f>
        <v>400000</v>
      </c>
      <c r="D16" s="196">
        <f>EINSTELLUNG!C29</f>
        <v>435000</v>
      </c>
      <c r="E16" s="196">
        <f t="shared" si="3"/>
        <v>35000</v>
      </c>
      <c r="F16" s="196">
        <f>EINSTELLUNG!D13</f>
        <v>100000</v>
      </c>
      <c r="G16" s="196">
        <v>103603.84</v>
      </c>
      <c r="H16" s="196">
        <f t="shared" si="0"/>
        <v>3603.8399999999965</v>
      </c>
      <c r="I16" s="197">
        <f>EINSTELLUNG!E13</f>
        <v>0.25</v>
      </c>
      <c r="J16" s="197">
        <v>0.23816974712643676</v>
      </c>
      <c r="K16" s="197">
        <f t="shared" si="1"/>
        <v>-1.1830252873563235E-2</v>
      </c>
      <c r="L16" s="198">
        <f>August!S40</f>
        <v>59.141670813381523</v>
      </c>
      <c r="M16" s="198">
        <f>August!S41</f>
        <v>4.2146937821030512</v>
      </c>
      <c r="N16" s="198">
        <f>August!O5</f>
        <v>784.86898975783697</v>
      </c>
      <c r="O16" s="198">
        <f>August!P5</f>
        <v>620</v>
      </c>
      <c r="P16" s="198">
        <f t="shared" si="2"/>
        <v>-164.86898975783697</v>
      </c>
      <c r="Q16" s="199">
        <v>0</v>
      </c>
    </row>
    <row r="17" spans="2:17" ht="30" customHeight="1">
      <c r="B17" s="190" t="s">
        <v>174</v>
      </c>
      <c r="C17" s="191">
        <f>EINSTELLUNG!C14</f>
        <v>400000</v>
      </c>
      <c r="D17" s="191">
        <f>EINSTELLUNG!C30</f>
        <v>450000</v>
      </c>
      <c r="E17" s="191">
        <f t="shared" si="3"/>
        <v>50000</v>
      </c>
      <c r="F17" s="191">
        <f>EINSTELLUNG!D14</f>
        <v>100000</v>
      </c>
      <c r="G17" s="191">
        <v>102020.7233</v>
      </c>
      <c r="H17" s="191">
        <f t="shared" si="0"/>
        <v>2020.7232999999978</v>
      </c>
      <c r="I17" s="192">
        <f>EINSTELLUNG!E14</f>
        <v>0.25</v>
      </c>
      <c r="J17" s="192">
        <v>0.22671271844444443</v>
      </c>
      <c r="K17" s="192">
        <f t="shared" si="1"/>
        <v>-2.3287281555555567E-2</v>
      </c>
      <c r="L17" s="193">
        <f>September!S40</f>
        <v>62.511894624393818</v>
      </c>
      <c r="M17" s="193">
        <f>September!S41</f>
        <v>4.3063749630137957</v>
      </c>
      <c r="N17" s="193">
        <f>September!O5</f>
        <v>780.6952942464618</v>
      </c>
      <c r="O17" s="193">
        <f>September!P5</f>
        <v>600</v>
      </c>
      <c r="P17" s="193">
        <f t="shared" si="2"/>
        <v>-180.6952942464618</v>
      </c>
      <c r="Q17" s="194">
        <v>1.7699115044247787E-2</v>
      </c>
    </row>
    <row r="18" spans="2:17" ht="30" customHeight="1">
      <c r="B18" s="200" t="s">
        <v>175</v>
      </c>
      <c r="C18" s="201">
        <f>SUM(C15:C17)</f>
        <v>1200000</v>
      </c>
      <c r="D18" s="201">
        <f>SUM(D15:D17)</f>
        <v>1320000</v>
      </c>
      <c r="E18" s="201">
        <f>D18-C18</f>
        <v>120000</v>
      </c>
      <c r="F18" s="201">
        <f>SUM(F15:F17)</f>
        <v>300000</v>
      </c>
      <c r="G18" s="201">
        <f>SUM(G15:G17)</f>
        <v>309329.45329999999</v>
      </c>
      <c r="H18" s="201">
        <f t="shared" si="0"/>
        <v>9329.4532999999938</v>
      </c>
      <c r="I18" s="202">
        <f>AVERAGE(I15:I17)</f>
        <v>0.25</v>
      </c>
      <c r="J18" s="202">
        <f>AVERAGE(J15:J17)</f>
        <v>0.23442817051596423</v>
      </c>
      <c r="K18" s="202">
        <f t="shared" si="1"/>
        <v>-1.5571829484035765E-2</v>
      </c>
      <c r="L18" s="203">
        <f>AVERAGE(L15:L17)</f>
        <v>59.66819378060179</v>
      </c>
      <c r="M18" s="203">
        <f>AVERAGE(M15:M17)</f>
        <v>4.2027175457093939</v>
      </c>
      <c r="N18" s="203">
        <f>SUM(N15:N17)</f>
        <v>2351.2680128644106</v>
      </c>
      <c r="O18" s="203">
        <f>SUM(O15:O17)</f>
        <v>1820</v>
      </c>
      <c r="P18" s="203">
        <f t="shared" si="2"/>
        <v>-531.26801286441059</v>
      </c>
      <c r="Q18" s="204">
        <v>1.7699115044247787E-2</v>
      </c>
    </row>
    <row r="19" spans="2:17" ht="30" customHeight="1">
      <c r="B19" s="190" t="s">
        <v>176</v>
      </c>
      <c r="C19" s="191">
        <f>EINSTELLUNG!C15</f>
        <v>400000</v>
      </c>
      <c r="D19" s="191">
        <f>EINSTELLUNG!C31</f>
        <v>401000</v>
      </c>
      <c r="E19" s="191">
        <f>D19-C19</f>
        <v>1000</v>
      </c>
      <c r="F19" s="191">
        <f>EINSTELLUNG!D15</f>
        <v>100000</v>
      </c>
      <c r="G19" s="191">
        <v>100239.2755</v>
      </c>
      <c r="H19" s="191">
        <f t="shared" si="0"/>
        <v>239.27550000000338</v>
      </c>
      <c r="I19" s="192">
        <f>EINSTELLUNG!E15</f>
        <v>0.25</v>
      </c>
      <c r="J19" s="192">
        <v>0.24997325561097258</v>
      </c>
      <c r="K19" s="192">
        <f t="shared" si="1"/>
        <v>-2.6744389027416604E-5</v>
      </c>
      <c r="L19" s="193">
        <f>Oktober!S40</f>
        <v>54.527999651891079</v>
      </c>
      <c r="M19" s="193">
        <f>Oktober!S41</f>
        <v>4.2153815192234996</v>
      </c>
      <c r="N19" s="193">
        <f>Oktober!O5</f>
        <v>768.17420771233651</v>
      </c>
      <c r="O19" s="193">
        <f>Oktober!P5</f>
        <v>600</v>
      </c>
      <c r="P19" s="193">
        <f t="shared" si="2"/>
        <v>-168.17420771233651</v>
      </c>
      <c r="Q19" s="194">
        <v>0</v>
      </c>
    </row>
    <row r="20" spans="2:17" ht="30" customHeight="1">
      <c r="B20" s="195" t="s">
        <v>177</v>
      </c>
      <c r="C20" s="196">
        <f>EINSTELLUNG!C16</f>
        <v>400000</v>
      </c>
      <c r="D20" s="196">
        <f>EINSTELLUNG!C32</f>
        <v>398000</v>
      </c>
      <c r="E20" s="196">
        <f>D20-C20</f>
        <v>-2000</v>
      </c>
      <c r="F20" s="196">
        <f>EINSTELLUNG!D16</f>
        <v>100000</v>
      </c>
      <c r="G20" s="196">
        <v>97061.09</v>
      </c>
      <c r="H20" s="196">
        <f t="shared" si="0"/>
        <v>-2938.9100000000035</v>
      </c>
      <c r="I20" s="197">
        <f>EINSTELLUNG!E16</f>
        <v>0.25</v>
      </c>
      <c r="J20" s="197">
        <v>0.24387208542713568</v>
      </c>
      <c r="K20" s="197">
        <f t="shared" si="1"/>
        <v>-6.1279145728643236E-3</v>
      </c>
      <c r="L20" s="198">
        <f>November!S40</f>
        <v>59.105077839011443</v>
      </c>
      <c r="M20" s="198">
        <f>November!S41</f>
        <v>4.6036618417320474</v>
      </c>
      <c r="N20" s="198">
        <f>November!O5</f>
        <v>780.01978283421613</v>
      </c>
      <c r="O20" s="198">
        <f>November!P5</f>
        <v>600</v>
      </c>
      <c r="P20" s="198">
        <f t="shared" si="2"/>
        <v>-180.01978283421613</v>
      </c>
      <c r="Q20" s="199">
        <v>0</v>
      </c>
    </row>
    <row r="21" spans="2:17" ht="30" customHeight="1">
      <c r="B21" s="190" t="s">
        <v>178</v>
      </c>
      <c r="C21" s="191">
        <f>EINSTELLUNG!C17</f>
        <v>400000</v>
      </c>
      <c r="D21" s="191">
        <f>EINSTELLUNG!C33</f>
        <v>390000</v>
      </c>
      <c r="E21" s="191">
        <f t="shared" si="3"/>
        <v>-10000</v>
      </c>
      <c r="F21" s="191">
        <f>EINSTELLUNG!D17</f>
        <v>100000</v>
      </c>
      <c r="G21" s="191">
        <v>97061.09</v>
      </c>
      <c r="H21" s="191">
        <f t="shared" si="0"/>
        <v>-2938.9100000000035</v>
      </c>
      <c r="I21" s="192">
        <f>EINSTELLUNG!E17</f>
        <v>0.25</v>
      </c>
      <c r="J21" s="192">
        <v>0.24887458974358972</v>
      </c>
      <c r="K21" s="192">
        <f t="shared" si="1"/>
        <v>-1.1254102564102753E-3</v>
      </c>
      <c r="L21" s="193">
        <f>Dezember!S40</f>
        <v>60.383201083801048</v>
      </c>
      <c r="M21" s="193">
        <f>Dezember!S41</f>
        <v>4.7996903425585442</v>
      </c>
      <c r="N21" s="193">
        <f>Dezember!O5</f>
        <v>780.01978283421613</v>
      </c>
      <c r="O21" s="193">
        <f>Dezember!P5</f>
        <v>600</v>
      </c>
      <c r="P21" s="193">
        <f t="shared" si="2"/>
        <v>-180.01978283421613</v>
      </c>
      <c r="Q21" s="194">
        <v>0</v>
      </c>
    </row>
    <row r="22" spans="2:17" ht="30" customHeight="1">
      <c r="B22" s="200" t="s">
        <v>179</v>
      </c>
      <c r="C22" s="201">
        <f>SUM(C19:C21)</f>
        <v>1200000</v>
      </c>
      <c r="D22" s="201">
        <f>SUM(D19:D21)</f>
        <v>1189000</v>
      </c>
      <c r="E22" s="201">
        <f>D22-C22</f>
        <v>-11000</v>
      </c>
      <c r="F22" s="201">
        <f>SUM(F19:F21)</f>
        <v>300000</v>
      </c>
      <c r="G22" s="201">
        <f>SUM(G19:G21)</f>
        <v>294361.45550000004</v>
      </c>
      <c r="H22" s="201">
        <f t="shared" si="0"/>
        <v>-5638.54449999996</v>
      </c>
      <c r="I22" s="202">
        <f>AVERAGE(I19:I21)</f>
        <v>0.25</v>
      </c>
      <c r="J22" s="202">
        <f>AVERAGE(J19:J21)</f>
        <v>0.24757331026056603</v>
      </c>
      <c r="K22" s="202">
        <f t="shared" si="1"/>
        <v>-2.4266897394339682E-3</v>
      </c>
      <c r="L22" s="203">
        <f>AVERAGE(L19:L21)</f>
        <v>58.005426191567857</v>
      </c>
      <c r="M22" s="203">
        <f>AVERAGE(M19:M21)</f>
        <v>4.5395779011713637</v>
      </c>
      <c r="N22" s="203">
        <f>SUM(N19:N21)</f>
        <v>2328.2137733807685</v>
      </c>
      <c r="O22" s="203">
        <f>SUM(O19:O21)</f>
        <v>1800</v>
      </c>
      <c r="P22" s="203">
        <f>O22-N22</f>
        <v>-528.21377338076854</v>
      </c>
      <c r="Q22" s="204">
        <v>0</v>
      </c>
    </row>
    <row r="23" spans="2:17" ht="32" customHeight="1" thickBot="1">
      <c r="B23" s="205" t="str">
        <f xml:space="preserve"> "GESAMT " &amp; EINSTELLUNG!C35</f>
        <v>GESAMT 2026</v>
      </c>
      <c r="C23" s="206">
        <f>SUM(C10,C14,C18,C22)</f>
        <v>4850000</v>
      </c>
      <c r="D23" s="206">
        <f>SUM(D10,D14,D18,D22)</f>
        <v>4969000</v>
      </c>
      <c r="E23" s="206">
        <f>D23-C23</f>
        <v>119000</v>
      </c>
      <c r="F23" s="206">
        <f>SUM(F10,F14,F18,F22)</f>
        <v>1200000</v>
      </c>
      <c r="G23" s="206">
        <f>SUM(G10,G14,G18,G22)</f>
        <v>1251456.9501</v>
      </c>
      <c r="H23" s="206">
        <f t="shared" si="0"/>
        <v>51456.950100000016</v>
      </c>
      <c r="I23" s="207">
        <f>AVERAGE(I10,I14,I18,I22)</f>
        <v>0.24768518518518517</v>
      </c>
      <c r="J23" s="207">
        <f>AVERAGE(J10,J14,J18,J22)</f>
        <v>0.25515253940603971</v>
      </c>
      <c r="K23" s="207">
        <f t="shared" si="1"/>
        <v>7.4673542208545385E-3</v>
      </c>
      <c r="L23" s="208">
        <f>AVERAGE(L22,L18,L14,L10)</f>
        <v>414.10501063864291</v>
      </c>
      <c r="M23" s="208">
        <f>AVERAGE(M10,M14,M18,M22)</f>
        <v>29.578642454425257</v>
      </c>
      <c r="N23" s="208">
        <f>SUM(N10,N14,N18,N22)</f>
        <v>9685.2577799799947</v>
      </c>
      <c r="O23" s="208">
        <f>SUM(O10,O14,O18,O22)</f>
        <v>7220</v>
      </c>
      <c r="P23" s="208">
        <f t="shared" si="2"/>
        <v>-2465.2577799799947</v>
      </c>
      <c r="Q23" s="209">
        <v>0.11009174311926606</v>
      </c>
    </row>
    <row r="24" spans="2:17">
      <c r="B24" s="210" t="s">
        <v>378</v>
      </c>
      <c r="O24" s="211"/>
    </row>
    <row r="25" spans="2:17">
      <c r="B25" s="210"/>
      <c r="C25" s="210"/>
      <c r="D25" s="210"/>
      <c r="E25" s="210"/>
      <c r="F25" s="210"/>
      <c r="G25" s="210"/>
      <c r="H25" s="210"/>
    </row>
    <row r="26" spans="2:17">
      <c r="B26" s="212"/>
      <c r="C26" s="212"/>
      <c r="D26" s="212"/>
      <c r="E26" s="212"/>
    </row>
    <row r="27" spans="2:17" ht="14.5" thickBot="1">
      <c r="B27" s="212"/>
      <c r="C27" s="212"/>
      <c r="D27" s="212"/>
      <c r="E27" s="212"/>
    </row>
    <row r="28" spans="2:17" ht="28" customHeight="1">
      <c r="B28" s="213" t="str">
        <f xml:space="preserve"> "DURCHRECHNUNGSSTUNDEN - " &amp; EINSTELLUNG!C35</f>
        <v>DURCHRECHNUNGSSTUNDEN - 2026</v>
      </c>
      <c r="C28" s="214"/>
      <c r="D28" s="214"/>
      <c r="E28" s="214"/>
      <c r="F28" s="214"/>
      <c r="G28" s="214"/>
      <c r="H28" s="214"/>
      <c r="I28" s="214"/>
      <c r="J28" s="214"/>
      <c r="K28" s="214"/>
      <c r="L28" s="214"/>
      <c r="M28" s="214"/>
      <c r="N28" s="214"/>
      <c r="O28" s="214"/>
      <c r="P28" s="214"/>
      <c r="Q28" s="215"/>
    </row>
    <row r="29" spans="2:17" ht="48" customHeight="1" thickBot="1">
      <c r="B29" s="216" t="s">
        <v>347</v>
      </c>
      <c r="C29" s="217"/>
      <c r="D29" s="217"/>
      <c r="E29" s="217"/>
      <c r="F29" s="217"/>
      <c r="G29" s="217"/>
      <c r="H29" s="217"/>
      <c r="I29" s="217"/>
      <c r="J29" s="217"/>
      <c r="K29" s="217"/>
      <c r="L29" s="217"/>
      <c r="M29" s="217"/>
      <c r="N29" s="217"/>
      <c r="O29" s="217"/>
      <c r="P29" s="217"/>
      <c r="Q29" s="218"/>
    </row>
    <row r="30" spans="2:17" ht="40" customHeight="1" thickBot="1">
      <c r="B30" s="219" t="s">
        <v>339</v>
      </c>
      <c r="C30" s="220"/>
      <c r="D30" s="220"/>
      <c r="E30" s="21">
        <v>7000</v>
      </c>
      <c r="F30" s="220" t="s">
        <v>340</v>
      </c>
      <c r="G30" s="220"/>
      <c r="H30" s="220"/>
      <c r="I30" s="21">
        <v>5600</v>
      </c>
      <c r="J30" s="221"/>
      <c r="K30" s="221"/>
      <c r="L30" s="221"/>
      <c r="M30" s="221"/>
      <c r="N30" s="221"/>
      <c r="O30" s="221"/>
      <c r="P30" s="221"/>
      <c r="Q30" s="222"/>
    </row>
    <row r="31" spans="2:17" s="230" customFormat="1" ht="30" customHeight="1">
      <c r="B31" s="223" t="s">
        <v>326</v>
      </c>
      <c r="C31" s="224" t="s">
        <v>333</v>
      </c>
      <c r="D31" s="224" t="s">
        <v>341</v>
      </c>
      <c r="E31" s="225" t="s">
        <v>334</v>
      </c>
      <c r="F31" s="224" t="s">
        <v>95</v>
      </c>
      <c r="G31" s="224" t="s">
        <v>335</v>
      </c>
      <c r="H31" s="224" t="s">
        <v>336</v>
      </c>
      <c r="I31" s="226" t="s">
        <v>337</v>
      </c>
      <c r="J31" s="227" t="s">
        <v>338</v>
      </c>
      <c r="K31" s="228"/>
      <c r="L31" s="228"/>
      <c r="M31" s="228"/>
      <c r="N31" s="228"/>
      <c r="O31" s="228"/>
      <c r="P31" s="228"/>
      <c r="Q31" s="229"/>
    </row>
    <row r="32" spans="2:17" ht="42" customHeight="1">
      <c r="B32" s="231" t="s">
        <v>342</v>
      </c>
      <c r="C32" s="232" t="s">
        <v>168</v>
      </c>
      <c r="D32" s="233">
        <f>Februar!Q12+Marz!Q13+April!Q13</f>
        <v>25151.119999999999</v>
      </c>
      <c r="E32" s="233">
        <f>EINSTELLUNG!L7+EINSTELLUNG!L8+EINSTELLUNG!L9</f>
        <v>20100</v>
      </c>
      <c r="F32" s="233">
        <f>April!Q15</f>
        <v>6839.1399999999994</v>
      </c>
      <c r="G32" s="234">
        <f>April!Q42</f>
        <v>11.786185508965858</v>
      </c>
      <c r="H32" s="233">
        <f>MAX(0,-F32)</f>
        <v>0</v>
      </c>
      <c r="I32" s="235" t="str">
        <f>IF(OR(G32=0,H32=0),"",H32*G32*3/2)</f>
        <v/>
      </c>
      <c r="J32" s="236" t="str">
        <f>IF(F32&lt;0,"ACHTUNG: Überstunden",IF(F32&gt;0,"Reserve möglich","OK"))</f>
        <v>Reserve möglich</v>
      </c>
      <c r="K32" s="237"/>
      <c r="L32" s="237"/>
      <c r="M32" s="237"/>
      <c r="N32" s="237"/>
      <c r="O32" s="237"/>
      <c r="P32" s="237"/>
      <c r="Q32" s="238"/>
    </row>
    <row r="33" spans="2:17" ht="42" customHeight="1">
      <c r="B33" s="239" t="s">
        <v>327</v>
      </c>
      <c r="C33" s="240" t="s">
        <v>172</v>
      </c>
      <c r="D33" s="241">
        <f>Mai!Q12+Juni!Q13+Juli!Q13</f>
        <v>22460.219999999998</v>
      </c>
      <c r="E33" s="241">
        <f>EINSTELLUNG!L10+EINSTELLUNG!L11+EINSTELLUNG!L12</f>
        <v>27900</v>
      </c>
      <c r="F33" s="241">
        <f>Juli!Q15</f>
        <v>-1715.130000000001</v>
      </c>
      <c r="G33" s="242">
        <f>Juli!Q42</f>
        <v>11.746059566168464</v>
      </c>
      <c r="H33" s="241">
        <f>MAX(0,-F33)</f>
        <v>1715.130000000001</v>
      </c>
      <c r="I33" s="243">
        <f>IF(OR(G33=0,H33=0),"",H33*G33*3/2)</f>
        <v>30219.028715583794</v>
      </c>
      <c r="J33" s="244" t="str">
        <f>IF(F33&lt;0,"ACHTUNG: Überstunden",IF(F33&gt;0,"Reserve möglich","OK"))</f>
        <v>ACHTUNG: Überstunden</v>
      </c>
      <c r="K33" s="245"/>
      <c r="L33" s="245"/>
      <c r="M33" s="245"/>
      <c r="N33" s="245"/>
      <c r="O33" s="245"/>
      <c r="P33" s="245"/>
      <c r="Q33" s="246"/>
    </row>
    <row r="34" spans="2:17" ht="42" customHeight="1">
      <c r="B34" s="231" t="s">
        <v>328</v>
      </c>
      <c r="C34" s="232" t="s">
        <v>176</v>
      </c>
      <c r="D34" s="233">
        <f>August!Q12+September!Q13+Oktober!Q13</f>
        <v>21907.87</v>
      </c>
      <c r="E34" s="233">
        <f>EINSTELLUNG!L13+EINSTELLUNG!L14+EINSTELLUNG!L15</f>
        <v>27900</v>
      </c>
      <c r="F34" s="233">
        <f>Oktober!Q15</f>
        <v>-1945.9800000000005</v>
      </c>
      <c r="G34" s="234">
        <f>Oktober!Q42</f>
        <v>11.75175831298033</v>
      </c>
      <c r="H34" s="233">
        <f>MAX(0,-F34)</f>
        <v>1945.9800000000005</v>
      </c>
      <c r="I34" s="235">
        <f>IF(OR(G34=0,H34=0),"",H34*G34*3/2)</f>
        <v>34303.029962840206</v>
      </c>
      <c r="J34" s="236" t="str">
        <f>IF(F34&lt;0,"ACHTUNG: Überstunden",IF(F34&gt;0,"Reserve möglich","OK"))</f>
        <v>ACHTUNG: Überstunden</v>
      </c>
      <c r="K34" s="237"/>
      <c r="L34" s="237"/>
      <c r="M34" s="237"/>
      <c r="N34" s="237"/>
      <c r="O34" s="237"/>
      <c r="P34" s="237"/>
      <c r="Q34" s="238"/>
    </row>
    <row r="35" spans="2:17" ht="42" customHeight="1" thickBot="1">
      <c r="B35" s="247" t="s">
        <v>343</v>
      </c>
      <c r="C35" s="248" t="s">
        <v>344</v>
      </c>
      <c r="D35" s="249">
        <f>November!Q12+Dezember!Q13+E30</f>
        <v>20192.519999999997</v>
      </c>
      <c r="E35" s="249">
        <f>EINSTELLUNG!L16+EINSTELLUNG!L17+I30</f>
        <v>24200</v>
      </c>
      <c r="F35" s="249">
        <f>D35-E35</f>
        <v>-4007.4800000000032</v>
      </c>
      <c r="G35" s="250">
        <f>Dezember!Q42</f>
        <v>12.415484636043391</v>
      </c>
      <c r="H35" s="249">
        <f>MAX(0,-F35)</f>
        <v>4007.4800000000032</v>
      </c>
      <c r="I35" s="251">
        <f>IF(OR(G35=0,H35=0),"",H35*G35*3/2)</f>
        <v>74632.209553876804</v>
      </c>
      <c r="J35" s="252" t="str">
        <f>IF(F35&lt;0,"ACHTUNG: Überstunden",IF(F35&gt;0,"Reserve möglich","OK"))</f>
        <v>ACHTUNG: Überstunden</v>
      </c>
      <c r="K35" s="253"/>
      <c r="L35" s="253"/>
      <c r="M35" s="253"/>
      <c r="N35" s="253"/>
      <c r="O35" s="253"/>
      <c r="P35" s="253"/>
      <c r="Q35" s="254"/>
    </row>
    <row r="36" spans="2:17" ht="40" customHeight="1" thickBot="1">
      <c r="B36" s="255" t="s">
        <v>345</v>
      </c>
      <c r="C36" s="256"/>
      <c r="D36" s="256"/>
      <c r="E36" s="256"/>
      <c r="F36" s="256"/>
      <c r="G36" s="256"/>
      <c r="H36" s="256"/>
      <c r="I36" s="256"/>
      <c r="J36" s="256"/>
      <c r="K36" s="256"/>
      <c r="L36" s="256"/>
      <c r="M36" s="256"/>
      <c r="N36" s="256"/>
      <c r="O36" s="256"/>
      <c r="P36" s="256"/>
      <c r="Q36" s="257"/>
    </row>
    <row r="37" spans="2:17">
      <c r="B37" s="258"/>
      <c r="C37" s="258"/>
      <c r="D37" s="258"/>
      <c r="E37" s="258"/>
      <c r="F37" s="258"/>
      <c r="G37" s="258"/>
      <c r="H37" s="258"/>
      <c r="I37" s="258"/>
      <c r="J37" s="258"/>
      <c r="K37" s="258"/>
      <c r="L37" s="258"/>
      <c r="M37" s="258"/>
      <c r="N37" s="258"/>
      <c r="O37" s="258"/>
      <c r="P37" s="258"/>
      <c r="Q37" s="258"/>
    </row>
    <row r="38" spans="2:17" ht="40" customHeight="1">
      <c r="B38" s="258"/>
      <c r="C38" s="258"/>
      <c r="D38" s="258"/>
      <c r="E38" s="258"/>
      <c r="F38" s="258"/>
      <c r="G38" s="258"/>
      <c r="H38" s="258"/>
      <c r="I38" s="258"/>
      <c r="J38" s="258"/>
      <c r="K38" s="258"/>
      <c r="L38" s="258"/>
      <c r="M38" s="258"/>
      <c r="N38" s="258"/>
      <c r="O38" s="258"/>
      <c r="P38" s="258"/>
      <c r="Q38" s="258"/>
    </row>
    <row r="100" spans="26:26">
      <c r="Z100" s="259"/>
    </row>
  </sheetData>
  <sheetProtection algorithmName="SHA-512" hashValue="OMFdog+hpmJxUg7iF3F0DhGRVo9wSfjraK65hJvRecLud+AwY0Savb73cAwNTHm4DHjESEwUNGsueYsRGNOtqg==" saltValue="jFHZ/77IggcVYXNxdkNuYw==" spinCount="100000" sheet="1" objects="1" scenarios="1" selectLockedCells="1" sort="0" autoFilter="0"/>
  <protectedRanges>
    <protectedRange sqref="E30" name="PID_Plan_Verfuegbar"/>
    <protectedRange sqref="I30" name="PID_Plan_Muster"/>
  </protectedRanges>
  <mergeCells count="20">
    <mergeCell ref="B2:Q3"/>
    <mergeCell ref="L4:L6"/>
    <mergeCell ref="M4:M6"/>
    <mergeCell ref="B4:B6"/>
    <mergeCell ref="Q4:Q6"/>
    <mergeCell ref="C4:E5"/>
    <mergeCell ref="N4:P5"/>
    <mergeCell ref="F4:H5"/>
    <mergeCell ref="I4:K5"/>
    <mergeCell ref="B28:Q28"/>
    <mergeCell ref="B29:Q29"/>
    <mergeCell ref="B30:D30"/>
    <mergeCell ref="F30:H30"/>
    <mergeCell ref="B36:Q36"/>
    <mergeCell ref="J31:Q31"/>
    <mergeCell ref="J32:Q32"/>
    <mergeCell ref="J33:Q33"/>
    <mergeCell ref="J34:Q34"/>
    <mergeCell ref="J35:Q35"/>
    <mergeCell ref="J30:Q30"/>
  </mergeCells>
  <conditionalFormatting sqref="J32:J35">
    <cfRule type="expression" dxfId="0" priority="1" stopIfTrue="1">
      <formula>J32="OK"</formula>
    </cfRule>
  </conditionalFormatting>
  <pageMargins left="0.7" right="0.7" top="0.78740157499999996" bottom="0.78740157499999996" header="0.3" footer="0.3"/>
  <pageSetup paperSize="9" orientation="portrait" horizontalDpi="0" verticalDpi="0"/>
  <headerFooter>
    <oddFooter>&amp;R&amp;"Calibri"&amp;7© Adam Nagy ¬∑ McOpCo ¬∑ Personalsheet 2026</oddFooter>
  </headerFooter>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DBFC1D-0E2C-44A1-AC54-7F58A73BBA84}">
  <sheetPr codeName="Tabelle15">
    <pageSetUpPr fitToPage="1"/>
  </sheetPr>
  <dimension ref="A1:Z89"/>
  <sheetViews>
    <sheetView showGridLines="0" topLeftCell="A60" workbookViewId="0">
      <selection activeCell="H70" sqref="H70"/>
    </sheetView>
  </sheetViews>
  <sheetFormatPr baseColWidth="10" defaultColWidth="10.81640625" defaultRowHeight="15" customHeight="1"/>
  <cols>
    <col min="1" max="1" width="26" style="378" customWidth="1"/>
    <col min="2" max="2" width="20.6328125" style="378" customWidth="1"/>
    <col min="3" max="4" width="26.6328125" style="378" customWidth="1"/>
    <col min="5" max="5" width="31.453125" style="378" customWidth="1"/>
    <col min="6" max="6" width="14.26953125" style="378" customWidth="1"/>
    <col min="7" max="7" width="11.81640625" style="378" customWidth="1"/>
    <col min="8" max="8" width="16.26953125" style="378" customWidth="1"/>
    <col min="9" max="9" width="22" style="378" customWidth="1"/>
    <col min="10" max="10" width="15.1796875" style="378" customWidth="1"/>
    <col min="11" max="12" width="37.453125" style="378" customWidth="1"/>
    <col min="13" max="14" width="31.453125" style="378" customWidth="1"/>
    <col min="15" max="15" width="10.81640625" style="378"/>
    <col min="16" max="19" width="2.6328125" style="378" customWidth="1"/>
    <col min="20" max="26" width="10.81640625" style="378" hidden="1" customWidth="1"/>
    <col min="27" max="16384" width="10.81640625" style="378"/>
  </cols>
  <sheetData>
    <row r="1" spans="1:17" ht="28" customHeight="1">
      <c r="A1" s="137" t="s">
        <v>356</v>
      </c>
      <c r="B1" s="137"/>
      <c r="C1" s="137"/>
      <c r="D1" s="137"/>
      <c r="E1" s="137"/>
      <c r="P1" s="378" t="s">
        <v>206</v>
      </c>
      <c r="Q1" s="378" t="s">
        <v>217</v>
      </c>
    </row>
    <row r="2" spans="1:17" ht="18" customHeight="1">
      <c r="A2" s="8" t="s">
        <v>313</v>
      </c>
      <c r="B2" s="8">
        <v>2026</v>
      </c>
      <c r="C2" s="8" t="s">
        <v>314</v>
      </c>
      <c r="D2" s="8" t="s">
        <v>422</v>
      </c>
      <c r="E2" s="8"/>
      <c r="P2" s="378" t="s">
        <v>275</v>
      </c>
      <c r="Q2" s="378">
        <v>2</v>
      </c>
    </row>
    <row r="3" spans="1:17" ht="15" customHeight="1">
      <c r="P3" s="378" t="s">
        <v>310</v>
      </c>
      <c r="Q3" s="378">
        <v>1</v>
      </c>
    </row>
    <row r="4" spans="1:17" ht="22" customHeight="1" thickBot="1">
      <c r="A4" s="138" t="s">
        <v>315</v>
      </c>
      <c r="B4" s="138"/>
      <c r="C4" s="138"/>
      <c r="D4" s="138"/>
      <c r="E4" s="138"/>
      <c r="P4" s="378" t="s">
        <v>168</v>
      </c>
      <c r="Q4" s="378">
        <v>5</v>
      </c>
    </row>
    <row r="5" spans="1:17" ht="24" customHeight="1">
      <c r="A5" s="144" t="s">
        <v>285</v>
      </c>
      <c r="B5" s="146" t="s">
        <v>425</v>
      </c>
      <c r="C5" s="140" t="s">
        <v>429</v>
      </c>
      <c r="D5" s="140"/>
      <c r="E5" s="141"/>
      <c r="P5" s="378" t="s">
        <v>169</v>
      </c>
      <c r="Q5" s="378">
        <v>2</v>
      </c>
    </row>
    <row r="6" spans="1:17" ht="24" customHeight="1" thickBot="1">
      <c r="A6" s="145"/>
      <c r="B6" s="380"/>
      <c r="C6" s="142"/>
      <c r="D6" s="142"/>
      <c r="E6" s="143"/>
      <c r="P6" s="378" t="s">
        <v>170</v>
      </c>
      <c r="Q6" s="378">
        <v>1</v>
      </c>
    </row>
    <row r="7" spans="1:17" ht="15" customHeight="1" thickBot="1">
      <c r="P7" s="378" t="s">
        <v>174</v>
      </c>
      <c r="Q7" s="378">
        <v>1</v>
      </c>
    </row>
    <row r="8" spans="1:17" ht="24" customHeight="1">
      <c r="A8" s="9" t="s">
        <v>212</v>
      </c>
      <c r="B8" s="10" t="s">
        <v>316</v>
      </c>
      <c r="C8" s="10" t="s">
        <v>395</v>
      </c>
      <c r="D8" s="10" t="s">
        <v>317</v>
      </c>
      <c r="E8" s="11" t="s">
        <v>318</v>
      </c>
      <c r="P8" s="378" t="s">
        <v>176</v>
      </c>
      <c r="Q8" s="378">
        <v>1</v>
      </c>
    </row>
    <row r="9" spans="1:17" ht="22" customHeight="1" thickBot="1">
      <c r="A9" s="121">
        <v>13</v>
      </c>
      <c r="B9" s="381">
        <v>0.11009174311926606</v>
      </c>
      <c r="C9" s="122">
        <v>7.3125</v>
      </c>
      <c r="D9" s="123">
        <v>3</v>
      </c>
      <c r="E9" s="124">
        <v>0</v>
      </c>
    </row>
    <row r="10" spans="1:17" ht="22" customHeight="1" thickBot="1">
      <c r="A10" s="125" t="s">
        <v>392</v>
      </c>
      <c r="B10" s="151" t="s">
        <v>393</v>
      </c>
      <c r="C10" s="151"/>
      <c r="D10" s="151"/>
      <c r="E10" s="152"/>
    </row>
    <row r="11" spans="1:17" ht="22" customHeight="1" thickBot="1">
      <c r="A11" s="139" t="s">
        <v>357</v>
      </c>
      <c r="B11" s="139"/>
      <c r="C11" s="139"/>
      <c r="D11" s="139"/>
      <c r="E11" s="139"/>
    </row>
    <row r="12" spans="1:17" ht="22" customHeight="1">
      <c r="A12" s="9" t="s">
        <v>319</v>
      </c>
      <c r="B12" s="10" t="s">
        <v>320</v>
      </c>
      <c r="C12" s="10" t="s">
        <v>321</v>
      </c>
      <c r="D12" s="147" t="s">
        <v>358</v>
      </c>
      <c r="E12" s="148"/>
    </row>
    <row r="13" spans="1:17" ht="57.25" customHeight="1">
      <c r="A13" s="23">
        <v>1</v>
      </c>
      <c r="B13" s="24" t="s">
        <v>372</v>
      </c>
      <c r="C13" s="24" t="s">
        <v>381</v>
      </c>
      <c r="D13" s="149" t="s">
        <v>373</v>
      </c>
      <c r="E13" s="150"/>
    </row>
    <row r="14" spans="1:17" ht="73" customHeight="1">
      <c r="A14" s="23">
        <v>2</v>
      </c>
      <c r="B14" s="24" t="s">
        <v>218</v>
      </c>
      <c r="C14" s="24" t="s">
        <v>360</v>
      </c>
      <c r="D14" s="149" t="s">
        <v>359</v>
      </c>
      <c r="E14" s="150"/>
    </row>
    <row r="15" spans="1:17" ht="57.25" customHeight="1">
      <c r="A15" s="23">
        <v>3</v>
      </c>
      <c r="B15" s="24" t="s">
        <v>372</v>
      </c>
      <c r="C15" s="24" t="s">
        <v>385</v>
      </c>
      <c r="D15" s="149" t="s">
        <v>373</v>
      </c>
      <c r="E15" s="150"/>
    </row>
    <row r="16" spans="1:17" ht="57.25" customHeight="1" thickBot="1">
      <c r="A16" s="25">
        <v>4</v>
      </c>
      <c r="B16" s="22" t="s">
        <v>372</v>
      </c>
      <c r="C16" s="22" t="s">
        <v>416</v>
      </c>
      <c r="D16" s="142" t="s">
        <v>373</v>
      </c>
      <c r="E16" s="143"/>
    </row>
    <row r="19" spans="1:17" ht="22" customHeight="1" thickBot="1">
      <c r="A19" s="138" t="s">
        <v>322</v>
      </c>
      <c r="B19" s="138"/>
      <c r="C19" s="138"/>
      <c r="D19" s="138"/>
      <c r="E19" s="138"/>
    </row>
    <row r="20" spans="1:17" ht="41.5" customHeight="1">
      <c r="A20" s="126">
        <v>1</v>
      </c>
      <c r="B20" s="140" t="s">
        <v>374</v>
      </c>
      <c r="C20" s="140"/>
      <c r="D20" s="140"/>
      <c r="E20" s="141"/>
      <c r="P20" s="378" t="s">
        <v>211</v>
      </c>
      <c r="Q20" s="378" t="s">
        <v>323</v>
      </c>
    </row>
    <row r="21" spans="1:17" ht="41.5" customHeight="1">
      <c r="A21" s="23">
        <v>2</v>
      </c>
      <c r="B21" s="149" t="s">
        <v>379</v>
      </c>
      <c r="C21" s="149"/>
      <c r="D21" s="149"/>
      <c r="E21" s="150"/>
      <c r="P21" s="378" t="s">
        <v>375</v>
      </c>
      <c r="Q21" s="378">
        <v>3</v>
      </c>
    </row>
    <row r="22" spans="1:17" ht="41.5" customHeight="1" thickBot="1">
      <c r="A22" s="25">
        <v>3</v>
      </c>
      <c r="B22" s="142" t="s">
        <v>382</v>
      </c>
      <c r="C22" s="142"/>
      <c r="D22" s="142"/>
      <c r="E22" s="143"/>
      <c r="P22" s="378" t="s">
        <v>324</v>
      </c>
      <c r="Q22" s="378">
        <v>3</v>
      </c>
    </row>
    <row r="23" spans="1:17" ht="15" customHeight="1">
      <c r="P23" s="378" t="s">
        <v>332</v>
      </c>
      <c r="Q23" s="378">
        <v>7</v>
      </c>
    </row>
    <row r="24" spans="1:17" ht="15" customHeight="1">
      <c r="A24" s="379" t="s">
        <v>325</v>
      </c>
      <c r="B24" s="379"/>
      <c r="C24" s="379"/>
      <c r="D24" s="379"/>
      <c r="E24" s="379"/>
    </row>
    <row r="25" spans="1:17" ht="18" customHeight="1"/>
    <row r="26" spans="1:17" ht="18" customHeight="1"/>
    <row r="27" spans="1:17" ht="18" customHeight="1"/>
    <row r="28" spans="1:17" ht="18" customHeight="1"/>
    <row r="29" spans="1:17" ht="18" customHeight="1"/>
    <row r="30" spans="1:17" ht="18" customHeight="1"/>
    <row r="31" spans="1:17" ht="18" customHeight="1"/>
    <row r="32" spans="1:17" ht="18" customHeight="1"/>
    <row r="33" spans="18:19" ht="18" customHeight="1"/>
    <row r="34" spans="18:19" ht="18" customHeight="1"/>
    <row r="35" spans="18:19" ht="18" customHeight="1"/>
    <row r="36" spans="18:19" ht="18" customHeight="1"/>
    <row r="37" spans="18:19" ht="18" customHeight="1"/>
    <row r="38" spans="18:19" ht="18" customHeight="1"/>
    <row r="39" spans="18:19" ht="18" customHeight="1"/>
    <row r="40" spans="18:19" ht="18" customHeight="1">
      <c r="R40" s="378" t="s">
        <v>183</v>
      </c>
      <c r="S40" s="378" t="s">
        <v>323</v>
      </c>
    </row>
    <row r="41" spans="18:19" ht="18" customHeight="1">
      <c r="R41" s="378" t="s">
        <v>194</v>
      </c>
      <c r="S41" s="378">
        <v>3</v>
      </c>
    </row>
    <row r="42" spans="18:19" ht="18" customHeight="1">
      <c r="R42" s="378" t="s">
        <v>184</v>
      </c>
      <c r="S42" s="378">
        <v>2</v>
      </c>
    </row>
    <row r="43" spans="18:19" ht="18" customHeight="1">
      <c r="R43" s="378" t="s">
        <v>190</v>
      </c>
      <c r="S43" s="378">
        <v>1</v>
      </c>
    </row>
    <row r="44" spans="18:19" ht="18" customHeight="1">
      <c r="R44" s="378" t="s">
        <v>188</v>
      </c>
      <c r="S44" s="378">
        <v>2</v>
      </c>
    </row>
    <row r="45" spans="18:19" ht="18" customHeight="1">
      <c r="R45" s="378" t="s">
        <v>185</v>
      </c>
      <c r="S45" s="378">
        <v>3</v>
      </c>
    </row>
    <row r="46" spans="18:19" ht="18" customHeight="1">
      <c r="R46" s="378" t="s">
        <v>189</v>
      </c>
      <c r="S46" s="378">
        <v>1</v>
      </c>
    </row>
    <row r="47" spans="18:19" ht="18" customHeight="1">
      <c r="R47" s="378" t="s">
        <v>186</v>
      </c>
      <c r="S47" s="378">
        <v>2</v>
      </c>
    </row>
    <row r="48" spans="18:19" ht="18" customHeight="1"/>
    <row r="49" spans="1:11" ht="18" customHeight="1"/>
    <row r="50" spans="1:11" ht="18" customHeight="1"/>
    <row r="51" spans="1:11" ht="18" customHeight="1"/>
    <row r="52" spans="1:11" ht="18" customHeight="1"/>
    <row r="53" spans="1:11" ht="18" customHeight="1"/>
    <row r="54" spans="1:11" ht="18" customHeight="1"/>
    <row r="55" spans="1:11" ht="18" customHeight="1"/>
    <row r="56" spans="1:11" ht="18" customHeight="1">
      <c r="A56" s="137" t="s">
        <v>361</v>
      </c>
      <c r="B56" s="137"/>
      <c r="C56" s="137"/>
      <c r="D56" s="137"/>
      <c r="E56" s="137"/>
      <c r="F56" s="137"/>
      <c r="G56" s="137"/>
      <c r="H56" s="137"/>
      <c r="I56" s="137"/>
      <c r="J56" s="137"/>
      <c r="K56" s="137"/>
    </row>
    <row r="57" spans="1:11" ht="15" customHeight="1" thickBot="1"/>
    <row r="58" spans="1:11" ht="18" customHeight="1">
      <c r="A58" s="9" t="s">
        <v>206</v>
      </c>
      <c r="B58" s="10" t="s">
        <v>217</v>
      </c>
      <c r="C58" s="10" t="s">
        <v>221</v>
      </c>
      <c r="D58" s="10" t="s">
        <v>214</v>
      </c>
      <c r="E58" s="10" t="s">
        <v>394</v>
      </c>
      <c r="F58" s="10" t="s">
        <v>375</v>
      </c>
      <c r="G58" s="10" t="s">
        <v>329</v>
      </c>
      <c r="H58" s="10" t="s">
        <v>362</v>
      </c>
      <c r="I58" s="10" t="s">
        <v>291</v>
      </c>
      <c r="J58" s="10"/>
      <c r="K58" s="11"/>
    </row>
    <row r="59" spans="1:11" ht="73" customHeight="1">
      <c r="A59" s="26" t="s">
        <v>275</v>
      </c>
      <c r="B59" s="27">
        <v>2</v>
      </c>
      <c r="C59" s="28">
        <v>3.8834951456310676E-2</v>
      </c>
      <c r="D59" s="29">
        <v>2.9375</v>
      </c>
      <c r="E59" s="29">
        <v>1.46875</v>
      </c>
      <c r="F59" s="27">
        <v>1</v>
      </c>
      <c r="G59" s="27">
        <v>0</v>
      </c>
      <c r="H59" s="30" t="s">
        <v>419</v>
      </c>
      <c r="I59" s="131" t="s">
        <v>376</v>
      </c>
      <c r="J59" s="131"/>
      <c r="K59" s="132"/>
    </row>
    <row r="60" spans="1:11" ht="41.5" customHeight="1">
      <c r="A60" s="26" t="s">
        <v>310</v>
      </c>
      <c r="B60" s="27">
        <v>1</v>
      </c>
      <c r="C60" s="28">
        <v>0</v>
      </c>
      <c r="D60" s="29">
        <v>0</v>
      </c>
      <c r="E60" s="29">
        <v>0</v>
      </c>
      <c r="F60" s="27">
        <v>0</v>
      </c>
      <c r="G60" s="27">
        <v>1</v>
      </c>
      <c r="H60" s="30" t="s">
        <v>421</v>
      </c>
      <c r="I60" s="131" t="s">
        <v>331</v>
      </c>
      <c r="J60" s="131"/>
      <c r="K60" s="132"/>
    </row>
    <row r="61" spans="1:11" ht="120" customHeight="1">
      <c r="A61" s="26" t="s">
        <v>168</v>
      </c>
      <c r="B61" s="27">
        <v>5</v>
      </c>
      <c r="C61" s="28">
        <v>3.3333333333333333E-2</v>
      </c>
      <c r="D61" s="29">
        <v>3.125</v>
      </c>
      <c r="E61" s="29">
        <v>0.625</v>
      </c>
      <c r="F61" s="27">
        <v>2</v>
      </c>
      <c r="G61" s="27">
        <v>3</v>
      </c>
      <c r="H61" s="30" t="s">
        <v>430</v>
      </c>
      <c r="I61" s="131" t="s">
        <v>376</v>
      </c>
      <c r="J61" s="131"/>
      <c r="K61" s="132"/>
    </row>
    <row r="62" spans="1:11" ht="57.25" customHeight="1">
      <c r="A62" s="26" t="s">
        <v>169</v>
      </c>
      <c r="B62" s="27">
        <v>2</v>
      </c>
      <c r="C62" s="28">
        <v>1.7094017094017096E-2</v>
      </c>
      <c r="D62" s="29">
        <v>0.5</v>
      </c>
      <c r="E62" s="29">
        <v>0.25</v>
      </c>
      <c r="F62" s="27">
        <v>0</v>
      </c>
      <c r="G62" s="27">
        <v>1</v>
      </c>
      <c r="H62" s="30" t="s">
        <v>427</v>
      </c>
      <c r="I62" s="131" t="s">
        <v>426</v>
      </c>
      <c r="J62" s="131"/>
      <c r="K62" s="132"/>
    </row>
    <row r="63" spans="1:11" ht="34" customHeight="1">
      <c r="A63" s="26" t="s">
        <v>170</v>
      </c>
      <c r="B63" s="27">
        <v>1</v>
      </c>
      <c r="C63" s="28">
        <v>0</v>
      </c>
      <c r="D63" s="29">
        <v>0</v>
      </c>
      <c r="E63" s="29">
        <v>0</v>
      </c>
      <c r="F63" s="27">
        <v>0</v>
      </c>
      <c r="G63" s="27">
        <v>1</v>
      </c>
      <c r="H63" s="30" t="s">
        <v>330</v>
      </c>
      <c r="I63" s="131" t="s">
        <v>331</v>
      </c>
      <c r="J63" s="131"/>
      <c r="K63" s="132"/>
    </row>
    <row r="64" spans="1:11" ht="41.5" customHeight="1">
      <c r="A64" s="26" t="s">
        <v>174</v>
      </c>
      <c r="B64" s="27">
        <v>1</v>
      </c>
      <c r="C64" s="28">
        <v>1.7699115044247787E-2</v>
      </c>
      <c r="D64" s="29">
        <v>0.75</v>
      </c>
      <c r="E64" s="29">
        <v>0.75</v>
      </c>
      <c r="F64" s="27">
        <v>0</v>
      </c>
      <c r="G64" s="27">
        <v>0</v>
      </c>
      <c r="H64" s="30" t="s">
        <v>428</v>
      </c>
      <c r="I64" s="131" t="s">
        <v>426</v>
      </c>
      <c r="J64" s="131"/>
      <c r="K64" s="132"/>
    </row>
    <row r="65" spans="1:11" ht="41.5" customHeight="1">
      <c r="A65" s="26" t="s">
        <v>176</v>
      </c>
      <c r="B65" s="27">
        <v>1</v>
      </c>
      <c r="C65" s="28">
        <v>0</v>
      </c>
      <c r="D65" s="29">
        <v>0</v>
      </c>
      <c r="E65" s="29">
        <v>0</v>
      </c>
      <c r="F65" s="27">
        <v>0</v>
      </c>
      <c r="G65" s="27">
        <v>1</v>
      </c>
      <c r="H65" s="30" t="s">
        <v>420</v>
      </c>
      <c r="I65" s="131" t="s">
        <v>331</v>
      </c>
      <c r="J65" s="131"/>
      <c r="K65" s="132"/>
    </row>
    <row r="66" spans="1:11" ht="34" customHeight="1" thickBot="1">
      <c r="A66" s="31" t="s">
        <v>377</v>
      </c>
      <c r="B66" s="70">
        <v>13</v>
      </c>
      <c r="C66" s="71"/>
      <c r="D66" s="72">
        <v>7.3125</v>
      </c>
      <c r="E66" s="72">
        <v>0.5625</v>
      </c>
      <c r="F66" s="70"/>
      <c r="G66" s="70"/>
      <c r="H66" s="73"/>
      <c r="I66" s="73"/>
      <c r="J66" s="73"/>
      <c r="K66" s="74"/>
    </row>
    <row r="69" spans="1:11" ht="15" customHeight="1" thickBot="1"/>
    <row r="70" spans="1:11" ht="22" customHeight="1">
      <c r="A70" s="153" t="s">
        <v>363</v>
      </c>
      <c r="B70" s="154"/>
      <c r="C70" s="154"/>
      <c r="D70" s="154"/>
      <c r="E70" s="155"/>
    </row>
    <row r="71" spans="1:11" ht="41.5" customHeight="1">
      <c r="A71" s="23" t="s">
        <v>220</v>
      </c>
      <c r="B71" s="131" t="s">
        <v>222</v>
      </c>
      <c r="C71" s="131"/>
      <c r="D71" s="131"/>
      <c r="E71" s="132"/>
    </row>
    <row r="72" spans="1:11" ht="57.25" customHeight="1">
      <c r="A72" s="23" t="s">
        <v>395</v>
      </c>
      <c r="B72" s="131" t="s">
        <v>396</v>
      </c>
      <c r="C72" s="131"/>
      <c r="D72" s="131"/>
      <c r="E72" s="132"/>
    </row>
    <row r="73" spans="1:11" ht="41.5" customHeight="1">
      <c r="A73" s="23" t="s">
        <v>274</v>
      </c>
      <c r="B73" s="131" t="s">
        <v>364</v>
      </c>
      <c r="C73" s="131"/>
      <c r="D73" s="131"/>
      <c r="E73" s="132"/>
    </row>
    <row r="74" spans="1:11" ht="41.5" customHeight="1">
      <c r="A74" s="23" t="s">
        <v>218</v>
      </c>
      <c r="B74" s="131" t="s">
        <v>365</v>
      </c>
      <c r="C74" s="131"/>
      <c r="D74" s="131"/>
      <c r="E74" s="132"/>
    </row>
    <row r="75" spans="1:11" ht="41.5" customHeight="1">
      <c r="A75" s="23" t="s">
        <v>215</v>
      </c>
      <c r="B75" s="131" t="s">
        <v>366</v>
      </c>
      <c r="C75" s="131"/>
      <c r="D75" s="131"/>
      <c r="E75" s="132"/>
    </row>
    <row r="76" spans="1:11" ht="41.5" customHeight="1">
      <c r="A76" s="23" t="s">
        <v>219</v>
      </c>
      <c r="B76" s="131" t="s">
        <v>367</v>
      </c>
      <c r="C76" s="131"/>
      <c r="D76" s="131"/>
      <c r="E76" s="132"/>
    </row>
    <row r="77" spans="1:11" ht="28" customHeight="1">
      <c r="A77" s="23" t="s">
        <v>216</v>
      </c>
      <c r="B77" s="131" t="s">
        <v>368</v>
      </c>
      <c r="C77" s="131"/>
      <c r="D77" s="131"/>
      <c r="E77" s="132"/>
    </row>
    <row r="78" spans="1:11" ht="28" customHeight="1" thickBot="1">
      <c r="A78" s="25" t="s">
        <v>369</v>
      </c>
      <c r="B78" s="134" t="s">
        <v>370</v>
      </c>
      <c r="C78" s="134"/>
      <c r="D78" s="134"/>
      <c r="E78" s="135"/>
    </row>
    <row r="79" spans="1:11" ht="15" customHeight="1" thickBot="1"/>
    <row r="80" spans="1:11" ht="22" customHeight="1">
      <c r="A80" s="153" t="s">
        <v>397</v>
      </c>
      <c r="B80" s="154"/>
      <c r="C80" s="154"/>
      <c r="D80" s="154"/>
      <c r="E80" s="155"/>
    </row>
    <row r="81" spans="1:5" ht="15" customHeight="1">
      <c r="A81" s="23" t="s">
        <v>398</v>
      </c>
      <c r="B81" s="133" t="s">
        <v>399</v>
      </c>
      <c r="C81" s="382"/>
      <c r="D81" s="382"/>
      <c r="E81" s="383"/>
    </row>
    <row r="82" spans="1:5" ht="15" customHeight="1">
      <c r="A82" s="23" t="s">
        <v>400</v>
      </c>
      <c r="B82" s="133" t="s">
        <v>401</v>
      </c>
      <c r="C82" s="382"/>
      <c r="D82" s="382"/>
      <c r="E82" s="383"/>
    </row>
    <row r="83" spans="1:5" ht="15" customHeight="1">
      <c r="A83" s="23" t="s">
        <v>402</v>
      </c>
      <c r="B83" s="133" t="s">
        <v>393</v>
      </c>
      <c r="C83" s="382"/>
      <c r="D83" s="382"/>
      <c r="E83" s="383"/>
    </row>
    <row r="84" spans="1:5" ht="15" customHeight="1">
      <c r="A84" s="23" t="s">
        <v>403</v>
      </c>
      <c r="B84" s="133" t="s">
        <v>404</v>
      </c>
      <c r="C84" s="382"/>
      <c r="D84" s="382"/>
      <c r="E84" s="383"/>
    </row>
    <row r="85" spans="1:5" ht="15" customHeight="1">
      <c r="A85" s="23" t="s">
        <v>405</v>
      </c>
      <c r="B85" s="133" t="s">
        <v>406</v>
      </c>
      <c r="C85" s="382"/>
      <c r="D85" s="382"/>
      <c r="E85" s="383"/>
    </row>
    <row r="86" spans="1:5" ht="15" customHeight="1">
      <c r="A86" s="23" t="s">
        <v>407</v>
      </c>
      <c r="B86" s="133" t="s">
        <v>408</v>
      </c>
      <c r="C86" s="382"/>
      <c r="D86" s="382"/>
      <c r="E86" s="383"/>
    </row>
    <row r="87" spans="1:5" ht="15" customHeight="1">
      <c r="A87" s="23" t="s">
        <v>409</v>
      </c>
      <c r="B87" s="133" t="s">
        <v>410</v>
      </c>
      <c r="C87" s="382"/>
      <c r="D87" s="382"/>
      <c r="E87" s="383"/>
    </row>
    <row r="88" spans="1:5" ht="15" customHeight="1">
      <c r="A88" s="23" t="s">
        <v>411</v>
      </c>
      <c r="B88" s="133" t="s">
        <v>412</v>
      </c>
      <c r="C88" s="382"/>
      <c r="D88" s="382"/>
      <c r="E88" s="383"/>
    </row>
    <row r="89" spans="1:5" ht="40" customHeight="1" thickBot="1">
      <c r="A89" s="25" t="s">
        <v>413</v>
      </c>
      <c r="B89" s="136" t="s">
        <v>414</v>
      </c>
      <c r="C89" s="384"/>
      <c r="D89" s="384"/>
      <c r="E89" s="385"/>
    </row>
  </sheetData>
  <sheetProtection algorithmName="SHA-512" hashValue="KWlIGGr5JJAhR6mVWmtVvNrewfIwm3g64Rx3B0N8kKYcU+2n0c9mmZnfIonwRfwlNm3SmgbH1iqBBJ1jZFtBfA==" saltValue="XbRvr5QjpjgAbMydSO3X4Q==" spinCount="100000" sheet="1" objects="1" scenarios="1"/>
  <mergeCells count="44">
    <mergeCell ref="A19:E19"/>
    <mergeCell ref="A56:K56"/>
    <mergeCell ref="A70:E70"/>
    <mergeCell ref="A80:E80"/>
    <mergeCell ref="B82:E82"/>
    <mergeCell ref="I62:K62"/>
    <mergeCell ref="I63:K63"/>
    <mergeCell ref="B20:E20"/>
    <mergeCell ref="B21:E21"/>
    <mergeCell ref="B22:E22"/>
    <mergeCell ref="A24:E24"/>
    <mergeCell ref="I59:K59"/>
    <mergeCell ref="I60:K60"/>
    <mergeCell ref="I61:K61"/>
    <mergeCell ref="I64:K64"/>
    <mergeCell ref="I65:K65"/>
    <mergeCell ref="B86:E86"/>
    <mergeCell ref="B88:E88"/>
    <mergeCell ref="B89:E89"/>
    <mergeCell ref="B87:E87"/>
    <mergeCell ref="A1:E1"/>
    <mergeCell ref="A4:E4"/>
    <mergeCell ref="A11:E11"/>
    <mergeCell ref="C5:E6"/>
    <mergeCell ref="A5:A6"/>
    <mergeCell ref="B5:B6"/>
    <mergeCell ref="D12:E12"/>
    <mergeCell ref="D13:E13"/>
    <mergeCell ref="D14:E14"/>
    <mergeCell ref="D15:E15"/>
    <mergeCell ref="D16:E16"/>
    <mergeCell ref="B10:E10"/>
    <mergeCell ref="B71:E71"/>
    <mergeCell ref="B72:E72"/>
    <mergeCell ref="B73:E73"/>
    <mergeCell ref="B84:E84"/>
    <mergeCell ref="B85:E85"/>
    <mergeCell ref="B74:E74"/>
    <mergeCell ref="B75:E75"/>
    <mergeCell ref="B78:E78"/>
    <mergeCell ref="B81:E81"/>
    <mergeCell ref="B76:E76"/>
    <mergeCell ref="B77:E77"/>
    <mergeCell ref="B83:E83"/>
  </mergeCells>
  <pageMargins left="0.4" right="0.4" top="0.5" bottom="0.5" header="0.3" footer="0.3"/>
  <pageSetup paperSize="9" scale="32" orientation="portrait" r:id="rId1"/>
  <headerFooter>
    <oddFooter>&amp;R&amp;"Calibri"&amp;7© Adam Nagy ¬∑ McOpCo ¬∑ Personalsheet 2026</oddFooter>
  </headerFooter>
  <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16</vt:i4>
      </vt:variant>
      <vt:variant>
        <vt:lpstr>Benannte Bereiche</vt:lpstr>
      </vt:variant>
      <vt:variant>
        <vt:i4>2</vt:i4>
      </vt:variant>
    </vt:vector>
  </HeadingPairs>
  <TitlesOfParts>
    <vt:vector size="18" baseType="lpstr">
      <vt:lpstr>LOHNTABELLE</vt:lpstr>
      <vt:lpstr>EINSTELLUNG</vt:lpstr>
      <vt:lpstr>Januar</vt:lpstr>
      <vt:lpstr>Februar</vt:lpstr>
      <vt:lpstr>Marz</vt:lpstr>
      <vt:lpstr>April</vt:lpstr>
      <vt:lpstr>Mai</vt:lpstr>
      <vt:lpstr>Juni</vt:lpstr>
      <vt:lpstr>Juli</vt:lpstr>
      <vt:lpstr>August</vt:lpstr>
      <vt:lpstr>September</vt:lpstr>
      <vt:lpstr>Oktober</vt:lpstr>
      <vt:lpstr>November</vt:lpstr>
      <vt:lpstr>Dezember</vt:lpstr>
      <vt:lpstr>UBERSICHT</vt:lpstr>
      <vt:lpstr>FLUKTUATION</vt:lpstr>
      <vt:lpstr>FLUKTUATION!Druckbereich</vt:lpstr>
      <vt:lpstr>PID_KV_CODE_LIST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openpyxl</dc:creator>
  <cp:keywords/>
  <dc:description/>
  <cp:lastModifiedBy>Nagy Adam</cp:lastModifiedBy>
  <cp:revision/>
  <cp:lastPrinted>2026-06-18T19:01:11Z</cp:lastPrinted>
  <dcterms:created xsi:type="dcterms:W3CDTF">2024-07-06T11:11:20Z</dcterms:created>
  <dcterms:modified xsi:type="dcterms:W3CDTF">2026-06-19T17:04:09Z</dcterms:modified>
  <cp:category/>
  <cp:contentStatus/>
</cp:coreProperties>
</file>