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B14907BB-26A4-47EA-9458-D3C116BCCD3A}" xr6:coauthVersionLast="47" xr6:coauthVersionMax="47" xr10:uidLastSave="{00000000-0000-0000-0000-000000000000}"/>
  <bookViews>
    <workbookView xWindow="-110" yWindow="-110" windowWidth="38620" windowHeight="21100" tabRatio="677" activeTab="8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28" l="1"/>
  <c r="Q29" i="28"/>
  <c r="S35" i="30"/>
  <c r="Q29" i="30"/>
  <c r="S35" i="3"/>
  <c r="Q29" i="3"/>
  <c r="G59" i="35"/>
  <c r="G60" i="35"/>
  <c r="G61" i="35"/>
  <c r="G62" i="35"/>
  <c r="G63" i="35"/>
  <c r="G64" i="35"/>
  <c r="K64" i="35" s="1"/>
  <c r="G65" i="35"/>
  <c r="G66" i="35"/>
  <c r="G67" i="35"/>
  <c r="G68" i="35"/>
  <c r="K68" i="35" s="1"/>
  <c r="G69" i="35"/>
  <c r="G70" i="35"/>
  <c r="K70" i="35" s="1"/>
  <c r="G71" i="35"/>
  <c r="G72" i="35"/>
  <c r="G73" i="35"/>
  <c r="K73" i="35" s="1"/>
  <c r="G74" i="35"/>
  <c r="G75" i="35"/>
  <c r="G76" i="35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G72" i="36"/>
  <c r="K72" i="36" s="1"/>
  <c r="G73" i="36"/>
  <c r="G74" i="36"/>
  <c r="G75" i="36"/>
  <c r="G76" i="36"/>
  <c r="G77" i="36"/>
  <c r="K77" i="36" s="1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G70" i="33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G79" i="30"/>
  <c r="G80" i="30"/>
  <c r="G81" i="30"/>
  <c r="G82" i="30"/>
  <c r="G65" i="37"/>
  <c r="K65" i="37" s="1"/>
  <c r="G66" i="37"/>
  <c r="K66" i="37" s="1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69" i="36"/>
  <c r="K76" i="36"/>
  <c r="K78" i="36"/>
  <c r="K70" i="33"/>
  <c r="K73" i="33"/>
  <c r="K65" i="32"/>
  <c r="K68" i="31"/>
  <c r="K78" i="30"/>
  <c r="K81" i="30"/>
  <c r="K74" i="37"/>
  <c r="K67" i="27"/>
  <c r="K79" i="25"/>
  <c r="S35" i="35"/>
  <c r="S35" i="36"/>
  <c r="S35" i="33"/>
  <c r="S35" i="32"/>
  <c r="S35" i="31"/>
  <c r="S35" i="37"/>
  <c r="S35" i="27"/>
  <c r="S35" i="26"/>
  <c r="S35" i="25"/>
  <c r="K67" i="31"/>
  <c r="K69" i="33"/>
  <c r="K67" i="32"/>
  <c r="E35" i="15"/>
  <c r="E34" i="15"/>
  <c r="E33" i="15"/>
  <c r="E32" i="15"/>
  <c r="B28" i="15"/>
  <c r="K60" i="35"/>
  <c r="K62" i="35"/>
  <c r="K65" i="35"/>
  <c r="K67" i="35"/>
  <c r="K69" i="35"/>
  <c r="K72" i="35"/>
  <c r="K75" i="35"/>
  <c r="K76" i="35"/>
  <c r="K60" i="36"/>
  <c r="K62" i="36"/>
  <c r="K71" i="36"/>
  <c r="K66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25" i="35"/>
  <c r="G4" i="36"/>
  <c r="G38" i="30"/>
  <c r="G57" i="33"/>
  <c r="G39" i="3"/>
  <c r="G49" i="32"/>
  <c r="G46" i="27"/>
  <c r="G40" i="26"/>
  <c r="G7" i="37"/>
  <c r="G50" i="25"/>
  <c r="G32" i="31"/>
  <c r="G15" i="26"/>
  <c r="G51" i="26"/>
  <c r="G7" i="30"/>
  <c r="G5" i="35"/>
  <c r="G52" i="36"/>
  <c r="G56" i="36"/>
  <c r="G42" i="35"/>
  <c r="G13" i="25"/>
  <c r="G33" i="37"/>
  <c r="G15" i="25"/>
  <c r="G21" i="35"/>
  <c r="G7" i="27"/>
  <c r="G60" i="32"/>
  <c r="G16" i="33"/>
  <c r="G54" i="3"/>
  <c r="G45" i="25"/>
  <c r="G41" i="35"/>
  <c r="G60" i="26"/>
  <c r="G61" i="30"/>
  <c r="G37" i="26"/>
  <c r="G42" i="31"/>
  <c r="G41" i="36"/>
  <c r="G18" i="35"/>
  <c r="G5" i="37"/>
  <c r="G47" i="26"/>
  <c r="G40" i="30"/>
  <c r="G45" i="3"/>
  <c r="G57" i="35"/>
  <c r="G21" i="32"/>
  <c r="G43" i="32"/>
  <c r="G33" i="30"/>
  <c r="G34" i="27"/>
  <c r="G59" i="32"/>
  <c r="G3" i="36"/>
  <c r="G45" i="26"/>
  <c r="G10" i="32"/>
  <c r="G41" i="25"/>
  <c r="G55" i="36"/>
  <c r="G56" i="26"/>
  <c r="G54" i="26"/>
  <c r="G20" i="26"/>
  <c r="G20" i="36"/>
  <c r="G12" i="35"/>
  <c r="G30" i="3"/>
  <c r="G10" i="25"/>
  <c r="G34" i="31"/>
  <c r="G46" i="32"/>
  <c r="G62" i="31"/>
  <c r="G51" i="35"/>
  <c r="G53" i="37"/>
  <c r="G46" i="3"/>
  <c r="G8" i="25"/>
  <c r="G53" i="33"/>
  <c r="G18" i="3"/>
  <c r="G10" i="3"/>
  <c r="G58" i="32"/>
  <c r="G52" i="26"/>
  <c r="G8" i="32"/>
  <c r="G20" i="25"/>
  <c r="G56" i="37"/>
  <c r="G44" i="33"/>
  <c r="G49" i="25"/>
  <c r="G11" i="3"/>
  <c r="G50" i="27"/>
  <c r="G57" i="25"/>
  <c r="G54" i="30"/>
  <c r="G4" i="31"/>
  <c r="G23" i="31"/>
  <c r="G40" i="27"/>
  <c r="G29" i="31"/>
  <c r="G24" i="30"/>
  <c r="G47" i="32"/>
  <c r="G23" i="36"/>
  <c r="G14" i="25"/>
  <c r="G48" i="3"/>
  <c r="G15" i="31"/>
  <c r="G52" i="27"/>
  <c r="G52" i="30"/>
  <c r="G58" i="30"/>
  <c r="G35" i="30"/>
  <c r="G40" i="31"/>
  <c r="G30" i="25"/>
  <c r="G52" i="32"/>
  <c r="G53" i="3"/>
  <c r="G55" i="27"/>
  <c r="G51" i="32"/>
  <c r="G45" i="31"/>
  <c r="G13" i="35"/>
  <c r="G44" i="27"/>
  <c r="G54" i="27"/>
  <c r="G52" i="33"/>
  <c r="G33" i="36"/>
  <c r="G59" i="33"/>
  <c r="G13" i="31"/>
  <c r="G54" i="36"/>
  <c r="G20" i="37"/>
  <c r="G4" i="25"/>
  <c r="G39" i="35"/>
  <c r="G48" i="37"/>
  <c r="G41" i="32"/>
  <c r="G42" i="33"/>
  <c r="G47" i="30"/>
  <c r="G44" i="37"/>
  <c r="G10" i="26"/>
  <c r="G6" i="32"/>
  <c r="G8" i="36"/>
  <c r="G49" i="37"/>
  <c r="G24" i="27"/>
  <c r="G29" i="32"/>
  <c r="G44" i="3"/>
  <c r="G27" i="25"/>
  <c r="G38" i="36"/>
  <c r="G58" i="35"/>
  <c r="G9" i="37"/>
  <c r="G5" i="26"/>
  <c r="G57" i="30"/>
  <c r="G14" i="27"/>
  <c r="G12" i="30"/>
  <c r="G58" i="37"/>
  <c r="G33" i="25"/>
  <c r="G28" i="26"/>
  <c r="G58" i="31"/>
  <c r="G50" i="35"/>
  <c r="G14" i="35"/>
  <c r="G26" i="35"/>
  <c r="G34" i="30"/>
  <c r="G59" i="30"/>
  <c r="G19" i="35"/>
  <c r="G26" i="27"/>
  <c r="G23" i="26"/>
  <c r="G5" i="32"/>
  <c r="G37" i="30"/>
  <c r="G10" i="35"/>
  <c r="G12" i="37"/>
  <c r="G57" i="36"/>
  <c r="G54" i="25"/>
  <c r="G59" i="36"/>
  <c r="G56" i="30"/>
  <c r="G20" i="31"/>
  <c r="G21" i="36"/>
  <c r="G12" i="27"/>
  <c r="G37" i="32"/>
  <c r="G4" i="33"/>
  <c r="G41" i="27"/>
  <c r="G6" i="26"/>
  <c r="G11" i="32"/>
  <c r="G5" i="36"/>
  <c r="G25" i="3"/>
  <c r="G33" i="27"/>
  <c r="G17" i="3"/>
  <c r="G50" i="31"/>
  <c r="G16" i="31"/>
  <c r="G13" i="26"/>
  <c r="G44" i="35"/>
  <c r="G61" i="25"/>
  <c r="G3" i="35"/>
  <c r="G29" i="37"/>
  <c r="G23" i="3"/>
  <c r="G56" i="25"/>
  <c r="G5" i="33"/>
  <c r="G34" i="35"/>
  <c r="G11" i="26"/>
  <c r="G33" i="32"/>
  <c r="G34" i="32"/>
  <c r="G29" i="35"/>
  <c r="G54" i="32"/>
  <c r="G50" i="33"/>
  <c r="G21" i="33"/>
  <c r="G32" i="33"/>
  <c r="G39" i="27"/>
  <c r="G23" i="30"/>
  <c r="G59" i="31"/>
  <c r="G17" i="30"/>
  <c r="G59" i="25"/>
  <c r="G31" i="35"/>
  <c r="G37" i="25"/>
  <c r="G31" i="25"/>
  <c r="G45" i="33"/>
  <c r="G53" i="25"/>
  <c r="G10" i="33"/>
  <c r="G12" i="36"/>
  <c r="G16" i="26"/>
  <c r="G41" i="37"/>
  <c r="G11" i="33"/>
  <c r="G7" i="36"/>
  <c r="G39" i="33"/>
  <c r="G53" i="30"/>
  <c r="G22" i="27"/>
  <c r="G23" i="37"/>
  <c r="G31" i="32"/>
  <c r="G59" i="27"/>
  <c r="G26" i="33"/>
  <c r="G61" i="37"/>
  <c r="G7" i="3"/>
  <c r="G62" i="27"/>
  <c r="G8" i="27"/>
  <c r="G25" i="25"/>
  <c r="G57" i="37"/>
  <c r="G16" i="37"/>
  <c r="G39" i="25"/>
  <c r="G38" i="25"/>
  <c r="G20" i="27"/>
  <c r="G33" i="3"/>
  <c r="G22" i="32"/>
  <c r="G34" i="3"/>
  <c r="G31" i="3"/>
  <c r="G31" i="33"/>
  <c r="G36" i="3"/>
  <c r="G27" i="36"/>
  <c r="G45" i="36"/>
  <c r="G54" i="33"/>
  <c r="G32" i="36"/>
  <c r="G36" i="26"/>
  <c r="G43" i="25"/>
  <c r="G29" i="26"/>
  <c r="G62" i="37"/>
  <c r="G61" i="26"/>
  <c r="G23" i="32"/>
  <c r="G58" i="36"/>
  <c r="G17" i="26"/>
  <c r="G23" i="27"/>
  <c r="G51" i="3"/>
  <c r="G8" i="30"/>
  <c r="G51" i="27"/>
  <c r="G13" i="27"/>
  <c r="G30" i="32"/>
  <c r="G5" i="30"/>
  <c r="G51" i="31"/>
  <c r="G54" i="31"/>
  <c r="G11" i="36"/>
  <c r="G32" i="32"/>
  <c r="G31" i="26"/>
  <c r="G6" i="3"/>
  <c r="G32" i="26"/>
  <c r="G17" i="33"/>
  <c r="G12" i="32"/>
  <c r="G28" i="27"/>
  <c r="G39" i="26"/>
  <c r="G32" i="3"/>
  <c r="G46" i="37"/>
  <c r="G8" i="37"/>
  <c r="G19" i="26"/>
  <c r="G14" i="36"/>
  <c r="G4" i="32"/>
  <c r="G6" i="37"/>
  <c r="G44" i="32"/>
  <c r="G49" i="26"/>
  <c r="G50" i="26"/>
  <c r="G31" i="31"/>
  <c r="G21" i="30"/>
  <c r="G46" i="30"/>
  <c r="G15" i="3"/>
  <c r="G12" i="31"/>
  <c r="G38" i="31"/>
  <c r="G17" i="37"/>
  <c r="G15" i="30"/>
  <c r="G22" i="35"/>
  <c r="G41" i="33"/>
  <c r="G46" i="25"/>
  <c r="G47" i="3"/>
  <c r="G27" i="37"/>
  <c r="G60" i="31"/>
  <c r="G34" i="33"/>
  <c r="G36" i="33"/>
  <c r="G6" i="35"/>
  <c r="G21" i="27"/>
  <c r="G19" i="25"/>
  <c r="G49" i="35"/>
  <c r="G10" i="30"/>
  <c r="G16" i="25"/>
  <c r="G38" i="27"/>
  <c r="G49" i="33"/>
  <c r="G51" i="30"/>
  <c r="G43" i="35"/>
  <c r="G9" i="27"/>
  <c r="G15" i="32"/>
  <c r="G3" i="30"/>
  <c r="G43" i="3"/>
  <c r="G4" i="27"/>
  <c r="G58" i="27"/>
  <c r="G43" i="31"/>
  <c r="G36" i="32"/>
  <c r="G58" i="33"/>
  <c r="G31" i="36"/>
  <c r="G30" i="31"/>
  <c r="G44" i="30"/>
  <c r="G40" i="3"/>
  <c r="G31" i="37"/>
  <c r="G37" i="27"/>
  <c r="G6" i="27"/>
  <c r="G28" i="36"/>
  <c r="G47" i="25"/>
  <c r="G9" i="33"/>
  <c r="G57" i="31"/>
  <c r="G41" i="3"/>
  <c r="G28" i="30"/>
  <c r="G49" i="27"/>
  <c r="G24" i="25"/>
  <c r="G21" i="25"/>
  <c r="G28" i="3"/>
  <c r="G22" i="30"/>
  <c r="G52" i="37"/>
  <c r="G3" i="32"/>
  <c r="G38" i="33"/>
  <c r="G47" i="27"/>
  <c r="G30" i="26"/>
  <c r="G16" i="3"/>
  <c r="G51" i="25"/>
  <c r="G27" i="27"/>
  <c r="G37" i="33"/>
  <c r="G14" i="37"/>
  <c r="G4" i="30"/>
  <c r="G45" i="37"/>
  <c r="G53" i="31"/>
  <c r="G33" i="31"/>
  <c r="G50" i="32"/>
  <c r="G56" i="33"/>
  <c r="G35" i="27"/>
  <c r="G54" i="37"/>
  <c r="G27" i="32"/>
  <c r="G60" i="33"/>
  <c r="G15" i="27"/>
  <c r="G48" i="32"/>
  <c r="G13" i="30"/>
  <c r="G53" i="36"/>
  <c r="G51" i="36"/>
  <c r="G58" i="26"/>
  <c r="G18" i="30"/>
  <c r="G6" i="31"/>
  <c r="G36" i="35"/>
  <c r="G13" i="32"/>
  <c r="G35" i="33"/>
  <c r="G27" i="33"/>
  <c r="G5" i="3"/>
  <c r="G36" i="36"/>
  <c r="G24" i="32"/>
  <c r="G22" i="31"/>
  <c r="G30" i="27"/>
  <c r="G28" i="37"/>
  <c r="G30" i="33"/>
  <c r="G36" i="27"/>
  <c r="G41" i="31"/>
  <c r="G55" i="26"/>
  <c r="G23" i="33"/>
  <c r="G37" i="37"/>
  <c r="G22" i="33"/>
  <c r="G16" i="32"/>
  <c r="G37" i="36"/>
  <c r="G19" i="36"/>
  <c r="G24" i="31"/>
  <c r="G32" i="30"/>
  <c r="G59" i="26"/>
  <c r="G29" i="27"/>
  <c r="G56" i="27"/>
  <c r="G3" i="37"/>
  <c r="G19" i="3"/>
  <c r="G21" i="31"/>
  <c r="G3" i="31"/>
  <c r="G63" i="37"/>
  <c r="G8" i="35"/>
  <c r="G39" i="36"/>
  <c r="G46" i="33"/>
  <c r="G17" i="35"/>
  <c r="G29" i="3"/>
  <c r="G18" i="31"/>
  <c r="G15" i="36"/>
  <c r="G27" i="31"/>
  <c r="G52" i="35"/>
  <c r="G23" i="35"/>
  <c r="G11" i="30"/>
  <c r="G48" i="25"/>
  <c r="G42" i="32"/>
  <c r="G18" i="32"/>
  <c r="G64" i="37"/>
  <c r="G4" i="37"/>
  <c r="G26" i="3"/>
  <c r="G40" i="36"/>
  <c r="G26" i="32"/>
  <c r="G47" i="33"/>
  <c r="G12" i="25"/>
  <c r="G47" i="37"/>
  <c r="G36" i="25"/>
  <c r="G28" i="33"/>
  <c r="G25" i="30"/>
  <c r="G43" i="26"/>
  <c r="G18" i="25"/>
  <c r="G28" i="32"/>
  <c r="G39" i="32"/>
  <c r="G19" i="33"/>
  <c r="G9" i="25"/>
  <c r="G10" i="31"/>
  <c r="G49" i="31"/>
  <c r="G8" i="31"/>
  <c r="G55" i="30"/>
  <c r="G50" i="30"/>
  <c r="G48" i="35"/>
  <c r="G27" i="3"/>
  <c r="G57" i="32"/>
  <c r="G43" i="37"/>
  <c r="G7" i="32"/>
  <c r="G39" i="30"/>
  <c r="G6" i="30"/>
  <c r="G25" i="26"/>
  <c r="G12" i="26"/>
  <c r="G15" i="37"/>
  <c r="G60" i="27"/>
  <c r="G44" i="25"/>
  <c r="G18" i="26"/>
  <c r="G38" i="35"/>
  <c r="G9" i="31"/>
  <c r="G37" i="3"/>
  <c r="G40" i="32"/>
  <c r="G23" i="25"/>
  <c r="G39" i="37"/>
  <c r="G40" i="35"/>
  <c r="G61" i="31"/>
  <c r="G11" i="35"/>
  <c r="G6" i="25"/>
  <c r="G21" i="26"/>
  <c r="G26" i="30"/>
  <c r="G17" i="36"/>
  <c r="G17" i="27"/>
  <c r="G47" i="36"/>
  <c r="G27" i="26"/>
  <c r="G21" i="3"/>
  <c r="G24" i="37"/>
  <c r="G42" i="25"/>
  <c r="G53" i="27"/>
  <c r="G51" i="37"/>
  <c r="G44" i="26"/>
  <c r="G54" i="35"/>
  <c r="G29" i="36"/>
  <c r="G44" i="36"/>
  <c r="G9" i="30"/>
  <c r="G42" i="37"/>
  <c r="G63" i="31"/>
  <c r="G20" i="35"/>
  <c r="G43" i="36"/>
  <c r="G17" i="32"/>
  <c r="G25" i="36"/>
  <c r="G3" i="26"/>
  <c r="G22" i="36"/>
  <c r="G46" i="26"/>
  <c r="G5" i="31"/>
  <c r="G48" i="31"/>
  <c r="G41" i="26"/>
  <c r="G52" i="25"/>
  <c r="G26" i="26"/>
  <c r="G28" i="35"/>
  <c r="G8" i="3"/>
  <c r="G17" i="31"/>
  <c r="G31" i="27"/>
  <c r="G43" i="27"/>
  <c r="G55" i="33"/>
  <c r="G58" i="25"/>
  <c r="G51" i="33"/>
  <c r="G18" i="37"/>
  <c r="G7" i="31"/>
  <c r="G40" i="37"/>
  <c r="G30" i="30"/>
  <c r="G20" i="32"/>
  <c r="G47" i="35"/>
  <c r="G36" i="37"/>
  <c r="G7" i="26"/>
  <c r="G53" i="35"/>
  <c r="G34" i="36"/>
  <c r="G9" i="32"/>
  <c r="G9" i="26"/>
  <c r="G25" i="33"/>
  <c r="G34" i="25"/>
  <c r="G33" i="35"/>
  <c r="G53" i="26"/>
  <c r="G7" i="25"/>
  <c r="G28" i="31"/>
  <c r="G8" i="26"/>
  <c r="G63" i="30"/>
  <c r="G48" i="27"/>
  <c r="G45" i="30"/>
  <c r="G24" i="35"/>
  <c r="G7" i="35"/>
  <c r="G39" i="31"/>
  <c r="G30" i="35"/>
  <c r="G13" i="33"/>
  <c r="G20" i="30"/>
  <c r="G22" i="3"/>
  <c r="G55" i="35"/>
  <c r="G20" i="3"/>
  <c r="G4" i="26"/>
  <c r="G12" i="3"/>
  <c r="G52" i="3"/>
  <c r="G30" i="37"/>
  <c r="G42" i="26"/>
  <c r="G17" i="25"/>
  <c r="G22" i="26"/>
  <c r="G10" i="37"/>
  <c r="G38" i="37"/>
  <c r="G13" i="3"/>
  <c r="G5" i="27"/>
  <c r="G24" i="26"/>
  <c r="G41" i="30"/>
  <c r="G44" i="31"/>
  <c r="G25" i="31"/>
  <c r="G16" i="27"/>
  <c r="G49" i="36"/>
  <c r="G11" i="37"/>
  <c r="G55" i="31"/>
  <c r="G29" i="25"/>
  <c r="G50" i="3"/>
  <c r="G22" i="37"/>
  <c r="G14" i="31"/>
  <c r="G32" i="35"/>
  <c r="G55" i="32"/>
  <c r="G29" i="30"/>
  <c r="G46" i="36"/>
  <c r="G15" i="33"/>
  <c r="G35" i="36"/>
  <c r="G10" i="27"/>
  <c r="G26" i="31"/>
  <c r="G18" i="27"/>
  <c r="G48" i="30"/>
  <c r="G14" i="26"/>
  <c r="G3" i="27"/>
  <c r="G46" i="31"/>
  <c r="G59" i="37"/>
  <c r="G19" i="32"/>
  <c r="G61" i="27"/>
  <c r="G19" i="30"/>
  <c r="G43" i="30"/>
  <c r="G50" i="37"/>
  <c r="G32" i="37"/>
  <c r="G52" i="31"/>
  <c r="G50" i="36"/>
  <c r="G7" i="33"/>
  <c r="G40" i="33"/>
  <c r="G60" i="37"/>
  <c r="G29" i="33"/>
  <c r="G35" i="3"/>
  <c r="G42" i="27"/>
  <c r="G60" i="25"/>
  <c r="G16" i="30"/>
  <c r="G26" i="25"/>
  <c r="G31" i="30"/>
  <c r="G35" i="37"/>
  <c r="G36" i="30"/>
  <c r="G14" i="33"/>
  <c r="G25" i="32"/>
  <c r="G4" i="3"/>
  <c r="G47" i="31"/>
  <c r="G3" i="33"/>
  <c r="G56" i="32"/>
  <c r="G9" i="36"/>
  <c r="G27" i="30"/>
  <c r="G60" i="30"/>
  <c r="G4" i="35"/>
  <c r="G3" i="25"/>
  <c r="G32" i="27"/>
  <c r="G19" i="31"/>
  <c r="G38" i="26"/>
  <c r="G42" i="36"/>
  <c r="G15" i="35"/>
  <c r="G34" i="26"/>
  <c r="G33" i="33"/>
  <c r="G11" i="27"/>
  <c r="G37" i="31"/>
  <c r="G36" i="31"/>
  <c r="G33" i="26"/>
  <c r="G42" i="30"/>
  <c r="G48" i="26"/>
  <c r="G57" i="26"/>
  <c r="G48" i="33"/>
  <c r="G24" i="3"/>
  <c r="G9" i="3"/>
  <c r="G62" i="26"/>
  <c r="G32" i="25"/>
  <c r="G22" i="25"/>
  <c r="G5" i="25"/>
  <c r="G13" i="37"/>
  <c r="G40" i="25"/>
  <c r="G11" i="25"/>
  <c r="G19" i="37"/>
  <c r="G56" i="35"/>
  <c r="G62" i="30"/>
  <c r="G26" i="37"/>
  <c r="G10" i="36"/>
  <c r="G55" i="37"/>
  <c r="G24" i="33"/>
  <c r="G45" i="35"/>
  <c r="G61" i="32"/>
  <c r="G16" i="36"/>
  <c r="G38" i="3"/>
  <c r="G35" i="35"/>
  <c r="G56" i="31"/>
  <c r="G12" i="33"/>
  <c r="G19" i="27"/>
  <c r="G24" i="36"/>
  <c r="G28" i="25"/>
  <c r="G9" i="35"/>
  <c r="G18" i="36"/>
  <c r="G45" i="27"/>
  <c r="G35" i="26"/>
  <c r="G13" i="36"/>
  <c r="G45" i="32"/>
  <c r="G42" i="3"/>
  <c r="G64" i="30"/>
  <c r="G18" i="33"/>
  <c r="G55" i="25"/>
  <c r="G35" i="31"/>
  <c r="G16" i="35"/>
  <c r="G25" i="37"/>
  <c r="G11" i="31"/>
  <c r="G6" i="36"/>
  <c r="G46" i="35"/>
  <c r="G49" i="3"/>
  <c r="G37" i="35"/>
  <c r="G6" i="33"/>
  <c r="G43" i="33"/>
  <c r="G8" i="33"/>
  <c r="G35" i="25"/>
  <c r="G57" i="27"/>
  <c r="G20" i="33"/>
  <c r="G27" i="35"/>
  <c r="G53" i="32"/>
  <c r="G26" i="36"/>
  <c r="G34" i="37"/>
  <c r="G35" i="32"/>
  <c r="G14" i="3"/>
  <c r="G48" i="36"/>
  <c r="G3" i="3"/>
  <c r="G25" i="27"/>
  <c r="G38" i="32"/>
  <c r="G49" i="30"/>
  <c r="G14" i="30"/>
  <c r="G21" i="37"/>
  <c r="G30" i="36"/>
  <c r="G14" i="32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" i="28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12" i="2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7"/>
  <c r="S36" i="26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6"/>
  <c r="S36" i="35"/>
  <c r="S36" i="33"/>
  <c r="S36" i="32"/>
  <c r="S36" i="31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<sst xmlns="http://schemas.openxmlformats.org/spreadsheetml/2006/main" count="4882" uniqueCount="562">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</sst>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96" xfId="0" applyFont="1" applyBorder="1" applyAlignment="1">
      <alignment horizontal="center" vertical="center"/>
    </xf>
    <xf numFmtId="0" fontId="52" fillId="0" borderId="94" xfId="0" applyFont="1" applyBorder="1" applyAlignment="1">
      <alignment horizontal="center" vertical="center"/>
    </xf>
    <xf numFmtId="4" fontId="52" fillId="0" borderId="94" xfId="0" applyNumberFormat="1" applyFont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9" fillId="0" borderId="57" xfId="0" applyFont="1" applyBorder="1" applyAlignment="1">
      <alignment vertical="center"/>
    </xf>
    <xf numFmtId="0" fontId="19" fillId="0" borderId="57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/>
    </xf>
    <xf numFmtId="10" fontId="19" fillId="0" borderId="57" xfId="0" applyNumberFormat="1" applyFont="1" applyBorder="1" applyAlignment="1">
      <alignment horizontal="center" vertical="center"/>
    </xf>
    <xf numFmtId="2" fontId="19" fillId="0" borderId="57" xfId="0" applyNumberFormat="1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0" fillId="0" borderId="57" xfId="0" applyFont="1" applyBorder="1" applyAlignment="1">
      <alignment horizontal="center" vertical="center" wrapText="1"/>
    </xf>
    <xf numFmtId="10" fontId="40" fillId="0" borderId="57" xfId="0" applyNumberFormat="1" applyFont="1" applyBorder="1" applyAlignment="1">
      <alignment horizontal="center" vertical="center" wrapText="1"/>
    </xf>
    <xf numFmtId="2" fontId="40" fillId="0" borderId="57" xfId="0" applyNumberFormat="1" applyFont="1" applyBorder="1" applyAlignment="1">
      <alignment horizontal="center" vertical="center" wrapText="1"/>
    </xf>
    <xf numFmtId="166" fontId="52" fillId="0" borderId="94" xfId="0" applyNumberFormat="1" applyFont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5" fillId="10" borderId="9" xfId="0" applyFont="1" applyFill="1" applyBorder="1" applyAlignment="1" applyProtection="1">
      <alignment horizontal="left"/>
      <protection locked="0"/>
    </xf>
    <xf numFmtId="0" fontId="35" fillId="10" borderId="1" xfId="0" applyFont="1" applyFill="1" applyBorder="1" applyAlignment="1" applyProtection="1">
      <alignment horizontal="left"/>
      <protection locked="0"/>
    </xf>
    <xf numFmtId="0" fontId="35" fillId="10" borderId="17" xfId="0" applyFont="1" applyFill="1" applyBorder="1" applyAlignment="1" applyProtection="1">
      <alignment horizontal="left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6" fillId="14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3" xfId="0" applyFont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5" fillId="10" borderId="23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5" fillId="10" borderId="22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4" fillId="0" borderId="0" xfId="0" applyFont="1" applyAlignment="1">
      <alignment horizontal="center" vertical="center" wrapText="1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115" xfId="0" applyFont="1" applyBorder="1" applyAlignment="1">
      <alignment horizontal="center" vertical="center" wrapText="1"/>
    </xf>
    <xf numFmtId="0" fontId="52" fillId="0" borderId="116" xfId="0" applyFont="1" applyBorder="1" applyAlignment="1">
      <alignment horizontal="center" vertical="center" wrapText="1"/>
    </xf>
    <xf numFmtId="0" fontId="52" fillId="0" borderId="117" xfId="0" applyFont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40" fillId="0" borderId="57" xfId="0" applyFont="1" applyBorder="1" applyAlignment="1">
      <alignment horizontal="left" vertical="center" wrapText="1"/>
    </xf>
    <xf numFmtId="0" fontId="4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76" xfId="0" applyFont="1" applyBorder="1" applyAlignment="1">
      <alignment horizontal="left" vertical="center" wrapText="1"/>
    </xf>
    <xf numFmtId="0" fontId="40" fillId="0" borderId="73" xfId="0" applyFont="1" applyBorder="1" applyAlignment="1">
      <alignment horizontal="left" vertical="center" wrapText="1"/>
    </xf>
    <xf numFmtId="0" fontId="40" fillId="0" borderId="77" xfId="0" applyFont="1" applyBorder="1" applyAlignment="1">
      <alignment horizontal="left" vertical="center" wrapText="1"/>
    </xf>
    <xf numFmtId="0" fontId="40" fillId="0" borderId="78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 wrapText="1"/>
    </xf>
    <xf numFmtId="0" fontId="19" fillId="0" borderId="74" xfId="0" applyFont="1" applyBorder="1" applyAlignment="1">
      <alignment horizontal="center" vertical="center"/>
    </xf>
    <xf numFmtId="0" fontId="40" fillId="0" borderId="75" xfId="0" applyFont="1" applyBorder="1" applyAlignment="1">
      <alignment horizontal="center" vertical="center"/>
    </xf>
    <xf numFmtId="0" fontId="57" fillId="29" borderId="74" xfId="0" applyFont="1" applyFill="1" applyBorder="1" applyAlignment="1">
      <alignment horizontal="center" vertical="center"/>
    </xf>
    <xf numFmtId="0" fontId="19" fillId="0" borderId="57" xfId="0" applyFont="1" applyBorder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0" fillId="0" borderId="57" xfId="0" applyFont="1" applyBorder="1" applyAlignment="1">
      <alignment vertical="center" wrapText="1"/>
    </xf>
    <xf numFmtId="0" fontId="41" fillId="0" borderId="57" xfId="0" applyFont="1" applyBorder="1" applyAlignment="1">
      <alignment vertical="center"/>
    </xf>
    <xf numFmtId="0" fontId="40" fillId="0" borderId="57" xfId="0" applyFont="1" applyBorder="1" applyAlignment="1">
      <alignment vertical="center"/>
    </xf>
    <xf numFmtId="0" fontId="43" fillId="0" borderId="19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15" t="s">
        <v>292</v>
      </c>
      <c r="B1" s="315"/>
      <c r="C1" s="315"/>
      <c r="D1" s="315"/>
      <c r="E1" s="315"/>
      <c r="F1" s="315"/>
      <c r="G1" s="315"/>
      <c r="H1" s="315"/>
      <c r="I1" s="315"/>
      <c r="J1" s="315"/>
    </row>
    <row r="2" spans="1:10" ht="74" customHeight="1">
      <c r="A2" s="322" t="s">
        <v>352</v>
      </c>
      <c r="B2" s="322"/>
      <c r="C2" s="322"/>
      <c r="D2" s="322"/>
      <c r="E2" s="322"/>
      <c r="F2" s="322"/>
      <c r="G2" s="322"/>
      <c r="H2" s="322"/>
      <c r="I2" s="449"/>
      <c r="J2" s="449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323" t="s">
        <v>470</v>
      </c>
      <c r="B4" s="324"/>
      <c r="C4" s="324"/>
      <c r="D4" s="325"/>
      <c r="E4" s="325"/>
      <c r="F4" s="325"/>
      <c r="G4" s="326"/>
      <c r="H4" s="327"/>
      <c r="I4" s="325"/>
      <c r="J4" s="328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3500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316" t="s">
        <v>346</v>
      </c>
      <c r="B185" s="317"/>
      <c r="C185" s="317"/>
      <c r="D185" s="318"/>
      <c r="E185" s="318"/>
      <c r="F185" s="318"/>
      <c r="G185" s="319"/>
      <c r="H185" s="320"/>
      <c r="I185" s="318"/>
      <c r="J185" s="321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Ak9L+bv2OGCmscSgkEsNxWnS7tYiBY4cxLl5RDJcdtasEJGd7Tgo3MEJd7TvmHjxQDlIyrZRy7rMlEnEHZSWJg==" saltValue="3EuN+MBBEf+dGwqu6rS6rQ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331" t="s">
        <v>14</v>
      </c>
      <c r="C3" s="331"/>
      <c r="D3" s="331"/>
      <c r="E3" s="331"/>
      <c r="F3" s="331"/>
      <c r="H3" s="329" t="s">
        <v>15</v>
      </c>
      <c r="I3" s="329"/>
      <c r="K3" s="333" t="s">
        <v>16</v>
      </c>
      <c r="L3" s="333"/>
      <c r="N3" s="329" t="s">
        <v>17</v>
      </c>
      <c r="O3" s="329"/>
    </row>
    <row r="4" spans="2:15" ht="15" customHeight="1">
      <c r="B4" s="331"/>
      <c r="C4" s="331"/>
      <c r="D4" s="331"/>
      <c r="E4" s="331"/>
      <c r="F4" s="331"/>
      <c r="H4" s="329"/>
      <c r="I4" s="329"/>
      <c r="K4" s="333"/>
      <c r="L4" s="333"/>
      <c r="N4" s="329"/>
      <c r="O4" s="32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30" t="s">
        <v>22</v>
      </c>
      <c r="I5" s="330"/>
      <c r="K5" s="330" t="s">
        <v>22</v>
      </c>
      <c r="L5" s="330"/>
      <c r="N5" s="330" t="s">
        <v>23</v>
      </c>
      <c r="O5" s="330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332" t="s">
        <v>37</v>
      </c>
      <c r="C19" s="332"/>
      <c r="D19" s="332"/>
      <c r="E19" s="332"/>
      <c r="F19" s="332"/>
      <c r="H19" s="329" t="s">
        <v>38</v>
      </c>
      <c r="I19" s="329"/>
      <c r="K19" s="333" t="s">
        <v>39</v>
      </c>
      <c r="L19" s="333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332"/>
      <c r="C20" s="332"/>
      <c r="D20" s="332"/>
      <c r="E20" s="332"/>
      <c r="F20" s="332"/>
      <c r="H20" s="329"/>
      <c r="I20" s="329"/>
      <c r="K20" s="333"/>
      <c r="L20" s="333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30" t="s">
        <v>22</v>
      </c>
      <c r="I21" s="330"/>
      <c r="K21" s="330" t="s">
        <v>22</v>
      </c>
      <c r="L21" s="330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133750.30969999998</v>
      </c>
      <c r="E26" s="23">
        <v>0.31845311833333328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uOslHoTmaNuFTaw26MxrPIFZNlA4eyhhT2e+uidOFYXcbJYqc7V9tPQudVf2WO9F5QrmFLcH6ivZyeeOIQKTIg==" saltValue="A+40ZGLjRA9YzVmXPgINuw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35" t="s">
        <v>392</v>
      </c>
      <c r="B1" s="336"/>
      <c r="C1" s="336"/>
      <c r="D1" s="336"/>
    </row>
    <row r="2" spans="1:4">
      <c r="A2" s="122" t="s">
        <v>363</v>
      </c>
      <c r="B2" s="122" t="s">
        <v>364</v>
      </c>
    </row>
    <row r="3" spans="1:4" ht="36" customHeight="1">
      <c r="A3" s="334" t="s">
        <v>393</v>
      </c>
      <c r="B3" s="334"/>
      <c r="C3" s="334"/>
      <c r="D3" s="334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Q7T34rHHA8BBh9X5LrFaQHFRE5JVOhuhJpOcBwJlnhWigwMt7A4cPP3uaCsSciVwKf5pFClSlracXc++xonGEw==" saltValue="3kYF13oj6N/zCaadP5lIA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46023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7469.83</v>
      </c>
      <c r="R8" s="279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EINSTELLUNG!L22</f>
        <v>1</v>
      </c>
      <c r="R9" s="279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77" t="s">
        <v>62</v>
      </c>
      <c r="P10" s="278"/>
      <c r="Q10" s="279">
        <f>EINSTELLUNG!I22</f>
        <v>150</v>
      </c>
      <c r="R10" s="279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/>
      <c r="R12" s="346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77" t="s">
        <v>68</v>
      </c>
      <c r="P13" s="278"/>
      <c r="Q13" s="279">
        <f>Q8-Q9-Q10-Q11-Q12</f>
        <v>6718.83</v>
      </c>
      <c r="R13" s="279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77" t="s">
        <v>70</v>
      </c>
      <c r="P14" s="278"/>
      <c r="Q14" s="279">
        <f>EINSTELLUNG!L6</f>
        <v>9300</v>
      </c>
      <c r="R14" s="279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77" t="s">
        <v>72</v>
      </c>
      <c r="P15" s="278"/>
      <c r="Q15" s="279">
        <f>Q13-Q14</f>
        <v>-2581.17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81" t="s">
        <v>75</v>
      </c>
      <c r="P17" s="282"/>
      <c r="Q17" s="283">
        <f>SUM(L3:L82)</f>
        <v>89361.986021505378</v>
      </c>
      <c r="R17" s="283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49"/>
      <c r="P18" s="250"/>
      <c r="Q18" s="258"/>
      <c r="R18" s="258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49"/>
      <c r="P19" s="250"/>
      <c r="Q19" s="258"/>
      <c r="R19" s="258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49"/>
      <c r="P20" s="250"/>
      <c r="Q20" s="258">
        <v>500</v>
      </c>
      <c r="R20" s="258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49" t="s">
        <v>320</v>
      </c>
      <c r="P21" s="250"/>
      <c r="Q21" s="258">
        <v>5000</v>
      </c>
      <c r="R21" s="258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249"/>
      <c r="P22" s="250"/>
      <c r="Q22" s="258"/>
      <c r="R22" s="258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49"/>
      <c r="P23" s="250"/>
      <c r="Q23" s="258"/>
      <c r="R23" s="258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249"/>
      <c r="P24" s="250"/>
      <c r="Q24" s="258"/>
      <c r="R24" s="258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349"/>
      <c r="P25" s="350"/>
      <c r="Q25" s="271"/>
      <c r="R25" s="271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53" t="s">
        <v>90</v>
      </c>
      <c r="P29" s="254"/>
      <c r="Q29" s="255">
        <f>EINSTELLUNG!O6</f>
        <v>1250</v>
      </c>
      <c r="R29" s="256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59">
        <v>0</v>
      </c>
      <c r="P31" s="260"/>
      <c r="Q31" s="261">
        <v>1.9607843137254902E-2</v>
      </c>
      <c r="R31" s="262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263"/>
      <c r="P33" s="264"/>
      <c r="Q33" s="338" t="s">
        <v>96</v>
      </c>
      <c r="R33" s="339"/>
      <c r="S33" s="342" t="s">
        <v>97</v>
      </c>
      <c r="T33" s="343"/>
      <c r="U33" s="342" t="s">
        <v>98</v>
      </c>
      <c r="V33" s="343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263"/>
      <c r="P34" s="264"/>
      <c r="Q34" s="340"/>
      <c r="R34" s="341"/>
      <c r="S34" s="344"/>
      <c r="T34" s="345"/>
      <c r="U34" s="344"/>
      <c r="V34" s="345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244" t="s">
        <v>101</v>
      </c>
      <c r="P35" s="245"/>
      <c r="Q35" s="235">
        <f>EINSTELLUNG!C6</f>
        <v>400000</v>
      </c>
      <c r="R35" s="235"/>
      <c r="S35" s="235">
        <f>EINSTELLUNG!C22</f>
        <v>425000</v>
      </c>
      <c r="T35" s="235"/>
      <c r="U35" s="236">
        <f>S35-Q35</f>
        <v>25000</v>
      </c>
      <c r="V35" s="236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244" t="s">
        <v>103</v>
      </c>
      <c r="P36" s="245"/>
      <c r="Q36" s="235">
        <f>EINSTELLUNG!D6</f>
        <v>100000</v>
      </c>
      <c r="R36" s="235"/>
      <c r="S36" s="235">
        <f ca="1">SumMergedCells(Q17:R29)</f>
        <v>96111.986000000004</v>
      </c>
      <c r="T36" s="235"/>
      <c r="U36" s="236">
        <f t="shared" ref="U36:U41" ca="1" si="2">S36-Q36</f>
        <v>-3888.0139999999956</v>
      </c>
      <c r="V36" s="236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0.22614584941176472</v>
      </c>
      <c r="T37" s="246"/>
      <c r="U37" s="247">
        <f t="shared" ca="1" si="2"/>
        <v>-2.3854150588235284E-2</v>
      </c>
      <c r="V37" s="247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44" t="s">
        <v>107</v>
      </c>
      <c r="P38" s="245"/>
      <c r="Q38" s="237">
        <f>EINSTELLUNG!F6</f>
        <v>30000</v>
      </c>
      <c r="R38" s="237"/>
      <c r="S38" s="237">
        <f>EINSTELLUNG!F22</f>
        <v>29000</v>
      </c>
      <c r="T38" s="237"/>
      <c r="U38" s="238">
        <f t="shared" si="2"/>
        <v>-1000</v>
      </c>
      <c r="V38" s="238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14.655172413793103</v>
      </c>
      <c r="T39" s="235"/>
      <c r="U39" s="236">
        <f t="shared" si="2"/>
        <v>1.3218390804597693</v>
      </c>
      <c r="V39" s="236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244" t="s">
        <v>111</v>
      </c>
      <c r="P40" s="245"/>
      <c r="Q40" s="235">
        <f>IF(Q13=0, 0, Q35/Q13)</f>
        <v>59.534174848894821</v>
      </c>
      <c r="R40" s="235"/>
      <c r="S40" s="235">
        <f>IF(Q13=0, 0, S35/Q13)</f>
        <v>63.255060776950749</v>
      </c>
      <c r="T40" s="235"/>
      <c r="U40" s="236">
        <f t="shared" si="2"/>
        <v>3.7208859280559281</v>
      </c>
      <c r="V40" s="236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244" t="s">
        <v>113</v>
      </c>
      <c r="P41" s="245"/>
      <c r="Q41" s="237">
        <f>IF(Q13=0, 0, Q38/Q13)</f>
        <v>4.4650631136671119</v>
      </c>
      <c r="R41" s="237"/>
      <c r="S41" s="237">
        <f>IF(Q13=0, 0, S38/Q13)</f>
        <v>4.3162276765448748</v>
      </c>
      <c r="T41" s="237"/>
      <c r="U41" s="238">
        <f t="shared" si="2"/>
        <v>-0.14883543712223712</v>
      </c>
      <c r="V41" s="238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244" t="s">
        <v>115</v>
      </c>
      <c r="P42" s="245"/>
      <c r="Q42" s="239">
        <f>IFERROR(Q17/Q8, 0)</f>
        <v>11.963054851516752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351"/>
      <c r="L114" s="351"/>
      <c r="M114" s="351"/>
      <c r="N114" s="37"/>
    </row>
    <row r="115" spans="11:14" ht="16" customHeight="1">
      <c r="K115" s="351"/>
      <c r="L115" s="351"/>
      <c r="M115" s="351"/>
      <c r="N115" s="37"/>
    </row>
    <row r="116" spans="11:14" ht="16" customHeight="1">
      <c r="K116" s="347"/>
      <c r="L116" s="347"/>
      <c r="M116" s="26"/>
      <c r="N116" s="26"/>
    </row>
    <row r="117" spans="11:14" ht="16" customHeight="1">
      <c r="K117" s="347"/>
      <c r="L117" s="347"/>
      <c r="M117" s="26"/>
      <c r="N117" s="26"/>
    </row>
    <row r="118" spans="11:14" ht="16" customHeight="1">
      <c r="K118" s="352"/>
      <c r="L118" s="352"/>
      <c r="M118" s="27"/>
      <c r="N118" s="27"/>
    </row>
    <row r="119" spans="11:14" ht="16" customHeight="1">
      <c r="K119" s="348"/>
      <c r="L119" s="348"/>
      <c r="M119" s="28"/>
      <c r="N119" s="28"/>
    </row>
    <row r="120" spans="11:14" ht="16" customHeight="1">
      <c r="K120" s="347"/>
      <c r="L120" s="347"/>
      <c r="M120" s="26"/>
      <c r="N120" s="26"/>
    </row>
    <row r="121" spans="11:14" ht="16" customHeight="1">
      <c r="K121" s="347"/>
      <c r="L121" s="347"/>
      <c r="M121" s="26"/>
      <c r="N121" s="26"/>
    </row>
    <row r="122" spans="11:14" ht="16" customHeight="1">
      <c r="K122" s="348"/>
      <c r="L122" s="348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/RSo9fwUH7f+zKMQwu1VePoEKE6hFDBO/qEb6L1i40eiMadM5o78qJfIzPYXnfSp+1MA/nGuzpH6ccNxFvu21Q==" saltValue="Laz3SYldh7Do0cXlPqYRag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UnIC1VR6ah1vW5f+WHVKDKMA63981WfGumbOrBMuQujObYUI5URjqRfsCwl1WJ/sw+FmMG7UkUYtkJcaLL7RbA==" saltValue="ELlvEW9Di1VApr2KjB8bn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46054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90" t="str">
        <f>IF(Q5&lt;0, "Schlecht! Zu wenig Urlaub abgebaut.", IF(Q5&gt;0, "Gut! Mehr Urlaub abgebaut als aufgebaut.", ""))</f>
        <v>Schlecht! Zu wenig Urlaub abgebaut.</v>
      </c>
      <c r="P6" s="390"/>
      <c r="Q6" s="390"/>
      <c r="R6" s="390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88" t="s">
        <v>58</v>
      </c>
      <c r="P8" s="277"/>
      <c r="Q8" s="386">
        <f>SUM(H3:H82)</f>
        <v>8643.5099999999984</v>
      </c>
      <c r="R8" s="387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88" t="s">
        <v>60</v>
      </c>
      <c r="P9" s="277"/>
      <c r="Q9" s="386">
        <f>EINSTELLUNG!L23</f>
        <v>2</v>
      </c>
      <c r="R9" s="387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88" t="s">
        <v>62</v>
      </c>
      <c r="P10" s="277"/>
      <c r="Q10" s="386">
        <f>EINSTELLUNG!I23</f>
        <v>0</v>
      </c>
      <c r="R10" s="387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88" t="s">
        <v>64</v>
      </c>
      <c r="P11" s="277"/>
      <c r="Q11" s="386">
        <f>P5</f>
        <v>600</v>
      </c>
      <c r="R11" s="387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88" t="s">
        <v>68</v>
      </c>
      <c r="P12" s="277"/>
      <c r="Q12" s="386">
        <f>Q8-Q9-Q10-Q11</f>
        <v>8041.5099999999984</v>
      </c>
      <c r="R12" s="387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88" t="s">
        <v>70</v>
      </c>
      <c r="P13" s="277"/>
      <c r="Q13" s="386">
        <f>EINSTELLUNG!L7</f>
        <v>9300</v>
      </c>
      <c r="R13" s="387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88" t="s">
        <v>72</v>
      </c>
      <c r="P14" s="277"/>
      <c r="Q14" s="386">
        <f>Q12-Q13</f>
        <v>-1258.4900000000016</v>
      </c>
      <c r="R14" s="387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89" t="str">
        <f>IF(Q14&lt;0, "Schlecht! Zu wenig Stunden für Dienstplan.", IF(Q14&gt;0, "Du hast mehr als genug Stunden für Dienstplan.", ""))</f>
        <v>Schlecht! Zu wenig Stunden für Dienstplan.</v>
      </c>
      <c r="P15" s="389"/>
      <c r="Q15" s="389"/>
      <c r="R15" s="389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83" t="s">
        <v>75</v>
      </c>
      <c r="P17" s="281"/>
      <c r="Q17" s="384">
        <f>SUM(L3:L82)</f>
        <v>103521.01285714286</v>
      </c>
      <c r="R17" s="385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363"/>
      <c r="P18" s="266"/>
      <c r="Q18" s="364"/>
      <c r="R18" s="365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363"/>
      <c r="P19" s="266"/>
      <c r="Q19" s="364"/>
      <c r="R19" s="365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63"/>
      <c r="P20" s="266"/>
      <c r="Q20" s="364"/>
      <c r="R20" s="365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363" t="s">
        <v>320</v>
      </c>
      <c r="P21" s="266"/>
      <c r="Q21" s="364">
        <v>5000</v>
      </c>
      <c r="R21" s="365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363"/>
      <c r="P22" s="266"/>
      <c r="Q22" s="364"/>
      <c r="R22" s="365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63"/>
      <c r="P23" s="266"/>
      <c r="Q23" s="364"/>
      <c r="R23" s="365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363"/>
      <c r="P24" s="266"/>
      <c r="Q24" s="364"/>
      <c r="R24" s="365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77"/>
      <c r="P25" s="268"/>
      <c r="Q25" s="378"/>
      <c r="R25" s="379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380"/>
      <c r="P26" s="272"/>
      <c r="Q26" s="381"/>
      <c r="R26" s="382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73"/>
      <c r="P27" s="249"/>
      <c r="Q27" s="374"/>
      <c r="R27" s="375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76"/>
      <c r="P28" s="296"/>
      <c r="Q28" s="357"/>
      <c r="R28" s="358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359" t="s">
        <v>90</v>
      </c>
      <c r="P29" s="253"/>
      <c r="Q29" s="360">
        <f>EINSTELLUNG!O7</f>
        <v>1250</v>
      </c>
      <c r="R29" s="36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66">
        <v>0</v>
      </c>
      <c r="P31" s="367"/>
      <c r="Q31" s="368">
        <v>1.7241379310344827E-2</v>
      </c>
      <c r="R31" s="259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69"/>
      <c r="P33" s="370"/>
      <c r="Q33" s="338" t="s">
        <v>96</v>
      </c>
      <c r="R33" s="339"/>
      <c r="S33" s="342" t="s">
        <v>97</v>
      </c>
      <c r="T33" s="343"/>
      <c r="U33" s="342" t="s">
        <v>98</v>
      </c>
      <c r="V33" s="343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71"/>
      <c r="P34" s="372"/>
      <c r="Q34" s="340"/>
      <c r="R34" s="341"/>
      <c r="S34" s="344"/>
      <c r="T34" s="345"/>
      <c r="U34" s="344"/>
      <c r="V34" s="345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62" t="s">
        <v>101</v>
      </c>
      <c r="P35" s="244"/>
      <c r="Q35" s="239">
        <f>EINSTELLUNG!C7</f>
        <v>400000</v>
      </c>
      <c r="R35" s="241"/>
      <c r="S35" s="239">
        <f>EINSTELLUNG!C23</f>
        <v>425000</v>
      </c>
      <c r="T35" s="241"/>
      <c r="U35" s="236">
        <f>S35-Q35</f>
        <v>25000</v>
      </c>
      <c r="V35" s="236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62" t="s">
        <v>103</v>
      </c>
      <c r="P36" s="244"/>
      <c r="Q36" s="239">
        <f>EINSTELLUNG!D7</f>
        <v>100000</v>
      </c>
      <c r="R36" s="241"/>
      <c r="S36" s="235">
        <f ca="1">SumMergedCells(Q17:R29)</f>
        <v>109771.0129</v>
      </c>
      <c r="T36" s="235"/>
      <c r="U36" s="236">
        <f t="shared" ref="U36:U41" ca="1" si="2">S36-Q36</f>
        <v>9771.0129000000015</v>
      </c>
      <c r="V36" s="236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62" t="s">
        <v>105</v>
      </c>
      <c r="P37" s="244"/>
      <c r="Q37" s="355">
        <f>IF(ISERROR(Q36/Q35), 0, Q36/Q35)</f>
        <v>0.25</v>
      </c>
      <c r="R37" s="356"/>
      <c r="S37" s="355">
        <f ca="1">IF(ISERROR(S36/S35), 0, S36/S35)</f>
        <v>0.25828473623529413</v>
      </c>
      <c r="T37" s="356"/>
      <c r="U37" s="247">
        <f t="shared" ca="1" si="2"/>
        <v>8.2847362352941323E-3</v>
      </c>
      <c r="V37" s="24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362" t="s">
        <v>107</v>
      </c>
      <c r="P38" s="244"/>
      <c r="Q38" s="353">
        <f>EINSTELLUNG!F7</f>
        <v>30000</v>
      </c>
      <c r="R38" s="354"/>
      <c r="S38" s="353">
        <f>EINSTELLUNG!F23</f>
        <v>29000</v>
      </c>
      <c r="T38" s="354"/>
      <c r="U38" s="238">
        <f t="shared" si="2"/>
        <v>-1000</v>
      </c>
      <c r="V38" s="238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62" t="s">
        <v>109</v>
      </c>
      <c r="P39" s="244"/>
      <c r="Q39" s="239">
        <f>IF(Q38=0, 0, Q35/Q38)</f>
        <v>13.333333333333334</v>
      </c>
      <c r="R39" s="241"/>
      <c r="S39" s="239">
        <f>IF(S38=0, 0, S35/S38)</f>
        <v>14.655172413793103</v>
      </c>
      <c r="T39" s="241"/>
      <c r="U39" s="236">
        <f t="shared" si="2"/>
        <v>1.3218390804597693</v>
      </c>
      <c r="V39" s="236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44" t="s">
        <v>111</v>
      </c>
      <c r="P40" s="245"/>
      <c r="Q40" s="235">
        <f>IF(Q12=0, 0, Q35/Q12)</f>
        <v>49.74190170751514</v>
      </c>
      <c r="R40" s="235"/>
      <c r="S40" s="235">
        <f>IF(Q12=0, 0, S35/Q12)</f>
        <v>52.850770564234836</v>
      </c>
      <c r="T40" s="235"/>
      <c r="U40" s="236">
        <f t="shared" si="2"/>
        <v>3.1088688567196954</v>
      </c>
      <c r="V40" s="236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44" t="s">
        <v>113</v>
      </c>
      <c r="P41" s="245"/>
      <c r="Q41" s="237">
        <f>IF(Q12=0, 0, Q38/Q12)</f>
        <v>3.7306426280636353</v>
      </c>
      <c r="R41" s="237"/>
      <c r="S41" s="237">
        <f>IF(Q12=0, 0, S38/Q12)</f>
        <v>3.6062878737948476</v>
      </c>
      <c r="T41" s="237"/>
      <c r="U41" s="238">
        <f t="shared" si="2"/>
        <v>-0.12435475426878773</v>
      </c>
      <c r="V41" s="238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44" t="s">
        <v>115</v>
      </c>
      <c r="P42" s="245"/>
      <c r="Q42" s="239">
        <f>IFERROR(Q17/Q8, 0)</f>
        <v>11.976733162470209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QqOzW1Qp/xE122658qbJgWbno1eAqjAa5Gpxos1h+5fkJcW4fh6I+BsNubW+eDS7NJJvfMcUnFFlqCPoHzAvGA==" saltValue="0WVx9qWQxqA6z/5RX4om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46082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8920.8000000000011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EINSTELLUNG!L24</f>
        <v>3</v>
      </c>
      <c r="R9" s="279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EINSTELLUNG!I24</f>
        <v>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-445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8762.8000000000011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EINSTELLUNG!L8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-537.19999999999891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81" t="s">
        <v>75</v>
      </c>
      <c r="P17" s="282"/>
      <c r="Q17" s="283">
        <f>SUM(L3:L82)</f>
        <v>107021.09612903227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53" t="s">
        <v>90</v>
      </c>
      <c r="P29" s="254"/>
      <c r="Q29" s="255">
        <f>EINSTELLUNG!O8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59">
        <v>0</v>
      </c>
      <c r="P31" s="260"/>
      <c r="Q31" s="261">
        <v>1.6949152542372881E-2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44" t="s">
        <v>101</v>
      </c>
      <c r="P35" s="245"/>
      <c r="Q35" s="235">
        <f>EINSTELLUNG!C8</f>
        <v>400000</v>
      </c>
      <c r="R35" s="235"/>
      <c r="S35" s="235">
        <f>EINSTELLUNG!C24</f>
        <v>430000</v>
      </c>
      <c r="T35" s="235"/>
      <c r="U35" s="236">
        <f>S35-Q35</f>
        <v>30000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44" t="s">
        <v>103</v>
      </c>
      <c r="P36" s="245"/>
      <c r="Q36" s="235">
        <f>EINSTELLUNG!D8</f>
        <v>100000</v>
      </c>
      <c r="R36" s="235"/>
      <c r="S36" s="235">
        <f ca="1">SumMergedCells(Q17:R29)</f>
        <v>113271.0961</v>
      </c>
      <c r="T36" s="235"/>
      <c r="U36" s="236">
        <f t="shared" ref="U36:U41" ca="1" si="2">S36-Q36</f>
        <v>13271.096099999995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0.26342115372093022</v>
      </c>
      <c r="T37" s="246"/>
      <c r="U37" s="247">
        <f t="shared" ca="1" si="2"/>
        <v>1.3421153720930223E-2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44" t="s">
        <v>107</v>
      </c>
      <c r="P38" s="245"/>
      <c r="Q38" s="237">
        <f>EINSTELLUNG!F8</f>
        <v>30000</v>
      </c>
      <c r="R38" s="237"/>
      <c r="S38" s="237">
        <f>EINSTELLUNG!F24</f>
        <v>29000</v>
      </c>
      <c r="T38" s="237"/>
      <c r="U38" s="238">
        <f t="shared" si="2"/>
        <v>-1000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14.827586206896552</v>
      </c>
      <c r="T39" s="235"/>
      <c r="U39" s="236">
        <f t="shared" si="2"/>
        <v>1.4942528735632177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44" t="s">
        <v>111</v>
      </c>
      <c r="P40" s="245"/>
      <c r="Q40" s="235">
        <f>IF(Q13=0, 0, Q35/Q13)</f>
        <v>45.647509928333406</v>
      </c>
      <c r="R40" s="235"/>
      <c r="S40" s="235">
        <f>IF(Q13=0, 0, S35/Q13)</f>
        <v>49.071073172958407</v>
      </c>
      <c r="T40" s="235"/>
      <c r="U40" s="236">
        <f t="shared" si="2"/>
        <v>3.4235632446250008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44" t="s">
        <v>113</v>
      </c>
      <c r="P41" s="245"/>
      <c r="Q41" s="237">
        <f>IF(Q13=0, 0, Q38/Q13)</f>
        <v>3.4235632446250053</v>
      </c>
      <c r="R41" s="237"/>
      <c r="S41" s="237">
        <f>IF(Q13=0, 0, S38/Q13)</f>
        <v>3.3094444698041716</v>
      </c>
      <c r="T41" s="237"/>
      <c r="U41" s="238">
        <f t="shared" si="2"/>
        <v>-0.11411877482083366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44" t="s">
        <v>115</v>
      </c>
      <c r="P42" s="245"/>
      <c r="Q42" s="239">
        <f>IFERROR(Q17/Q8, 0)</f>
        <v>11.996804785336771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XgNOtqfieHDVs6knkwOG8RTA7BtjWLU5oZOJI9XPaMpnFGh+c/3GNMNqfyTyeNExQWQZM0RK4KbtZ+zTiDkU5g==" saltValue="D6qZqafv1x9umVPVdb+Z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46113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8796.1799999999985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EINSTELLUNG!L25</f>
        <v>4</v>
      </c>
      <c r="R9" s="279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EINSTELLUNG!I25</f>
        <v>150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-255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8297.1799999999985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EINSTELLUNG!L9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-1002.8200000000015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81" t="s">
        <v>75</v>
      </c>
      <c r="P17" s="282"/>
      <c r="Q17" s="283">
        <f>SUM(L3:L82)</f>
        <v>105600.40000000001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53" t="s">
        <v>90</v>
      </c>
      <c r="P29" s="254"/>
      <c r="Q29" s="255">
        <f>EINSTELLUNG!O9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59">
        <v>0</v>
      </c>
      <c r="P31" s="260"/>
      <c r="Q31" s="261">
        <v>0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44" t="s">
        <v>101</v>
      </c>
      <c r="P35" s="245"/>
      <c r="Q35" s="235">
        <f>EINSTELLUNG!C9</f>
        <v>400000</v>
      </c>
      <c r="R35" s="235"/>
      <c r="S35" s="235">
        <f>EINSTELLUNG!C25</f>
        <v>423000</v>
      </c>
      <c r="T35" s="235"/>
      <c r="U35" s="236">
        <f>S35-Q35</f>
        <v>23000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44" t="s">
        <v>103</v>
      </c>
      <c r="P36" s="245"/>
      <c r="Q36" s="235">
        <f>EINSTELLUNG!D9</f>
        <v>100000</v>
      </c>
      <c r="R36" s="235"/>
      <c r="S36" s="235">
        <f ca="1">SumMergedCells(Q17:R29)</f>
        <v>111850.4</v>
      </c>
      <c r="T36" s="235"/>
      <c r="U36" s="236">
        <f t="shared" ref="U36:U41" ca="1" si="2">S36-Q36</f>
        <v>11850.399999999994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0.26442174940898344</v>
      </c>
      <c r="T37" s="246"/>
      <c r="U37" s="247">
        <f t="shared" ca="1" si="2"/>
        <v>1.4421749408983442E-2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44" t="s">
        <v>107</v>
      </c>
      <c r="P38" s="245"/>
      <c r="Q38" s="237">
        <f>EINSTELLUNG!F9</f>
        <v>30000</v>
      </c>
      <c r="R38" s="237"/>
      <c r="S38" s="237">
        <f>EINSTELLUNG!F25</f>
        <v>29000</v>
      </c>
      <c r="T38" s="237"/>
      <c r="U38" s="238">
        <f t="shared" si="2"/>
        <v>-1000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14.586206896551724</v>
      </c>
      <c r="T39" s="235"/>
      <c r="U39" s="236">
        <f t="shared" si="2"/>
        <v>1.2528735632183903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44" t="s">
        <v>111</v>
      </c>
      <c r="P40" s="245"/>
      <c r="Q40" s="235">
        <f>IF(Q13=0, 0, Q35/Q13)</f>
        <v>48.209150578871387</v>
      </c>
      <c r="R40" s="235"/>
      <c r="S40" s="235">
        <f>IF(Q13=0, 0, S35/Q13)</f>
        <v>50.981176737156488</v>
      </c>
      <c r="T40" s="235"/>
      <c r="U40" s="236">
        <f t="shared" si="2"/>
        <v>2.7720261582851009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44" t="s">
        <v>113</v>
      </c>
      <c r="P41" s="245"/>
      <c r="Q41" s="237">
        <f>IF(Q13=0, 0, Q38/Q13)</f>
        <v>3.615686293415354</v>
      </c>
      <c r="R41" s="237"/>
      <c r="S41" s="237">
        <f>IF(Q13=0, 0, S38/Q13)</f>
        <v>3.4951634169681753</v>
      </c>
      <c r="T41" s="237"/>
      <c r="U41" s="238">
        <f t="shared" si="2"/>
        <v>-0.12052287644717863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44" t="s">
        <v>115</v>
      </c>
      <c r="P42" s="245"/>
      <c r="Q42" s="239">
        <f>IFERROR(Q17/Q8, 0)</f>
        <v>12.005256827395531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qDkX0uPTw3CYExJe+JW6SjsWfFk4mfOqCYZpSIXcLifJjZHMHaqU+adtkkec5VYYI2OpcPBkxWSssaDZDziENw==" saltValue="IsTgjlN8Ldyu/z9CRDpP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F3" sqref="F3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46143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3500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-4981.3257463190102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9110.2599999999984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EINSTELLUNG!L26</f>
        <v>5</v>
      </c>
      <c r="R9" s="279"/>
      <c r="S9" s="19">
        <f>IFERROR(Q9/Q8, 0)</f>
        <v>5.4883175672264034E-4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EINSTELLUNG!I26</f>
        <v>450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68</v>
      </c>
      <c r="P12" s="278"/>
      <c r="Q12" s="279">
        <f>Q8-Q9-Q10-Q11</f>
        <v>8055.2599999999984</v>
      </c>
      <c r="R12" s="27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70</v>
      </c>
      <c r="P13" s="278"/>
      <c r="Q13" s="279">
        <f>EINSTELLUNG!L10</f>
        <v>9300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72</v>
      </c>
      <c r="P14" s="278"/>
      <c r="Q14" s="279">
        <f>Q12-Q13</f>
        <v>-1244.7400000000016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280" t="str">
        <f>IF(Q14&lt;0, "Schlecht! Zu wenig Stunden für Dienstplan.", IF(Q14&gt;0, "Du hast mehr als genug Stunden für Dienstplan.", ""))</f>
        <v>Schlecht! Zu wenig Stunden für Dienstplan.</v>
      </c>
      <c r="P15" s="280"/>
      <c r="Q15" s="280"/>
      <c r="R15" s="28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3500</v>
      </c>
      <c r="M17" s="71"/>
      <c r="N17" s="55"/>
      <c r="O17" s="281" t="s">
        <v>75</v>
      </c>
      <c r="P17" s="282"/>
      <c r="Q17" s="283">
        <f>SUM(L3:L82)</f>
        <v>152835.7935483871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3500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3500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3500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3500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3500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3500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3500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3500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3500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3500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3500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3500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3500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53" t="s">
        <v>90</v>
      </c>
      <c r="P29" s="254"/>
      <c r="Q29" s="255">
        <f>EINSTELLUNG!O10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3500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3500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3500</v>
      </c>
      <c r="M31" s="71"/>
      <c r="N31" s="55"/>
      <c r="O31" s="259">
        <v>0</v>
      </c>
      <c r="P31" s="260"/>
      <c r="Q31" s="261">
        <v>1.6393442622950821E-2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3500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3500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3500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3500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3500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3500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3500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225.80645161290323</v>
      </c>
      <c r="M35" s="71"/>
      <c r="N35" s="55" t="s">
        <v>205</v>
      </c>
      <c r="O35" s="244" t="s">
        <v>101</v>
      </c>
      <c r="P35" s="245"/>
      <c r="Q35" s="235">
        <f>EINSTELLUNG!C10</f>
        <v>400000</v>
      </c>
      <c r="R35" s="235"/>
      <c r="S35" s="235">
        <f>EINSTELLUNG!C26</f>
        <v>420000</v>
      </c>
      <c r="T35" s="235"/>
      <c r="U35" s="236">
        <f>S35-Q35</f>
        <v>20000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3500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3500</v>
      </c>
      <c r="M36" s="71"/>
      <c r="N36" s="55"/>
      <c r="O36" s="244" t="s">
        <v>103</v>
      </c>
      <c r="P36" s="245"/>
      <c r="Q36" s="235">
        <f>EINSTELLUNG!D10</f>
        <v>100000</v>
      </c>
      <c r="R36" s="235"/>
      <c r="S36" s="235">
        <f ca="1">SumMergedCells(Q17:R29)</f>
        <v>159085.7935</v>
      </c>
      <c r="T36" s="235"/>
      <c r="U36" s="236">
        <f t="shared" ref="U36:U41" ca="1" si="2">S36-Q36</f>
        <v>59085.7935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3500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3500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0.37877569880952383</v>
      </c>
      <c r="T37" s="246"/>
      <c r="U37" s="247">
        <f t="shared" ca="1" si="2"/>
        <v>0.12877569880952383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3500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3500</v>
      </c>
      <c r="M38" s="71"/>
      <c r="N38" s="55"/>
      <c r="O38" s="244" t="s">
        <v>107</v>
      </c>
      <c r="P38" s="245"/>
      <c r="Q38" s="237">
        <f>EINSTELLUNG!F10</f>
        <v>30000</v>
      </c>
      <c r="R38" s="237"/>
      <c r="S38" s="237">
        <f>EINSTELLUNG!F26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13.548387096774194</v>
      </c>
      <c r="T39" s="235"/>
      <c r="U39" s="236">
        <f t="shared" si="2"/>
        <v>0.21505376344086002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IF(Q12=0, 0, Q35/Q12)</f>
        <v>49.656994311791308</v>
      </c>
      <c r="R40" s="235"/>
      <c r="S40" s="235">
        <f>IF(Q12=0, 0, S35/Q12)</f>
        <v>52.139844027380875</v>
      </c>
      <c r="T40" s="235"/>
      <c r="U40" s="236">
        <f t="shared" si="2"/>
        <v>2.4828497155895661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IF(Q12=0, 0, Q38/Q12)</f>
        <v>3.7242745733843483</v>
      </c>
      <c r="R41" s="237"/>
      <c r="S41" s="237">
        <f>IF(Q12=0, 0, S38/Q12)</f>
        <v>3.8484170591638267</v>
      </c>
      <c r="T41" s="237"/>
      <c r="U41" s="238">
        <f t="shared" si="2"/>
        <v>0.1241424857794784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16.776227412652013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3500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3500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3500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3500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3500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3500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3500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3500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3500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3500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3500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3048.3870967741937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3500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3500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3500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3500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3500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3500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7RMeUGRc81bHTiIGBljN1QVjUSQT2eqYTFRx0tCmoQH5KiQKskl2F4cvxSEAueAuuzzDeYmGmTa1RI5ivwTcLg==" saltValue="7irpxDfxndrkPB06rYZ7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46174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3500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-5141.0246464122574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9280.0099999999984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77" t="s">
        <v>60</v>
      </c>
      <c r="P9" s="278"/>
      <c r="Q9" s="279">
        <f>EINSTELLUNG!L27</f>
        <v>6</v>
      </c>
      <c r="R9" s="279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EINSTELLUNG!I27</f>
        <v>150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21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8503.0099999999984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77" t="s">
        <v>70</v>
      </c>
      <c r="P14" s="278"/>
      <c r="Q14" s="279">
        <f>EINSTELLUNG!L11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-796.9900000000016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3500</v>
      </c>
      <c r="M17" s="71"/>
      <c r="N17" s="55"/>
      <c r="O17" s="281" t="s">
        <v>75</v>
      </c>
      <c r="P17" s="282"/>
      <c r="Q17" s="283">
        <f>SUM(L3:L82)</f>
        <v>158447.51666666666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3500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3500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3500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3500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3500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3500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3500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3500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3500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3500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3500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3500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3500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3500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3500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53" t="s">
        <v>90</v>
      </c>
      <c r="P29" s="254"/>
      <c r="Q29" s="255">
        <f>EINSTELLUNG!O11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3500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3500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3500</v>
      </c>
      <c r="M31" s="71"/>
      <c r="N31" s="55"/>
      <c r="O31" s="259">
        <v>0</v>
      </c>
      <c r="P31" s="260"/>
      <c r="Q31" s="261">
        <v>1.6393442622950821E-2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3500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3500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3500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3500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3500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3500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3500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3500</v>
      </c>
      <c r="M35" s="71"/>
      <c r="N35" s="55"/>
      <c r="O35" s="244" t="s">
        <v>101</v>
      </c>
      <c r="P35" s="245"/>
      <c r="Q35" s="235">
        <f>EINSTELLUNG!C11</f>
        <v>400000</v>
      </c>
      <c r="R35" s="235"/>
      <c r="S35" s="235">
        <f>EINSTELLUNG!C27</f>
        <v>435000</v>
      </c>
      <c r="T35" s="235"/>
      <c r="U35" s="236">
        <f>S35-Q35</f>
        <v>35000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3500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3500</v>
      </c>
      <c r="M36" s="71"/>
      <c r="N36" s="55"/>
      <c r="O36" s="244" t="s">
        <v>103</v>
      </c>
      <c r="P36" s="245"/>
      <c r="Q36" s="235">
        <f>EINSTELLUNG!D11</f>
        <v>100000</v>
      </c>
      <c r="R36" s="235"/>
      <c r="S36" s="235">
        <f ca="1">SumMergedCells(Q17:R29)</f>
        <v>164697.51670000001</v>
      </c>
      <c r="T36" s="235"/>
      <c r="U36" s="236">
        <f t="shared" ref="U36:U41" ca="1" si="2">S36-Q36</f>
        <v>64697.516700000007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3500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3500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0.37861498091954027</v>
      </c>
      <c r="T37" s="246"/>
      <c r="U37" s="247">
        <f t="shared" ca="1" si="2"/>
        <v>0.12861498091954027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3500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3500</v>
      </c>
      <c r="M38" s="71"/>
      <c r="N38" s="55"/>
      <c r="O38" s="244" t="s">
        <v>107</v>
      </c>
      <c r="P38" s="245"/>
      <c r="Q38" s="237">
        <f>EINSTELLUNG!F11</f>
        <v>30000</v>
      </c>
      <c r="R38" s="237"/>
      <c r="S38" s="237">
        <f>EINSTELLUNG!F27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14.03225806451613</v>
      </c>
      <c r="T39" s="235"/>
      <c r="U39" s="236">
        <f t="shared" si="2"/>
        <v>0.69892473118279597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IF(Q12=0, 0, Q35/Q12)</f>
        <v>19047.619047619046</v>
      </c>
      <c r="R40" s="235"/>
      <c r="S40" s="235">
        <f>IF(Q12=0, 0, S35/Q12)</f>
        <v>20714.285714285714</v>
      </c>
      <c r="T40" s="235"/>
      <c r="U40" s="236">
        <f t="shared" si="2"/>
        <v>1666.6666666666679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IF(Q12=0, 0, Q38/Q12)</f>
        <v>1428.5714285714287</v>
      </c>
      <c r="R41" s="237"/>
      <c r="S41" s="237">
        <f>IF(Q12=0, 0, S38/Q12)</f>
        <v>1476.1904761904761</v>
      </c>
      <c r="T41" s="237"/>
      <c r="U41" s="238">
        <f t="shared" si="2"/>
        <v>47.619047619047478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17.074067448921575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3500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3500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3500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3500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3500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3500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3500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3500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3500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3500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3500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3500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3500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3500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3500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3500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3500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3500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oeUXO419mkopg+oXjlGdYxjXS9I21tRB5qoBYr7fAn6Kj3a9VVuY7HwrzO8l+FZjuuEox+i1x6g/kDxn+tIu5A==" saltValue="YrpVBcZHQ4SG4jgJRv1qZ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46204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3500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-3251.3086870801262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8187.3599999999988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EINSTELLUNG!L28</f>
        <v>7</v>
      </c>
      <c r="R9" s="279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EINSTELLUNG!I28</f>
        <v>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-20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7600.3599999999988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EINSTELLUNG!L12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-1699.6400000000012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3500</v>
      </c>
      <c r="M17" s="71"/>
      <c r="N17" s="55"/>
      <c r="O17" s="281" t="s">
        <v>75</v>
      </c>
      <c r="P17" s="282"/>
      <c r="Q17" s="283">
        <f>SUM(L3:L82)</f>
        <v>131118.92258064516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3500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3500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790.32258064516134</v>
      </c>
      <c r="M19" s="71"/>
      <c r="N19" s="55" t="s">
        <v>206</v>
      </c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3500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3500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3500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3500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3500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3500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380"/>
      <c r="P26" s="272"/>
      <c r="Q26" s="274"/>
      <c r="R26" s="275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53" t="s">
        <v>90</v>
      </c>
      <c r="P29" s="254"/>
      <c r="Q29" s="255">
        <f>EINSTELLUNG!O12</f>
        <v>1250</v>
      </c>
      <c r="R29" s="256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59">
        <v>0</v>
      </c>
      <c r="P31" s="260"/>
      <c r="Q31" s="261">
        <v>1.6393442622950821E-2</v>
      </c>
      <c r="R31" s="262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3500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3500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244" t="s">
        <v>101</v>
      </c>
      <c r="P35" s="245"/>
      <c r="Q35" s="235">
        <f>EINSTELLUNG!C12</f>
        <v>400000</v>
      </c>
      <c r="R35" s="235"/>
      <c r="S35" s="235">
        <f>EINSTELLUNG!C28</f>
        <v>435000</v>
      </c>
      <c r="T35" s="235"/>
      <c r="U35" s="236">
        <f>S35-Q35</f>
        <v>35000</v>
      </c>
      <c r="V35" s="236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44" t="s">
        <v>103</v>
      </c>
      <c r="P36" s="245"/>
      <c r="Q36" s="235">
        <f>EINSTELLUNG!D12</f>
        <v>100000</v>
      </c>
      <c r="R36" s="235"/>
      <c r="S36" s="239">
        <f ca="1">SumMergedCells(Q17:R29)</f>
        <v>137368.92259999999</v>
      </c>
      <c r="T36" s="241"/>
      <c r="U36" s="236">
        <f t="shared" ref="U36:U41" ca="1" si="2">S36-Q36</f>
        <v>37368.922599999991</v>
      </c>
      <c r="V36" s="236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0.31579062666666663</v>
      </c>
      <c r="T37" s="246"/>
      <c r="U37" s="247">
        <f t="shared" ca="1" si="2"/>
        <v>6.579062666666663E-2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EINSTELLUNG!F12</f>
        <v>30000</v>
      </c>
      <c r="R38" s="237"/>
      <c r="S38" s="237">
        <f>EINSTELLUNG!F28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14.03225806451613</v>
      </c>
      <c r="T39" s="235"/>
      <c r="U39" s="236">
        <f t="shared" si="2"/>
        <v>0.69892473118279597</v>
      </c>
      <c r="V39" s="236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IF(Q13=0, 0, Q35/Q13)</f>
        <v>52.629085990663611</v>
      </c>
      <c r="R40" s="235"/>
      <c r="S40" s="235">
        <f>IF(Q13=0, 0, S35/Q13)</f>
        <v>57.234131014846675</v>
      </c>
      <c r="T40" s="235"/>
      <c r="U40" s="236">
        <f t="shared" si="2"/>
        <v>4.6050450241830632</v>
      </c>
      <c r="V40" s="236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IF(Q13=0, 0, Q38/Q13)</f>
        <v>3.9471814492997708</v>
      </c>
      <c r="R41" s="237"/>
      <c r="S41" s="237">
        <f>IF(Q13=0, 0, S38/Q13)</f>
        <v>4.0787541642764298</v>
      </c>
      <c r="T41" s="237"/>
      <c r="U41" s="238">
        <f t="shared" si="2"/>
        <v>0.13157271497665901</v>
      </c>
      <c r="V41" s="238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16.014798736179326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3500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3500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3500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3500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3500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3500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3500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3500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3500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3500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3500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3500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3500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3500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3500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3500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3500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3500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M7B9lD2rdtttb+RZevTtOcYuS7L5WVf+O6Y+BXFKYqPRJFOteltHZEtbAwLzIAJFv4wJ3rKnNbRv8OZSez+oMw==" saltValue="irvAbZzgSz6CP4kI9JCJm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46235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-4435.1356969401186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9065.1899999999987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EINSTELLUNG!L29</f>
        <v>8</v>
      </c>
      <c r="R9" s="279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EINSTELLUNG!I29</f>
        <v>150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620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68</v>
      </c>
      <c r="P12" s="278"/>
      <c r="Q12" s="279">
        <f>Q8-Q9-Q10-Q11</f>
        <v>8287.1899999999987</v>
      </c>
      <c r="R12" s="279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70</v>
      </c>
      <c r="P13" s="278"/>
      <c r="Q13" s="279">
        <f>EINSTELLUNG!L13</f>
        <v>9300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72</v>
      </c>
      <c r="P14" s="278"/>
      <c r="Q14" s="279">
        <f>Q12-Q13</f>
        <v>-1012.8100000000013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80" t="str">
        <f>IF(Q14&lt;0, "Schlecht! Zu wenig Stunden für Dienstplan.", IF(Q14&gt;0, "Du hast mehr als genug Stunden für Dienstplan.", ""))</f>
        <v>Schlecht! Zu wenig Stunden für Dienstplan.</v>
      </c>
      <c r="P15" s="280"/>
      <c r="Q15" s="280"/>
      <c r="R15" s="28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3500</v>
      </c>
      <c r="M17" s="71"/>
      <c r="N17" s="55"/>
      <c r="O17" s="281" t="s">
        <v>75</v>
      </c>
      <c r="P17" s="282"/>
      <c r="Q17" s="283">
        <f>SUM(L3:L82)</f>
        <v>152782.6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3500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3500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3500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3500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3500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3500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3500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3500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3500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3500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3500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3500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3500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3500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3500</v>
      </c>
      <c r="M29" s="71"/>
      <c r="N29" s="55"/>
      <c r="O29" s="253" t="s">
        <v>90</v>
      </c>
      <c r="P29" s="254"/>
      <c r="Q29" s="255">
        <f>EINSTELLUNG!O13</f>
        <v>1250</v>
      </c>
      <c r="R29" s="256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3500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3500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3500</v>
      </c>
      <c r="M31" s="71"/>
      <c r="N31" s="55"/>
      <c r="O31" s="259">
        <v>0</v>
      </c>
      <c r="P31" s="260"/>
      <c r="Q31" s="261">
        <v>3.3898305084745763E-2</v>
      </c>
      <c r="R31" s="262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3500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3500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3500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3500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3500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3500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3500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3500</v>
      </c>
      <c r="M35" s="71"/>
      <c r="N35" s="55"/>
      <c r="O35" s="244" t="s">
        <v>101</v>
      </c>
      <c r="P35" s="245"/>
      <c r="Q35" s="235">
        <f>EINSTELLUNG!C13</f>
        <v>400000</v>
      </c>
      <c r="R35" s="235"/>
      <c r="S35" s="235">
        <f>EINSTELLUNG!C29</f>
        <v>435000</v>
      </c>
      <c r="T35" s="235"/>
      <c r="U35" s="236">
        <f>S35-Q35</f>
        <v>35000</v>
      </c>
      <c r="V35" s="236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3500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3500</v>
      </c>
      <c r="M36" s="71"/>
      <c r="N36" s="55"/>
      <c r="O36" s="244" t="s">
        <v>103</v>
      </c>
      <c r="P36" s="245"/>
      <c r="Q36" s="235">
        <f>EINSTELLUNG!D13</f>
        <v>100000</v>
      </c>
      <c r="R36" s="235"/>
      <c r="S36" s="239">
        <f ca="1">SumMergedCells(Q17:R29)</f>
        <v>159032.6</v>
      </c>
      <c r="T36" s="241"/>
      <c r="U36" s="236">
        <f t="shared" ref="U36:U41" ca="1" si="2">S36-Q36</f>
        <v>59032.600000000006</v>
      </c>
      <c r="V36" s="236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3500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3500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355">
        <f ca="1">IF(ISERROR(S36/S35), 0, S36/S35)</f>
        <v>0.36559218390804599</v>
      </c>
      <c r="T37" s="356"/>
      <c r="U37" s="247">
        <f t="shared" ca="1" si="2"/>
        <v>0.11559218390804599</v>
      </c>
      <c r="V37" s="24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EINSTELLUNG!F13</f>
        <v>30000</v>
      </c>
      <c r="R38" s="237"/>
      <c r="S38" s="237">
        <f>EINSTELLUNG!F29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14.03225806451613</v>
      </c>
      <c r="T39" s="235"/>
      <c r="U39" s="236">
        <f t="shared" si="2"/>
        <v>0.69892473118279597</v>
      </c>
      <c r="V39" s="236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IF(Q12=0, 0, Q35/Q12)</f>
        <v>48.267265502540674</v>
      </c>
      <c r="R40" s="235"/>
      <c r="S40" s="235">
        <f>IF(Q12=0, 0, S35/Q12)</f>
        <v>52.490651234012986</v>
      </c>
      <c r="T40" s="235"/>
      <c r="U40" s="236">
        <f t="shared" si="2"/>
        <v>4.2233857314723124</v>
      </c>
      <c r="V40" s="236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IF(Q12=0, 0, Q38/Q12)</f>
        <v>3.6200449126905507</v>
      </c>
      <c r="R41" s="237"/>
      <c r="S41" s="237">
        <f>IF(Q12=0, 0, S38/Q12)</f>
        <v>3.7407130764469025</v>
      </c>
      <c r="T41" s="237"/>
      <c r="U41" s="238">
        <f t="shared" si="2"/>
        <v>0.12066816375635181</v>
      </c>
      <c r="V41" s="238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16.853766992197631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3500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3500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3500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3500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3500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3500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3500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3500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3500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3500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3500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3500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3500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3500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3500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3500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3500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3500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9rYI8L/SdghzUR34zZrRlrqMHO6W1I9a09mpJzFLcZr2hSVyP8Cj9/zEenbiuHjSofa4B7UuftdVRopZ7rxmqg==" saltValue="ruyP1xroSUM58blnvmjt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46266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3500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-4571.9418435509251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8897.9599999999991</v>
      </c>
      <c r="R8" s="279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EINSTELLUNG!L30</f>
        <v>9</v>
      </c>
      <c r="R9" s="279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EINSTELLUNG!I30</f>
        <v>0</v>
      </c>
      <c r="R10" s="279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167</v>
      </c>
      <c r="R12" s="346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8121.9599999999991</v>
      </c>
      <c r="R13" s="279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EINSTELLUNG!L14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-1178.0400000000009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3500</v>
      </c>
      <c r="M17" s="71"/>
      <c r="N17" s="55"/>
      <c r="O17" s="281" t="s">
        <v>75</v>
      </c>
      <c r="P17" s="282"/>
      <c r="Q17" s="283">
        <f>SUM(L3:L82)</f>
        <v>150782.93333333335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3500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6"/>
      <c r="P19" s="267"/>
      <c r="Q19" s="257"/>
      <c r="R19" s="258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3500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3500</v>
      </c>
      <c r="M20" s="71"/>
      <c r="N20" s="55"/>
      <c r="O20" s="266"/>
      <c r="P20" s="267"/>
      <c r="Q20" s="257"/>
      <c r="R20" s="258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3500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466.66666666666669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1633.3333333333335</v>
      </c>
      <c r="M21" s="71"/>
      <c r="N21" s="55" t="s">
        <v>197</v>
      </c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3500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3500</v>
      </c>
      <c r="M22" s="71"/>
      <c r="N22" s="55"/>
      <c r="O22" s="266"/>
      <c r="P22" s="267"/>
      <c r="Q22" s="257"/>
      <c r="R22" s="258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3500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3500</v>
      </c>
      <c r="M25" s="71"/>
      <c r="N25" s="55"/>
      <c r="O25" s="268"/>
      <c r="P25" s="269"/>
      <c r="Q25" s="270"/>
      <c r="R25" s="271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3500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3500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3500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3500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3500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3500</v>
      </c>
      <c r="M29" s="71"/>
      <c r="N29" s="55"/>
      <c r="O29" s="253" t="s">
        <v>90</v>
      </c>
      <c r="P29" s="254"/>
      <c r="Q29" s="255">
        <f>EINSTELLUNG!O14</f>
        <v>1250</v>
      </c>
      <c r="R29" s="256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3500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3500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3500</v>
      </c>
      <c r="M31" s="71"/>
      <c r="N31" s="55"/>
      <c r="O31" s="259">
        <v>0</v>
      </c>
      <c r="P31" s="260"/>
      <c r="Q31" s="261">
        <v>1.7241379310344827E-2</v>
      </c>
      <c r="R31" s="262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3500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3500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3500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3500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3500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3500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3500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3500</v>
      </c>
      <c r="M35" s="71"/>
      <c r="N35" s="55"/>
      <c r="O35" s="244" t="s">
        <v>101</v>
      </c>
      <c r="P35" s="245"/>
      <c r="Q35" s="235">
        <f>EINSTELLUNG!C14</f>
        <v>400000</v>
      </c>
      <c r="R35" s="235"/>
      <c r="S35" s="235">
        <f>EINSTELLUNG!C30</f>
        <v>450000</v>
      </c>
      <c r="T35" s="235"/>
      <c r="U35" s="236">
        <f>S35-Q35</f>
        <v>50000</v>
      </c>
      <c r="V35" s="236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3500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3500</v>
      </c>
      <c r="M36" s="71"/>
      <c r="N36" s="55"/>
      <c r="O36" s="244" t="s">
        <v>103</v>
      </c>
      <c r="P36" s="245"/>
      <c r="Q36" s="235">
        <f>EINSTELLUNG!D14</f>
        <v>100000</v>
      </c>
      <c r="R36" s="235"/>
      <c r="S36" s="239">
        <f ca="1">SumMergedCells(Q17:R29)</f>
        <v>157032.9333</v>
      </c>
      <c r="T36" s="241"/>
      <c r="U36" s="236">
        <f t="shared" ref="U36:U41" ca="1" si="2">S36-Q36</f>
        <v>57032.933300000004</v>
      </c>
      <c r="V36" s="236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3500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3500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0.34896207400000001</v>
      </c>
      <c r="T37" s="246"/>
      <c r="U37" s="247">
        <f t="shared" ca="1" si="2"/>
        <v>9.8962074000000011E-2</v>
      </c>
      <c r="V37" s="247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EINSTELLUNG!F14</f>
        <v>30000</v>
      </c>
      <c r="R38" s="237"/>
      <c r="S38" s="237">
        <f>EINSTELLUNG!F30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14.516129032258064</v>
      </c>
      <c r="T39" s="235"/>
      <c r="U39" s="236">
        <f t="shared" si="2"/>
        <v>1.1827956989247301</v>
      </c>
      <c r="V39" s="236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IF(Q13=0, 0, Q35/Q13)</f>
        <v>49.249196006875195</v>
      </c>
      <c r="R40" s="235"/>
      <c r="S40" s="235">
        <f>IF(Q13=0, 0, S35/Q13)</f>
        <v>55.405345507734594</v>
      </c>
      <c r="T40" s="235"/>
      <c r="U40" s="236">
        <f t="shared" si="2"/>
        <v>6.1561495008593994</v>
      </c>
      <c r="V40" s="236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IF(Q13=0, 0, Q38/Q13)</f>
        <v>3.6936897005156393</v>
      </c>
      <c r="R41" s="237"/>
      <c r="S41" s="237">
        <f>IF(Q13=0, 0, S38/Q13)</f>
        <v>3.8168126905328275</v>
      </c>
      <c r="T41" s="237"/>
      <c r="U41" s="238">
        <f t="shared" si="2"/>
        <v>0.12312299001718818</v>
      </c>
      <c r="V41" s="238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16.945786824545554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3500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3500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3500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3500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3500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3500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3500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3500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3500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3500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3500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3500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3500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3500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3500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3500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3500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3500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/eK+abgFoePS0ZwuT75Q8Hq1e4SAFJurj/SuE3tV7317NwH1Zg3gedxKroa5bwEZMWJToNtcLPSR+eUDPXypsg==" saltValue="aMX7DDCK58ZYkYZefphC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46296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3500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-4285.8916922695062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77" t="s">
        <v>58</v>
      </c>
      <c r="P8" s="278"/>
      <c r="Q8" s="279">
        <f>SUM(H3:H82)</f>
        <v>8723.1</v>
      </c>
      <c r="R8" s="279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77" t="s">
        <v>60</v>
      </c>
      <c r="P9" s="278"/>
      <c r="Q9" s="279">
        <f>EINSTELLUNG!L31</f>
        <v>10</v>
      </c>
      <c r="R9" s="279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77" t="s">
        <v>62</v>
      </c>
      <c r="P10" s="278"/>
      <c r="Q10" s="279">
        <f>EINSTELLUNG!I31</f>
        <v>0</v>
      </c>
      <c r="R10" s="279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-121</v>
      </c>
      <c r="R12" s="34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8234.1</v>
      </c>
      <c r="R13" s="279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EINSTELLUNG!L15</f>
        <v>9300</v>
      </c>
      <c r="R14" s="279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77" t="s">
        <v>72</v>
      </c>
      <c r="P15" s="278"/>
      <c r="Q15" s="279">
        <f>Q13-Q14</f>
        <v>-1065.8999999999996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3500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3500</v>
      </c>
      <c r="M17" s="71"/>
      <c r="N17" s="55"/>
      <c r="O17" s="281" t="s">
        <v>75</v>
      </c>
      <c r="P17" s="282"/>
      <c r="Q17" s="283">
        <f>SUM(L3:L82)</f>
        <v>147711.43870967743</v>
      </c>
      <c r="R17" s="283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3500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3500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3500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3500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3500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3500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3500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3500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3500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3500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3500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3500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3500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3500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3500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3500</v>
      </c>
      <c r="M29" s="71"/>
      <c r="N29" s="55"/>
      <c r="O29" s="253" t="s">
        <v>90</v>
      </c>
      <c r="P29" s="254"/>
      <c r="Q29" s="255">
        <f>EINSTELLUNG!O15</f>
        <v>1250</v>
      </c>
      <c r="R29" s="256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3500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3500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3500</v>
      </c>
      <c r="M31" s="71"/>
      <c r="N31" s="55"/>
      <c r="O31" s="259">
        <v>0</v>
      </c>
      <c r="P31" s="260"/>
      <c r="Q31" s="261">
        <v>1.7543859649122806E-2</v>
      </c>
      <c r="R31" s="262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3500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3500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3500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3500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3500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3500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3500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3500</v>
      </c>
      <c r="M35" s="71"/>
      <c r="N35" s="55"/>
      <c r="O35" s="244" t="s">
        <v>101</v>
      </c>
      <c r="P35" s="245"/>
      <c r="Q35" s="235">
        <f>EINSTELLUNG!C15</f>
        <v>400000</v>
      </c>
      <c r="R35" s="235"/>
      <c r="S35" s="235">
        <f>EINSTELLUNG!C31</f>
        <v>401000</v>
      </c>
      <c r="T35" s="235"/>
      <c r="U35" s="236">
        <f>S35-Q35</f>
        <v>1000</v>
      </c>
      <c r="V35" s="236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3500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3500</v>
      </c>
      <c r="M36" s="71"/>
      <c r="N36" s="55"/>
      <c r="O36" s="244" t="s">
        <v>103</v>
      </c>
      <c r="P36" s="245"/>
      <c r="Q36" s="235">
        <f>EINSTELLUNG!D15</f>
        <v>100000</v>
      </c>
      <c r="R36" s="235"/>
      <c r="S36" s="239">
        <f ca="1">SumMergedCells(Q17:R29)</f>
        <v>153961.4387</v>
      </c>
      <c r="T36" s="241"/>
      <c r="U36" s="236">
        <f t="shared" ref="U36:U41" ca="1" si="2">S36-Q36</f>
        <v>53961.438699999999</v>
      </c>
      <c r="V36" s="236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0.3839437374064838</v>
      </c>
      <c r="T37" s="246"/>
      <c r="U37" s="247">
        <f t="shared" ca="1" si="2"/>
        <v>0.1339437374064838</v>
      </c>
      <c r="V37" s="247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EINSTELLUNG!F15</f>
        <v>30000</v>
      </c>
      <c r="R38" s="237"/>
      <c r="S38" s="237">
        <f>EINSTELLUNG!F31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12.935483870967742</v>
      </c>
      <c r="T39" s="235"/>
      <c r="U39" s="236">
        <f t="shared" si="2"/>
        <v>-0.39784946236559193</v>
      </c>
      <c r="V39" s="236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IF(Q13=0, 0, Q35/Q13)</f>
        <v>48.578472449933813</v>
      </c>
      <c r="R40" s="235"/>
      <c r="S40" s="235">
        <f>IF(Q13=0, 0, S35/Q13)</f>
        <v>48.699918631058644</v>
      </c>
      <c r="T40" s="235"/>
      <c r="U40" s="236">
        <f t="shared" si="2"/>
        <v>0.1214461811248313</v>
      </c>
      <c r="V40" s="236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IF(Q13=0, 0, Q38/Q13)</f>
        <v>3.6433854337450358</v>
      </c>
      <c r="R41" s="237"/>
      <c r="S41" s="237">
        <f>IF(Q13=0, 0, S38/Q13)</f>
        <v>3.7648316148698702</v>
      </c>
      <c r="T41" s="237"/>
      <c r="U41" s="238">
        <f t="shared" si="2"/>
        <v>0.12144618112483441</v>
      </c>
      <c r="V41" s="238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16.933365284093661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3500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3500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3500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3500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3500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3500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3500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3500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3500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3500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3500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3500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3500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3500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3500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3500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3500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3500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PGqZvM8Mopt6f0lUp+y4gF5Z3zf3mVTz2L+vF7JXgAXAd7+wxj45E9B2QfRy99kRkGxWsS7MJk2hA8n2snFC1g==" saltValue="koxtKjbZD4kD7+WX71eiY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46327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3500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-3999.8701791892663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77" t="s">
        <v>58</v>
      </c>
      <c r="P8" s="278"/>
      <c r="Q8" s="279">
        <f>SUM(H3:H82)</f>
        <v>8551.9599999999991</v>
      </c>
      <c r="R8" s="279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77" t="s">
        <v>60</v>
      </c>
      <c r="P9" s="278"/>
      <c r="Q9" s="279">
        <f>EINSTELLUNG!L32</f>
        <v>11</v>
      </c>
      <c r="R9" s="279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77" t="s">
        <v>62</v>
      </c>
      <c r="P10" s="278"/>
      <c r="Q10" s="279">
        <f>EINSTELLUNG!I32</f>
        <v>150</v>
      </c>
      <c r="R10" s="279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68</v>
      </c>
      <c r="P12" s="278"/>
      <c r="Q12" s="279">
        <f>Q8-Q9-Q10-Q11</f>
        <v>7790.9599999999991</v>
      </c>
      <c r="R12" s="279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70</v>
      </c>
      <c r="P13" s="278"/>
      <c r="Q13" s="279">
        <f>EINSTELLUNG!L16</f>
        <v>9300</v>
      </c>
      <c r="R13" s="279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72</v>
      </c>
      <c r="P14" s="278"/>
      <c r="Q14" s="279">
        <f>Q12-Q13</f>
        <v>-1509.0400000000009</v>
      </c>
      <c r="R14" s="27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80" t="str">
        <f>IF(Q14&lt;0, "Schlecht! Zu wenig Stunden für Dienstplan.", IF(Q14&gt;0, "Du hast mehr als genug Stunden für Dienstplan.", ""))</f>
        <v>Schlecht! Zu wenig Stunden für Dienstplan.</v>
      </c>
      <c r="P15" s="280"/>
      <c r="Q15" s="280"/>
      <c r="R15" s="280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3500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3500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3500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3500</v>
      </c>
      <c r="M17" s="71"/>
      <c r="N17" s="55"/>
      <c r="O17" s="281" t="s">
        <v>75</v>
      </c>
      <c r="P17" s="282"/>
      <c r="Q17" s="283">
        <f>SUM(L3:L82)</f>
        <v>144693.26666666666</v>
      </c>
      <c r="R17" s="283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3500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3500</v>
      </c>
      <c r="M19" s="71"/>
      <c r="N19" s="55"/>
      <c r="O19" s="266"/>
      <c r="P19" s="267"/>
      <c r="Q19" s="257"/>
      <c r="R19" s="258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3500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3500</v>
      </c>
      <c r="M20" s="71"/>
      <c r="N20" s="55"/>
      <c r="O20" s="266"/>
      <c r="P20" s="267"/>
      <c r="Q20" s="257"/>
      <c r="R20" s="258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6"/>
      <c r="P22" s="267"/>
      <c r="Q22" s="257"/>
      <c r="R22" s="258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3500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3500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3500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3500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3500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3500</v>
      </c>
      <c r="M25" s="71"/>
      <c r="N25" s="55"/>
      <c r="O25" s="268"/>
      <c r="P25" s="269"/>
      <c r="Q25" s="270"/>
      <c r="R25" s="271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3500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3500</v>
      </c>
      <c r="M27" s="71"/>
      <c r="N27" s="55"/>
      <c r="O27" s="249"/>
      <c r="P27" s="250"/>
      <c r="Q27" s="258"/>
      <c r="R27" s="276"/>
      <c r="S27" s="242" t="s">
        <v>87</v>
      </c>
      <c r="T27" s="243"/>
      <c r="U27" s="243"/>
      <c r="V27" s="243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3500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3500</v>
      </c>
      <c r="M28" s="71"/>
      <c r="N28" s="55"/>
      <c r="O28" s="296"/>
      <c r="P28" s="297"/>
      <c r="Q28" s="251"/>
      <c r="R28" s="252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3500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3500</v>
      </c>
      <c r="M29" s="71"/>
      <c r="N29" s="55"/>
      <c r="O29" s="253" t="s">
        <v>90</v>
      </c>
      <c r="P29" s="254"/>
      <c r="Q29" s="255">
        <f>EINSTELLUNG!O16</f>
        <v>1250</v>
      </c>
      <c r="R29" s="256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3500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3500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3500</v>
      </c>
      <c r="M31" s="71"/>
      <c r="N31" s="55"/>
      <c r="O31" s="259">
        <v>0</v>
      </c>
      <c r="P31" s="260"/>
      <c r="Q31" s="261">
        <v>1.7857142857142856E-2</v>
      </c>
      <c r="R31" s="262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3500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3500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3500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3500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3500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3500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3500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3500</v>
      </c>
      <c r="M35" s="71"/>
      <c r="N35" s="55"/>
      <c r="O35" s="244" t="s">
        <v>101</v>
      </c>
      <c r="P35" s="245"/>
      <c r="Q35" s="235">
        <f>EINSTELLUNG!C16</f>
        <v>400000</v>
      </c>
      <c r="R35" s="235"/>
      <c r="S35" s="235">
        <f>EINSTELLUNG!C32</f>
        <v>398000</v>
      </c>
      <c r="T35" s="235"/>
      <c r="U35" s="236">
        <f>S35-Q35</f>
        <v>-2000</v>
      </c>
      <c r="V35" s="236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44" t="s">
        <v>103</v>
      </c>
      <c r="P36" s="245"/>
      <c r="Q36" s="235">
        <f>EINSTELLUNG!D16</f>
        <v>100000</v>
      </c>
      <c r="R36" s="235"/>
      <c r="S36" s="239">
        <f ca="1">SumMergedCells(Q17:R29)</f>
        <v>150943.26670000001</v>
      </c>
      <c r="T36" s="241"/>
      <c r="U36" s="236">
        <f t="shared" ref="U36:U41" ca="1" si="2">S36-Q36</f>
        <v>50943.266700000007</v>
      </c>
      <c r="V36" s="236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0.37925443894472366</v>
      </c>
      <c r="T37" s="246"/>
      <c r="U37" s="247">
        <f t="shared" ca="1" si="2"/>
        <v>0.12925443894472366</v>
      </c>
      <c r="V37" s="247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EINSTELLUNG!F16</f>
        <v>30000</v>
      </c>
      <c r="R38" s="237"/>
      <c r="S38" s="237">
        <f>EINSTELLUNG!F32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12.838709677419354</v>
      </c>
      <c r="T39" s="235"/>
      <c r="U39" s="236">
        <f t="shared" si="2"/>
        <v>-0.49462365591397983</v>
      </c>
      <c r="V39" s="236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IF(Q12=0, 0, Q35/Q12)</f>
        <v>51.341554827646405</v>
      </c>
      <c r="R40" s="235"/>
      <c r="S40" s="235">
        <f>IF(Q12=0, 0, S35/Q12)</f>
        <v>51.084847053508177</v>
      </c>
      <c r="T40" s="235"/>
      <c r="U40" s="236">
        <f t="shared" si="2"/>
        <v>-0.25670777413822776</v>
      </c>
      <c r="V40" s="236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IF(Q12=0, 0, Q38/Q12)</f>
        <v>3.8506166120734804</v>
      </c>
      <c r="R41" s="237"/>
      <c r="S41" s="237">
        <f>IF(Q12=0, 0, S38/Q12)</f>
        <v>3.9789704991425965</v>
      </c>
      <c r="T41" s="237"/>
      <c r="U41" s="238">
        <f t="shared" si="2"/>
        <v>0.1283538870691161</v>
      </c>
      <c r="V41" s="238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16.919310505038222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3500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3500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3500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3500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3500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3500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3500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3500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3500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3500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3500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3500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3500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3500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3500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1166.6666666666667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3500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3500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Xou14c1lu57uIMCSuhB6BPZpFun/rd9VxLO4fcCsEnofsjm/AqpJW4bx0xgWIMMygldr3TYpsiuI3b9fRHx0RQ==" saltValue="Z/8CO2ORoyFEaT3yR9rtC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298" t="s">
        <v>191</v>
      </c>
      <c r="C1" s="302" t="s">
        <v>40</v>
      </c>
      <c r="D1" s="304" t="s">
        <v>192</v>
      </c>
      <c r="E1" s="304" t="s">
        <v>0</v>
      </c>
      <c r="F1" s="304" t="s">
        <v>41</v>
      </c>
      <c r="G1" s="306" t="s">
        <v>42</v>
      </c>
      <c r="H1" s="300" t="s">
        <v>43</v>
      </c>
      <c r="I1" s="284" t="s">
        <v>193</v>
      </c>
      <c r="J1" s="286" t="s">
        <v>44</v>
      </c>
      <c r="K1" s="288" t="s">
        <v>45</v>
      </c>
      <c r="L1" s="290" t="s">
        <v>46</v>
      </c>
      <c r="M1" s="292" t="s">
        <v>47</v>
      </c>
      <c r="N1" s="299" t="s">
        <v>194</v>
      </c>
      <c r="AB1" s="8">
        <f>DATE(EINSTELLUNG!$C$35,$A$1,1)</f>
        <v>46357</v>
      </c>
    </row>
    <row r="2" spans="1:28" ht="16" customHeight="1" thickBot="1">
      <c r="A2" s="39"/>
      <c r="B2" s="298"/>
      <c r="C2" s="303"/>
      <c r="D2" s="305"/>
      <c r="E2" s="305"/>
      <c r="F2" s="305"/>
      <c r="G2" s="307"/>
      <c r="H2" s="301"/>
      <c r="I2" s="285"/>
      <c r="J2" s="287"/>
      <c r="K2" s="289"/>
      <c r="L2" s="291"/>
      <c r="M2" s="293"/>
      <c r="N2" s="299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3500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3500</v>
      </c>
      <c r="M3" s="70"/>
      <c r="N3" s="54"/>
      <c r="O3" s="294" t="s">
        <v>49</v>
      </c>
      <c r="P3" s="294" t="s">
        <v>50</v>
      </c>
      <c r="Q3" s="308" t="s">
        <v>51</v>
      </c>
      <c r="R3" s="310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95"/>
      <c r="P4" s="295"/>
      <c r="Q4" s="309"/>
      <c r="R4" s="311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-3712.4630001681353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2" t="str">
        <f>IF(Q5&lt;0, "Schlecht! Zu wenig Urlaub abgebaut.", IF(Q5&gt;0, "Gut! Mehr Urlaub abgebaut als aufgebaut.", ""))</f>
        <v>Schlecht! Zu wenig Urlaub abgebaut.</v>
      </c>
      <c r="P6" s="313"/>
      <c r="Q6" s="313"/>
      <c r="R6" s="314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77" t="s">
        <v>58</v>
      </c>
      <c r="P8" s="278"/>
      <c r="Q8" s="279">
        <f>SUM(H3:H82)</f>
        <v>8494.2999999999993</v>
      </c>
      <c r="R8" s="279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77" t="s">
        <v>60</v>
      </c>
      <c r="P9" s="278"/>
      <c r="Q9" s="279">
        <f>EINSTELLUNG!L33</f>
        <v>12</v>
      </c>
      <c r="R9" s="279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77" t="s">
        <v>62</v>
      </c>
      <c r="P10" s="278"/>
      <c r="Q10" s="279">
        <f>EINSTELLUNG!I33</f>
        <v>400</v>
      </c>
      <c r="R10" s="279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77" t="s">
        <v>64</v>
      </c>
      <c r="P11" s="278"/>
      <c r="Q11" s="279">
        <f>P5</f>
        <v>600</v>
      </c>
      <c r="R11" s="27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77" t="s">
        <v>66</v>
      </c>
      <c r="P12" s="278"/>
      <c r="Q12" s="346">
        <v>-303</v>
      </c>
      <c r="R12" s="346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77" t="s">
        <v>68</v>
      </c>
      <c r="P13" s="278"/>
      <c r="Q13" s="279">
        <f>Q8-Q9-Q10-Q11-Q12</f>
        <v>7785.2999999999993</v>
      </c>
      <c r="R13" s="279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77" t="s">
        <v>70</v>
      </c>
      <c r="P14" s="278"/>
      <c r="Q14" s="279">
        <f>EINSTELLUNG!L17</f>
        <v>9300</v>
      </c>
      <c r="R14" s="27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77" t="s">
        <v>72</v>
      </c>
      <c r="P15" s="278"/>
      <c r="Q15" s="279">
        <f>Q13-Q14</f>
        <v>-1514.7000000000007</v>
      </c>
      <c r="R15" s="279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3500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3500</v>
      </c>
      <c r="M16" s="71"/>
      <c r="N16" s="55"/>
      <c r="O16" s="337" t="str">
        <f>IF(Q15&lt;0, "Schlecht! Zu wenig Stunden für Dienstplan.", IF(Q15&gt;0, "Du hast mehr als genug Stunden für Dienstplan.", ""))</f>
        <v>Schlecht! Zu wenig Stunden für Dienstplan.</v>
      </c>
      <c r="P16" s="337"/>
      <c r="Q16" s="337"/>
      <c r="R16" s="337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3500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3500</v>
      </c>
      <c r="M17" s="71"/>
      <c r="N17" s="55"/>
      <c r="O17" s="281" t="s">
        <v>75</v>
      </c>
      <c r="P17" s="282"/>
      <c r="Q17" s="283">
        <f>SUM(L3:L82)</f>
        <v>143526.6</v>
      </c>
      <c r="R17" s="283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6"/>
      <c r="P18" s="267"/>
      <c r="Q18" s="257"/>
      <c r="R18" s="258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3500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3500</v>
      </c>
      <c r="M19" s="71"/>
      <c r="N19" s="55"/>
      <c r="O19" s="266"/>
      <c r="P19" s="267"/>
      <c r="Q19" s="257"/>
      <c r="R19" s="258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3500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3500</v>
      </c>
      <c r="M20" s="71"/>
      <c r="N20" s="55"/>
      <c r="O20" s="266"/>
      <c r="P20" s="267"/>
      <c r="Q20" s="257"/>
      <c r="R20" s="258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6" t="s">
        <v>320</v>
      </c>
      <c r="P21" s="267"/>
      <c r="Q21" s="257">
        <v>5000</v>
      </c>
      <c r="R21" s="258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6"/>
      <c r="P22" s="267"/>
      <c r="Q22" s="257"/>
      <c r="R22" s="258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3500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3500</v>
      </c>
      <c r="M23" s="71"/>
      <c r="N23" s="55"/>
      <c r="O23" s="266"/>
      <c r="P23" s="267"/>
      <c r="Q23" s="257"/>
      <c r="R23" s="258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3500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3500</v>
      </c>
      <c r="M24" s="71"/>
      <c r="N24" s="55"/>
      <c r="O24" s="266"/>
      <c r="P24" s="267"/>
      <c r="Q24" s="257"/>
      <c r="R24" s="258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3500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3500</v>
      </c>
      <c r="M25" s="71"/>
      <c r="N25" s="55"/>
      <c r="O25" s="268"/>
      <c r="P25" s="269"/>
      <c r="Q25" s="270"/>
      <c r="R25" s="271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72"/>
      <c r="P26" s="273"/>
      <c r="Q26" s="274"/>
      <c r="R26" s="275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3500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3500</v>
      </c>
      <c r="M27" s="71"/>
      <c r="N27" s="55"/>
      <c r="O27" s="249"/>
      <c r="P27" s="250"/>
      <c r="Q27" s="258"/>
      <c r="R27" s="276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3500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3500</v>
      </c>
      <c r="M28" s="71"/>
      <c r="N28" s="55"/>
      <c r="O28" s="249"/>
      <c r="P28" s="250"/>
      <c r="Q28" s="258"/>
      <c r="R28" s="276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3500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3500</v>
      </c>
      <c r="M29" s="71"/>
      <c r="N29" s="55"/>
      <c r="O29" s="391" t="s">
        <v>90</v>
      </c>
      <c r="P29" s="392"/>
      <c r="Q29" s="393">
        <f>EINSTELLUNG!O17</f>
        <v>1250</v>
      </c>
      <c r="R29" s="394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3500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3500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3500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3500</v>
      </c>
      <c r="M31" s="71"/>
      <c r="N31" s="55"/>
      <c r="O31" s="259">
        <v>0</v>
      </c>
      <c r="P31" s="260"/>
      <c r="Q31" s="261">
        <v>0</v>
      </c>
      <c r="R31" s="262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3500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3500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3500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3500</v>
      </c>
      <c r="M33" s="71"/>
      <c r="N33" s="55"/>
      <c r="O33" s="263"/>
      <c r="P33" s="264"/>
      <c r="Q33" s="265" t="str">
        <f>EINSTELLUNG!B3</f>
        <v>Budget Zahlen</v>
      </c>
      <c r="R33" s="265"/>
      <c r="S33" s="248" t="str">
        <f>EINSTELLUNG!B19</f>
        <v>Projection/Aktuell Zahlen</v>
      </c>
      <c r="T33" s="248"/>
      <c r="U33" s="248" t="s">
        <v>98</v>
      </c>
      <c r="V33" s="248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3500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3500</v>
      </c>
      <c r="M34" s="71"/>
      <c r="N34" s="55"/>
      <c r="O34" s="263"/>
      <c r="P34" s="264"/>
      <c r="Q34" s="265"/>
      <c r="R34" s="265"/>
      <c r="S34" s="248"/>
      <c r="T34" s="248"/>
      <c r="U34" s="248"/>
      <c r="V34" s="248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3500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3500</v>
      </c>
      <c r="M35" s="71"/>
      <c r="N35" s="55"/>
      <c r="O35" s="244" t="s">
        <v>101</v>
      </c>
      <c r="P35" s="245"/>
      <c r="Q35" s="235">
        <f>EINSTELLUNG!C17</f>
        <v>400000</v>
      </c>
      <c r="R35" s="235"/>
      <c r="S35" s="235">
        <f>EINSTELLUNG!C33</f>
        <v>390000</v>
      </c>
      <c r="T35" s="235"/>
      <c r="U35" s="236">
        <f>S35-Q35</f>
        <v>-10000</v>
      </c>
      <c r="V35" s="236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44" t="s">
        <v>103</v>
      </c>
      <c r="P36" s="245"/>
      <c r="Q36" s="235">
        <f>EINSTELLUNG!D17</f>
        <v>100000</v>
      </c>
      <c r="R36" s="235"/>
      <c r="S36" s="239">
        <f ca="1">SumMergedCells(Q17:R29)</f>
        <v>149776.6</v>
      </c>
      <c r="T36" s="241"/>
      <c r="U36" s="236">
        <f t="shared" ref="U36:U41" ca="1" si="2">S36-Q36</f>
        <v>49776.600000000006</v>
      </c>
      <c r="V36" s="236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44" t="s">
        <v>105</v>
      </c>
      <c r="P37" s="245"/>
      <c r="Q37" s="246">
        <f>IF(ISERROR(Q36/Q35), 0, Q36/Q35)</f>
        <v>0.25</v>
      </c>
      <c r="R37" s="246"/>
      <c r="S37" s="246">
        <f ca="1">IF(ISERROR(S36/S35), 0, S36/S35)</f>
        <v>0.3840425641025641</v>
      </c>
      <c r="T37" s="246"/>
      <c r="U37" s="247">
        <f t="shared" ca="1" si="2"/>
        <v>0.1340425641025641</v>
      </c>
      <c r="V37" s="247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44" t="s">
        <v>107</v>
      </c>
      <c r="P38" s="245"/>
      <c r="Q38" s="237">
        <f>EINSTELLUNG!F17</f>
        <v>30000</v>
      </c>
      <c r="R38" s="237"/>
      <c r="S38" s="237">
        <f>EINSTELLUNG!F33</f>
        <v>31000</v>
      </c>
      <c r="T38" s="237"/>
      <c r="U38" s="238">
        <f t="shared" si="2"/>
        <v>1000</v>
      </c>
      <c r="V38" s="238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44" t="s">
        <v>109</v>
      </c>
      <c r="P39" s="245"/>
      <c r="Q39" s="235">
        <f>IF(Q38=0, 0, Q35/Q38)</f>
        <v>13.333333333333334</v>
      </c>
      <c r="R39" s="235"/>
      <c r="S39" s="235">
        <f>IF(S38=0, 0, S35/S38)</f>
        <v>12.580645161290322</v>
      </c>
      <c r="T39" s="235"/>
      <c r="U39" s="236">
        <f t="shared" si="2"/>
        <v>-0.75268817204301186</v>
      </c>
      <c r="V39" s="236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44" t="s">
        <v>111</v>
      </c>
      <c r="P40" s="245"/>
      <c r="Q40" s="235">
        <f>IF(Q13=0, 0, Q35/Q13)</f>
        <v>51.378880711083717</v>
      </c>
      <c r="R40" s="235"/>
      <c r="S40" s="235">
        <f>IF(Q13=0, 0, S35/Q13)</f>
        <v>50.094408693306619</v>
      </c>
      <c r="T40" s="235"/>
      <c r="U40" s="236">
        <f t="shared" si="2"/>
        <v>-1.2844720177770981</v>
      </c>
      <c r="V40" s="236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44" t="s">
        <v>113</v>
      </c>
      <c r="P41" s="245"/>
      <c r="Q41" s="237">
        <f>IF(Q13=0, 0, Q38/Q13)</f>
        <v>3.8534160533312787</v>
      </c>
      <c r="R41" s="237"/>
      <c r="S41" s="237">
        <f>IF(Q13=0, 0, S38/Q13)</f>
        <v>3.9818632551089879</v>
      </c>
      <c r="T41" s="237"/>
      <c r="U41" s="238">
        <f t="shared" si="2"/>
        <v>0.12844720177770919</v>
      </c>
      <c r="V41" s="238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44" t="s">
        <v>115</v>
      </c>
      <c r="P42" s="245"/>
      <c r="Q42" s="239">
        <f>IFERROR(Q17/Q8, 0)</f>
        <v>16.896813157058265</v>
      </c>
      <c r="R42" s="240"/>
      <c r="S42" s="240"/>
      <c r="T42" s="240"/>
      <c r="U42" s="240"/>
      <c r="V42" s="241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3500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3500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3500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3500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3500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3500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3500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3500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3500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3500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3500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3500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3500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3500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3500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3500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bis+UnkTGi0DDPAa3f45PxrDi/DU30vHd7u8NCTUKqQB+Hj30GJEVWZD/lUmNzcLlXC9S3MCBElyassTWmypzQ==" saltValue="1+RMgy+t+K3dIGL4hQiZ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396" t="str">
        <f xml:space="preserve"> "FINANZIELL ÜBERSICHT " &amp; EINSTELLUNG!C35</f>
        <v>FINANZIELL ÜBERSICHT 2026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2"/>
    </row>
    <row r="3" spans="2:18" ht="18" customHeight="1" thickBot="1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2"/>
    </row>
    <row r="4" spans="2:18" ht="24" customHeight="1">
      <c r="B4" s="400"/>
      <c r="C4" s="398" t="s">
        <v>18</v>
      </c>
      <c r="D4" s="398"/>
      <c r="E4" s="398"/>
      <c r="F4" s="398" t="s">
        <v>164</v>
      </c>
      <c r="G4" s="398"/>
      <c r="H4" s="398"/>
      <c r="I4" s="398" t="s">
        <v>165</v>
      </c>
      <c r="J4" s="398"/>
      <c r="K4" s="398"/>
      <c r="L4" s="398" t="s">
        <v>166</v>
      </c>
      <c r="M4" s="398" t="s">
        <v>167</v>
      </c>
      <c r="N4" s="398" t="s">
        <v>168</v>
      </c>
      <c r="O4" s="398"/>
      <c r="P4" s="398"/>
      <c r="Q4" s="402" t="s">
        <v>93</v>
      </c>
    </row>
    <row r="5" spans="2:18" ht="30" customHeight="1"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403"/>
    </row>
    <row r="6" spans="2:18" ht="30" customHeight="1">
      <c r="B6" s="401"/>
      <c r="C6" s="208" t="s">
        <v>169</v>
      </c>
      <c r="D6" s="208" t="s">
        <v>170</v>
      </c>
      <c r="E6" s="208" t="s">
        <v>171</v>
      </c>
      <c r="F6" s="208" t="s">
        <v>169</v>
      </c>
      <c r="G6" s="208" t="s">
        <v>170</v>
      </c>
      <c r="H6" s="208" t="s">
        <v>171</v>
      </c>
      <c r="I6" s="208" t="s">
        <v>169</v>
      </c>
      <c r="J6" s="208" t="s">
        <v>170</v>
      </c>
      <c r="K6" s="208" t="s">
        <v>171</v>
      </c>
      <c r="L6" s="399"/>
      <c r="M6" s="399"/>
      <c r="N6" s="208" t="s">
        <v>172</v>
      </c>
      <c r="O6" s="208" t="s">
        <v>173</v>
      </c>
      <c r="P6" s="208" t="s">
        <v>171</v>
      </c>
      <c r="Q6" s="403"/>
    </row>
    <row r="7" spans="2:18" ht="30" customHeight="1">
      <c r="B7" s="209" t="s">
        <v>174</v>
      </c>
      <c r="C7" s="210">
        <f>EINSTELLUNG!C6</f>
        <v>400000</v>
      </c>
      <c r="D7" s="210">
        <f>EINSTELLUNG!C22</f>
        <v>425000</v>
      </c>
      <c r="E7" s="211">
        <f>D7-C7</f>
        <v>25000</v>
      </c>
      <c r="F7" s="210">
        <f>EINSTELLUNG!D6</f>
        <v>100000</v>
      </c>
      <c r="G7" s="210">
        <v>96111.986000000004</v>
      </c>
      <c r="H7" s="211">
        <v>-3888.0139999999956</v>
      </c>
      <c r="I7" s="212">
        <f>EINSTELLUNG!E6</f>
        <v>0.25</v>
      </c>
      <c r="J7" s="212">
        <v>0.22614584941176472</v>
      </c>
      <c r="K7" s="212">
        <v>-2.3854150588235284E-2</v>
      </c>
      <c r="L7" s="213">
        <f>Januar!S40</f>
        <v>63.255060776950749</v>
      </c>
      <c r="M7" s="213">
        <f>Januar!S41</f>
        <v>4.3162276765448748</v>
      </c>
      <c r="N7" s="213">
        <f>Januar!O5</f>
        <v>722.46717552718769</v>
      </c>
      <c r="O7" s="213">
        <f>Januar!P5</f>
        <v>600</v>
      </c>
      <c r="P7" s="214">
        <f>O7-N7</f>
        <v>-122.46717552718769</v>
      </c>
      <c r="Q7" s="215">
        <v>1.9607843137254902E-2</v>
      </c>
    </row>
    <row r="8" spans="2:18" ht="30" customHeight="1">
      <c r="B8" s="182" t="s">
        <v>175</v>
      </c>
      <c r="C8" s="203">
        <f>EINSTELLUNG!C7</f>
        <v>400000</v>
      </c>
      <c r="D8" s="203">
        <f>EINSTELLUNG!C23</f>
        <v>425000</v>
      </c>
      <c r="E8" s="216">
        <f>D8-C8</f>
        <v>25000</v>
      </c>
      <c r="F8" s="203">
        <f>EINSTELLUNG!D7</f>
        <v>100000</v>
      </c>
      <c r="G8" s="203">
        <v>109771.0129</v>
      </c>
      <c r="H8" s="216">
        <v>9771.0129000000015</v>
      </c>
      <c r="I8" s="217">
        <f>EINSTELLUNG!E7</f>
        <v>0.25</v>
      </c>
      <c r="J8" s="217">
        <v>0.25828473623529413</v>
      </c>
      <c r="K8" s="217">
        <v>8.2847362352941323E-3</v>
      </c>
      <c r="L8" s="184">
        <f>Februar!S40</f>
        <v>52.850770564234836</v>
      </c>
      <c r="M8" s="184">
        <f>Februar!S41</f>
        <v>3.6062878737948476</v>
      </c>
      <c r="N8" s="184">
        <f>Februar!O5</f>
        <v>847.67804086844035</v>
      </c>
      <c r="O8" s="184">
        <f>Februar!P5</f>
        <v>600</v>
      </c>
      <c r="P8" s="218">
        <f t="shared" ref="P8:P23" si="0">O8-N8</f>
        <v>-247.67804086844035</v>
      </c>
      <c r="Q8" s="219">
        <v>1.7241379310344827E-2</v>
      </c>
    </row>
    <row r="9" spans="2:18" ht="30" customHeight="1">
      <c r="B9" s="209" t="s">
        <v>176</v>
      </c>
      <c r="C9" s="210">
        <f>EINSTELLUNG!C8</f>
        <v>400000</v>
      </c>
      <c r="D9" s="210">
        <f>EINSTELLUNG!C24</f>
        <v>430000</v>
      </c>
      <c r="E9" s="211">
        <f>D9-C9</f>
        <v>30000</v>
      </c>
      <c r="F9" s="210">
        <f>EINSTELLUNG!D8</f>
        <v>100000</v>
      </c>
      <c r="G9" s="210">
        <v>113271.0961</v>
      </c>
      <c r="H9" s="211">
        <v>13271.096099999995</v>
      </c>
      <c r="I9" s="212">
        <f>EINSTELLUNG!E8</f>
        <v>0.25</v>
      </c>
      <c r="J9" s="212">
        <v>0.26342115372093022</v>
      </c>
      <c r="K9" s="212">
        <v>1.3421153720930223E-2</v>
      </c>
      <c r="L9" s="213">
        <f>Marz!S40</f>
        <v>49.071073172958407</v>
      </c>
      <c r="M9" s="213">
        <f>Marz!S41</f>
        <v>3.3094444698041716</v>
      </c>
      <c r="N9" s="213">
        <f>Marz!O5</f>
        <v>872.72021393669127</v>
      </c>
      <c r="O9" s="213">
        <f>Marz!P5</f>
        <v>600</v>
      </c>
      <c r="P9" s="214">
        <f t="shared" si="0"/>
        <v>-272.72021393669127</v>
      </c>
      <c r="Q9" s="215">
        <v>1.6949152542372881E-2</v>
      </c>
    </row>
    <row r="10" spans="2:18" ht="30" customHeight="1">
      <c r="B10" s="220" t="s">
        <v>177</v>
      </c>
      <c r="C10" s="221">
        <f>SUM(C7:C9)</f>
        <v>1200000</v>
      </c>
      <c r="D10" s="221">
        <f>SUM(D7:D9)</f>
        <v>1280000</v>
      </c>
      <c r="E10" s="222">
        <f>D10-C10</f>
        <v>80000</v>
      </c>
      <c r="F10" s="221">
        <f>SUM(F7:F9)</f>
        <v>300000</v>
      </c>
      <c r="G10" s="221">
        <v>319154.09499999997</v>
      </c>
      <c r="H10" s="222">
        <v>19154.094999999972</v>
      </c>
      <c r="I10" s="223">
        <f>AVERAGE(I7:I9)</f>
        <v>0.25</v>
      </c>
      <c r="J10" s="223">
        <v>0.24928391312266304</v>
      </c>
      <c r="K10" s="223">
        <v>-7.1608687733695775E-4</v>
      </c>
      <c r="L10" s="224">
        <f>AVERAGE(L7:L9)</f>
        <v>55.058968171381331</v>
      </c>
      <c r="M10" s="224">
        <f>AVERAGE(M7:M9)</f>
        <v>3.7439866733812983</v>
      </c>
      <c r="N10" s="224">
        <f>SUM(N7:N9)</f>
        <v>2442.8654303323192</v>
      </c>
      <c r="O10" s="224">
        <f>SUM(O7:O9)</f>
        <v>1800</v>
      </c>
      <c r="P10" s="225">
        <f t="shared" si="0"/>
        <v>-642.86543033231919</v>
      </c>
      <c r="Q10" s="226">
        <v>5.3571428571428568E-2</v>
      </c>
    </row>
    <row r="11" spans="2:18" ht="30" customHeight="1">
      <c r="B11" s="209" t="s">
        <v>178</v>
      </c>
      <c r="C11" s="210">
        <f>EINSTELLUNG!C9</f>
        <v>400000</v>
      </c>
      <c r="D11" s="210">
        <f>EINSTELLUNG!C25</f>
        <v>423000</v>
      </c>
      <c r="E11" s="211">
        <f t="shared" ref="E11:E21" si="1">D11-C11</f>
        <v>23000</v>
      </c>
      <c r="F11" s="210">
        <f>EINSTELLUNG!D9</f>
        <v>100000</v>
      </c>
      <c r="G11" s="210">
        <v>111850.4</v>
      </c>
      <c r="H11" s="211">
        <v>11850.399999999994</v>
      </c>
      <c r="I11" s="212">
        <f>EINSTELLUNG!E9</f>
        <v>0.25</v>
      </c>
      <c r="J11" s="212">
        <v>0.26442174940898344</v>
      </c>
      <c r="K11" s="212">
        <v>1.4421749408983442E-2</v>
      </c>
      <c r="L11" s="213">
        <f>April!S40</f>
        <v>50.981176737156488</v>
      </c>
      <c r="M11" s="213">
        <f>April!S41</f>
        <v>3.4951634169681753</v>
      </c>
      <c r="N11" s="213">
        <f>April!O5</f>
        <v>853.85414520897245</v>
      </c>
      <c r="O11" s="213">
        <f>April!P5</f>
        <v>600</v>
      </c>
      <c r="P11" s="214">
        <f t="shared" si="0"/>
        <v>-253.85414520897245</v>
      </c>
      <c r="Q11" s="215">
        <v>0</v>
      </c>
    </row>
    <row r="12" spans="2:18" ht="30" customHeight="1">
      <c r="B12" s="182" t="s">
        <v>179</v>
      </c>
      <c r="C12" s="203">
        <f>EINSTELLUNG!C10</f>
        <v>400000</v>
      </c>
      <c r="D12" s="203">
        <f>EINSTELLUNG!C26</f>
        <v>420000</v>
      </c>
      <c r="E12" s="216">
        <f t="shared" si="1"/>
        <v>20000</v>
      </c>
      <c r="F12" s="203">
        <f>EINSTELLUNG!D10</f>
        <v>100000</v>
      </c>
      <c r="G12" s="203">
        <v>133750.30969999998</v>
      </c>
      <c r="H12" s="216">
        <v>33750.309699999983</v>
      </c>
      <c r="I12" s="217">
        <f>EINSTELLUNG!E10</f>
        <v>0.25</v>
      </c>
      <c r="J12" s="217">
        <v>0.31845311833333328</v>
      </c>
      <c r="K12" s="217">
        <v>6.8453118333333285E-2</v>
      </c>
      <c r="L12" s="184">
        <f>Mai!S40</f>
        <v>52.139844027380875</v>
      </c>
      <c r="M12" s="184">
        <f>Mai!S41</f>
        <v>3.8484170591638267</v>
      </c>
      <c r="N12" s="184">
        <f>Mai!O5</f>
        <v>896.92764790266722</v>
      </c>
      <c r="O12" s="184">
        <f>Mai!P5</f>
        <v>600</v>
      </c>
      <c r="P12" s="218">
        <f t="shared" si="0"/>
        <v>-296.92764790266722</v>
      </c>
      <c r="Q12" s="219">
        <v>1.6393442622950821E-2</v>
      </c>
    </row>
    <row r="13" spans="2:18" ht="30" customHeight="1">
      <c r="B13" s="209" t="s">
        <v>180</v>
      </c>
      <c r="C13" s="210">
        <f>EINSTELLUNG!C11</f>
        <v>400000</v>
      </c>
      <c r="D13" s="210">
        <f>EINSTELLUNG!C27</f>
        <v>435000</v>
      </c>
      <c r="E13" s="211">
        <f t="shared" si="1"/>
        <v>35000</v>
      </c>
      <c r="F13" s="210">
        <f>EINSTELLUNG!D11</f>
        <v>100000</v>
      </c>
      <c r="G13" s="210">
        <v>128297.51669999999</v>
      </c>
      <c r="H13" s="211">
        <v>28297.516699999993</v>
      </c>
      <c r="I13" s="212">
        <f>EINSTELLUNG!E11</f>
        <v>0.25</v>
      </c>
      <c r="J13" s="212">
        <v>0.29493681999999999</v>
      </c>
      <c r="K13" s="212">
        <v>4.4936819999999988E-2</v>
      </c>
      <c r="L13" s="213">
        <f>Juni!S40</f>
        <v>20714.285714285714</v>
      </c>
      <c r="M13" s="213">
        <f>Juni!S41</f>
        <v>1476.1904761904761</v>
      </c>
      <c r="N13" s="213">
        <f>Juni!O5</f>
        <v>901.10134341404239</v>
      </c>
      <c r="O13" s="213">
        <f>Juni!P5</f>
        <v>600</v>
      </c>
      <c r="P13" s="214">
        <f t="shared" si="0"/>
        <v>-301.10134341404239</v>
      </c>
      <c r="Q13" s="215">
        <v>1.6393442622950821E-2</v>
      </c>
    </row>
    <row r="14" spans="2:18" ht="30" customHeight="1">
      <c r="B14" s="220" t="s">
        <v>181</v>
      </c>
      <c r="C14" s="221">
        <f>SUM(C11:C13)</f>
        <v>1200000</v>
      </c>
      <c r="D14" s="221">
        <f>SUM(D11:D13)</f>
        <v>1278000</v>
      </c>
      <c r="E14" s="222">
        <f t="shared" si="1"/>
        <v>78000</v>
      </c>
      <c r="F14" s="221">
        <f>SUM(F11:F13)</f>
        <v>300000</v>
      </c>
      <c r="G14" s="221">
        <v>373898.22639999999</v>
      </c>
      <c r="H14" s="222">
        <v>73898.226399999985</v>
      </c>
      <c r="I14" s="223">
        <f>AVERAGE(I11:I13)</f>
        <v>0.25</v>
      </c>
      <c r="J14" s="223">
        <v>0.29260389591410557</v>
      </c>
      <c r="K14" s="223">
        <v>4.2603895914105572E-2</v>
      </c>
      <c r="L14" s="224">
        <f>AVERAGE(L11:L13)</f>
        <v>6939.135578350084</v>
      </c>
      <c r="M14" s="224">
        <f>AVERAGE(M11:M13)</f>
        <v>494.51135222220273</v>
      </c>
      <c r="N14" s="224">
        <f>SUM(N11:N13)</f>
        <v>2651.8831365256819</v>
      </c>
      <c r="O14" s="224">
        <f>SUM(O11:O13)</f>
        <v>1800</v>
      </c>
      <c r="P14" s="225">
        <f t="shared" si="0"/>
        <v>-851.88313652568195</v>
      </c>
      <c r="Q14" s="226">
        <v>3.2967032967032968E-2</v>
      </c>
    </row>
    <row r="15" spans="2:18" ht="30" customHeight="1">
      <c r="B15" s="209" t="s">
        <v>182</v>
      </c>
      <c r="C15" s="210">
        <f>EINSTELLUNG!C12</f>
        <v>400000</v>
      </c>
      <c r="D15" s="210">
        <f>EINSTELLUNG!C28</f>
        <v>435000</v>
      </c>
      <c r="E15" s="211">
        <f t="shared" si="1"/>
        <v>35000</v>
      </c>
      <c r="F15" s="210">
        <f>EINSTELLUNG!D12</f>
        <v>100000</v>
      </c>
      <c r="G15" s="210">
        <v>116275.37420000001</v>
      </c>
      <c r="H15" s="211">
        <v>16275.374200000006</v>
      </c>
      <c r="I15" s="212">
        <f>EINSTELLUNG!E12</f>
        <v>0.25</v>
      </c>
      <c r="J15" s="212">
        <v>0.26729971080459769</v>
      </c>
      <c r="K15" s="212">
        <v>1.729971080459769E-2</v>
      </c>
      <c r="L15" s="213">
        <f>Juli!S40</f>
        <v>57.234131014846675</v>
      </c>
      <c r="M15" s="213">
        <f>Juli!S41</f>
        <v>4.0787541642764298</v>
      </c>
      <c r="N15" s="213">
        <f>Juli!O5</f>
        <v>803.01901638857532</v>
      </c>
      <c r="O15" s="213">
        <f>Juli!P5</f>
        <v>600</v>
      </c>
      <c r="P15" s="214">
        <f t="shared" si="0"/>
        <v>-203.01901638857532</v>
      </c>
      <c r="Q15" s="215">
        <v>1.6393442622950821E-2</v>
      </c>
    </row>
    <row r="16" spans="2:18" ht="30" customHeight="1">
      <c r="B16" s="182" t="s">
        <v>183</v>
      </c>
      <c r="C16" s="203">
        <f>EINSTELLUNG!C13</f>
        <v>400000</v>
      </c>
      <c r="D16" s="203">
        <f>EINSTELLUNG!C29</f>
        <v>435000</v>
      </c>
      <c r="E16" s="216">
        <f t="shared" si="1"/>
        <v>35000</v>
      </c>
      <c r="F16" s="203">
        <f>EINSTELLUNG!D13</f>
        <v>100000</v>
      </c>
      <c r="G16" s="203">
        <v>125232.6</v>
      </c>
      <c r="H16" s="216">
        <v>25232.600000000006</v>
      </c>
      <c r="I16" s="217">
        <f>EINSTELLUNG!E13</f>
        <v>0.25</v>
      </c>
      <c r="J16" s="217">
        <v>0.28789103448275866</v>
      </c>
      <c r="K16" s="217">
        <v>3.7891034482758656E-2</v>
      </c>
      <c r="L16" s="184">
        <f>August!S40</f>
        <v>52.490651234012986</v>
      </c>
      <c r="M16" s="184">
        <f>August!S41</f>
        <v>3.7407130764469025</v>
      </c>
      <c r="N16" s="184">
        <f>August!O5</f>
        <v>883.15397020697765</v>
      </c>
      <c r="O16" s="184">
        <f>August!P5</f>
        <v>620</v>
      </c>
      <c r="P16" s="218">
        <f t="shared" si="0"/>
        <v>-263.15397020697765</v>
      </c>
      <c r="Q16" s="219">
        <v>3.3898305084745763E-2</v>
      </c>
    </row>
    <row r="17" spans="2:17" ht="30" customHeight="1">
      <c r="B17" s="209" t="s">
        <v>184</v>
      </c>
      <c r="C17" s="210">
        <f>EINSTELLUNG!C14</f>
        <v>400000</v>
      </c>
      <c r="D17" s="210">
        <f>EINSTELLUNG!C30</f>
        <v>450000</v>
      </c>
      <c r="E17" s="211">
        <f t="shared" si="1"/>
        <v>50000</v>
      </c>
      <c r="F17" s="210">
        <f>EINSTELLUNG!D14</f>
        <v>100000</v>
      </c>
      <c r="G17" s="210">
        <v>122626.26669999999</v>
      </c>
      <c r="H17" s="211">
        <v>22626.266699999993</v>
      </c>
      <c r="I17" s="212">
        <f>EINSTELLUNG!E14</f>
        <v>0.25</v>
      </c>
      <c r="J17" s="212">
        <v>0.27250281488888889</v>
      </c>
      <c r="K17" s="212">
        <v>2.2502814888888889E-2</v>
      </c>
      <c r="L17" s="213">
        <f>September!S40</f>
        <v>55.405345507734594</v>
      </c>
      <c r="M17" s="213">
        <f>September!S41</f>
        <v>3.8168126905328275</v>
      </c>
      <c r="N17" s="213">
        <f>September!O5</f>
        <v>869.79814457057728</v>
      </c>
      <c r="O17" s="213">
        <f>September!P5</f>
        <v>600</v>
      </c>
      <c r="P17" s="214">
        <f t="shared" si="0"/>
        <v>-269.79814457057728</v>
      </c>
      <c r="Q17" s="215">
        <v>1.7241379310344827E-2</v>
      </c>
    </row>
    <row r="18" spans="2:17" ht="30" customHeight="1">
      <c r="B18" s="220" t="s">
        <v>185</v>
      </c>
      <c r="C18" s="221">
        <f>SUM(C15:C17)</f>
        <v>1200000</v>
      </c>
      <c r="D18" s="221">
        <f>SUM(D15:D17)</f>
        <v>1320000</v>
      </c>
      <c r="E18" s="222">
        <f>D18-C18</f>
        <v>120000</v>
      </c>
      <c r="F18" s="221">
        <f>SUM(F15:F17)</f>
        <v>300000</v>
      </c>
      <c r="G18" s="221">
        <v>364134.24089999998</v>
      </c>
      <c r="H18" s="222">
        <v>64134.240899999975</v>
      </c>
      <c r="I18" s="223">
        <f>AVERAGE(I15:I17)</f>
        <v>0.25</v>
      </c>
      <c r="J18" s="223">
        <v>0.27589785339208173</v>
      </c>
      <c r="K18" s="223">
        <v>2.5897853392081727E-2</v>
      </c>
      <c r="L18" s="224">
        <f>AVERAGE(L15:L17)</f>
        <v>55.043375918864761</v>
      </c>
      <c r="M18" s="224">
        <f>AVERAGE(M15:M17)</f>
        <v>3.8787599770853869</v>
      </c>
      <c r="N18" s="224">
        <f>SUM(N15:N17)</f>
        <v>2555.9711311661304</v>
      </c>
      <c r="O18" s="224">
        <f>SUM(O15:O17)</f>
        <v>1820</v>
      </c>
      <c r="P18" s="225">
        <f t="shared" si="0"/>
        <v>-735.97113116613036</v>
      </c>
      <c r="Q18" s="226">
        <v>6.741573033707865E-2</v>
      </c>
    </row>
    <row r="19" spans="2:17" ht="30" customHeight="1">
      <c r="B19" s="209" t="s">
        <v>186</v>
      </c>
      <c r="C19" s="210">
        <f>EINSTELLUNG!C15</f>
        <v>400000</v>
      </c>
      <c r="D19" s="210">
        <f>EINSTELLUNG!C31</f>
        <v>401000</v>
      </c>
      <c r="E19" s="211">
        <f>D19-C19</f>
        <v>1000</v>
      </c>
      <c r="F19" s="210">
        <f>EINSTELLUNG!D15</f>
        <v>100000</v>
      </c>
      <c r="G19" s="210">
        <v>120161.4387</v>
      </c>
      <c r="H19" s="211">
        <v>20161.438699999999</v>
      </c>
      <c r="I19" s="212">
        <f>EINSTELLUNG!E15</f>
        <v>0.25</v>
      </c>
      <c r="J19" s="212">
        <v>0.29965446059850376</v>
      </c>
      <c r="K19" s="212">
        <v>4.9654460598503758E-2</v>
      </c>
      <c r="L19" s="213">
        <f>Oktober!S40</f>
        <v>48.699918631058644</v>
      </c>
      <c r="M19" s="213">
        <f>Oktober!S41</f>
        <v>3.7648316148698702</v>
      </c>
      <c r="N19" s="213">
        <f>Oktober!O5</f>
        <v>853.1033625250767</v>
      </c>
      <c r="O19" s="213">
        <f>Oktober!P5</f>
        <v>600</v>
      </c>
      <c r="P19" s="214">
        <f t="shared" si="0"/>
        <v>-253.1033625250767</v>
      </c>
      <c r="Q19" s="215">
        <v>1.7543859649122806E-2</v>
      </c>
    </row>
    <row r="20" spans="2:17" ht="30" customHeight="1">
      <c r="B20" s="182" t="s">
        <v>187</v>
      </c>
      <c r="C20" s="203">
        <f>EINSTELLUNG!C16</f>
        <v>400000</v>
      </c>
      <c r="D20" s="203">
        <f>EINSTELLUNG!C32</f>
        <v>398000</v>
      </c>
      <c r="E20" s="216">
        <f>D20-C20</f>
        <v>-2000</v>
      </c>
      <c r="F20" s="203">
        <f>EINSTELLUNG!D16</f>
        <v>100000</v>
      </c>
      <c r="G20" s="203">
        <v>118009.9333</v>
      </c>
      <c r="H20" s="216">
        <v>18009.933300000004</v>
      </c>
      <c r="I20" s="217">
        <f>EINSTELLUNG!E16</f>
        <v>0.25</v>
      </c>
      <c r="J20" s="217">
        <v>0.29650737010050254</v>
      </c>
      <c r="K20" s="217">
        <v>4.6507370100502543E-2</v>
      </c>
      <c r="L20" s="184">
        <f>November!S40</f>
        <v>51.084847053508177</v>
      </c>
      <c r="M20" s="184">
        <f>November!S41</f>
        <v>3.9789704991425965</v>
      </c>
      <c r="N20" s="184">
        <f>November!O5</f>
        <v>836.40858047957613</v>
      </c>
      <c r="O20" s="184">
        <f>November!P5</f>
        <v>600</v>
      </c>
      <c r="P20" s="218">
        <f t="shared" si="0"/>
        <v>-236.40858047957613</v>
      </c>
      <c r="Q20" s="219">
        <v>1.7857142857142856E-2</v>
      </c>
    </row>
    <row r="21" spans="2:17" ht="30" customHeight="1">
      <c r="B21" s="209" t="s">
        <v>188</v>
      </c>
      <c r="C21" s="210">
        <f>EINSTELLUNG!C17</f>
        <v>400000</v>
      </c>
      <c r="D21" s="210">
        <f>EINSTELLUNG!C33</f>
        <v>390000</v>
      </c>
      <c r="E21" s="211">
        <f t="shared" si="1"/>
        <v>-10000</v>
      </c>
      <c r="F21" s="210">
        <f>EINSTELLUNG!D17</f>
        <v>100000</v>
      </c>
      <c r="G21" s="210">
        <v>117276.6</v>
      </c>
      <c r="H21" s="211">
        <v>17276.600000000006</v>
      </c>
      <c r="I21" s="212">
        <f>EINSTELLUNG!E17</f>
        <v>0.25</v>
      </c>
      <c r="J21" s="212">
        <v>0.30070923076923078</v>
      </c>
      <c r="K21" s="212">
        <v>5.0709230769230784E-2</v>
      </c>
      <c r="L21" s="213">
        <f>Dezember!S40</f>
        <v>50.094408693306619</v>
      </c>
      <c r="M21" s="213">
        <f>Dezember!S41</f>
        <v>3.9818632551089879</v>
      </c>
      <c r="N21" s="213">
        <f>Dezember!O5</f>
        <v>819.71379843407556</v>
      </c>
      <c r="O21" s="213">
        <f>Dezember!P5</f>
        <v>600</v>
      </c>
      <c r="P21" s="214">
        <f t="shared" si="0"/>
        <v>-219.71379843407556</v>
      </c>
      <c r="Q21" s="215">
        <v>0</v>
      </c>
    </row>
    <row r="22" spans="2:17" ht="30" customHeight="1">
      <c r="B22" s="220" t="s">
        <v>189</v>
      </c>
      <c r="C22" s="221">
        <f>SUM(C19:C21)</f>
        <v>1200000</v>
      </c>
      <c r="D22" s="221">
        <f>SUM(D19:D21)</f>
        <v>1189000</v>
      </c>
      <c r="E22" s="222">
        <f>D22-C22</f>
        <v>-11000</v>
      </c>
      <c r="F22" s="221">
        <f>SUM(F19:F21)</f>
        <v>300000</v>
      </c>
      <c r="G22" s="221">
        <v>355447.97200000001</v>
      </c>
      <c r="H22" s="222">
        <v>55447.972000000009</v>
      </c>
      <c r="I22" s="223">
        <f>AVERAGE(I19:I21)</f>
        <v>0.25</v>
      </c>
      <c r="J22" s="223">
        <v>0.29895702048941236</v>
      </c>
      <c r="K22" s="223">
        <v>4.8957020489412362E-2</v>
      </c>
      <c r="L22" s="224">
        <f>AVERAGE(L19:L21)</f>
        <v>49.959724792624478</v>
      </c>
      <c r="M22" s="224">
        <f>AVERAGE(M19:M21)</f>
        <v>3.9085551230404847</v>
      </c>
      <c r="N22" s="224">
        <f>SUM(N19:N21)</f>
        <v>2509.2257414387286</v>
      </c>
      <c r="O22" s="224">
        <f>SUM(O19:O21)</f>
        <v>1800</v>
      </c>
      <c r="P22" s="225">
        <f>O22-N22</f>
        <v>-709.22574143872862</v>
      </c>
      <c r="Q22" s="226">
        <v>3.5502958579881658E-2</v>
      </c>
    </row>
    <row r="23" spans="2:17" ht="32" customHeight="1" thickBot="1">
      <c r="B23" s="227" t="str">
        <f xml:space="preserve"> "GESAMT " &amp; EINSTELLUNG!C35</f>
        <v>GESAMT 2026</v>
      </c>
      <c r="C23" s="228">
        <f>SUM(C10,C14,C18,C22)</f>
        <v>4800000</v>
      </c>
      <c r="D23" s="228">
        <f>SUM(D10,D14,D18,D22)</f>
        <v>5067000</v>
      </c>
      <c r="E23" s="229">
        <f>D23-C23</f>
        <v>267000</v>
      </c>
      <c r="F23" s="228">
        <f>SUM(F10,F14,F18,F22)</f>
        <v>1200000</v>
      </c>
      <c r="G23" s="228">
        <v>1412634.5342999999</v>
      </c>
      <c r="H23" s="229">
        <v>212634.53429999994</v>
      </c>
      <c r="I23" s="230">
        <f>AVERAGE(I10,I14,I18,I22)</f>
        <v>0.25</v>
      </c>
      <c r="J23" s="230">
        <v>0.27918567072956568</v>
      </c>
      <c r="K23" s="231">
        <v>2.9185670729565683E-2</v>
      </c>
      <c r="L23" s="232">
        <f>AVERAGE(L22,L18,L14,L10)</f>
        <v>1774.7994118082386</v>
      </c>
      <c r="M23" s="232">
        <f>AVERAGE(M10,M14,M18,M22)</f>
        <v>126.51066349892747</v>
      </c>
      <c r="N23" s="232">
        <f>SUM(N10,N14,N18,N22)</f>
        <v>10159.945439462859</v>
      </c>
      <c r="O23" s="232">
        <f>SUM(O10,O14,O18,O22)</f>
        <v>7220</v>
      </c>
      <c r="P23" s="233">
        <f t="shared" si="0"/>
        <v>-2939.9454394628592</v>
      </c>
      <c r="Q23" s="234">
        <v>6.9204152249134954E-2</v>
      </c>
    </row>
    <row r="24" spans="2:17">
      <c r="O24" s="4"/>
    </row>
    <row r="25" spans="2:17">
      <c r="B25" s="395" t="s">
        <v>190</v>
      </c>
      <c r="C25" s="395"/>
      <c r="D25" s="395"/>
      <c r="E25" s="395"/>
    </row>
    <row r="26" spans="2:17">
      <c r="B26" s="395"/>
      <c r="C26" s="395"/>
      <c r="D26" s="395"/>
      <c r="E26" s="395"/>
    </row>
    <row r="27" spans="2:17" ht="14.5" thickBot="1">
      <c r="B27" s="395"/>
      <c r="C27" s="395"/>
      <c r="D27" s="395"/>
      <c r="E27" s="395"/>
    </row>
    <row r="28" spans="2:17" ht="28" customHeight="1">
      <c r="B28" s="404" t="str">
        <f xml:space="preserve"> "DURCHRECHNUNGSSTUNDEN - " &amp; EINSTELLUNG!C35</f>
        <v>DURCHRECHNUNGSSTUNDEN - 2026</v>
      </c>
      <c r="C28" s="405"/>
      <c r="D28" s="405"/>
      <c r="E28" s="405"/>
      <c r="F28" s="405"/>
      <c r="G28" s="405"/>
      <c r="H28" s="405"/>
      <c r="I28" s="405"/>
      <c r="J28" s="405"/>
      <c r="K28" s="405"/>
      <c r="L28" s="405"/>
      <c r="M28" s="405"/>
      <c r="N28" s="405"/>
      <c r="O28" s="405"/>
      <c r="P28" s="405"/>
      <c r="Q28" s="406"/>
    </row>
    <row r="29" spans="2:17" ht="48" customHeight="1" thickBot="1">
      <c r="B29" s="407" t="s">
        <v>526</v>
      </c>
      <c r="C29" s="408"/>
      <c r="D29" s="408"/>
      <c r="E29" s="408"/>
      <c r="F29" s="408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Q29" s="409"/>
    </row>
    <row r="30" spans="2:17" ht="40" customHeight="1" thickBot="1">
      <c r="B30" s="410" t="s">
        <v>527</v>
      </c>
      <c r="C30" s="411"/>
      <c r="D30" s="411"/>
      <c r="E30" s="188">
        <v>0</v>
      </c>
      <c r="F30" s="411" t="s">
        <v>528</v>
      </c>
      <c r="G30" s="411"/>
      <c r="H30" s="411"/>
      <c r="I30" s="188">
        <v>9000</v>
      </c>
      <c r="J30" s="427"/>
      <c r="K30" s="427"/>
      <c r="L30" s="427"/>
      <c r="M30" s="427"/>
      <c r="N30" s="427"/>
      <c r="O30" s="427"/>
      <c r="P30" s="427"/>
      <c r="Q30" s="428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176" t="s">
        <v>521</v>
      </c>
      <c r="F31" s="175" t="s">
        <v>98</v>
      </c>
      <c r="G31" s="175" t="s">
        <v>522</v>
      </c>
      <c r="H31" s="175" t="s">
        <v>523</v>
      </c>
      <c r="I31" s="177" t="s">
        <v>524</v>
      </c>
      <c r="J31" s="415" t="s">
        <v>525</v>
      </c>
      <c r="K31" s="416"/>
      <c r="L31" s="416"/>
      <c r="M31" s="416"/>
      <c r="N31" s="416"/>
      <c r="O31" s="416"/>
      <c r="P31" s="416"/>
      <c r="Q31" s="417"/>
    </row>
    <row r="32" spans="2:17" ht="42" customHeight="1">
      <c r="B32" s="179" t="s">
        <v>530</v>
      </c>
      <c r="C32" s="180" t="s">
        <v>178</v>
      </c>
      <c r="D32" s="181">
        <f>Februar!Q12+Marz!Q13+April!Q13</f>
        <v>25101.489999999998</v>
      </c>
      <c r="E32" s="181">
        <f>EINSTELLUNG!L7+EINSTELLUNG!L8+EINSTELLUNG!L9</f>
        <v>27900</v>
      </c>
      <c r="F32" s="181">
        <f>April!Q15</f>
        <v>-1002.8200000000015</v>
      </c>
      <c r="G32" s="202">
        <f>April!Q42</f>
        <v>12.005256827395531</v>
      </c>
      <c r="H32" s="181">
        <f>MAX(0,-F32)</f>
        <v>1002.8200000000015</v>
      </c>
      <c r="I32" s="205">
        <f>IF(OR(G32=0,H32=0),"",H32*G32*3/2)</f>
        <v>18058.667477473209</v>
      </c>
      <c r="J32" s="418" t="str">
        <f>IF(F32&lt;0,"ACHTUNG: Überstunden",IF(F32&gt;0,"Reserve möglich","OK"))</f>
        <v>ACHTUNG: Überstunden</v>
      </c>
      <c r="K32" s="419"/>
      <c r="L32" s="419"/>
      <c r="M32" s="419"/>
      <c r="N32" s="419"/>
      <c r="O32" s="419"/>
      <c r="P32" s="419"/>
      <c r="Q32" s="420"/>
    </row>
    <row r="33" spans="2:17" ht="42" customHeight="1">
      <c r="B33" s="182" t="s">
        <v>459</v>
      </c>
      <c r="C33" s="183" t="s">
        <v>182</v>
      </c>
      <c r="D33" s="184">
        <f>Mai!Q12+Juni!Q13+Juli!Q13</f>
        <v>24158.629999999997</v>
      </c>
      <c r="E33" s="184">
        <f>EINSTELLUNG!L10+EINSTELLUNG!L11+EINSTELLUNG!L12</f>
        <v>27900</v>
      </c>
      <c r="F33" s="184">
        <f>Juli!Q15</f>
        <v>-1699.6400000000012</v>
      </c>
      <c r="G33" s="203">
        <f>Juli!Q42</f>
        <v>16.014798736179326</v>
      </c>
      <c r="H33" s="184">
        <f>MAX(0,-F33)</f>
        <v>1699.6400000000012</v>
      </c>
      <c r="I33" s="206">
        <f>IF(OR(G33=0,H33=0),"",H33*G33*3/2)</f>
        <v>40829.088785939777</v>
      </c>
      <c r="J33" s="421" t="str">
        <f>IF(F33&lt;0,"ACHTUNG: Überstunden",IF(F33&gt;0,"Reserve möglich","OK"))</f>
        <v>ACHTUNG: Überstunden</v>
      </c>
      <c r="K33" s="422"/>
      <c r="L33" s="422"/>
      <c r="M33" s="422"/>
      <c r="N33" s="422"/>
      <c r="O33" s="422"/>
      <c r="P33" s="422"/>
      <c r="Q33" s="423"/>
    </row>
    <row r="34" spans="2:17" ht="42" customHeight="1">
      <c r="B34" s="179" t="s">
        <v>460</v>
      </c>
      <c r="C34" s="180" t="s">
        <v>186</v>
      </c>
      <c r="D34" s="181">
        <f>August!Q12+September!Q13+Oktober!Q13</f>
        <v>24643.25</v>
      </c>
      <c r="E34" s="181">
        <f>EINSTELLUNG!L13+EINSTELLUNG!L14+EINSTELLUNG!L15</f>
        <v>27900</v>
      </c>
      <c r="F34" s="181">
        <f>Oktober!Q15</f>
        <v>-1065.8999999999996</v>
      </c>
      <c r="G34" s="202">
        <f>Oktober!Q42</f>
        <v>16.933365284093661</v>
      </c>
      <c r="H34" s="181">
        <f>MAX(0,-F34)</f>
        <v>1065.8999999999996</v>
      </c>
      <c r="I34" s="205">
        <f>IF(OR(G34=0,H34=0),"",H34*G34*3/2)</f>
        <v>27073.91108447314</v>
      </c>
      <c r="J34" s="418" t="str">
        <f>IF(F34&lt;0,"ACHTUNG: Überstunden",IF(F34&gt;0,"Reserve möglich","OK"))</f>
        <v>ACHTUNG: Überstunden</v>
      </c>
      <c r="K34" s="419"/>
      <c r="L34" s="419"/>
      <c r="M34" s="419"/>
      <c r="N34" s="419"/>
      <c r="O34" s="419"/>
      <c r="P34" s="419"/>
      <c r="Q34" s="420"/>
    </row>
    <row r="35" spans="2:17" ht="42" customHeight="1" thickBot="1">
      <c r="B35" s="185" t="s">
        <v>531</v>
      </c>
      <c r="C35" s="186" t="s">
        <v>532</v>
      </c>
      <c r="D35" s="187">
        <f>November!Q12+Dezember!Q13+E30</f>
        <v>15576.259999999998</v>
      </c>
      <c r="E35" s="187">
        <f>EINSTELLUNG!L16+EINSTELLUNG!L17+I30</f>
        <v>27600</v>
      </c>
      <c r="F35" s="187">
        <f>D35-E35</f>
        <v>-12023.740000000002</v>
      </c>
      <c r="G35" s="204">
        <f>Dezember!Q42</f>
        <v>16.896813157058265</v>
      </c>
      <c r="H35" s="187">
        <f>MAX(0,-F35)</f>
        <v>12023.740000000002</v>
      </c>
      <c r="I35" s="207">
        <f>IF(OR(G35=0,H35=0),"",H35*G35*3/2)</f>
        <v>304744.33234357164</v>
      </c>
      <c r="J35" s="424" t="str">
        <f>IF(F35&lt;0,"ACHTUNG: Überstunden",IF(F35&gt;0,"Reserve möglich","OK"))</f>
        <v>ACHTUNG: Überstunden</v>
      </c>
      <c r="K35" s="425"/>
      <c r="L35" s="425"/>
      <c r="M35" s="425"/>
      <c r="N35" s="425"/>
      <c r="O35" s="425"/>
      <c r="P35" s="425"/>
      <c r="Q35" s="426"/>
    </row>
    <row r="36" spans="2:17" ht="40" customHeight="1" thickBot="1">
      <c r="B36" s="412" t="s">
        <v>533</v>
      </c>
      <c r="C36" s="413"/>
      <c r="D36" s="413"/>
      <c r="E36" s="413"/>
      <c r="F36" s="413"/>
      <c r="G36" s="413"/>
      <c r="H36" s="413"/>
      <c r="I36" s="413"/>
      <c r="J36" s="413"/>
      <c r="K36" s="413"/>
      <c r="L36" s="413"/>
      <c r="M36" s="413"/>
      <c r="N36" s="413"/>
      <c r="O36" s="413"/>
      <c r="P36" s="413"/>
      <c r="Q36" s="414"/>
    </row>
    <row r="37" spans="2:17">
      <c r="B37" s="178"/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2:17" ht="40" customHeight="1"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</sheetData>
  <sheetProtection algorithmName="SHA-512" hashValue="2oOX2UDq2bqZIGV3PZ7zU00iqvdnJG4kgyGTLfeP8iuI89zIJNS7Xl58EurS+tTpj5psKSRCcs5F8INZVQKE1w==" saltValue="RXaroo1+9j2GrSPkSM79BQ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TNMN5GqklQ9tglpx3zb0ZUQ15spz4BFn7FrFm8T08C0p/J+TGAmcv+tHhetP0wr9PRQ4TwdEp3PpF8622Fzfug==" saltValue="W0A2sxi83vZrPHbVXn8tb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189" customWidth="1"/>
    <col min="2" max="2" width="20.6328125" style="189" customWidth="1"/>
    <col min="3" max="5" width="26.6328125" style="189" customWidth="1"/>
    <col min="6" max="7" width="18.6328125" style="189" customWidth="1"/>
    <col min="8" max="8" width="22.6328125" style="189" customWidth="1"/>
    <col min="9" max="12" width="36.6328125" style="189" customWidth="1"/>
    <col min="13" max="15" width="10.81640625" style="189"/>
    <col min="16" max="19" width="2.6328125" style="189" customWidth="1"/>
    <col min="20" max="16384" width="10.81640625" style="189"/>
  </cols>
  <sheetData>
    <row r="1" spans="1:17" ht="44" customHeight="1">
      <c r="A1" s="430" t="s">
        <v>361</v>
      </c>
      <c r="B1" s="431"/>
      <c r="C1" s="431"/>
      <c r="D1" s="431"/>
      <c r="E1" s="431"/>
      <c r="P1" s="189" t="s">
        <v>217</v>
      </c>
      <c r="Q1" s="189" t="s">
        <v>229</v>
      </c>
    </row>
    <row r="2" spans="1:17" ht="15" customHeight="1">
      <c r="A2" s="190" t="s">
        <v>362</v>
      </c>
      <c r="B2" s="190">
        <v>2026</v>
      </c>
      <c r="C2" s="190" t="s">
        <v>363</v>
      </c>
      <c r="D2" s="191" t="s">
        <v>477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432" t="s">
        <v>365</v>
      </c>
      <c r="B4" s="433"/>
      <c r="C4" s="433"/>
      <c r="D4" s="433"/>
      <c r="E4" s="433"/>
      <c r="P4" s="189" t="s">
        <v>321</v>
      </c>
      <c r="Q4" s="189">
        <v>1</v>
      </c>
    </row>
    <row r="5" spans="1:17" ht="30" customHeight="1">
      <c r="A5" s="440" t="s">
        <v>300</v>
      </c>
      <c r="B5" s="442" t="s">
        <v>481</v>
      </c>
      <c r="C5" s="434" t="s">
        <v>487</v>
      </c>
      <c r="D5" s="435"/>
      <c r="E5" s="436"/>
      <c r="P5" s="189" t="s">
        <v>179</v>
      </c>
      <c r="Q5" s="189">
        <v>1</v>
      </c>
    </row>
    <row r="6" spans="1:17" ht="30" customHeight="1" thickBot="1">
      <c r="A6" s="441"/>
      <c r="B6" s="441"/>
      <c r="C6" s="437"/>
      <c r="D6" s="438"/>
      <c r="E6" s="439"/>
      <c r="P6" s="189" t="s">
        <v>180</v>
      </c>
      <c r="Q6" s="189">
        <v>1</v>
      </c>
    </row>
    <row r="7" spans="1:17" ht="15" customHeight="1">
      <c r="P7" s="189" t="s">
        <v>182</v>
      </c>
      <c r="Q7" s="189">
        <v>1</v>
      </c>
    </row>
    <row r="8" spans="1:17" ht="30" customHeight="1">
      <c r="A8" s="193" t="s">
        <v>223</v>
      </c>
      <c r="B8" s="193" t="s">
        <v>366</v>
      </c>
      <c r="C8" s="193" t="s">
        <v>225</v>
      </c>
      <c r="D8" s="193" t="s">
        <v>367</v>
      </c>
      <c r="E8" s="193" t="s">
        <v>368</v>
      </c>
      <c r="P8" s="189" t="s">
        <v>183</v>
      </c>
      <c r="Q8" s="189">
        <v>2</v>
      </c>
    </row>
    <row r="9" spans="1:17" ht="22" customHeight="1">
      <c r="A9" s="194">
        <v>11</v>
      </c>
      <c r="B9" s="195">
        <v>6.9204152249134954E-2</v>
      </c>
      <c r="C9" s="196">
        <v>9.5</v>
      </c>
      <c r="D9" s="194">
        <v>7</v>
      </c>
      <c r="E9" s="194">
        <v>0</v>
      </c>
      <c r="P9" s="189" t="s">
        <v>184</v>
      </c>
      <c r="Q9" s="189">
        <v>1</v>
      </c>
    </row>
    <row r="10" spans="1:17" ht="15" customHeight="1">
      <c r="P10" s="189" t="s">
        <v>186</v>
      </c>
      <c r="Q10" s="189">
        <v>1</v>
      </c>
    </row>
    <row r="11" spans="1:17" ht="15" customHeight="1">
      <c r="A11" s="197" t="s">
        <v>369</v>
      </c>
      <c r="P11" s="189" t="s">
        <v>187</v>
      </c>
      <c r="Q11" s="189">
        <v>1</v>
      </c>
    </row>
    <row r="12" spans="1:17" ht="22" customHeight="1">
      <c r="A12" s="192" t="s">
        <v>370</v>
      </c>
      <c r="B12" s="192" t="s">
        <v>371</v>
      </c>
      <c r="C12" s="192" t="s">
        <v>372</v>
      </c>
      <c r="D12" s="443" t="s">
        <v>373</v>
      </c>
      <c r="E12" s="443"/>
    </row>
    <row r="13" spans="1:17" ht="57.25" customHeight="1">
      <c r="A13" s="194">
        <v>1</v>
      </c>
      <c r="B13" s="198" t="s">
        <v>230</v>
      </c>
      <c r="C13" s="198" t="s">
        <v>386</v>
      </c>
      <c r="D13" s="429" t="s">
        <v>374</v>
      </c>
      <c r="E13" s="429"/>
    </row>
    <row r="14" spans="1:17" ht="73" customHeight="1">
      <c r="A14" s="194">
        <v>2</v>
      </c>
      <c r="B14" s="198" t="s">
        <v>230</v>
      </c>
      <c r="C14" s="198" t="s">
        <v>387</v>
      </c>
      <c r="D14" s="429" t="s">
        <v>374</v>
      </c>
      <c r="E14" s="429"/>
    </row>
    <row r="15" spans="1:17" ht="57.25" customHeight="1">
      <c r="A15" s="194">
        <v>3</v>
      </c>
      <c r="B15" s="198" t="s">
        <v>231</v>
      </c>
      <c r="C15" s="198" t="s">
        <v>488</v>
      </c>
      <c r="D15" s="429" t="s">
        <v>377</v>
      </c>
      <c r="E15" s="429"/>
    </row>
    <row r="16" spans="1:17" ht="73" customHeight="1">
      <c r="A16" s="194">
        <v>4</v>
      </c>
      <c r="B16" s="198" t="s">
        <v>375</v>
      </c>
      <c r="C16" s="198" t="s">
        <v>388</v>
      </c>
      <c r="D16" s="429" t="s">
        <v>376</v>
      </c>
      <c r="E16" s="429"/>
    </row>
    <row r="17" spans="1:17" ht="57.25" customHeight="1">
      <c r="A17" s="194">
        <v>5</v>
      </c>
      <c r="B17" s="198" t="s">
        <v>231</v>
      </c>
      <c r="C17" s="198" t="s">
        <v>389</v>
      </c>
      <c r="D17" s="429" t="s">
        <v>377</v>
      </c>
      <c r="E17" s="429"/>
    </row>
    <row r="18" spans="1:17" ht="57.25" customHeight="1">
      <c r="A18" s="194">
        <v>6</v>
      </c>
      <c r="B18" s="198" t="s">
        <v>375</v>
      </c>
      <c r="C18" s="198" t="s">
        <v>390</v>
      </c>
      <c r="D18" s="429" t="s">
        <v>376</v>
      </c>
      <c r="E18" s="429"/>
    </row>
    <row r="19" spans="1:17" ht="57.25" customHeight="1">
      <c r="A19" s="194">
        <v>7</v>
      </c>
      <c r="B19" s="198" t="s">
        <v>231</v>
      </c>
      <c r="C19" s="198" t="s">
        <v>391</v>
      </c>
      <c r="D19" s="429" t="s">
        <v>377</v>
      </c>
      <c r="E19" s="429"/>
    </row>
    <row r="20" spans="1:17" ht="15" customHeight="1">
      <c r="P20" s="189" t="s">
        <v>222</v>
      </c>
      <c r="Q20" s="189" t="s">
        <v>382</v>
      </c>
    </row>
    <row r="21" spans="1:17" ht="15" customHeight="1">
      <c r="P21" s="189" t="s">
        <v>323</v>
      </c>
      <c r="Q21" s="189">
        <v>2</v>
      </c>
    </row>
    <row r="22" spans="1:17" ht="15" customHeight="1">
      <c r="A22" s="197" t="s">
        <v>378</v>
      </c>
      <c r="P22" s="189" t="s">
        <v>350</v>
      </c>
      <c r="Q22" s="189">
        <v>2</v>
      </c>
    </row>
    <row r="23" spans="1:17" ht="41.5" customHeight="1">
      <c r="A23" s="194">
        <v>1</v>
      </c>
      <c r="B23" s="429" t="s">
        <v>379</v>
      </c>
      <c r="C23" s="429"/>
      <c r="D23" s="429"/>
      <c r="E23" s="429"/>
      <c r="P23" s="189" t="s">
        <v>227</v>
      </c>
      <c r="Q23" s="189">
        <v>3</v>
      </c>
    </row>
    <row r="24" spans="1:17" ht="41.5" customHeight="1">
      <c r="A24" s="194">
        <v>2</v>
      </c>
      <c r="B24" s="429" t="s">
        <v>380</v>
      </c>
      <c r="C24" s="429"/>
      <c r="D24" s="429"/>
      <c r="E24" s="429"/>
      <c r="P24" s="189" t="s">
        <v>383</v>
      </c>
      <c r="Q24" s="189">
        <v>3</v>
      </c>
    </row>
    <row r="25" spans="1:17" ht="41.5" customHeight="1">
      <c r="A25" s="194">
        <v>3</v>
      </c>
      <c r="B25" s="429" t="s">
        <v>381</v>
      </c>
      <c r="C25" s="429"/>
      <c r="D25" s="429"/>
      <c r="E25" s="429"/>
      <c r="P25" s="189" t="s">
        <v>486</v>
      </c>
      <c r="Q25" s="189">
        <v>1</v>
      </c>
    </row>
    <row r="26" spans="1:17" ht="41.5" customHeight="1">
      <c r="A26" s="194">
        <v>4</v>
      </c>
      <c r="B26" s="429" t="s">
        <v>482</v>
      </c>
      <c r="C26" s="429"/>
      <c r="D26" s="429"/>
      <c r="E26" s="429"/>
    </row>
    <row r="28" spans="1:17" ht="15" customHeight="1">
      <c r="A28" s="444" t="s">
        <v>384</v>
      </c>
      <c r="B28" s="444"/>
      <c r="C28" s="444"/>
      <c r="D28" s="444"/>
      <c r="E28" s="444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382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5</v>
      </c>
    </row>
    <row r="44" spans="18:19" ht="18" customHeight="1">
      <c r="R44" s="189" t="s">
        <v>196</v>
      </c>
      <c r="S44" s="189">
        <v>1</v>
      </c>
    </row>
    <row r="45" spans="18:19" ht="18" customHeight="1">
      <c r="R45" s="189" t="s">
        <v>206</v>
      </c>
      <c r="S45" s="18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45" t="s">
        <v>385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4" spans="1:13" ht="15" customHeight="1">
      <c r="A64" s="194" t="s">
        <v>217</v>
      </c>
      <c r="B64" s="194" t="s">
        <v>229</v>
      </c>
      <c r="C64" s="194" t="s">
        <v>233</v>
      </c>
      <c r="D64" s="194" t="s">
        <v>225</v>
      </c>
      <c r="E64" s="194" t="s">
        <v>288</v>
      </c>
      <c r="F64" s="194" t="s">
        <v>323</v>
      </c>
      <c r="G64" s="194" t="s">
        <v>350</v>
      </c>
      <c r="H64" s="194" t="s">
        <v>227</v>
      </c>
      <c r="I64" s="194" t="s">
        <v>483</v>
      </c>
      <c r="J64" s="194" t="s">
        <v>308</v>
      </c>
      <c r="K64" s="194" t="s">
        <v>306</v>
      </c>
      <c r="L64" s="194"/>
      <c r="M64" s="194"/>
    </row>
    <row r="65" spans="1:13" ht="42" customHeight="1">
      <c r="A65" s="199" t="s">
        <v>289</v>
      </c>
      <c r="B65" s="199">
        <v>1</v>
      </c>
      <c r="C65" s="200">
        <v>1.9607843137254902E-2</v>
      </c>
      <c r="D65" s="201">
        <v>0.625</v>
      </c>
      <c r="E65" s="201">
        <v>0.625</v>
      </c>
      <c r="F65" s="199">
        <v>0</v>
      </c>
      <c r="G65" s="199">
        <v>0</v>
      </c>
      <c r="H65" s="199">
        <v>0</v>
      </c>
      <c r="I65" s="199">
        <v>0</v>
      </c>
      <c r="J65" s="198" t="s">
        <v>309</v>
      </c>
      <c r="K65" s="429" t="s">
        <v>291</v>
      </c>
      <c r="L65" s="429"/>
      <c r="M65" s="429"/>
    </row>
    <row r="66" spans="1:13" ht="42" customHeight="1">
      <c r="A66" s="199" t="s">
        <v>349</v>
      </c>
      <c r="B66" s="199">
        <v>1</v>
      </c>
      <c r="C66" s="200">
        <v>1.7241379310344827E-2</v>
      </c>
      <c r="D66" s="201">
        <v>0.22499999999999998</v>
      </c>
      <c r="E66" s="201">
        <v>0.22499999999999998</v>
      </c>
      <c r="F66" s="199">
        <v>1</v>
      </c>
      <c r="G66" s="199">
        <v>0</v>
      </c>
      <c r="H66" s="199">
        <v>0</v>
      </c>
      <c r="I66" s="199">
        <v>0</v>
      </c>
      <c r="J66" s="198" t="s">
        <v>360</v>
      </c>
      <c r="K66" s="429" t="s">
        <v>325</v>
      </c>
      <c r="L66" s="429"/>
      <c r="M66" s="429"/>
    </row>
    <row r="67" spans="1:13" ht="42" customHeight="1">
      <c r="A67" s="199" t="s">
        <v>321</v>
      </c>
      <c r="B67" s="199">
        <v>1</v>
      </c>
      <c r="C67" s="200">
        <v>1.6949152542372881E-2</v>
      </c>
      <c r="D67" s="201">
        <v>0.5</v>
      </c>
      <c r="E67" s="201">
        <v>0.5</v>
      </c>
      <c r="F67" s="199">
        <v>1</v>
      </c>
      <c r="G67" s="199">
        <v>0</v>
      </c>
      <c r="H67" s="199">
        <v>0</v>
      </c>
      <c r="I67" s="199">
        <v>0</v>
      </c>
      <c r="J67" s="198" t="s">
        <v>324</v>
      </c>
      <c r="K67" s="429" t="s">
        <v>325</v>
      </c>
      <c r="L67" s="429"/>
      <c r="M67" s="429"/>
    </row>
    <row r="68" spans="1:13" ht="42" customHeight="1">
      <c r="A68" s="199" t="s">
        <v>179</v>
      </c>
      <c r="B68" s="199">
        <v>1</v>
      </c>
      <c r="C68" s="200">
        <v>1.6393442622950821E-2</v>
      </c>
      <c r="D68" s="201">
        <v>1.25</v>
      </c>
      <c r="E68" s="201">
        <v>1.25</v>
      </c>
      <c r="F68" s="199">
        <v>0</v>
      </c>
      <c r="G68" s="199">
        <v>0</v>
      </c>
      <c r="H68" s="199">
        <v>1</v>
      </c>
      <c r="I68" s="199">
        <v>0</v>
      </c>
      <c r="J68" s="198" t="s">
        <v>324</v>
      </c>
      <c r="K68" s="429" t="s">
        <v>327</v>
      </c>
      <c r="L68" s="429"/>
      <c r="M68" s="429"/>
    </row>
    <row r="69" spans="1:13" ht="42" customHeight="1">
      <c r="A69" s="199" t="s">
        <v>180</v>
      </c>
      <c r="B69" s="199">
        <v>1</v>
      </c>
      <c r="C69" s="200">
        <v>1.6393442622950821E-2</v>
      </c>
      <c r="D69" s="201">
        <v>0</v>
      </c>
      <c r="E69" s="201">
        <v>0</v>
      </c>
      <c r="F69" s="199">
        <v>0</v>
      </c>
      <c r="G69" s="199">
        <v>0</v>
      </c>
      <c r="H69" s="199">
        <v>0</v>
      </c>
      <c r="I69" s="199">
        <v>1</v>
      </c>
      <c r="J69" s="198" t="s">
        <v>484</v>
      </c>
      <c r="K69" s="429" t="s">
        <v>485</v>
      </c>
      <c r="L69" s="429"/>
      <c r="M69" s="429"/>
    </row>
    <row r="70" spans="1:13" ht="42" customHeight="1">
      <c r="A70" s="199" t="s">
        <v>182</v>
      </c>
      <c r="B70" s="199">
        <v>1</v>
      </c>
      <c r="C70" s="200">
        <v>1.6393442622950821E-2</v>
      </c>
      <c r="D70" s="201">
        <v>1.6500000000000001</v>
      </c>
      <c r="E70" s="201">
        <v>1.6500000000000001</v>
      </c>
      <c r="F70" s="199">
        <v>0</v>
      </c>
      <c r="G70" s="199">
        <v>1</v>
      </c>
      <c r="H70" s="199">
        <v>0</v>
      </c>
      <c r="I70" s="199">
        <v>0</v>
      </c>
      <c r="J70" s="198" t="s">
        <v>359</v>
      </c>
      <c r="K70" s="429" t="s">
        <v>351</v>
      </c>
      <c r="L70" s="429"/>
      <c r="M70" s="429"/>
    </row>
    <row r="71" spans="1:13" ht="42" customHeight="1">
      <c r="A71" s="199" t="s">
        <v>183</v>
      </c>
      <c r="B71" s="199">
        <v>2</v>
      </c>
      <c r="C71" s="200">
        <v>3.3898305084745763E-2</v>
      </c>
      <c r="D71" s="201">
        <v>1.5</v>
      </c>
      <c r="E71" s="201">
        <v>0.75</v>
      </c>
      <c r="F71" s="199">
        <v>0</v>
      </c>
      <c r="G71" s="199">
        <v>0</v>
      </c>
      <c r="H71" s="199">
        <v>1</v>
      </c>
      <c r="I71" s="199">
        <v>0</v>
      </c>
      <c r="J71" s="198" t="s">
        <v>355</v>
      </c>
      <c r="K71" s="429" t="s">
        <v>327</v>
      </c>
      <c r="L71" s="429"/>
      <c r="M71" s="429"/>
    </row>
    <row r="72" spans="1:13" ht="42" customHeight="1">
      <c r="A72" s="199" t="s">
        <v>184</v>
      </c>
      <c r="B72" s="199">
        <v>1</v>
      </c>
      <c r="C72" s="200">
        <v>1.7241379310344827E-2</v>
      </c>
      <c r="D72" s="201">
        <v>0.75</v>
      </c>
      <c r="E72" s="201">
        <v>0.75</v>
      </c>
      <c r="F72" s="199">
        <v>0</v>
      </c>
      <c r="G72" s="199">
        <v>0</v>
      </c>
      <c r="H72" s="199">
        <v>0</v>
      </c>
      <c r="I72" s="199">
        <v>0</v>
      </c>
      <c r="J72" s="198" t="s">
        <v>309</v>
      </c>
      <c r="K72" s="429" t="s">
        <v>291</v>
      </c>
      <c r="L72" s="429"/>
      <c r="M72" s="429"/>
    </row>
    <row r="73" spans="1:13" ht="42" customHeight="1">
      <c r="A73" s="199" t="s">
        <v>186</v>
      </c>
      <c r="B73" s="199">
        <v>1</v>
      </c>
      <c r="C73" s="200">
        <v>1.7543859649122806E-2</v>
      </c>
      <c r="D73" s="201">
        <v>2</v>
      </c>
      <c r="E73" s="201">
        <v>2</v>
      </c>
      <c r="F73" s="199">
        <v>0</v>
      </c>
      <c r="G73" s="199">
        <v>1</v>
      </c>
      <c r="H73" s="199">
        <v>0</v>
      </c>
      <c r="I73" s="199">
        <v>0</v>
      </c>
      <c r="J73" s="198" t="s">
        <v>324</v>
      </c>
      <c r="K73" s="429" t="s">
        <v>351</v>
      </c>
      <c r="L73" s="429"/>
      <c r="M73" s="429"/>
    </row>
    <row r="74" spans="1:13" ht="42" customHeight="1">
      <c r="A74" s="199" t="s">
        <v>187</v>
      </c>
      <c r="B74" s="199">
        <v>1</v>
      </c>
      <c r="C74" s="200">
        <v>1.7857142857142856E-2</v>
      </c>
      <c r="D74" s="201">
        <v>1</v>
      </c>
      <c r="E74" s="201">
        <v>1</v>
      </c>
      <c r="F74" s="199">
        <v>0</v>
      </c>
      <c r="G74" s="199">
        <v>0</v>
      </c>
      <c r="H74" s="199">
        <v>1</v>
      </c>
      <c r="I74" s="199">
        <v>0</v>
      </c>
      <c r="J74" s="198" t="s">
        <v>324</v>
      </c>
      <c r="K74" s="429" t="s">
        <v>327</v>
      </c>
      <c r="L74" s="429"/>
      <c r="M74" s="429"/>
    </row>
    <row r="78" spans="1:13" ht="15" customHeight="1">
      <c r="A78" s="447" t="s">
        <v>310</v>
      </c>
      <c r="B78" s="448"/>
      <c r="C78" s="448"/>
      <c r="D78" s="448"/>
      <c r="E78" s="448"/>
    </row>
    <row r="79" spans="1:13" ht="41.5" customHeight="1">
      <c r="A79" s="192" t="s">
        <v>232</v>
      </c>
      <c r="B79" s="446" t="s">
        <v>234</v>
      </c>
      <c r="C79" s="446"/>
      <c r="D79" s="446"/>
      <c r="E79" s="446"/>
    </row>
    <row r="80" spans="1:13" ht="41.5" customHeight="1">
      <c r="A80" s="192" t="s">
        <v>225</v>
      </c>
      <c r="B80" s="446" t="s">
        <v>311</v>
      </c>
      <c r="C80" s="446"/>
      <c r="D80" s="446"/>
      <c r="E80" s="446"/>
    </row>
    <row r="81" spans="1:5" ht="41.5" customHeight="1">
      <c r="A81" s="192" t="s">
        <v>287</v>
      </c>
      <c r="B81" s="446" t="s">
        <v>312</v>
      </c>
      <c r="C81" s="446"/>
      <c r="D81" s="446"/>
      <c r="E81" s="446"/>
    </row>
    <row r="82" spans="1:5" ht="41.5" customHeight="1">
      <c r="A82" s="192" t="s">
        <v>230</v>
      </c>
      <c r="B82" s="446" t="s">
        <v>313</v>
      </c>
      <c r="C82" s="446"/>
      <c r="D82" s="446"/>
      <c r="E82" s="446"/>
    </row>
    <row r="83" spans="1:5" ht="41.5" customHeight="1">
      <c r="A83" s="192" t="s">
        <v>226</v>
      </c>
      <c r="B83" s="446" t="s">
        <v>314</v>
      </c>
      <c r="C83" s="446"/>
      <c r="D83" s="446"/>
      <c r="E83" s="446"/>
    </row>
    <row r="84" spans="1:5" ht="41.5" customHeight="1">
      <c r="A84" s="192" t="s">
        <v>231</v>
      </c>
      <c r="B84" s="446" t="s">
        <v>315</v>
      </c>
      <c r="C84" s="446"/>
      <c r="D84" s="446"/>
      <c r="E84" s="446"/>
    </row>
    <row r="85" spans="1:5" ht="28" customHeight="1">
      <c r="A85" s="192" t="s">
        <v>228</v>
      </c>
      <c r="B85" s="446" t="s">
        <v>316</v>
      </c>
      <c r="C85" s="446"/>
      <c r="D85" s="446"/>
      <c r="E85" s="446"/>
    </row>
    <row r="86" spans="1:5" ht="28" customHeight="1">
      <c r="A86" s="192" t="s">
        <v>317</v>
      </c>
      <c r="B86" s="446" t="s">
        <v>318</v>
      </c>
      <c r="C86" s="446"/>
      <c r="D86" s="446"/>
      <c r="E86" s="446"/>
    </row>
  </sheetData>
  <sheetProtection algorithmName="SHA-512" hashValue="2u4FyavXgzrvadvVteOWT9IW7Mv5+acoYvS+mtGsihwtyLsIlOWRc65VVP8RRwLxB78WvwtC7zLF6rdY/jJ/Jg==" saltValue="Mb2i2L7AAIDCvxRo2OklOA==" spinCount="100000" sheet="1" objects="1" scenarios="1" sort="0" autoFilter="0"/>
  <mergeCells count="38"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4:M74"/>
    <mergeCell ref="K72:M72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A62:M62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VqYWeQ5p8S1qZcOiwKq/ldlmDx9yBgZOcQ6fCAdjaQkuCdI9lHyt/ze0wziTryex/rvp7k/gYEtUJ8bSCZ9MWA==" saltValue="bF2w1hw4zrQQA+qtdIOPT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R/TUWmK6sA733fSm7QhyIictlBRbMqMLA1ELhrBaNjGkQOfp7Ry5GVvyX/wtOhNJQe8LGL9mkk1jfpWPFFMcJA==" saltValue="sAUNyLMWBw536oVzAWzp+w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Yq8OJjNAI1t3U6n+ifoSt+PrMUXihA7VmCWyz3gCWP7U33AFkWaLY6GrvWbt9nhaqPw74LxpDE00s5IGw555Mg==" saltValue="PTYUpiLLuXlTMEIsH8gaFA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N+Wb6TTGpvj1KkeAIZsDwZSQmuk/dO0AMD9koOH7OAo7BoP/hHQkwO5QhtSUwEuibBi9oqURGy2grKt4ZMJ0KQ==" saltValue="tN3LrnQwN3JfboprhvtLV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2026-05-22T17:53:01Z</dcterms:modified>
  <cp:category/>
  <cp:contentStatus/>
</cp:coreProperties>
</file>